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activeX/activeX1.xml" ContentType="application/vnd.ms-office.activeX+xml"/>
  <Override PartName="/xl/activeX/activeX1.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19.xml" ContentType="application/vnd.openxmlformats-officedocument.drawing+xml"/>
  <Override PartName="/xl/comments3.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trlProps/ctrlProp5.xml" ContentType="application/vnd.ms-excel.controlpropertie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tables/table1.xml" ContentType="application/vnd.openxmlformats-officedocument.spreadsheetml.table+xml"/>
  <Override PartName="/xl/drawings/drawing26.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xl/webextensions/webextension4.xml" ContentType="application/vnd.ms-office.webextensio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3.xml" ContentType="application/vnd.ms-excel.threadedcomments+xml"/>
  <Override PartName="/xl/threadedComments/threadedComment4.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always" codeName="EstaPastaDeTrabalho"/>
  <mc:AlternateContent xmlns:mc="http://schemas.openxmlformats.org/markup-compatibility/2006">
    <mc:Choice Requires="x15">
      <x15ac:absPath xmlns:x15ac="http://schemas.microsoft.com/office/spreadsheetml/2010/11/ac" url="\\s1210.ms\SETORES\DEIURB\==ARQUIVOS ATE 2025==\=ARQUIVOS 2024=\RAFAELA 2024\01 - ANÁLISE DE PROJETOS\13 - Naviraí - Acesso cemitério\E-MS\Memória de cálculo\"/>
    </mc:Choice>
  </mc:AlternateContent>
  <bookViews>
    <workbookView xWindow="-120" yWindow="-120" windowWidth="29040" windowHeight="15720" tabRatio="920" firstSheet="12" activeTab="25"/>
  </bookViews>
  <sheets>
    <sheet name="CAPA" sheetId="36" state="hidden" r:id="rId1"/>
    <sheet name="RELEVÂNCIA" sheetId="60" state="hidden" r:id="rId2"/>
    <sheet name="MOBIL-DESMOB" sheetId="55" state="hidden" r:id="rId3"/>
    <sheet name="COMPOSIÇÕES" sheetId="42" state="hidden" r:id="rId4"/>
    <sheet name="3-COMPOSIÇÃO" sheetId="67" state="hidden" r:id="rId5"/>
    <sheet name="Planilha4" sheetId="47" state="hidden" r:id="rId6"/>
    <sheet name="CRONOGRAMA_DES" sheetId="14" state="hidden" r:id="rId7"/>
    <sheet name="BDI DESONERADO" sheetId="21" state="hidden" r:id="rId8"/>
    <sheet name="COTAÇÕES" sheetId="41" state="hidden" r:id="rId9"/>
    <sheet name="6-CAMADAS" sheetId="23" r:id="rId10"/>
    <sheet name="6.1-CAMADAS" sheetId="68" r:id="rId11"/>
    <sheet name="7-MOVIMENTO DE TERRA" sheetId="3" r:id="rId12"/>
    <sheet name="8-MOVIMENTO TERRA- HARRY AMORY" sheetId="64" r:id="rId13"/>
    <sheet name="9-RECAPE" sheetId="52" r:id="rId14"/>
    <sheet name="10-PAVIMENTAÇÃO" sheetId="2" r:id="rId15"/>
    <sheet name="11-PAVIMENTAÇÃO - HARRY AMORIN" sheetId="63" r:id="rId16"/>
    <sheet name="12-DRENAGEM - IMPLANTAÇÃO" sheetId="9" r:id="rId17"/>
    <sheet name="DRENAGEM - REMOÇÃO" sheetId="59" state="hidden" r:id="rId18"/>
    <sheet name="BANCO_DRENAGEM" sheetId="35" state="hidden" r:id="rId19"/>
    <sheet name="13-CALÇADAS E RAMPAS" sheetId="4" r:id="rId20"/>
    <sheet name="SINALIZAÇÃO (2)" sheetId="49" state="hidden" r:id="rId21"/>
    <sheet name="CHUVA" sheetId="20" state="hidden" r:id="rId22"/>
    <sheet name="DADOS" sheetId="27" state="hidden" r:id="rId23"/>
    <sheet name="14-SINALIZAÇÃO" sheetId="50" r:id="rId24"/>
    <sheet name="15-SERVIÇOS PRELIMINARES" sheetId="32" r:id="rId25"/>
    <sheet name="16-DMT" sheetId="30" r:id="rId26"/>
    <sheet name="BC_DMT" sheetId="61" state="hidden" r:id="rId27"/>
    <sheet name="GALERIAS" sheetId="33" state="hidden" r:id="rId28"/>
    <sheet name="Parametros IDF" sheetId="34" state="hidden" r:id="rId29"/>
  </sheets>
  <externalReferences>
    <externalReference r:id="rId30"/>
  </externalReferences>
  <definedNames>
    <definedName name="_xlnm._FilterDatabase" localSheetId="18" hidden="1">BANCO_DRENAGEM!$L$2:$AA$343</definedName>
    <definedName name="_xlnm._FilterDatabase" localSheetId="3" hidden="1">COMPOSIÇÕES!$L$9:$M$475</definedName>
    <definedName name="ACOMPANHAMENTO" hidden="1">IF(VALUE(#REF!)=2,"BM","PLE")</definedName>
    <definedName name="_xlnm.Print_Area" localSheetId="14">'10-PAVIMENTAÇÃO'!$A$1:$H$178</definedName>
    <definedName name="_xlnm.Print_Area" localSheetId="15">'11-PAVIMENTAÇÃO - HARRY AMORIN'!$A$1:$J$178</definedName>
    <definedName name="_xlnm.Print_Area" localSheetId="16">'12-DRENAGEM - IMPLANTAÇÃO'!$A$1:$AI$144</definedName>
    <definedName name="_xlnm.Print_Area" localSheetId="19">'13-CALÇADAS E RAMPAS'!$A$1:$I$51</definedName>
    <definedName name="_xlnm.Print_Area" localSheetId="23">'14-SINALIZAÇÃO'!$A$1:$O$19</definedName>
    <definedName name="_xlnm.Print_Area" localSheetId="24">'15-SERVIÇOS PRELIMINARES'!$A$1:$H$20</definedName>
    <definedName name="_xlnm.Print_Area" localSheetId="10">'6.1-CAMADAS'!$A$2:$O$43</definedName>
    <definedName name="_xlnm.Print_Area" localSheetId="9">'6-CAMADAS'!$A$2:$O$43</definedName>
    <definedName name="_xlnm.Print_Area" localSheetId="11">'7-MOVIMENTO DE TERRA'!$A$1:$G$14</definedName>
    <definedName name="_xlnm.Print_Area" localSheetId="12">'8-MOVIMENTO TERRA- HARRY AMORY'!$A$1:$G$16</definedName>
    <definedName name="_xlnm.Print_Area" localSheetId="13">'9-RECAPE'!$A$1:$H$107</definedName>
    <definedName name="_xlnm.Print_Area" localSheetId="18">BANCO_DRENAGEM!$A$1:$AD$77</definedName>
    <definedName name="_xlnm.Print_Area" localSheetId="7">'BDI DESONERADO'!$A$1:$F$45</definedName>
    <definedName name="_xlnm.Print_Area" localSheetId="0">CAPA!$B$1:$C$25</definedName>
    <definedName name="_xlnm.Print_Area" localSheetId="21">CHUVA!$A$1:$R$45</definedName>
    <definedName name="_xlnm.Print_Area" localSheetId="3">COMPOSIÇÕES!$B$1:$I$471</definedName>
    <definedName name="_xlnm.Print_Area" localSheetId="6">CRONOGRAMA_DES!$A$1:$N$36</definedName>
    <definedName name="_xlnm.Print_Area" localSheetId="17">'DRENAGEM - REMOÇÃO'!$A$1:$T$121</definedName>
    <definedName name="_xlnm.Print_Area" localSheetId="2">'MOBIL-DESMOB'!$B$4:$Q$39</definedName>
    <definedName name="_xlnm.Print_Area" localSheetId="1">RELEVÂNCIA!$A$1:$K$18</definedName>
    <definedName name="_xlnm.Print_Area" localSheetId="20">'SINALIZAÇÃO (2)'!$A$1:$H$8</definedName>
    <definedName name="AUTOEVENTO" hidden="1">#REF!</definedName>
    <definedName name="B.A_AGESUL">IF(CAPA!$C$20&lt;&gt;"",RIGHT(LEFT(RIGHT(CAPA!$C$20,LEN(CAPA!$C$20)-1),LEN(CAPA!$C$20)-2),4),"")</definedName>
    <definedName name="B.A_SICRO">IF(CAPA!$C$21&lt;&gt;"",RIGHT(LEFT(RIGHT(CAPA!$C$21,LEN(CAPA!$C$21)-1),LEN(CAPA!$C$21)-2),4),"")</definedName>
    <definedName name="B.A_SINAPI">IF(CAPA!$C$19&lt;&gt;"",RIGHT(LEFT(RIGHT(CAPA!$C$19,LEN(CAPA!$C$19)-1),LEN(CAPA!$C$19)-2),4),"")</definedName>
    <definedName name="B.AGESUL">IF(CAPA!$C$20&lt;&gt;"","AGESUL","")</definedName>
    <definedName name="B.M_AGESUL">IF(CAPA!$C$20&lt;&gt;"",LEFT(LEFT(RIGHT(CAPA!$C$20,LEN(CAPA!$C$20)-1),LEN(CAPA!$C$20)-2),LEN(CAPA!$C$20)-7),"")</definedName>
    <definedName name="B.M_SICRO">IF(CAPA!$C$21&lt;&gt;"",LEFT(LEFT(RIGHT(CAPA!$C$21,LEN(CAPA!$C$21)-1),LEN(CAPA!$C$21)-2),LEN(CAPA!$C$21)-7),"")</definedName>
    <definedName name="B.M_SINAPI">IF(CAPA!$C$19&lt;&gt;"",LEFT(LEFT(RIGHT(CAPA!$C$19,LEN(CAPA!$C$19)-1),LEN(CAPA!$C$19)-2),LEN(CAPA!$C$19)-7),"")</definedName>
    <definedName name="B.SICRO">IF(CAPA!$C$21&lt;&gt;"","SICRO","")</definedName>
    <definedName name="B.SINAPI">IF(CAPA!$C$19&lt;&gt;"","SINAPI","")</definedName>
    <definedName name="B_API" comment="Essa é a chave da API, que conecta tudo ao Google maps.">"AIzaSyC6VcyO1g3sDbbUj-Cgrp2CBaMc1_kxiq8"</definedName>
    <definedName name="B_LAT" localSheetId="15">ConverterParaDecimal(CAPA!$C$10)</definedName>
    <definedName name="B_LAT" localSheetId="10">ConverterParaDecimal(CAPA!$C$10)</definedName>
    <definedName name="B_LAT" localSheetId="12">ConverterParaDecimal(CAPA!$C$10)</definedName>
    <definedName name="B_LAT">ConverterParaDecimal(CAPA!$C$10)</definedName>
    <definedName name="B_LON" localSheetId="15">ConverterParaDecimal(CAPA!$C$11)</definedName>
    <definedName name="B_LON" localSheetId="10">ConverterParaDecimal(CAPA!$C$11)</definedName>
    <definedName name="B_LON" localSheetId="12">ConverterParaDecimal(CAPA!$C$11)</definedName>
    <definedName name="B_LON">ConverterParaDecimal(CAPA!$C$11)</definedName>
    <definedName name="BDI.Opcao" hidden="1">#REF!</definedName>
    <definedName name="BDI.TipoObra" hidden="1">#REF!</definedName>
    <definedName name="BM.AFAcumulado" hidden="1">#REF!</definedName>
    <definedName name="BM.AFAnterior" hidden="1">#REF!</definedName>
    <definedName name="BM.MaxMed" localSheetId="26" hidden="1">IF(BC_DMT!RegimeExecucao="Global",1,#REF!)</definedName>
    <definedName name="BM.MaxMed" localSheetId="2" hidden="1">IF('MOBIL-DESMOB'!RegimeExecucao="Global",1,#REF!)</definedName>
    <definedName name="BM.MaxMed" localSheetId="1" hidden="1">IF(RELEVÂNCIA!RegimeExecucao="Global",1,#REF!)</definedName>
    <definedName name="BM.MaxMed" hidden="1">IF(RegimeExecucao="Global",1,#REF!)</definedName>
    <definedName name="BM.MEDAcumulado" localSheetId="26" hidden="1">IF(COUNTIF(#REF!,BM.medicao)&gt;0,SUM(OFFSET(#REF!,0,0,1,MATCH(BM.medicao,#REF!,0))),0)</definedName>
    <definedName name="BM.MEDAcumulado" localSheetId="2" hidden="1">IF(COUNTIF(#REF!,BM.medicao)&gt;0,SUM(OFFSET(#REF!,0,0,1,MATCH(BM.medicao,#REF!,0))),0)</definedName>
    <definedName name="BM.MEDAcumulado" localSheetId="1" hidden="1">IF(COUNTIF(#REF!,BM.medicao)&gt;0,SUM(OFFSET(#REF!,0,0,1,MATCH(BM.medicao,#REF!,0))),0)</definedName>
    <definedName name="BM.MEDAcumulado" hidden="1">IF(COUNTIF(#REF!,BM.medicao)&gt;0,SUM(OFFSET(#REF!,0,0,1,MATCH(BM.medicao,#REF!,0))),0)</definedName>
    <definedName name="BM.MEDAnterior" localSheetId="26" hidden="1">IF(COUNTIF(#REF!,BM.medicao-1)&gt;0,SUM(OFFSET(#REF!,0,0,1,MATCH(BM.medicao-1,#REF!,0))),0)</definedName>
    <definedName name="BM.MEDAnterior" localSheetId="2" hidden="1">IF(COUNTIF(#REF!,BM.medicao-1)&gt;0,SUM(OFFSET(#REF!,0,0,1,MATCH(BM.medicao-1,#REF!,0))),0)</definedName>
    <definedName name="BM.MEDAnterior" localSheetId="1" hidden="1">IF(COUNTIF(#REF!,BM.medicao-1)&gt;0,SUM(OFFSET(#REF!,0,0,1,MATCH(BM.medicao-1,#REF!,0))),0)</definedName>
    <definedName name="BM.MEDAnterior" hidden="1">IF(COUNTIF(#REF!,BM.medicao-1)&gt;0,SUM(OFFSET(#REF!,0,0,1,MATCH(BM.medicao-1,#REF!,0))),0)</definedName>
    <definedName name="BM.medicao" hidden="1">OFFSET(#REF!,1,0)</definedName>
    <definedName name="BM.MinMed" localSheetId="26" hidden="1">IF(BC_DMT!RegimeExecucao="Global",-1,-#REF!)</definedName>
    <definedName name="BM.MinMed" localSheetId="2" hidden="1">IF('MOBIL-DESMOB'!RegimeExecucao="Global",-1,-#REF!)</definedName>
    <definedName name="BM.MinMed" localSheetId="1" hidden="1">IF(RELEVÂNCIA!RegimeExecucao="Global",-1,-#REF!)</definedName>
    <definedName name="BM.MinMed" hidden="1">IF(RegimeExecucao="Global",-1,-#REF!)</definedName>
    <definedName name="CAIXA.Modo" hidden="1">#REF!</definedName>
    <definedName name="CÁLCULO.NúmeroDeEventos" localSheetId="26" hidden="1">IF(AUTOEVENTO&lt;&gt;"manual",MAX(#REF!),MAX(OFFSET(#REF!,1,0)))</definedName>
    <definedName name="CÁLCULO.NúmeroDeEventos" localSheetId="2" hidden="1">IF(AUTOEVENTO&lt;&gt;"manual",MAX(#REF!),MAX(OFFSET(#REF!,1,0)))</definedName>
    <definedName name="CÁLCULO.NúmeroDeEventos" localSheetId="1" hidden="1">IF(AUTOEVENTO&lt;&gt;"manual",MAX(#REF!),MAX(OFFSET(#REF!,1,0)))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26" hidden="1">IF(AUTOEVENTO="manual",SUMIF(#REF!,1,#REF!),0)</definedName>
    <definedName name="CÁLCULO.TotalAdmLocal" localSheetId="2" hidden="1">IF(AUTOEVENTO="manual",SUMIF(#REF!,1,#REF!),0)</definedName>
    <definedName name="CÁLCULO.TotalAdmLocal" localSheetId="1" hidden="1">IF(AUTOEVENTO="manual",SUMIF(#REF!,1,#REF!),0)</definedName>
    <definedName name="CÁLCULO.TotalAdmLocal" hidden="1">IF(AUTOEVENTO="manual",SUMIF(#REF!,1,#REF!),0)</definedName>
    <definedName name="Caminho3">#REF!</definedName>
    <definedName name="CRONO.LinhasNecessarias" localSheetId="26" hidden="1">COUNTIF(#REF!,"Manual")+COUNTIF(#REF!,"SemiAuto")+COUNT(ORÇAMENTO.ListaCrono)</definedName>
    <definedName name="CRONO.LinhasNecessarias" localSheetId="2" hidden="1">COUNTIF(#REF!,"Manual")+COUNTIF(#REF!,"SemiAuto")+COUNT(ORÇAMENTO.ListaCrono)</definedName>
    <definedName name="CRONO.LinhasNecessarias" localSheetId="1" hidden="1">COUNTIF(#REF!,"Manual")+COUNTIF(#REF!,"SemiAuto")+COUNT(ORÇAMENTO.ListaCrono)</definedName>
    <definedName name="CRONO.LinhasNecessarias" hidden="1">COUNTIF(#REF!,"Manual")+COUNTIF(#REF!,"SemiAuto")+COUNT(ORÇAMENTO.ListaCrono)</definedName>
    <definedName name="CRONO.MaxParc" hidden="1">#REF!+#REF!</definedName>
    <definedName name="CRONO.NivelExibicao" hidden="1">#REF!</definedName>
    <definedName name="CRONOPLE.ValorDoEvento" hidden="1">SUMIF(#REF!,#REF!,OFFSET(#REF!,0,#REF!))</definedName>
    <definedName name="DESONERACAO" localSheetId="26" hidden="1">IF(OR(Import.Desoneracao="DESONERADO",Import.Desoneracao="SIM"),"SIM","NÃO")</definedName>
    <definedName name="DESONERACAO" localSheetId="2" hidden="1">IF(OR(Import.Desoneracao="DESONERADO",Import.Desoneracao="SIM"),"SIM","NÃO")</definedName>
    <definedName name="DESONERACAO" localSheetId="1" hidden="1">IF(OR(Import.Desoneracao="DESONERADO",Import.Desoneracao="SIM"),"SIM","NÃO")</definedName>
    <definedName name="DESONERACAO" hidden="1">IF(OR(Import.Desoneracao="DESONERADO",Import.Desoneracao="SIM"),"SIM","NÃO")</definedName>
    <definedName name="EVENTOS.Lista" hidden="1">#REF!:OFFSET(#REF!,-1,0)</definedName>
    <definedName name="EVENTOS.ListaValidacao" hidden="1">#REF!:OFFSET(#REF!,-1,0)</definedName>
    <definedName name="Excel_BuiltIn_Database" localSheetId="26" hidden="1">TEXT(Import.DataBase,"mm-aaaa")</definedName>
    <definedName name="Excel_BuiltIn_Database" localSheetId="2" hidden="1">TEXT(Import.DataBase,"mm-aaaa")</definedName>
    <definedName name="Excel_BuiltIn_Database" localSheetId="1" hidden="1">TEXT(Import.DataBase,"mm-aaaa")</definedName>
    <definedName name="Excel_BuiltIn_Database" hidden="1">TEXT(Import.DataBase,"mm-aaaa")</definedName>
    <definedName name="IMAGENS">OFFSET(DADOS!$J$2,DADOS!$A$7,0,1,1)</definedName>
    <definedName name="Import.Apelido" hidden="1">#REF!</definedName>
    <definedName name="Import.BDI.Det3" hidden="1">#REF!</definedName>
    <definedName name="Import.BDI.Obs3" hidden="1">#REF!</definedName>
    <definedName name="Import.BDI.Tipo3" hidden="1">#REF!</definedName>
    <definedName name="Import.BMAFAcumulado" hidden="1">OFFSET(#REF!,1,0):OFFSET(#REF!,-1,0)</definedName>
    <definedName name="Import.CNPJ" hidden="1">#REF!</definedName>
    <definedName name="Import.Código" hidden="1">OFFSET(#REF!,1,0):OFFSET(#REF!,-1,0)</definedName>
    <definedName name="Import.Contrapartida" hidden="1">#REF!</definedName>
    <definedName name="Import.CPMaxPerc" hidden="1">#REF!</definedName>
    <definedName name="Import.CPMinAbsoluta" hidden="1">#REF!</definedName>
    <definedName name="Import.CPMinPerc" hidden="1">#REF!</definedName>
    <definedName name="Import.CR" hidden="1">#REF!</definedName>
    <definedName name="Import.CRONOPLE" hidden="1">OFFSET(#REF!,1,1):OFFSET(#REF!,-1,-1)</definedName>
    <definedName name="Import.CTEF" hidden="1">#REF!</definedName>
    <definedName name="Import.CustoUnitário" hidden="1">OFFSET(#REF!,1,0):OFFSET(#REF!,-1,0)</definedName>
    <definedName name="Import.DataBase" hidden="1">OFFSET(#REF!,0,-1)</definedName>
    <definedName name="Import.DataBaseLicit" hidden="1">OFFSET(#REF!,0,-1)</definedName>
    <definedName name="Import.DataInicioObra" hidden="1">#REF!</definedName>
    <definedName name="Import.DescLote" hidden="1">#REF!</definedName>
    <definedName name="Import.Descrição" hidden="1">OFFSET(#REF!,1,0):OFFSET(#REF!,-1,0)</definedName>
    <definedName name="Import.Desoneracao" hidden="1">OFFSET(#REF!,0,-1)</definedName>
    <definedName name="Import.empresa" hidden="1">#REF!</definedName>
    <definedName name="Import.Eventos.Nomes"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hidden="1">OFFSET(#REF!,1,0):OFFSET(#REF!,-1,0)</definedName>
    <definedName name="Import.ORÇAMENTO.DivRecurso" hidden="1">OFFSET(#REF!,1,0):OFFSET(#REF!,-1,0)</definedName>
    <definedName name="Import.PLE" hidden="1">OFFSET(#REF!,1,1):OFFSET(#REF!,-1,-1)</definedName>
    <definedName name="Import.PLQ" hidden="1">OFFSET(#REF!,1,1):OFFSET(#REF!,-1,-1)</definedName>
    <definedName name="Import.PLQ.MemCalc" hidden="1">OFFSET(#REF!,1,0):OFFSET(#REF!,-1,0)</definedName>
    <definedName name="Import.Proponente" hidden="1">#REF!</definedName>
    <definedName name="Import.QCI.Divisao" hidden="1">OFFSET(#REF!,1,0):OFFSET(#REF!,-1,0)</definedName>
    <definedName name="Import.QCI.ItemInv" hidden="1">OFFSET(#REF!,1,0):OFFSET(#REF!,-1,0)</definedName>
    <definedName name="Import.QCI.Qtde" hidden="1">OFFSET(#REF!,1,0):OFFSET(#REF!,-1,0)</definedName>
    <definedName name="Import.QCI.Situacao" hidden="1">OFFSET(#REF!,1,0):OFFSET(#REF!,-1,0)</definedName>
    <definedName name="Import.QCI.SubItemInv" hidden="1">OFFSET(#REF!,1,0):OFFSET(#REF!,-1,0)</definedName>
    <definedName name="Import.QCICP" hidden="1">OFFSET(#REF!,1,0):OFFSET(#REF!,-1,0)</definedName>
    <definedName name="Import.QCIDesc" hidden="1">OFFSET(#REF!,1,0):OFFSET(#REF!,-1,0)</definedName>
    <definedName name="Import.QCIInv" hidden="1">OFFSET(#REF!,1,0):OFFSET(#REF!,-1,0)</definedName>
    <definedName name="Import.QCILote" hidden="1">OFFSET(#REF!,1,0):OFFSET(#REF!,-1,0)</definedName>
    <definedName name="Import.QCIOutros" hidden="1">OFFSET(#REF!,1,0):OFFSET(#REF!,-1,0)</definedName>
    <definedName name="Import.Quantidade" hidden="1">OFFSET(#REF!,1,0):OFFSET(#REF!,-1,0)</definedName>
    <definedName name="import.recurso" hidden="1">#REF!</definedName>
    <definedName name="Import.RegimeExecução" hidden="1">OFFSET(#REF!,0,-1)</definedName>
    <definedName name="Import.Repasse" hidden="1">#REF!</definedName>
    <definedName name="Import.RespFiscalização" hidden="1">#REF!</definedName>
    <definedName name="Import.RespOrçamento" hidden="1">#REF!</definedName>
    <definedName name="Import.SICONV" hidden="1">#REF!</definedName>
    <definedName name="Import.Unidade" hidden="1">OFFSET(#REF!,1,0):OFFSET(#REF!,-1,0)</definedName>
    <definedName name="Import.UnitarioLicitado" hidden="1">OFFSET(#REF!,1,0):OFFSET(#REF!,-1,0)</definedName>
    <definedName name="LOGO_PREFEITURA">INDEX(DADOS!$J$2:$J$26,MATCH(#REF!,DADOS!$I$2:$I$26,1))</definedName>
    <definedName name="MENU.CRONO" hidden="1">OFFSET(#REF!,1,0)</definedName>
    <definedName name="N.BASE">IF(CAPA!$C$20&lt;&gt;"","AGESUL"&amp;CAPA!$C$20,"") &amp;IF(AND(CAPA!$C$20&lt;&gt;"", CAPA!$C$19&lt;&gt;""), "/", "")&amp;IF(CAPA!$C$19&lt;&gt;"", "SINAPI"&amp;CAPA!$C$19, "") &amp; IF(AND(OR(CAPA!$C$20&lt;&gt;"", CAPA!$C$19&lt;&gt;""), CAPA!$C$21&lt;&gt;""), "/", "") &amp; IF(CAPA!$C$21&lt;&gt;"", "SICRO"&amp;CAPA!$C$21, "")</definedName>
    <definedName name="N.BDIM">#REF!</definedName>
    <definedName name="N.BDIS">#REF!</definedName>
    <definedName name="N.CREA">CAPA!$C$25</definedName>
    <definedName name="N.DESCRICAO">CAPA!$C$15</definedName>
    <definedName name="N.ENCARGOS">CAPA!$C$18</definedName>
    <definedName name="N.Engenheiro">CAPA!$C$24</definedName>
    <definedName name="N.GOV">"GOVERNO DO ESTADO DE MATO GROSSO DO SUL"</definedName>
    <definedName name="N.LOCAL">IF(CAPA!$C$8="","",CAPA!$C$8)</definedName>
    <definedName name="N.MUNICIPIO">CAPA!$C$9</definedName>
    <definedName name="N.PREFEITURA">OFFSET(DADOS!$I$2,DADOS!$A$7,0,1,1)</definedName>
    <definedName name="N.SECRETARIA">IF(CAPA!$C$9="NAVIRAÍ","SECRETARIA DE PLANEJAMENTO","SECRETARIA DE OBRAS")</definedName>
    <definedName name="Objeto" hidden="1">#REF!</definedName>
    <definedName name="ORÇAMENTO.BancoRef" hidden="1">#REF!</definedName>
    <definedName name="ORÇAMENTO.CodBarra" localSheetId="26" hidden="1">IF(ORÇAMENTO.Fonte="Sinapi",SUBSTITUTE(SUBSTITUTE(ORÇAMENTO.Codigo,"/00","/"),"/0","/"),ORÇAMENTO.Codigo)</definedName>
    <definedName name="ORÇAMENTO.CodBarra" localSheetId="2" hidden="1">IF(ORÇAMENTO.Fonte="Sinapi",SUBSTITUTE(SUBSTITUTE(ORÇAMENTO.Codigo,"/00","/"),"/0","/"),ORÇAMENTO.Codigo)</definedName>
    <definedName name="ORÇAMENTO.CodBarra" localSheetId="1" hidden="1">IF(ORÇAMENTO.Fonte="Sinapi",SUBSTITUTE(SUBSTITUTE(ORÇAMENTO.Codigo,"/00","/"),"/0","/"),ORÇAMENTO.Codigo)</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Descricao" hidden="1">#REF!</definedName>
    <definedName name="ORÇAMENTO.Fonte" hidden="1">#REF!</definedName>
    <definedName name="ORÇAMENTO.ListaCrono" hidden="1">OFFSET(#REF!,1,0):OFFSET(#REF!,-1,0)</definedName>
    <definedName name="ORÇAMENTO.MáximoListaCrono" localSheetId="26" hidden="1">MAX(ORÇAMENTO.ListaCrono)</definedName>
    <definedName name="ORÇAMENTO.MáximoListaCrono" localSheetId="2" hidden="1">MAX(ORÇAMENTO.ListaCrono)</definedName>
    <definedName name="ORÇAMENTO.MáximoListaCrono" localSheetId="1" hidden="1">MAX(ORÇAMENTO.ListaCrono)</definedName>
    <definedName name="ORÇAMENTO.MáximoListaCrono" hidden="1">MAX(ORÇAMENTO.ListaCrono)</definedName>
    <definedName name="ORÇAMENTO.Nivel" hidden="1">#REF!</definedName>
    <definedName name="ORÇAMENTO.OpcaoBDI" hidden="1">#REF!</definedName>
    <definedName name="ORÇAMENTO.PasteFormat1" hidden="1">OFFSET(#REF!,1,0):OFFSET(#REF!,-1,0)</definedName>
    <definedName name="ORÇAMENTO.PasteFormat2" hidden="1">OFFSET(#REF!,1,0):OFFSET(#REF!,-1,0)</definedName>
    <definedName name="ORÇAMENTO.PrecoUnitarioLicitado" hidden="1">#REF!</definedName>
    <definedName name="ORÇAMENTO.RangeQuant" hidden="1">OFFSET(#REF!,1,0):OFFSET(#REF!,-1,0)</definedName>
    <definedName name="ORÇAMENTO.SumCPMANUAL" hidden="1">SUMIF(#REF!,"CP",#REF!)</definedName>
    <definedName name="ORÇAMENTO.SumINVMANUAL" hidden="1">SUMIF(#REF!,"RP",#REF!)+SUMIF(#REF!,"CP",#REF!)+SUMIF(#REF!,"OU",#REF!)</definedName>
    <definedName name="ORÇAMENTO.SumOUTROSMANUAL" hidden="1">SUMIF(#REF!,"OU",#REF!)</definedName>
    <definedName name="ORÇAMENTO.SumREPASSEMANUAL" localSheetId="26" hidden="1">ORÇAMENTO.SumINVMANUAL-ORÇAMENTO.SumCPMANUAL-ORÇAMENTO.SumOUTROSMANUAL</definedName>
    <definedName name="ORÇAMENTO.SumREPASSEMANUAL" localSheetId="2" hidden="1">ORÇAMENTO.SumINVMANUAL-ORÇAMENTO.SumCPMANUAL-ORÇAMENTO.SumOUTROSMANUAL</definedName>
    <definedName name="ORÇAMENTO.SumREPASSEMANUAL" localSheetId="1" hidden="1">ORÇAMENTO.SumINVMANUAL-ORÇAMENTO.SumCPMANUAL-ORÇAMENTO.SumOUTROSMANUAL</definedName>
    <definedName name="ORÇAMENTO.SumREPASSEMANUAL" hidden="1">ORÇAMENTO.SumINVMANUAL-ORÇAMENTO.SumCPMANUAL-ORÇAMENTO.SumOUTROSMANUAL</definedName>
    <definedName name="ORÇAMENTO.Unidade" hidden="1">#REF!</definedName>
    <definedName name="PLE.firstrow" hidden="1">#REF!</definedName>
    <definedName name="PLE.lastrow" hidden="1">#REF!</definedName>
    <definedName name="PLE.Medicao" hidden="1">#REF!</definedName>
    <definedName name="PLE.ValorDoEvento" hidden="1">SUMIF(#REF!,#REF!,OFFSET(#REF!,0,#REF!))</definedName>
    <definedName name="PO.ValoresBDI" hidden="1">OFFSET(#REF!,1,0):OFFSET(#REF!,-1,0)</definedName>
    <definedName name="QCI.CPManual" hidden="1">ROUND(#REF!,2)</definedName>
    <definedName name="QCI.DescManual"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hidden="1">#REF!</definedName>
    <definedName name="QCI.MaxCPManual" hidden="1">#REF!-#REF!</definedName>
    <definedName name="QCI.MaxOUManual" hidden="1">#REF!-#REF!</definedName>
    <definedName name="QCI.OutrosManual" hidden="1">ROUND(#REF!,2)</definedName>
    <definedName name="QCI.SubItemInvestimento" hidden="1">OFFSET(#REF!,1,MATCH(#REF!,#REF!,0)-1,INDEX(#REF!,MATCH(#REF!,#REF!,0)+1))</definedName>
    <definedName name="QCI.SumCPMANUAL" hidden="1">SUMIF(#REF!,"Manual",#REF!)</definedName>
    <definedName name="QCI.SumINVMANUAL" hidden="1">SUMIF(#REF!,"Manual",#REF!)</definedName>
    <definedName name="QCI.SumOUTROSMANUAL" hidden="1">SUMIF(#REF!,"Manual",#REF!)</definedName>
    <definedName name="QCI.SumREPASSEMANUAL" localSheetId="26" hidden="1">QCI.SumINVMANUAL-QCI.CPManual-QCI.OutrosManual</definedName>
    <definedName name="QCI.SumREPASSEMANUAL" localSheetId="2" hidden="1">QCI.SumINVMANUAL-QCI.CPManual-QCI.OutrosManual</definedName>
    <definedName name="QCI.SumREPASSEMANUAL" localSheetId="1" hidden="1">QCI.SumINVMANUAL-QCI.CPManual-QCI.OutrosManual</definedName>
    <definedName name="QCI.SumREPASSEMANUAL" hidden="1">QCI.SumINVMANUAL-QCI.CPManual-QCI.OutrosManual</definedName>
    <definedName name="REFERENCIA.Descricao" localSheetId="26" hidden="1">IF(ISNUMBER(#REF!),OFFSET(INDIRECT(ORÇAMENTO.BancoRef),#REF!-1,3,1),#REF!)</definedName>
    <definedName name="REFERENCIA.Descricao" localSheetId="2" hidden="1">IF(ISNUMBER(#REF!),OFFSET(INDIRECT(ORÇAMENTO.BancoRef),#REF!-1,3,1),#REF!)</definedName>
    <definedName name="REFERENCIA.Descricao" localSheetId="1" hidden="1">IF(ISNUMBER(#REF!),OFFSET(INDIRECT(ORÇAMENTO.BancoRef),#REF!-1,3,1),#REF!)</definedName>
    <definedName name="REFERENCIA.Descricao" hidden="1">IF(ISNUMBER(#REF!),OFFSET(INDIRECT(ORÇAMENTO.BancoRef),#REF!-1,3,1),#REF!)</definedName>
    <definedName name="REFERENCIA.Desonerado" localSheetId="26" hidden="1">IF(ISNUMBER(#REF!),VALUE(OFFSET(INDIRECT(ORÇAMENTO.BancoRef),#REF!-1,5,1)),0)</definedName>
    <definedName name="REFERENCIA.Desonerado" localSheetId="2" hidden="1">IF(ISNUMBER(#REF!),VALUE(OFFSET(INDIRECT(ORÇAMENTO.BancoRef),#REF!-1,5,1)),0)</definedName>
    <definedName name="REFERENCIA.Desonerado" localSheetId="1" hidden="1">IF(ISNUMBER(#REF!),VALUE(OFFSET(INDIRECT(ORÇAMENTO.BancoRef),#REF!-1,5,1)),0)</definedName>
    <definedName name="REFERENCIA.Desonerado" hidden="1">IF(ISNUMBER(#REF!),VALUE(OFFSET(INDIRECT(ORÇAMENTO.BancoRef),#REF!-1,5,1)),0)</definedName>
    <definedName name="REFERENCIA.NaoDesonerado" localSheetId="26" hidden="1">IF(ISNUMBER(#REF!),VALUE(OFFSET(INDIRECT(ORÇAMENTO.BancoRef),#REF!-1,6,1)),0)</definedName>
    <definedName name="REFERENCIA.NaoDesonerado" localSheetId="2" hidden="1">IF(ISNUMBER(#REF!),VALUE(OFFSET(INDIRECT(ORÇAMENTO.BancoRef),#REF!-1,6,1)),0)</definedName>
    <definedName name="REFERENCIA.NaoDesonerado" localSheetId="1" hidden="1">IF(ISNUMBER(#REF!),VALUE(OFFSET(INDIRECT(ORÇAMENTO.BancoRef),#REF!-1,6,1)),0)</definedName>
    <definedName name="REFERENCIA.NaoDesonerado" hidden="1">IF(ISNUMBER(#REF!),VALUE(OFFSET(INDIRECT(ORÇAMENTO.BancoRef),#REF!-1,6,1)),0)</definedName>
    <definedName name="REFERENCIA.Unidade" localSheetId="26" hidden="1">IF(ISNUMBER(#REF!),OFFSET(INDIRECT(ORÇAMENTO.BancoRef),#REF!-1,4,1),"-")</definedName>
    <definedName name="REFERENCIA.Unidade" localSheetId="2" hidden="1">IF(ISNUMBER(#REF!),OFFSET(INDIRECT(ORÇAMENTO.BancoRef),#REF!-1,4,1),"-")</definedName>
    <definedName name="REFERENCIA.Unidade" localSheetId="1" hidden="1">IF(ISNUMBER(#REF!),OFFSET(INDIRECT(ORÇAMENTO.BancoRef),#REF!-1,4,1),"-")</definedName>
    <definedName name="REFERENCIA.Unidade" hidden="1">IF(ISNUMBER(#REF!),OFFSET(INDIRECT(ORÇAMENTO.BancoRef),#REF!-1,4,1),"-")</definedName>
    <definedName name="RegimeExecucao" localSheetId="26" hidden="1">IF(OR(Import.RegimeExecução="",Import.RegimeExecução="Empreitada por Preço Global",Import.RegimeExecução="Empreitada Integral"),"Global","Unitário")</definedName>
    <definedName name="RegimeExecucao" localSheetId="2" hidden="1">IF(OR(Import.RegimeExecução="",Import.RegimeExecução="Empreitada por Preço Global",Import.RegimeExecução="Empreitada Integral"),"Global","Unitário")</definedName>
    <definedName name="RegimeExecucao" localSheetId="1"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hidden="1">#REF!</definedName>
    <definedName name="RRE.MaxCPAnt" hidden="1">#REF!</definedName>
    <definedName name="RRE.MaxOUAcum" hidden="1">#REF!</definedName>
    <definedName name="RRE.MaxOUAnt" hidden="1">#REF!</definedName>
    <definedName name="RRE.Numero" hidden="1">OFFSET(#REF!,0,1)</definedName>
    <definedName name="RRE.VIMeta" hidden="1">#REF!</definedName>
    <definedName name="SENHAGT" hidden="1">"PM3CAIXA"</definedName>
    <definedName name="SomaAgrup" hidden="1">SUMIF(OFFSET(#REF!,1,0,#REF!),"S",OFFSET(#REF!,1,0,#REF!))</definedName>
    <definedName name="SomaAgrupBM" hidden="1">SUMIF(OFFSET(#REF!,1,0,#REF!),"S",OFFSET(#REF!,1,0,#REF!))</definedName>
    <definedName name="TIPOORCAMENTO" hidden="1">IF(VALUE(#REF!)=2,"Licitado","Proposto")</definedName>
    <definedName name="_xlnm.Print_Titles" localSheetId="14">'10-PAVIMENTAÇÃO'!$A:$F,'10-PAVIMENTAÇÃO'!$15:$16</definedName>
    <definedName name="_xlnm.Print_Titles" localSheetId="15">'11-PAVIMENTAÇÃO - HARRY AMORIN'!$A:$F,'11-PAVIMENTAÇÃO - HARRY AMORIN'!$15:$16</definedName>
    <definedName name="_xlnm.Print_Titles" localSheetId="16">'12-DRENAGEM - IMPLANTAÇÃO'!$A:$F,'12-DRENAGEM - IMPLANTAÇÃO'!$17:$17</definedName>
    <definedName name="_xlnm.Print_Titles" localSheetId="19">'13-CALÇADAS E RAMPAS'!$1:$19</definedName>
    <definedName name="_xlnm.Print_Titles" localSheetId="4">'3-COMPOSIÇÃO'!$9:$9</definedName>
    <definedName name="_xlnm.Print_Titles" localSheetId="10">'6.1-CAMADAS'!$2:$10</definedName>
    <definedName name="_xlnm.Print_Titles" localSheetId="9">'6-CAMADAS'!$2:$10</definedName>
    <definedName name="_xlnm.Print_Titles" localSheetId="13">'9-RECAPE'!$A:$F,'9-RECAPE'!$15:$16</definedName>
    <definedName name="_xlnm.Print_Titles" localSheetId="3">COMPOSIÇÕES!$9:$9</definedName>
    <definedName name="_xlnm.Print_Titles" localSheetId="17">'DRENAGEM - REMOÇÃO'!$A:$F,'DRENAGEM - REMOÇÃO'!$17:$17</definedName>
    <definedName name="Versao" hidden="1">#REF!</definedName>
    <definedName name="VTOTAL1" hidden="1">ROUND(#REF!*#REF!,15-13*#REF!)</definedName>
    <definedName name="VTOTALBM" localSheetId="26" hidden="1">IF(#REF!=0,0,CHOOSE(MATCH(BC_DMT!RegimeExecucao,{"Global","Unitário"},0),ROUND(ROUND(#REF!,15-13*#REF!)/100*#REF!,15-13*#REF!),ROUND(ROUND(#REF!,15-13*#REF!)*ROUND(#REF!,15-13*#REF!),15-13*#REF!)))</definedName>
    <definedName name="VTOTALBM" localSheetId="2" hidden="1">IF(#REF!=0,0,CHOOSE(MATCH('MOBIL-DESMOB'!RegimeExecucao,{"Global","Unitário"},0),ROUND(ROUND(#REF!,15-13*#REF!)/100*#REF!,15-13*#REF!),ROUND(ROUND(#REF!,15-13*#REF!)*ROUND(#REF!,15-13*#REF!),15-13*#REF!)))</definedName>
    <definedName name="VTOTALBM" localSheetId="1" hidden="1">IF(#REF!=0,0,CHOOSE(MATCH(RELEVÂNCIA!RegimeExecucao,{"Global","Unitário"},0),ROUND(ROUND(#REF!,15-13*#REF!)/100*#REF!,15-13*#REF!),ROUND(ROUND(#REF!,15-13*#REF!)*ROUND(#REF!,15-13*#REF!),15-13*#REF!)))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8" i="2" l="1"/>
  <c r="I95" i="63"/>
  <c r="G95" i="2"/>
  <c r="E24" i="23" l="1"/>
  <c r="J20" i="68"/>
  <c r="K20" i="68" s="1"/>
  <c r="I20" i="68"/>
  <c r="E11" i="42" a="1"/>
  <c r="H11" i="42" a="1"/>
  <c r="F11" i="42" a="1"/>
  <c r="H11" i="42" l="1"/>
  <c r="F11" i="42"/>
  <c r="E11" i="42"/>
  <c r="C29" i="68"/>
  <c r="F29" i="68" s="1"/>
  <c r="E24" i="68"/>
  <c r="C24" i="68"/>
  <c r="G20" i="68"/>
  <c r="D20" i="68"/>
  <c r="D24" i="68" s="1"/>
  <c r="O11" i="68"/>
  <c r="B9" i="68" a="1"/>
  <c r="B9" i="68" s="1"/>
  <c r="B8" i="68" a="1"/>
  <c r="B8" i="68" s="1"/>
  <c r="M7" i="68"/>
  <c r="B6" i="68"/>
  <c r="B3" i="68" a="1"/>
  <c r="B3" i="68" s="1"/>
  <c r="B2" i="68"/>
  <c r="AH133" i="9" l="1"/>
  <c r="L475" i="42" l="1"/>
  <c r="L474" i="42"/>
  <c r="K474" i="42"/>
  <c r="L473" i="42"/>
  <c r="L472" i="42"/>
  <c r="L471" i="42"/>
  <c r="K471" i="42"/>
  <c r="L470" i="42"/>
  <c r="K470" i="42"/>
  <c r="L469" i="42"/>
  <c r="K469" i="42"/>
  <c r="L468" i="42"/>
  <c r="K468" i="42"/>
  <c r="L467" i="42"/>
  <c r="K467" i="42"/>
  <c r="L466" i="42"/>
  <c r="K466" i="42"/>
  <c r="L465" i="42"/>
  <c r="K465" i="42"/>
  <c r="L464" i="42"/>
  <c r="K464" i="42"/>
  <c r="L463" i="42"/>
  <c r="L462" i="42"/>
  <c r="L461" i="42"/>
  <c r="K461" i="42"/>
  <c r="L460" i="42"/>
  <c r="K460" i="42"/>
  <c r="L459" i="42"/>
  <c r="K459" i="42"/>
  <c r="L458" i="42"/>
  <c r="K458" i="42"/>
  <c r="L457" i="42"/>
  <c r="K457" i="42"/>
  <c r="L456" i="42"/>
  <c r="K456" i="42"/>
  <c r="L455" i="42"/>
  <c r="K455" i="42"/>
  <c r="L454" i="42"/>
  <c r="K454" i="42"/>
  <c r="L453" i="42"/>
  <c r="K453" i="42"/>
  <c r="L452" i="42"/>
  <c r="K452" i="42"/>
  <c r="L451" i="42"/>
  <c r="K451" i="42"/>
  <c r="L450" i="42"/>
  <c r="K450" i="42"/>
  <c r="L449" i="42"/>
  <c r="K449" i="42"/>
  <c r="L448" i="42"/>
  <c r="K448" i="42"/>
  <c r="L447" i="42"/>
  <c r="K447" i="42"/>
  <c r="L446" i="42"/>
  <c r="K446" i="42"/>
  <c r="L445" i="42"/>
  <c r="K445" i="42"/>
  <c r="L444" i="42"/>
  <c r="K444" i="42"/>
  <c r="L443" i="42"/>
  <c r="K443" i="42"/>
  <c r="L442" i="42"/>
  <c r="K442" i="42"/>
  <c r="L441" i="42"/>
  <c r="K441" i="42"/>
  <c r="L440" i="42"/>
  <c r="K440" i="42"/>
  <c r="L439" i="42"/>
  <c r="K439" i="42"/>
  <c r="L438" i="42"/>
  <c r="K438" i="42"/>
  <c r="L437" i="42"/>
  <c r="K437" i="42"/>
  <c r="L436" i="42"/>
  <c r="K436" i="42"/>
  <c r="L435" i="42"/>
  <c r="K435" i="42"/>
  <c r="L434" i="42"/>
  <c r="K434" i="42"/>
  <c r="L433" i="42"/>
  <c r="K433" i="42"/>
  <c r="L432" i="42"/>
  <c r="K432" i="42"/>
  <c r="L431" i="42"/>
  <c r="K431" i="42"/>
  <c r="L430" i="42"/>
  <c r="K430" i="42"/>
  <c r="L429" i="42"/>
  <c r="K429" i="42"/>
  <c r="L428" i="42"/>
  <c r="K428" i="42"/>
  <c r="L427" i="42"/>
  <c r="K427" i="42"/>
  <c r="L426" i="42"/>
  <c r="K426" i="42"/>
  <c r="L425" i="42"/>
  <c r="K425" i="42"/>
  <c r="L424" i="42"/>
  <c r="K424" i="42"/>
  <c r="L423" i="42"/>
  <c r="K423" i="42"/>
  <c r="L422" i="42"/>
  <c r="K422" i="42"/>
  <c r="L421" i="42"/>
  <c r="K421" i="42"/>
  <c r="L420" i="42"/>
  <c r="K420" i="42"/>
  <c r="L419" i="42"/>
  <c r="K419" i="42"/>
  <c r="L418" i="42"/>
  <c r="K418" i="42"/>
  <c r="L417" i="42"/>
  <c r="K417" i="42"/>
  <c r="L416" i="42"/>
  <c r="K416" i="42"/>
  <c r="L415" i="42"/>
  <c r="K415" i="42"/>
  <c r="L414" i="42"/>
  <c r="K414" i="42"/>
  <c r="L413" i="42"/>
  <c r="L412" i="42"/>
  <c r="L411" i="42"/>
  <c r="K411" i="42"/>
  <c r="L410" i="42"/>
  <c r="K410" i="42"/>
  <c r="L409" i="42"/>
  <c r="K409" i="42"/>
  <c r="L408" i="42"/>
  <c r="K408" i="42"/>
  <c r="L407" i="42"/>
  <c r="K407" i="42"/>
  <c r="L406" i="42"/>
  <c r="K406" i="42"/>
  <c r="L405" i="42"/>
  <c r="K405" i="42"/>
  <c r="L404" i="42"/>
  <c r="K404" i="42"/>
  <c r="L403" i="42"/>
  <c r="K403" i="42"/>
  <c r="L402" i="42"/>
  <c r="K402" i="42"/>
  <c r="L401" i="42"/>
  <c r="K401" i="42"/>
  <c r="L400" i="42"/>
  <c r="K400" i="42"/>
  <c r="L399" i="42"/>
  <c r="K399" i="42"/>
  <c r="L398" i="42"/>
  <c r="K398" i="42"/>
  <c r="L397" i="42"/>
  <c r="K397" i="42"/>
  <c r="L396" i="42"/>
  <c r="K396" i="42"/>
  <c r="L395" i="42"/>
  <c r="K395" i="42"/>
  <c r="L394" i="42"/>
  <c r="K394" i="42"/>
  <c r="L393" i="42"/>
  <c r="K393" i="42"/>
  <c r="L392" i="42"/>
  <c r="K392" i="42"/>
  <c r="L391" i="42"/>
  <c r="K391" i="42"/>
  <c r="L390" i="42"/>
  <c r="K390" i="42"/>
  <c r="L389" i="42"/>
  <c r="K389" i="42"/>
  <c r="L388" i="42"/>
  <c r="K388" i="42"/>
  <c r="L387" i="42"/>
  <c r="K387" i="42"/>
  <c r="L386" i="42"/>
  <c r="K386" i="42"/>
  <c r="L385" i="42"/>
  <c r="K385" i="42"/>
  <c r="L384" i="42"/>
  <c r="K384" i="42"/>
  <c r="L383" i="42"/>
  <c r="K383" i="42"/>
  <c r="L382" i="42"/>
  <c r="K382" i="42"/>
  <c r="L381" i="42"/>
  <c r="K381" i="42"/>
  <c r="L380" i="42"/>
  <c r="K380" i="42"/>
  <c r="L379" i="42"/>
  <c r="K379" i="42"/>
  <c r="L378" i="42"/>
  <c r="K378" i="42"/>
  <c r="L377" i="42"/>
  <c r="K377" i="42"/>
  <c r="L376" i="42"/>
  <c r="K376" i="42"/>
  <c r="L375" i="42"/>
  <c r="K375" i="42"/>
  <c r="L374" i="42"/>
  <c r="K374" i="42"/>
  <c r="L373" i="42"/>
  <c r="K373" i="42"/>
  <c r="L372" i="42"/>
  <c r="K372" i="42"/>
  <c r="L371" i="42"/>
  <c r="K371" i="42"/>
  <c r="L370" i="42"/>
  <c r="K370" i="42"/>
  <c r="L369" i="42"/>
  <c r="L368" i="42"/>
  <c r="L367" i="42"/>
  <c r="K367" i="42"/>
  <c r="L366" i="42"/>
  <c r="K366" i="42"/>
  <c r="L365" i="42"/>
  <c r="K365" i="42"/>
  <c r="L364" i="42"/>
  <c r="K364" i="42"/>
  <c r="L363" i="42"/>
  <c r="K363" i="42"/>
  <c r="L362" i="42"/>
  <c r="K362" i="42"/>
  <c r="L361" i="42"/>
  <c r="K361" i="42"/>
  <c r="L360" i="42"/>
  <c r="K360" i="42"/>
  <c r="L359" i="42"/>
  <c r="K359" i="42"/>
  <c r="L358" i="42"/>
  <c r="K358" i="42"/>
  <c r="L357" i="42"/>
  <c r="K357" i="42"/>
  <c r="L356" i="42"/>
  <c r="K356" i="42"/>
  <c r="L355" i="42"/>
  <c r="K355" i="42"/>
  <c r="L354" i="42"/>
  <c r="K354" i="42"/>
  <c r="L353" i="42"/>
  <c r="K353" i="42"/>
  <c r="L352" i="42"/>
  <c r="K352" i="42"/>
  <c r="L351" i="42"/>
  <c r="K351" i="42"/>
  <c r="L350" i="42"/>
  <c r="K350" i="42"/>
  <c r="L349" i="42"/>
  <c r="K349" i="42"/>
  <c r="L348" i="42"/>
  <c r="K348" i="42"/>
  <c r="L347" i="42"/>
  <c r="K347" i="42"/>
  <c r="L346" i="42"/>
  <c r="K346" i="42"/>
  <c r="L345" i="42"/>
  <c r="K345" i="42"/>
  <c r="L344" i="42"/>
  <c r="K344" i="42"/>
  <c r="L343" i="42"/>
  <c r="K343" i="42"/>
  <c r="L342" i="42"/>
  <c r="K342" i="42"/>
  <c r="L341" i="42"/>
  <c r="K341" i="42"/>
  <c r="L340" i="42"/>
  <c r="K340" i="42"/>
  <c r="L339" i="42"/>
  <c r="K339" i="42"/>
  <c r="L338" i="42"/>
  <c r="K338" i="42"/>
  <c r="L337" i="42"/>
  <c r="K337" i="42"/>
  <c r="L336" i="42"/>
  <c r="K336" i="42"/>
  <c r="L335" i="42"/>
  <c r="K335" i="42"/>
  <c r="L334" i="42"/>
  <c r="K334" i="42"/>
  <c r="L333" i="42"/>
  <c r="K333" i="42"/>
  <c r="L332" i="42"/>
  <c r="K332" i="42"/>
  <c r="L331" i="42"/>
  <c r="K331" i="42"/>
  <c r="L330" i="42"/>
  <c r="K330" i="42"/>
  <c r="L329" i="42"/>
  <c r="K329" i="42"/>
  <c r="L328" i="42"/>
  <c r="K328" i="42"/>
  <c r="L327" i="42"/>
  <c r="K327" i="42"/>
  <c r="L326" i="42"/>
  <c r="K326" i="42"/>
  <c r="L325" i="42"/>
  <c r="L324" i="42"/>
  <c r="L323" i="42"/>
  <c r="K323" i="42"/>
  <c r="L322" i="42"/>
  <c r="K322" i="42"/>
  <c r="L321" i="42"/>
  <c r="K321" i="42"/>
  <c r="L320" i="42"/>
  <c r="K320" i="42"/>
  <c r="L319" i="42"/>
  <c r="K319" i="42"/>
  <c r="L318" i="42"/>
  <c r="K318" i="42"/>
  <c r="L317" i="42"/>
  <c r="K317" i="42"/>
  <c r="L316" i="42"/>
  <c r="K316" i="42"/>
  <c r="L315" i="42"/>
  <c r="K315" i="42"/>
  <c r="L314" i="42"/>
  <c r="K314" i="42"/>
  <c r="L313" i="42"/>
  <c r="K313" i="42"/>
  <c r="L312" i="42"/>
  <c r="K312" i="42"/>
  <c r="L311" i="42"/>
  <c r="K311" i="42"/>
  <c r="L310" i="42"/>
  <c r="K310" i="42"/>
  <c r="L309" i="42"/>
  <c r="K309" i="42"/>
  <c r="L308" i="42"/>
  <c r="K308" i="42"/>
  <c r="L307" i="42"/>
  <c r="K307" i="42"/>
  <c r="L306" i="42"/>
  <c r="K306" i="42"/>
  <c r="L305" i="42"/>
  <c r="K305" i="42"/>
  <c r="L304" i="42"/>
  <c r="K304" i="42"/>
  <c r="L303" i="42"/>
  <c r="K303" i="42"/>
  <c r="L302" i="42"/>
  <c r="K302" i="42"/>
  <c r="L301" i="42"/>
  <c r="K301" i="42"/>
  <c r="L300" i="42"/>
  <c r="K300" i="42"/>
  <c r="L299" i="42"/>
  <c r="K299" i="42"/>
  <c r="L298" i="42"/>
  <c r="K298" i="42"/>
  <c r="L297" i="42"/>
  <c r="K297" i="42"/>
  <c r="L296" i="42"/>
  <c r="K296" i="42"/>
  <c r="L295" i="42"/>
  <c r="K295" i="42"/>
  <c r="L294" i="42"/>
  <c r="K294" i="42"/>
  <c r="L293" i="42"/>
  <c r="K293" i="42"/>
  <c r="L292" i="42"/>
  <c r="K292" i="42"/>
  <c r="L291" i="42"/>
  <c r="K291" i="42"/>
  <c r="L290" i="42"/>
  <c r="K290" i="42"/>
  <c r="L289" i="42"/>
  <c r="K289" i="42"/>
  <c r="L288" i="42"/>
  <c r="K288" i="42"/>
  <c r="L287" i="42"/>
  <c r="K287" i="42"/>
  <c r="L286" i="42"/>
  <c r="K286" i="42"/>
  <c r="L285" i="42"/>
  <c r="K285" i="42"/>
  <c r="L284" i="42"/>
  <c r="K284" i="42"/>
  <c r="L283" i="42"/>
  <c r="K283" i="42"/>
  <c r="L282" i="42"/>
  <c r="K282" i="42"/>
  <c r="L281" i="42"/>
  <c r="L280" i="42"/>
  <c r="L279" i="42"/>
  <c r="K279" i="42"/>
  <c r="L278" i="42"/>
  <c r="K278" i="42"/>
  <c r="L277" i="42"/>
  <c r="K277" i="42"/>
  <c r="L276" i="42"/>
  <c r="K276" i="42"/>
  <c r="L275" i="42"/>
  <c r="K275" i="42"/>
  <c r="L274" i="42"/>
  <c r="K274" i="42"/>
  <c r="L273" i="42"/>
  <c r="K273" i="42"/>
  <c r="L272" i="42"/>
  <c r="K272" i="42"/>
  <c r="L271" i="42"/>
  <c r="L270" i="42"/>
  <c r="L269" i="42"/>
  <c r="K269" i="42"/>
  <c r="L268" i="42"/>
  <c r="K268" i="42"/>
  <c r="L267" i="42"/>
  <c r="K267" i="42"/>
  <c r="L266" i="42"/>
  <c r="K266" i="42"/>
  <c r="L265" i="42"/>
  <c r="L264" i="42"/>
  <c r="K264" i="42"/>
  <c r="L263" i="42"/>
  <c r="K263" i="42"/>
  <c r="L262" i="42"/>
  <c r="K262" i="42"/>
  <c r="L261" i="42"/>
  <c r="K261" i="42"/>
  <c r="L260" i="42"/>
  <c r="K260" i="42"/>
  <c r="L259" i="42"/>
  <c r="L258" i="42"/>
  <c r="K258" i="42"/>
  <c r="L257" i="42"/>
  <c r="K257" i="42"/>
  <c r="L256" i="42"/>
  <c r="L255" i="42"/>
  <c r="L254" i="42"/>
  <c r="K254" i="42"/>
  <c r="L253" i="42"/>
  <c r="K253" i="42"/>
  <c r="L252" i="42"/>
  <c r="K252" i="42"/>
  <c r="L251" i="42"/>
  <c r="L250" i="42"/>
  <c r="L249" i="42"/>
  <c r="K249" i="42"/>
  <c r="L248" i="42"/>
  <c r="K248" i="42"/>
  <c r="L247" i="42"/>
  <c r="K247" i="42"/>
  <c r="L246" i="42"/>
  <c r="K246" i="42"/>
  <c r="L245" i="42"/>
  <c r="K245" i="42"/>
  <c r="L244" i="42"/>
  <c r="K244" i="42"/>
  <c r="L243" i="42"/>
  <c r="K243" i="42"/>
  <c r="L242" i="42"/>
  <c r="K242" i="42"/>
  <c r="L241" i="42"/>
  <c r="K241" i="42"/>
  <c r="L240" i="42"/>
  <c r="L239" i="42"/>
  <c r="L238" i="42"/>
  <c r="K238" i="42"/>
  <c r="L237" i="42"/>
  <c r="K237" i="42"/>
  <c r="L236" i="42"/>
  <c r="K236" i="42"/>
  <c r="L235" i="42"/>
  <c r="L234" i="42"/>
  <c r="L233" i="42"/>
  <c r="K233" i="42"/>
  <c r="L232" i="42"/>
  <c r="K232" i="42"/>
  <c r="L231" i="42"/>
  <c r="K231" i="42"/>
  <c r="L230" i="42"/>
  <c r="K230" i="42"/>
  <c r="L229" i="42"/>
  <c r="K229" i="42"/>
  <c r="L228" i="42"/>
  <c r="K228" i="42"/>
  <c r="L227" i="42"/>
  <c r="K227" i="42"/>
  <c r="L226" i="42"/>
  <c r="K226" i="42"/>
  <c r="L225" i="42"/>
  <c r="K225" i="42"/>
  <c r="L224" i="42"/>
  <c r="L223" i="42"/>
  <c r="L222" i="42"/>
  <c r="K222" i="42"/>
  <c r="L221" i="42"/>
  <c r="K221" i="42"/>
  <c r="L220" i="42"/>
  <c r="K220" i="42"/>
  <c r="L219" i="42"/>
  <c r="K219" i="42"/>
  <c r="L218" i="42"/>
  <c r="K218" i="42"/>
  <c r="L217" i="42"/>
  <c r="K217" i="42"/>
  <c r="L216" i="42"/>
  <c r="K216" i="42"/>
  <c r="L215" i="42"/>
  <c r="K215" i="42"/>
  <c r="L214" i="42"/>
  <c r="K214" i="42"/>
  <c r="L213" i="42"/>
  <c r="K213" i="42"/>
  <c r="L212" i="42"/>
  <c r="K212" i="42"/>
  <c r="L211" i="42"/>
  <c r="L210" i="42"/>
  <c r="L209" i="42"/>
  <c r="K209" i="42"/>
  <c r="L208" i="42"/>
  <c r="K208" i="42"/>
  <c r="L207" i="42"/>
  <c r="K207" i="42"/>
  <c r="L206" i="42"/>
  <c r="L205" i="42"/>
  <c r="L204" i="42"/>
  <c r="K204" i="42"/>
  <c r="L203" i="42"/>
  <c r="K203" i="42"/>
  <c r="L202" i="42"/>
  <c r="L201" i="42"/>
  <c r="L200" i="42"/>
  <c r="K200" i="42"/>
  <c r="L199" i="42"/>
  <c r="K199" i="42"/>
  <c r="L198" i="42"/>
  <c r="K198" i="42"/>
  <c r="L197" i="42"/>
  <c r="K197" i="42"/>
  <c r="L196" i="42"/>
  <c r="K196" i="42"/>
  <c r="L195" i="42"/>
  <c r="L194" i="42"/>
  <c r="L193" i="42"/>
  <c r="K193" i="42"/>
  <c r="L192" i="42"/>
  <c r="K192" i="42"/>
  <c r="L191" i="42"/>
  <c r="K191" i="42"/>
  <c r="L190" i="42"/>
  <c r="K190" i="42"/>
  <c r="L189" i="42"/>
  <c r="K189" i="42"/>
  <c r="L188" i="42"/>
  <c r="L187" i="42"/>
  <c r="L186" i="42"/>
  <c r="K186" i="42"/>
  <c r="L185" i="42"/>
  <c r="K185" i="42"/>
  <c r="L184" i="42"/>
  <c r="K184" i="42"/>
  <c r="L183" i="42"/>
  <c r="K183" i="42"/>
  <c r="L182" i="42"/>
  <c r="K182" i="42"/>
  <c r="L181" i="42"/>
  <c r="L180" i="42"/>
  <c r="L179" i="42"/>
  <c r="K179" i="42"/>
  <c r="L178" i="42"/>
  <c r="K178" i="42"/>
  <c r="L177" i="42"/>
  <c r="K177" i="42"/>
  <c r="L176" i="42"/>
  <c r="K176" i="42"/>
  <c r="L175" i="42"/>
  <c r="K175" i="42"/>
  <c r="L174" i="42"/>
  <c r="K174" i="42"/>
  <c r="L173" i="42"/>
  <c r="K173" i="42"/>
  <c r="L172" i="42"/>
  <c r="K172" i="42"/>
  <c r="L171" i="42"/>
  <c r="L170" i="42"/>
  <c r="L169" i="42"/>
  <c r="K169" i="42"/>
  <c r="L168" i="42"/>
  <c r="K168" i="42"/>
  <c r="L167" i="42"/>
  <c r="K167" i="42"/>
  <c r="L166" i="42"/>
  <c r="K166" i="42"/>
  <c r="L165" i="42"/>
  <c r="K165" i="42"/>
  <c r="L164" i="42"/>
  <c r="K164" i="42"/>
  <c r="L163" i="42"/>
  <c r="L162" i="42"/>
  <c r="L161" i="42"/>
  <c r="K161" i="42"/>
  <c r="L160" i="42"/>
  <c r="K160" i="42"/>
  <c r="L159" i="42"/>
  <c r="K159" i="42"/>
  <c r="L158" i="42"/>
  <c r="K158" i="42"/>
  <c r="L157" i="42"/>
  <c r="K157" i="42"/>
  <c r="L156" i="42"/>
  <c r="K156" i="42"/>
  <c r="L155" i="42"/>
  <c r="K155" i="42"/>
  <c r="L154" i="42"/>
  <c r="L153" i="42"/>
  <c r="L152" i="42"/>
  <c r="K152" i="42"/>
  <c r="L151" i="42"/>
  <c r="K151" i="42"/>
  <c r="L150" i="42"/>
  <c r="K150" i="42"/>
  <c r="L149" i="42"/>
  <c r="K149" i="42"/>
  <c r="L148" i="42"/>
  <c r="K148" i="42"/>
  <c r="L147" i="42"/>
  <c r="K147" i="42"/>
  <c r="L146" i="42"/>
  <c r="L145" i="42"/>
  <c r="L144" i="42"/>
  <c r="K144" i="42"/>
  <c r="L143" i="42"/>
  <c r="K143" i="42"/>
  <c r="L142" i="42"/>
  <c r="K142" i="42"/>
  <c r="L141" i="42"/>
  <c r="K141" i="42"/>
  <c r="L140" i="42"/>
  <c r="K140" i="42"/>
  <c r="L139" i="42"/>
  <c r="K139" i="42"/>
  <c r="L138" i="42"/>
  <c r="K138" i="42"/>
  <c r="L137" i="42"/>
  <c r="K137" i="42"/>
  <c r="L136" i="42"/>
  <c r="L135" i="42"/>
  <c r="L134" i="42"/>
  <c r="K134" i="42"/>
  <c r="L133" i="42"/>
  <c r="K133" i="42"/>
  <c r="L132" i="42"/>
  <c r="K132" i="42"/>
  <c r="L131" i="42"/>
  <c r="K131" i="42"/>
  <c r="L130" i="42"/>
  <c r="K130" i="42"/>
  <c r="L129" i="42"/>
  <c r="K129" i="42"/>
  <c r="L128" i="42"/>
  <c r="K128" i="42"/>
  <c r="L127" i="42"/>
  <c r="K127" i="42"/>
  <c r="L126" i="42"/>
  <c r="L125" i="42"/>
  <c r="L124" i="42"/>
  <c r="K124" i="42"/>
  <c r="L123" i="42"/>
  <c r="K123" i="42"/>
  <c r="L122" i="42"/>
  <c r="K122" i="42"/>
  <c r="L121" i="42"/>
  <c r="K121" i="42"/>
  <c r="L120" i="42"/>
  <c r="L119" i="42"/>
  <c r="L118" i="42"/>
  <c r="K118" i="42"/>
  <c r="L117" i="42"/>
  <c r="K117" i="42"/>
  <c r="L116" i="42"/>
  <c r="K116" i="42"/>
  <c r="L115" i="42"/>
  <c r="L114" i="42"/>
  <c r="L113" i="42"/>
  <c r="K113" i="42"/>
  <c r="L112" i="42"/>
  <c r="K112" i="42"/>
  <c r="L111" i="42"/>
  <c r="K111" i="42"/>
  <c r="L110" i="42"/>
  <c r="L109" i="42"/>
  <c r="L108" i="42"/>
  <c r="K108" i="42"/>
  <c r="L107" i="42"/>
  <c r="K107" i="42"/>
  <c r="L106" i="42"/>
  <c r="K106" i="42"/>
  <c r="L105" i="42"/>
  <c r="K105" i="42"/>
  <c r="L104" i="42"/>
  <c r="K104" i="42"/>
  <c r="L103" i="42"/>
  <c r="K103" i="42"/>
  <c r="L102" i="42"/>
  <c r="K102" i="42"/>
  <c r="L101" i="42"/>
  <c r="K101" i="42"/>
  <c r="L100" i="42"/>
  <c r="K100" i="42"/>
  <c r="L99" i="42"/>
  <c r="K99" i="42"/>
  <c r="L98" i="42"/>
  <c r="L97" i="42"/>
  <c r="L96" i="42"/>
  <c r="K96" i="42"/>
  <c r="L95" i="42"/>
  <c r="K95" i="42"/>
  <c r="L94" i="42"/>
  <c r="K94" i="42"/>
  <c r="L93" i="42"/>
  <c r="K93" i="42"/>
  <c r="L92" i="42"/>
  <c r="K92" i="42"/>
  <c r="L91" i="42"/>
  <c r="K91" i="42"/>
  <c r="L90" i="42"/>
  <c r="K90" i="42"/>
  <c r="L89" i="42"/>
  <c r="K89" i="42"/>
  <c r="L88" i="42"/>
  <c r="K88" i="42"/>
  <c r="L87" i="42"/>
  <c r="K87" i="42"/>
  <c r="L86" i="42"/>
  <c r="L85" i="42"/>
  <c r="L84" i="42"/>
  <c r="K84" i="42"/>
  <c r="L83" i="42"/>
  <c r="K83" i="42"/>
  <c r="L82" i="42"/>
  <c r="K82" i="42"/>
  <c r="L81" i="42"/>
  <c r="K81" i="42"/>
  <c r="L80" i="42"/>
  <c r="K80" i="42"/>
  <c r="L79" i="42"/>
  <c r="K79" i="42"/>
  <c r="L78" i="42"/>
  <c r="K78" i="42"/>
  <c r="L77" i="42"/>
  <c r="K77" i="42"/>
  <c r="L76" i="42"/>
  <c r="K76" i="42"/>
  <c r="L75" i="42"/>
  <c r="K75" i="42"/>
  <c r="L74" i="42"/>
  <c r="L73" i="42"/>
  <c r="L72" i="42"/>
  <c r="K72" i="42"/>
  <c r="L71" i="42"/>
  <c r="K71" i="42"/>
  <c r="L70" i="42"/>
  <c r="K70" i="42"/>
  <c r="L69" i="42"/>
  <c r="L68" i="42"/>
  <c r="L67" i="42"/>
  <c r="K67" i="42"/>
  <c r="L66" i="42"/>
  <c r="K66" i="42"/>
  <c r="L65" i="42"/>
  <c r="K65" i="42"/>
  <c r="L64" i="42"/>
  <c r="K64" i="42"/>
  <c r="L63" i="42"/>
  <c r="K63" i="42"/>
  <c r="L62" i="42"/>
  <c r="K62" i="42"/>
  <c r="L61" i="42"/>
  <c r="K61" i="42"/>
  <c r="L60" i="42"/>
  <c r="L59" i="42"/>
  <c r="L58" i="42"/>
  <c r="K58" i="42"/>
  <c r="L57" i="42"/>
  <c r="K57" i="42"/>
  <c r="L56" i="42"/>
  <c r="K56" i="42"/>
  <c r="L55" i="42"/>
  <c r="L54" i="42"/>
  <c r="L53" i="42"/>
  <c r="K53" i="42"/>
  <c r="L52" i="42"/>
  <c r="L51" i="42"/>
  <c r="L50" i="42"/>
  <c r="K50" i="42"/>
  <c r="L49" i="42"/>
  <c r="L48" i="42"/>
  <c r="L47" i="42"/>
  <c r="K47" i="42"/>
  <c r="L46" i="42"/>
  <c r="K46" i="42"/>
  <c r="L45" i="42"/>
  <c r="K45" i="42"/>
  <c r="L44" i="42"/>
  <c r="L43" i="42"/>
  <c r="L42" i="42"/>
  <c r="K42" i="42"/>
  <c r="L41" i="42"/>
  <c r="K41" i="42"/>
  <c r="L40" i="42"/>
  <c r="K40" i="42"/>
  <c r="L39" i="42"/>
  <c r="L38" i="42"/>
  <c r="L37" i="42"/>
  <c r="K37" i="42"/>
  <c r="L36" i="42"/>
  <c r="L35" i="42"/>
  <c r="L34" i="42"/>
  <c r="K34" i="42"/>
  <c r="L33" i="42"/>
  <c r="L32" i="42"/>
  <c r="L31" i="42"/>
  <c r="K31" i="42"/>
  <c r="L30" i="42"/>
  <c r="K30" i="42"/>
  <c r="L29" i="42"/>
  <c r="K29" i="42"/>
  <c r="L28" i="42"/>
  <c r="K28" i="42"/>
  <c r="L27" i="42"/>
  <c r="L26" i="42"/>
  <c r="L25" i="42"/>
  <c r="K25" i="42"/>
  <c r="L24" i="42"/>
  <c r="K24" i="42"/>
  <c r="L23" i="42"/>
  <c r="K23" i="42"/>
  <c r="L22" i="42"/>
  <c r="K22" i="42"/>
  <c r="L21" i="42"/>
  <c r="K21" i="42"/>
  <c r="L20" i="42"/>
  <c r="K20" i="42"/>
  <c r="L19" i="42"/>
  <c r="L18" i="42"/>
  <c r="L17" i="42"/>
  <c r="K17" i="42"/>
  <c r="L16" i="42"/>
  <c r="K16" i="42"/>
  <c r="L15" i="42"/>
  <c r="K15" i="42"/>
  <c r="L14" i="42"/>
  <c r="K14" i="42"/>
  <c r="L13" i="42"/>
  <c r="K13" i="42"/>
  <c r="L12" i="42"/>
  <c r="K12" i="42"/>
  <c r="H273" i="42" a="1"/>
  <c r="F273" i="42" a="1"/>
  <c r="E273" i="42" a="1"/>
  <c r="H273" i="42" l="1"/>
  <c r="F273" i="42"/>
  <c r="E273" i="42"/>
  <c r="C82" i="35" l="1"/>
  <c r="C81" i="35"/>
  <c r="C80" i="35"/>
  <c r="D80" i="35"/>
  <c r="D83" i="35"/>
  <c r="D82" i="35"/>
  <c r="D81" i="35"/>
  <c r="D88" i="35"/>
  <c r="G19" i="9"/>
  <c r="D57" i="35"/>
  <c r="I80" i="63" l="1"/>
  <c r="AG107" i="9" l="1"/>
  <c r="AG39" i="9"/>
  <c r="AG46" i="9" s="1"/>
  <c r="AG49" i="9" s="1"/>
  <c r="AH19" i="9"/>
  <c r="AG19" i="9"/>
  <c r="AF19" i="9"/>
  <c r="AE19" i="9"/>
  <c r="AD19" i="9"/>
  <c r="AC19" i="9"/>
  <c r="AB19" i="9"/>
  <c r="AA19" i="9"/>
  <c r="Z19" i="9"/>
  <c r="Y19" i="9"/>
  <c r="X19" i="9"/>
  <c r="W19" i="9"/>
  <c r="V19" i="9"/>
  <c r="U19" i="9"/>
  <c r="AH18" i="9"/>
  <c r="AG18" i="9"/>
  <c r="AF18" i="9"/>
  <c r="AE18" i="9"/>
  <c r="AD18" i="9"/>
  <c r="AC18" i="9"/>
  <c r="AC26" i="9" s="1" a="1"/>
  <c r="AC26" i="9" s="1"/>
  <c r="AB18" i="9"/>
  <c r="AB27" i="9" s="1" a="1"/>
  <c r="AB27" i="9" s="1"/>
  <c r="AA18" i="9"/>
  <c r="Z18" i="9"/>
  <c r="Y18" i="9"/>
  <c r="X18" i="9"/>
  <c r="X20" i="9" s="1" a="1"/>
  <c r="X20" i="9" s="1"/>
  <c r="X21" i="9" s="1"/>
  <c r="X23" i="9" s="1"/>
  <c r="W18" i="9"/>
  <c r="W25" i="9" s="1" a="1"/>
  <c r="W25" i="9" s="1"/>
  <c r="V18" i="9"/>
  <c r="U18" i="9"/>
  <c r="AF107" i="9"/>
  <c r="AF39" i="9"/>
  <c r="AF41" i="9" s="1"/>
  <c r="AE107" i="9"/>
  <c r="AE39" i="9"/>
  <c r="AE43" i="9" s="1"/>
  <c r="AE25" i="9" a="1"/>
  <c r="AE25" i="9" s="1"/>
  <c r="AD107" i="9"/>
  <c r="AD39" i="9"/>
  <c r="AD46" i="9" s="1"/>
  <c r="AD49" i="9" s="1"/>
  <c r="AC107" i="9"/>
  <c r="AC39" i="9"/>
  <c r="AC46" i="9" s="1"/>
  <c r="AC49" i="9" s="1"/>
  <c r="AC27" i="9" a="1"/>
  <c r="AC27" i="9" s="1"/>
  <c r="AB107" i="9"/>
  <c r="AB39" i="9"/>
  <c r="AB41" i="9" s="1"/>
  <c r="AA107" i="9"/>
  <c r="AA39" i="9"/>
  <c r="AA46" i="9" s="1"/>
  <c r="AA49" i="9" s="1"/>
  <c r="Z107" i="9"/>
  <c r="Z39" i="9"/>
  <c r="Z41" i="9" s="1"/>
  <c r="Y107" i="9"/>
  <c r="Y39" i="9"/>
  <c r="Y41" i="9" s="1"/>
  <c r="X107" i="9"/>
  <c r="X39" i="9"/>
  <c r="X43" i="9" s="1"/>
  <c r="W107" i="9"/>
  <c r="W39" i="9"/>
  <c r="W41" i="9" s="1"/>
  <c r="V107" i="9"/>
  <c r="V39" i="9"/>
  <c r="V43" i="9" s="1"/>
  <c r="U107" i="9"/>
  <c r="U39" i="9"/>
  <c r="U41" i="9" s="1"/>
  <c r="I32" i="4"/>
  <c r="I20" i="4"/>
  <c r="Z27" i="9" l="1" a="1"/>
  <c r="Z27" i="9" s="1"/>
  <c r="AF27" i="9" a="1"/>
  <c r="AF27" i="9" s="1"/>
  <c r="AD27" i="9" a="1"/>
  <c r="AD27" i="9" s="1"/>
  <c r="V26" i="9" a="1"/>
  <c r="V26" i="9" s="1"/>
  <c r="X26" i="9" a="1"/>
  <c r="X26" i="9" s="1"/>
  <c r="AA27" i="9" a="1"/>
  <c r="AA27" i="9" s="1"/>
  <c r="AC20" i="9" a="1"/>
  <c r="AC20" i="9" s="1"/>
  <c r="AC21" i="9" s="1"/>
  <c r="AC23" i="9" s="1"/>
  <c r="X25" i="9" a="1"/>
  <c r="X25" i="9" s="1"/>
  <c r="X35" i="9" s="1"/>
  <c r="X36" i="9" s="1"/>
  <c r="AB20" i="9" a="1"/>
  <c r="AB20" i="9" s="1"/>
  <c r="AB21" i="9" s="1"/>
  <c r="AB23" i="9" s="1"/>
  <c r="AC25" i="9" a="1"/>
  <c r="AC25" i="9" s="1"/>
  <c r="AC76" i="9" s="1"/>
  <c r="AA20" i="9" a="1"/>
  <c r="AA20" i="9" s="1"/>
  <c r="AA21" i="9" s="1"/>
  <c r="AA23" i="9" s="1"/>
  <c r="AB25" i="9" a="1"/>
  <c r="AB25" i="9" s="1"/>
  <c r="AB35" i="9" s="1"/>
  <c r="AB36" i="9" s="1"/>
  <c r="AE20" i="9" a="1"/>
  <c r="AE20" i="9" s="1"/>
  <c r="AE21" i="9" s="1"/>
  <c r="AE23" i="9" s="1"/>
  <c r="AA25" i="9" a="1"/>
  <c r="AA25" i="9" s="1"/>
  <c r="AA76" i="9" s="1"/>
  <c r="AG26" i="9" a="1"/>
  <c r="AG26" i="9" s="1"/>
  <c r="AB26" i="9" a="1"/>
  <c r="AB26" i="9" s="1"/>
  <c r="AD20" i="9" a="1"/>
  <c r="AD20" i="9" s="1"/>
  <c r="AD21" i="9" s="1"/>
  <c r="AD23" i="9" s="1"/>
  <c r="U20" i="9" a="1"/>
  <c r="U20" i="9" s="1"/>
  <c r="U21" i="9" s="1"/>
  <c r="U23" i="9" s="1"/>
  <c r="U26" i="9" a="1"/>
  <c r="U26" i="9" s="1"/>
  <c r="U27" i="9" a="1"/>
  <c r="U27" i="9" s="1"/>
  <c r="Y43" i="9"/>
  <c r="W27" i="9" a="1"/>
  <c r="W27" i="9" s="1"/>
  <c r="AG25" i="9" a="1"/>
  <c r="AG25" i="9" s="1"/>
  <c r="AG93" i="9" s="1"/>
  <c r="AG99" i="9" s="1"/>
  <c r="AE46" i="9"/>
  <c r="AE49" i="9" s="1"/>
  <c r="U25" i="9" a="1"/>
  <c r="U25" i="9" s="1"/>
  <c r="U95" i="9" s="1"/>
  <c r="U101" i="9" s="1"/>
  <c r="AE26" i="9" a="1"/>
  <c r="AE26" i="9" s="1"/>
  <c r="U43" i="9"/>
  <c r="V27" i="9" a="1"/>
  <c r="V27" i="9" s="1"/>
  <c r="V20" i="9" a="1"/>
  <c r="V20" i="9" s="1"/>
  <c r="V21" i="9" s="1"/>
  <c r="V23" i="9" s="1"/>
  <c r="AA26" i="9" a="1"/>
  <c r="AA26" i="9" s="1"/>
  <c r="AG41" i="9"/>
  <c r="V25" i="9" a="1"/>
  <c r="V25" i="9" s="1"/>
  <c r="V76" i="9" s="1"/>
  <c r="AE27" i="9" a="1"/>
  <c r="AE27" i="9" s="1"/>
  <c r="AG43" i="9"/>
  <c r="AG20" i="9" a="1"/>
  <c r="AG20" i="9" s="1"/>
  <c r="AG21" i="9" s="1"/>
  <c r="AG23" i="9" s="1"/>
  <c r="V46" i="9"/>
  <c r="V49" i="9" s="1"/>
  <c r="W46" i="9"/>
  <c r="W49" i="9" s="1"/>
  <c r="Z25" i="9" a="1"/>
  <c r="Z25" i="9" s="1"/>
  <c r="Z92" i="9" s="1"/>
  <c r="Z98" i="9" s="1"/>
  <c r="AD25" i="9" a="1"/>
  <c r="AD25" i="9" s="1"/>
  <c r="AD92" i="9" s="1"/>
  <c r="AD98" i="9" s="1"/>
  <c r="AG27" i="9" a="1"/>
  <c r="AG27" i="9" s="1"/>
  <c r="X27" i="9" a="1"/>
  <c r="X27" i="9" s="1"/>
  <c r="Y25" i="9" a="1"/>
  <c r="Y25" i="9" s="1"/>
  <c r="Y95" i="9" s="1"/>
  <c r="Y101" i="9" s="1"/>
  <c r="Z20" i="9" a="1"/>
  <c r="Z20" i="9" s="1"/>
  <c r="Z21" i="9" s="1"/>
  <c r="Z23" i="9" s="1"/>
  <c r="Z26" i="9" a="1"/>
  <c r="Z26" i="9" s="1"/>
  <c r="AD26" i="9" a="1"/>
  <c r="AD26" i="9" s="1"/>
  <c r="X46" i="9"/>
  <c r="X49" i="9" s="1"/>
  <c r="Y46" i="9"/>
  <c r="Y49" i="9" s="1"/>
  <c r="W43" i="9"/>
  <c r="Y20" i="9" a="1"/>
  <c r="Y20" i="9" s="1"/>
  <c r="Y21" i="9" s="1"/>
  <c r="Y23" i="9" s="1"/>
  <c r="AF20" i="9" a="1"/>
  <c r="AF20" i="9" s="1"/>
  <c r="AF21" i="9" s="1"/>
  <c r="AF23" i="9" s="1"/>
  <c r="AF25" i="9" a="1"/>
  <c r="AF25" i="9" s="1"/>
  <c r="AF35" i="9" s="1"/>
  <c r="AF36" i="9" s="1"/>
  <c r="Y26" i="9" a="1"/>
  <c r="Y26" i="9" s="1"/>
  <c r="AF26" i="9" a="1"/>
  <c r="AF26" i="9" s="1"/>
  <c r="U46" i="9"/>
  <c r="U49" i="9" s="1"/>
  <c r="W20" i="9" a="1"/>
  <c r="W20" i="9" s="1"/>
  <c r="W21" i="9" s="1"/>
  <c r="W23" i="9" s="1"/>
  <c r="Y27" i="9" a="1"/>
  <c r="Y27" i="9" s="1"/>
  <c r="W26" i="9" a="1"/>
  <c r="W26" i="9" s="1"/>
  <c r="V41" i="9"/>
  <c r="X41" i="9"/>
  <c r="Z43" i="9"/>
  <c r="AD41" i="9"/>
  <c r="AF43" i="9"/>
  <c r="AB43" i="9"/>
  <c r="AB46" i="9"/>
  <c r="AB49" i="9" s="1"/>
  <c r="AD43" i="9"/>
  <c r="Z46" i="9"/>
  <c r="Z49" i="9" s="1"/>
  <c r="AF46" i="9"/>
  <c r="AF49" i="9" s="1"/>
  <c r="AA41" i="9"/>
  <c r="AC41" i="9"/>
  <c r="AA43" i="9"/>
  <c r="AC43" i="9"/>
  <c r="AE41" i="9"/>
  <c r="AE90" i="9"/>
  <c r="AE37" i="9"/>
  <c r="AE95" i="9"/>
  <c r="AE101" i="9" s="1"/>
  <c r="AE35" i="9"/>
  <c r="AE36" i="9" s="1"/>
  <c r="AE94" i="9"/>
  <c r="AE100" i="9" s="1"/>
  <c r="AE93" i="9"/>
  <c r="AE99" i="9" s="1"/>
  <c r="AE76" i="9"/>
  <c r="AE92" i="9"/>
  <c r="AE98" i="9" s="1"/>
  <c r="AA94" i="9"/>
  <c r="AA100" i="9" s="1"/>
  <c r="W90" i="9"/>
  <c r="W37" i="9"/>
  <c r="W95" i="9"/>
  <c r="W101" i="9" s="1"/>
  <c r="W35" i="9"/>
  <c r="W36" i="9" s="1"/>
  <c r="W94" i="9"/>
  <c r="W100" i="9" s="1"/>
  <c r="W93" i="9"/>
  <c r="W99" i="9" s="1"/>
  <c r="W92" i="9"/>
  <c r="W98" i="9" s="1"/>
  <c r="W76" i="9"/>
  <c r="H53" i="4"/>
  <c r="H43" i="4"/>
  <c r="H47" i="4" s="1"/>
  <c r="H33" i="4"/>
  <c r="H35" i="4" s="1"/>
  <c r="H22" i="4"/>
  <c r="H24" i="4" s="1"/>
  <c r="G53" i="4"/>
  <c r="G43" i="4"/>
  <c r="G45" i="4" s="1"/>
  <c r="G33" i="4"/>
  <c r="G35" i="4" s="1"/>
  <c r="G22" i="4"/>
  <c r="G24" i="4" s="1"/>
  <c r="AC75" i="9" l="1"/>
  <c r="AC90" i="9"/>
  <c r="AC91" i="9"/>
  <c r="AC97" i="9" s="1"/>
  <c r="AC35" i="9"/>
  <c r="AC36" i="9" s="1"/>
  <c r="AC37" i="9"/>
  <c r="AA91" i="9"/>
  <c r="AA97" i="9" s="1"/>
  <c r="AC92" i="9"/>
  <c r="AC98" i="9" s="1"/>
  <c r="AC94" i="9"/>
  <c r="AC100" i="9" s="1"/>
  <c r="AA93" i="9"/>
  <c r="AA99" i="9" s="1"/>
  <c r="AA35" i="9"/>
  <c r="AA36" i="9" s="1"/>
  <c r="AA95" i="9"/>
  <c r="AA101" i="9" s="1"/>
  <c r="AC93" i="9"/>
  <c r="AC99" i="9" s="1"/>
  <c r="AC95" i="9"/>
  <c r="AC101" i="9" s="1"/>
  <c r="AA75" i="9"/>
  <c r="AA37" i="9"/>
  <c r="AA90" i="9"/>
  <c r="AA96" i="9" s="1"/>
  <c r="X91" i="9"/>
  <c r="X97" i="9" s="1"/>
  <c r="X93" i="9"/>
  <c r="X99" i="9" s="1"/>
  <c r="X75" i="9"/>
  <c r="X90" i="9"/>
  <c r="X96" i="9" s="1"/>
  <c r="AB37" i="9"/>
  <c r="AA92" i="9"/>
  <c r="AA98" i="9" s="1"/>
  <c r="X95" i="9"/>
  <c r="X101" i="9" s="1"/>
  <c r="X37" i="9"/>
  <c r="X92" i="9"/>
  <c r="X98" i="9" s="1"/>
  <c r="X94" i="9"/>
  <c r="X100" i="9" s="1"/>
  <c r="X76" i="9"/>
  <c r="AB90" i="9"/>
  <c r="AB96" i="9" s="1"/>
  <c r="AB91" i="9"/>
  <c r="AB97" i="9" s="1"/>
  <c r="AB95" i="9"/>
  <c r="AB101" i="9" s="1"/>
  <c r="AB76" i="9"/>
  <c r="AB75" i="9"/>
  <c r="AB92" i="9"/>
  <c r="AB98" i="9" s="1"/>
  <c r="AB93" i="9"/>
  <c r="AB99" i="9" s="1"/>
  <c r="AB94" i="9"/>
  <c r="AB100" i="9" s="1"/>
  <c r="AE91" i="9"/>
  <c r="AE97" i="9" s="1"/>
  <c r="AE75" i="9"/>
  <c r="Y37" i="9"/>
  <c r="Z35" i="9"/>
  <c r="Z36" i="9" s="1"/>
  <c r="U90" i="9"/>
  <c r="U96" i="9" s="1"/>
  <c r="AG94" i="9"/>
  <c r="AG100" i="9" s="1"/>
  <c r="U35" i="9"/>
  <c r="U36" i="9" s="1"/>
  <c r="U76" i="9"/>
  <c r="U91" i="9"/>
  <c r="U97" i="9" s="1"/>
  <c r="AG37" i="9"/>
  <c r="U93" i="9"/>
  <c r="U99" i="9" s="1"/>
  <c r="U94" i="9"/>
  <c r="U100" i="9" s="1"/>
  <c r="V94" i="9"/>
  <c r="V100" i="9" s="1"/>
  <c r="AG91" i="9"/>
  <c r="AG97" i="9" s="1"/>
  <c r="U37" i="9"/>
  <c r="AG90" i="9"/>
  <c r="AG96" i="9" s="1"/>
  <c r="U75" i="9"/>
  <c r="V91" i="9"/>
  <c r="V97" i="9" s="1"/>
  <c r="V35" i="9"/>
  <c r="V36" i="9" s="1"/>
  <c r="U92" i="9"/>
  <c r="U98" i="9" s="1"/>
  <c r="V95" i="9"/>
  <c r="V101" i="9" s="1"/>
  <c r="AD94" i="9"/>
  <c r="AD100" i="9" s="1"/>
  <c r="AD35" i="9"/>
  <c r="AD36" i="9" s="1"/>
  <c r="AG35" i="9"/>
  <c r="AG36" i="9" s="1"/>
  <c r="V75" i="9"/>
  <c r="V37" i="9"/>
  <c r="Z91" i="9"/>
  <c r="Z97" i="9" s="1"/>
  <c r="V90" i="9"/>
  <c r="V96" i="9" s="1"/>
  <c r="Z94" i="9"/>
  <c r="Z100" i="9" s="1"/>
  <c r="AG95" i="9"/>
  <c r="AG101" i="9" s="1"/>
  <c r="Y92" i="9"/>
  <c r="Y98" i="9" s="1"/>
  <c r="Z37" i="9"/>
  <c r="AD95" i="9"/>
  <c r="AD101" i="9" s="1"/>
  <c r="Y94" i="9"/>
  <c r="Y100" i="9" s="1"/>
  <c r="Z90" i="9"/>
  <c r="Z96" i="9" s="1"/>
  <c r="Y35" i="9"/>
  <c r="Y36" i="9" s="1"/>
  <c r="Y90" i="9"/>
  <c r="Y96" i="9" s="1"/>
  <c r="AG75" i="9"/>
  <c r="Z93" i="9"/>
  <c r="Z99" i="9" s="1"/>
  <c r="Z95" i="9"/>
  <c r="Z101" i="9" s="1"/>
  <c r="Y93" i="9"/>
  <c r="Y99" i="9" s="1"/>
  <c r="Z75" i="9"/>
  <c r="AD75" i="9"/>
  <c r="AD90" i="9"/>
  <c r="V92" i="9"/>
  <c r="V98" i="9" s="1"/>
  <c r="W75" i="9"/>
  <c r="Z76" i="9"/>
  <c r="AD76" i="9"/>
  <c r="V93" i="9"/>
  <c r="V99" i="9" s="1"/>
  <c r="Y76" i="9"/>
  <c r="AD93" i="9"/>
  <c r="AD99" i="9" s="1"/>
  <c r="AD37" i="9"/>
  <c r="W91" i="9"/>
  <c r="W97" i="9" s="1"/>
  <c r="AG92" i="9"/>
  <c r="AG98" i="9" s="1"/>
  <c r="AD91" i="9"/>
  <c r="AD97" i="9" s="1"/>
  <c r="AG76" i="9"/>
  <c r="Y75" i="9"/>
  <c r="AF75" i="9"/>
  <c r="AF90" i="9"/>
  <c r="AF96" i="9" s="1"/>
  <c r="AF92" i="9"/>
  <c r="AF98" i="9" s="1"/>
  <c r="AF93" i="9"/>
  <c r="AF99" i="9" s="1"/>
  <c r="AF94" i="9"/>
  <c r="AF100" i="9" s="1"/>
  <c r="AF95" i="9"/>
  <c r="AF101" i="9" s="1"/>
  <c r="Y91" i="9"/>
  <c r="Y97" i="9" s="1"/>
  <c r="AF37" i="9"/>
  <c r="AF76" i="9"/>
  <c r="AF91" i="9"/>
  <c r="AF97" i="9" s="1"/>
  <c r="AE96" i="9"/>
  <c r="AC96" i="9"/>
  <c r="W96" i="9"/>
  <c r="G47" i="4"/>
  <c r="H45" i="4"/>
  <c r="AC102" i="9" l="1"/>
  <c r="AB102" i="9"/>
  <c r="X102" i="9"/>
  <c r="AA102" i="9"/>
  <c r="AE102" i="9"/>
  <c r="U102" i="9"/>
  <c r="V102" i="9"/>
  <c r="Z102" i="9"/>
  <c r="AG102" i="9"/>
  <c r="W102" i="9"/>
  <c r="AD102" i="9"/>
  <c r="AD96" i="9"/>
  <c r="Y102" i="9"/>
  <c r="AF102" i="9"/>
  <c r="O15" i="50" l="1"/>
  <c r="O14" i="50"/>
  <c r="I16" i="50"/>
  <c r="C16" i="50"/>
  <c r="C17" i="50"/>
  <c r="Q22" i="63"/>
  <c r="N6" i="50"/>
  <c r="G6" i="2"/>
  <c r="G91" i="63"/>
  <c r="G99" i="63"/>
  <c r="G100" i="63" s="1"/>
  <c r="I85" i="63"/>
  <c r="I96" i="63" s="1"/>
  <c r="H85" i="63"/>
  <c r="G85" i="63"/>
  <c r="G96" i="63" s="1"/>
  <c r="H86" i="63"/>
  <c r="H80" i="63"/>
  <c r="H96" i="63" s="1"/>
  <c r="G80" i="63"/>
  <c r="F16" i="64"/>
  <c r="C16" i="64"/>
  <c r="B8" i="64" a="1"/>
  <c r="B8" i="64" s="1"/>
  <c r="B7" i="64" a="1"/>
  <c r="B7" i="64" s="1"/>
  <c r="G6" i="64"/>
  <c r="B5" i="64"/>
  <c r="C2" i="64"/>
  <c r="I19" i="63"/>
  <c r="H19" i="63"/>
  <c r="G19" i="63"/>
  <c r="J174" i="63"/>
  <c r="J173" i="63"/>
  <c r="J157" i="63"/>
  <c r="J156" i="63"/>
  <c r="J155" i="63"/>
  <c r="J154" i="63"/>
  <c r="J66" i="63"/>
  <c r="J65" i="63"/>
  <c r="J64" i="63"/>
  <c r="J62" i="63"/>
  <c r="J61" i="63"/>
  <c r="J59" i="63"/>
  <c r="J58" i="63"/>
  <c r="J56" i="63"/>
  <c r="J55" i="63"/>
  <c r="J53" i="63"/>
  <c r="J52" i="63"/>
  <c r="J50" i="63"/>
  <c r="J49" i="63"/>
  <c r="J47" i="63"/>
  <c r="J46" i="63"/>
  <c r="J44" i="63"/>
  <c r="J43" i="63"/>
  <c r="J41" i="63"/>
  <c r="J40" i="63"/>
  <c r="J38" i="63"/>
  <c r="J37" i="63"/>
  <c r="J35" i="63"/>
  <c r="J34" i="63"/>
  <c r="J32" i="63"/>
  <c r="J31" i="63"/>
  <c r="J29" i="63"/>
  <c r="J28" i="63"/>
  <c r="J26" i="63"/>
  <c r="J25" i="63"/>
  <c r="J24" i="63"/>
  <c r="H177" i="63"/>
  <c r="H175" i="63"/>
  <c r="H176" i="63" s="1"/>
  <c r="H178" i="63" s="1"/>
  <c r="H171" i="63"/>
  <c r="H165" i="63"/>
  <c r="H164" i="63"/>
  <c r="H161" i="63"/>
  <c r="H167" i="63" s="1"/>
  <c r="H169" i="63" s="1"/>
  <c r="H160" i="63"/>
  <c r="H159" i="63"/>
  <c r="H158" i="63"/>
  <c r="H125" i="63"/>
  <c r="H134" i="63" s="1"/>
  <c r="H119" i="63"/>
  <c r="H111" i="63"/>
  <c r="H113" i="63" s="1"/>
  <c r="H115" i="63" s="1"/>
  <c r="H118" i="63" s="1"/>
  <c r="H110" i="63"/>
  <c r="H76" i="63"/>
  <c r="H75" i="63"/>
  <c r="H70" i="63"/>
  <c r="H63" i="63"/>
  <c r="H60" i="63"/>
  <c r="J60" i="63" s="1"/>
  <c r="H57" i="63"/>
  <c r="H54" i="63"/>
  <c r="J54" i="63" s="1"/>
  <c r="H51" i="63"/>
  <c r="H48" i="63"/>
  <c r="H45" i="63"/>
  <c r="H42" i="63"/>
  <c r="H39" i="63"/>
  <c r="H36" i="63"/>
  <c r="H33" i="63"/>
  <c r="H30" i="63"/>
  <c r="H27" i="63"/>
  <c r="H124" i="63"/>
  <c r="H133" i="63" s="1"/>
  <c r="H143" i="63" s="1"/>
  <c r="H103" i="63"/>
  <c r="H105" i="63" s="1"/>
  <c r="H107" i="63" s="1"/>
  <c r="G177" i="63"/>
  <c r="G175" i="63"/>
  <c r="G176" i="63" s="1"/>
  <c r="G178" i="63" s="1"/>
  <c r="G171" i="63"/>
  <c r="G161" i="63"/>
  <c r="G160" i="63"/>
  <c r="G159" i="63"/>
  <c r="G158" i="63"/>
  <c r="G150" i="63"/>
  <c r="G149" i="63"/>
  <c r="G125" i="63"/>
  <c r="G110" i="63"/>
  <c r="G75" i="63"/>
  <c r="G76" i="63" s="1"/>
  <c r="G70" i="63"/>
  <c r="G63" i="63"/>
  <c r="J63" i="63" s="1"/>
  <c r="G60" i="63"/>
  <c r="G57" i="63"/>
  <c r="J57" i="63" s="1"/>
  <c r="G54" i="63"/>
  <c r="G51" i="63"/>
  <c r="J51" i="63" s="1"/>
  <c r="G48" i="63"/>
  <c r="J48" i="63" s="1"/>
  <c r="G45" i="63"/>
  <c r="J45" i="63" s="1"/>
  <c r="G42" i="63"/>
  <c r="G39" i="63"/>
  <c r="J39" i="63" s="1"/>
  <c r="G36" i="63"/>
  <c r="J36" i="63" s="1"/>
  <c r="G33" i="63"/>
  <c r="J33" i="63" s="1"/>
  <c r="G30" i="63"/>
  <c r="J30" i="63" s="1"/>
  <c r="G27" i="63"/>
  <c r="J27" i="63" s="1"/>
  <c r="G124" i="63"/>
  <c r="G133" i="63" s="1"/>
  <c r="G143" i="63" s="1"/>
  <c r="I177" i="63"/>
  <c r="I175" i="63"/>
  <c r="I171" i="63"/>
  <c r="I161" i="63"/>
  <c r="I160" i="63"/>
  <c r="I159" i="63"/>
  <c r="I158" i="63"/>
  <c r="I125" i="63"/>
  <c r="I127" i="63" s="1"/>
  <c r="I119" i="63"/>
  <c r="I75" i="63"/>
  <c r="I76" i="63" s="1"/>
  <c r="J73" i="63"/>
  <c r="I70" i="63"/>
  <c r="J70" i="63" s="1"/>
  <c r="J69" i="63"/>
  <c r="J68" i="63"/>
  <c r="J67" i="63"/>
  <c r="I63" i="63"/>
  <c r="I60" i="63"/>
  <c r="I57" i="63"/>
  <c r="I54" i="63"/>
  <c r="I51" i="63"/>
  <c r="I48" i="63"/>
  <c r="I45" i="63"/>
  <c r="I42" i="63"/>
  <c r="J42" i="63" s="1"/>
  <c r="I39" i="63"/>
  <c r="I36" i="63"/>
  <c r="I33" i="63"/>
  <c r="I30" i="63"/>
  <c r="I27" i="63"/>
  <c r="I124" i="63"/>
  <c r="I133" i="63" s="1"/>
  <c r="I143" i="63" s="1"/>
  <c r="I103" i="63"/>
  <c r="B14" i="63"/>
  <c r="H99" i="63" s="1"/>
  <c r="D13" i="63"/>
  <c r="I120" i="63" s="1"/>
  <c r="B13" i="63"/>
  <c r="I108" i="63" s="1"/>
  <c r="D12" i="63"/>
  <c r="I138" i="63" s="1"/>
  <c r="B12" i="63"/>
  <c r="I78" i="63" s="1"/>
  <c r="I83" i="63" s="1"/>
  <c r="D11" i="63"/>
  <c r="I149" i="63" s="1"/>
  <c r="B11" i="63"/>
  <c r="I165" i="63" s="1"/>
  <c r="B8" i="63" a="1"/>
  <c r="B8" i="63" s="1"/>
  <c r="B7" i="63" a="1"/>
  <c r="B7" i="63" s="1"/>
  <c r="I6" i="63"/>
  <c r="B5" i="63"/>
  <c r="D2" i="63" a="1"/>
  <c r="D2" i="63" s="1"/>
  <c r="D1" i="63"/>
  <c r="G129" i="63" l="1"/>
  <c r="G94" i="63"/>
  <c r="H94" i="63"/>
  <c r="H95" i="63" s="1"/>
  <c r="G88" i="63"/>
  <c r="H128" i="63"/>
  <c r="H129" i="63"/>
  <c r="G92" i="63"/>
  <c r="J92" i="63" s="1"/>
  <c r="H137" i="63"/>
  <c r="H91" i="63"/>
  <c r="H92" i="63" s="1"/>
  <c r="G137" i="63"/>
  <c r="G78" i="63"/>
  <c r="G83" i="63" s="1"/>
  <c r="H138" i="63"/>
  <c r="I91" i="63"/>
  <c r="I92" i="63" s="1"/>
  <c r="G108" i="63"/>
  <c r="G120" i="63"/>
  <c r="H78" i="63"/>
  <c r="H83" i="63" s="1"/>
  <c r="H149" i="63"/>
  <c r="J19" i="63"/>
  <c r="L19" i="2" s="1"/>
  <c r="H89" i="63"/>
  <c r="G138" i="63"/>
  <c r="H120" i="63"/>
  <c r="J125" i="63"/>
  <c r="G164" i="63"/>
  <c r="G166" i="63" s="1"/>
  <c r="G168" i="63" s="1"/>
  <c r="H88" i="63"/>
  <c r="H150" i="63"/>
  <c r="G119" i="63"/>
  <c r="G128" i="63"/>
  <c r="G165" i="63"/>
  <c r="G167" i="63" s="1"/>
  <c r="G169" i="63" s="1"/>
  <c r="H108" i="63"/>
  <c r="H109" i="63" s="1"/>
  <c r="J171" i="63"/>
  <c r="J175" i="63"/>
  <c r="G86" i="63"/>
  <c r="G89" i="63" s="1"/>
  <c r="J85" i="63"/>
  <c r="G81" i="63"/>
  <c r="G84" i="63" s="1"/>
  <c r="J80" i="63"/>
  <c r="H136" i="63"/>
  <c r="H144" i="63"/>
  <c r="H146" i="63" s="1"/>
  <c r="H148" i="63" s="1"/>
  <c r="H151" i="63" s="1"/>
  <c r="G127" i="63"/>
  <c r="G130" i="63" s="1"/>
  <c r="H127" i="63"/>
  <c r="H131" i="63" s="1"/>
  <c r="G134" i="63"/>
  <c r="G103" i="63"/>
  <c r="G111" i="63"/>
  <c r="H122" i="63"/>
  <c r="H121" i="63"/>
  <c r="H97" i="63"/>
  <c r="H166" i="63"/>
  <c r="H81" i="63"/>
  <c r="H102" i="63"/>
  <c r="H72" i="63"/>
  <c r="G102" i="63"/>
  <c r="G72" i="63"/>
  <c r="J75" i="63"/>
  <c r="I111" i="63"/>
  <c r="I113" i="63" s="1"/>
  <c r="I115" i="63" s="1"/>
  <c r="I118" i="63" s="1"/>
  <c r="I97" i="63"/>
  <c r="I176" i="63"/>
  <c r="I178" i="63" s="1"/>
  <c r="J178" i="63" s="1"/>
  <c r="I105" i="63"/>
  <c r="I107" i="63" s="1"/>
  <c r="I167" i="63"/>
  <c r="I81" i="63"/>
  <c r="I84" i="63" s="1"/>
  <c r="I86" i="63"/>
  <c r="I129" i="63"/>
  <c r="I131" i="63" s="1"/>
  <c r="I150" i="63"/>
  <c r="I79" i="63"/>
  <c r="J79" i="63" s="1"/>
  <c r="J76" i="63"/>
  <c r="I99" i="63"/>
  <c r="I72" i="63"/>
  <c r="I110" i="63"/>
  <c r="J110" i="63" s="1"/>
  <c r="I102" i="63"/>
  <c r="I164" i="63"/>
  <c r="I94" i="63"/>
  <c r="I166" i="63"/>
  <c r="I134" i="63"/>
  <c r="I88" i="63"/>
  <c r="I137" i="63"/>
  <c r="I128" i="63"/>
  <c r="I130" i="63" s="1"/>
  <c r="H139" i="63" l="1"/>
  <c r="H79" i="63"/>
  <c r="G95" i="63"/>
  <c r="J95" i="63" s="1"/>
  <c r="H140" i="63"/>
  <c r="G79" i="63"/>
  <c r="I169" i="63"/>
  <c r="J169" i="63" s="1"/>
  <c r="J167" i="63"/>
  <c r="H168" i="63"/>
  <c r="J166" i="63"/>
  <c r="J176" i="63"/>
  <c r="J86" i="63"/>
  <c r="J91" i="63"/>
  <c r="G97" i="63"/>
  <c r="J97" i="63" s="1"/>
  <c r="J96" i="63"/>
  <c r="G136" i="63"/>
  <c r="J134" i="63"/>
  <c r="G144" i="63"/>
  <c r="H152" i="63"/>
  <c r="H130" i="63"/>
  <c r="J130" i="63" s="1"/>
  <c r="G131" i="63"/>
  <c r="J131" i="63" s="1"/>
  <c r="J127" i="63"/>
  <c r="J102" i="63"/>
  <c r="G113" i="63"/>
  <c r="J111" i="63"/>
  <c r="G105" i="63"/>
  <c r="J103" i="63"/>
  <c r="I100" i="63"/>
  <c r="H84" i="63"/>
  <c r="J84" i="63" s="1"/>
  <c r="J81" i="63"/>
  <c r="H100" i="63"/>
  <c r="I109" i="63"/>
  <c r="I89" i="63"/>
  <c r="J89" i="63" s="1"/>
  <c r="I168" i="63"/>
  <c r="I136" i="63"/>
  <c r="I144" i="63"/>
  <c r="J168" i="63" l="1"/>
  <c r="J100" i="63"/>
  <c r="G146" i="63"/>
  <c r="J144" i="63"/>
  <c r="J136" i="63"/>
  <c r="G140" i="63"/>
  <c r="G139" i="63"/>
  <c r="G107" i="63"/>
  <c r="J105" i="63"/>
  <c r="G115" i="63"/>
  <c r="G118" i="63" s="1"/>
  <c r="J113" i="63"/>
  <c r="I146" i="63"/>
  <c r="I140" i="63"/>
  <c r="I139" i="63"/>
  <c r="I122" i="63"/>
  <c r="I121" i="63"/>
  <c r="J140" i="63" l="1"/>
  <c r="J139" i="63"/>
  <c r="G148" i="63"/>
  <c r="J146" i="63"/>
  <c r="J115" i="63"/>
  <c r="G109" i="63"/>
  <c r="J109" i="63" s="1"/>
  <c r="J107" i="63"/>
  <c r="I148" i="63"/>
  <c r="G151" i="63" l="1"/>
  <c r="J148" i="63"/>
  <c r="G152" i="63"/>
  <c r="J118" i="63"/>
  <c r="G122" i="63"/>
  <c r="J122" i="63" s="1"/>
  <c r="G121" i="63"/>
  <c r="J121" i="63" s="1"/>
  <c r="I151" i="63"/>
  <c r="I152" i="63"/>
  <c r="J152" i="63" l="1"/>
  <c r="J151" i="63"/>
  <c r="AH31" i="9" l="1"/>
  <c r="G175" i="2" l="1"/>
  <c r="G176" i="2" s="1"/>
  <c r="H176" i="2" s="1"/>
  <c r="G171" i="2"/>
  <c r="G161" i="2"/>
  <c r="G158" i="2"/>
  <c r="H174" i="2"/>
  <c r="H173" i="2"/>
  <c r="H171" i="2"/>
  <c r="H156" i="2"/>
  <c r="H155" i="2"/>
  <c r="H154" i="2"/>
  <c r="H66" i="2"/>
  <c r="H65" i="2"/>
  <c r="H64" i="2"/>
  <c r="H62" i="2"/>
  <c r="H61" i="2"/>
  <c r="H59" i="2"/>
  <c r="H58" i="2"/>
  <c r="H56" i="2"/>
  <c r="H55" i="2"/>
  <c r="H53" i="2"/>
  <c r="H52" i="2"/>
  <c r="H50" i="2"/>
  <c r="H49" i="2"/>
  <c r="H47" i="2"/>
  <c r="H46" i="2"/>
  <c r="H44" i="2"/>
  <c r="H43" i="2"/>
  <c r="H41" i="2"/>
  <c r="H40" i="2"/>
  <c r="H38" i="2"/>
  <c r="H37" i="2"/>
  <c r="H35" i="2"/>
  <c r="H34" i="2"/>
  <c r="H32" i="2"/>
  <c r="H31" i="2"/>
  <c r="H29" i="2"/>
  <c r="H28" i="2"/>
  <c r="H26" i="2"/>
  <c r="H25" i="2"/>
  <c r="H24" i="2"/>
  <c r="E473" i="42"/>
  <c r="A473" i="42" s="1"/>
  <c r="G24" i="52"/>
  <c r="H474" i="42" a="1"/>
  <c r="E474" i="42" a="1"/>
  <c r="F474" i="42" a="1"/>
  <c r="H175" i="2" l="1"/>
  <c r="E474" i="42"/>
  <c r="F474" i="42"/>
  <c r="H474" i="42"/>
  <c r="I474" i="42" s="1"/>
  <c r="I473" i="42" l="1"/>
  <c r="O16" i="50" l="1"/>
  <c r="G157" i="2" l="1"/>
  <c r="H157" i="2" s="1"/>
  <c r="E12" i="42" a="1"/>
  <c r="E12" i="42" l="1"/>
  <c r="T27" i="35"/>
  <c r="AA28" i="35"/>
  <c r="AH29" i="9" l="1"/>
  <c r="B14" i="9" l="1"/>
  <c r="AH137" i="9" s="1"/>
  <c r="AH141" i="9"/>
  <c r="AH134" i="9"/>
  <c r="AH135" i="9" s="1"/>
  <c r="AH136" i="9" s="1"/>
  <c r="E266" i="42"/>
  <c r="E260" i="42"/>
  <c r="H264" i="42" a="1"/>
  <c r="F263" i="42" a="1"/>
  <c r="F262" i="42" a="1"/>
  <c r="H268" i="42" a="1"/>
  <c r="E263" i="42" a="1"/>
  <c r="E262" i="42" a="1"/>
  <c r="H269" i="42" a="1"/>
  <c r="E264" i="42" a="1"/>
  <c r="H262" i="42" a="1"/>
  <c r="E267" i="42" a="1"/>
  <c r="E261" i="42" a="1"/>
  <c r="H261" i="42" a="1"/>
  <c r="E269" i="42" a="1"/>
  <c r="H267" i="42" a="1"/>
  <c r="E268" i="42" a="1"/>
  <c r="F267" i="42" a="1"/>
  <c r="F268" i="42" a="1"/>
  <c r="F261" i="42" a="1"/>
  <c r="H263" i="42" a="1"/>
  <c r="F264" i="42" a="1"/>
  <c r="F269" i="42" a="1"/>
  <c r="AH130" i="9" l="1"/>
  <c r="AI130" i="9" s="1"/>
  <c r="AH143" i="9"/>
  <c r="AH138" i="9"/>
  <c r="AI143" i="9"/>
  <c r="AI137" i="9"/>
  <c r="AI134" i="9"/>
  <c r="AI133" i="9"/>
  <c r="AI141" i="9"/>
  <c r="E267" i="42"/>
  <c r="F267" i="42"/>
  <c r="H267" i="42"/>
  <c r="I267" i="42" s="1"/>
  <c r="E268" i="42"/>
  <c r="F268" i="42"/>
  <c r="H268" i="42"/>
  <c r="I268" i="42" s="1"/>
  <c r="E269" i="42"/>
  <c r="F269" i="42"/>
  <c r="H269" i="42"/>
  <c r="I269" i="42" s="1"/>
  <c r="H264" i="42"/>
  <c r="I264" i="42" s="1"/>
  <c r="F264" i="42"/>
  <c r="E264" i="42"/>
  <c r="H263" i="42"/>
  <c r="I263" i="42" s="1"/>
  <c r="F263" i="42"/>
  <c r="E263" i="42"/>
  <c r="E261" i="42"/>
  <c r="F261" i="42"/>
  <c r="H261" i="42"/>
  <c r="I261" i="42" s="1"/>
  <c r="E262" i="42"/>
  <c r="F262" i="42"/>
  <c r="H262" i="42"/>
  <c r="I262" i="42" s="1"/>
  <c r="I266" i="42" l="1"/>
  <c r="AI135" i="9"/>
  <c r="I260" i="42"/>
  <c r="AI136" i="9" l="1"/>
  <c r="AI138" i="9"/>
  <c r="L18" i="50" l="1"/>
  <c r="L17" i="50"/>
  <c r="AH25" i="9"/>
  <c r="E257" i="42" a="1"/>
  <c r="E257" i="42" l="1"/>
  <c r="B31" i="20" l="1"/>
  <c r="H31" i="20" s="1"/>
  <c r="B30" i="20"/>
  <c r="Q30" i="20" s="1"/>
  <c r="B29" i="20"/>
  <c r="H29" i="20" s="1"/>
  <c r="B28" i="20"/>
  <c r="G28" i="20" s="1"/>
  <c r="D27" i="20"/>
  <c r="D28" i="20" s="1"/>
  <c r="D29" i="20" s="1"/>
  <c r="D30" i="20" s="1"/>
  <c r="D31" i="20" s="1"/>
  <c r="B27" i="20"/>
  <c r="Q27" i="20" s="1"/>
  <c r="H26" i="20"/>
  <c r="B26" i="20"/>
  <c r="G26" i="20" s="1"/>
  <c r="B25" i="20"/>
  <c r="Q25" i="20" s="1"/>
  <c r="B24" i="20"/>
  <c r="G24" i="20" s="1"/>
  <c r="B23" i="20"/>
  <c r="Q23" i="20" s="1"/>
  <c r="Q22" i="20"/>
  <c r="H22" i="20"/>
  <c r="G22" i="20"/>
  <c r="E22" i="20"/>
  <c r="E23" i="20" s="1"/>
  <c r="E24" i="20" s="1"/>
  <c r="E25" i="20" s="1"/>
  <c r="E26" i="20" s="1"/>
  <c r="I11" i="20"/>
  <c r="F17" i="20"/>
  <c r="F16" i="20"/>
  <c r="B7" i="20"/>
  <c r="B5" i="20"/>
  <c r="G177" i="2"/>
  <c r="D11" i="2"/>
  <c r="B12" i="2"/>
  <c r="G94" i="2" s="1"/>
  <c r="B14" i="2"/>
  <c r="G85" i="2"/>
  <c r="G80" i="2"/>
  <c r="A13" i="3"/>
  <c r="H67" i="2"/>
  <c r="H68" i="2"/>
  <c r="H69" i="2"/>
  <c r="B14" i="52"/>
  <c r="G21" i="2"/>
  <c r="G19" i="2"/>
  <c r="G27" i="2"/>
  <c r="H27" i="2" s="1"/>
  <c r="G30" i="2"/>
  <c r="H30" i="2" s="1"/>
  <c r="G33" i="2"/>
  <c r="H33" i="2" s="1"/>
  <c r="G36" i="2"/>
  <c r="H36" i="2" s="1"/>
  <c r="G39" i="2"/>
  <c r="H39" i="2" s="1"/>
  <c r="G42" i="2"/>
  <c r="H42" i="2" s="1"/>
  <c r="G45" i="2"/>
  <c r="H45" i="2" s="1"/>
  <c r="G48" i="2"/>
  <c r="H48" i="2" s="1"/>
  <c r="G51" i="2"/>
  <c r="H51" i="2" s="1"/>
  <c r="G54" i="2"/>
  <c r="H54" i="2" s="1"/>
  <c r="G57" i="2"/>
  <c r="H57" i="2" s="1"/>
  <c r="G60" i="2"/>
  <c r="H60" i="2" s="1"/>
  <c r="G63" i="2"/>
  <c r="H63" i="2" s="1"/>
  <c r="G70" i="2"/>
  <c r="H70" i="2" s="1"/>
  <c r="G75" i="2"/>
  <c r="G76" i="2" s="1"/>
  <c r="G125" i="2"/>
  <c r="G159" i="2"/>
  <c r="G160" i="2"/>
  <c r="F41" i="20" l="1"/>
  <c r="F45" i="20"/>
  <c r="G38" i="20"/>
  <c r="H38" i="20" s="1"/>
  <c r="G39" i="20"/>
  <c r="H39" i="20" s="1"/>
  <c r="G44" i="20"/>
  <c r="H44" i="20" s="1"/>
  <c r="G41" i="20"/>
  <c r="H41" i="20" s="1"/>
  <c r="G45" i="20"/>
  <c r="H45" i="20" s="1"/>
  <c r="F43" i="20"/>
  <c r="G40" i="20"/>
  <c r="H40" i="20" s="1"/>
  <c r="F39" i="20"/>
  <c r="F40" i="20"/>
  <c r="F37" i="20"/>
  <c r="F42" i="20"/>
  <c r="G37" i="20"/>
  <c r="H37" i="20" s="1"/>
  <c r="G42" i="20"/>
  <c r="H42" i="20" s="1"/>
  <c r="F38" i="20"/>
  <c r="G43" i="20"/>
  <c r="H43" i="20" s="1"/>
  <c r="F44" i="20"/>
  <c r="Q26" i="20"/>
  <c r="G29" i="20"/>
  <c r="G150" i="2"/>
  <c r="G149" i="2"/>
  <c r="G124" i="2"/>
  <c r="G133" i="2" s="1"/>
  <c r="G143" i="2" s="1"/>
  <c r="G110" i="2"/>
  <c r="H110" i="2" s="1"/>
  <c r="G102" i="2"/>
  <c r="H102" i="2" s="1"/>
  <c r="G134" i="2"/>
  <c r="G127" i="2"/>
  <c r="H125" i="2"/>
  <c r="G81" i="2"/>
  <c r="H81" i="2" s="1"/>
  <c r="H80" i="2"/>
  <c r="G91" i="2"/>
  <c r="G111" i="2"/>
  <c r="G113" i="2" s="1"/>
  <c r="G115" i="2" s="1"/>
  <c r="G103" i="2"/>
  <c r="G96" i="2"/>
  <c r="H85" i="2"/>
  <c r="G86" i="2"/>
  <c r="H86" i="2" s="1"/>
  <c r="G72" i="2"/>
  <c r="I22" i="20"/>
  <c r="Q24" i="20"/>
  <c r="H25" i="20"/>
  <c r="I26" i="20"/>
  <c r="G27" i="20"/>
  <c r="H23" i="20"/>
  <c r="Q29" i="20"/>
  <c r="G31" i="20"/>
  <c r="I31" i="20" s="1"/>
  <c r="H24" i="20"/>
  <c r="I24" i="20" s="1"/>
  <c r="Q31" i="20"/>
  <c r="I29" i="20"/>
  <c r="G30" i="20"/>
  <c r="H28" i="20"/>
  <c r="I28" i="20" s="1"/>
  <c r="H30" i="20"/>
  <c r="Q28" i="20"/>
  <c r="G23" i="20"/>
  <c r="G25" i="20"/>
  <c r="H27" i="20"/>
  <c r="I27" i="20" l="1"/>
  <c r="L41" i="20" s="1"/>
  <c r="H91" i="2"/>
  <c r="G92" i="2"/>
  <c r="I25" i="20"/>
  <c r="L39" i="20" s="1"/>
  <c r="I23" i="20"/>
  <c r="L37" i="20" s="1"/>
  <c r="H111" i="2"/>
  <c r="H127" i="2"/>
  <c r="H134" i="2"/>
  <c r="G136" i="2"/>
  <c r="H136" i="2" s="1"/>
  <c r="G144" i="2"/>
  <c r="H92" i="2"/>
  <c r="G97" i="2"/>
  <c r="H97" i="2" s="1"/>
  <c r="H96" i="2"/>
  <c r="H103" i="2"/>
  <c r="G105" i="2"/>
  <c r="L45" i="20"/>
  <c r="L40" i="20"/>
  <c r="L38" i="20"/>
  <c r="L42" i="20"/>
  <c r="L43" i="20"/>
  <c r="E27" i="20"/>
  <c r="I30" i="20"/>
  <c r="H113" i="2" l="1"/>
  <c r="H144" i="2"/>
  <c r="G146" i="2"/>
  <c r="H105" i="2"/>
  <c r="G107" i="2"/>
  <c r="L44" i="20"/>
  <c r="E28" i="20"/>
  <c r="H107" i="2" l="1"/>
  <c r="H146" i="2"/>
  <c r="G148" i="2"/>
  <c r="H115" i="2"/>
  <c r="E29" i="20"/>
  <c r="H118" i="2" l="1"/>
  <c r="G151" i="2"/>
  <c r="H151" i="2" s="1"/>
  <c r="H148" i="2"/>
  <c r="G152" i="2"/>
  <c r="H152" i="2" s="1"/>
  <c r="E30" i="20"/>
  <c r="E31" i="20" l="1"/>
  <c r="G119" i="52" l="1"/>
  <c r="G130" i="52"/>
  <c r="H130" i="52" s="1"/>
  <c r="A463" i="42"/>
  <c r="F469" i="42" a="1"/>
  <c r="E465" i="42" a="1"/>
  <c r="E464" i="42" a="1"/>
  <c r="E129" i="42" a="1"/>
  <c r="F464" i="42" a="1"/>
  <c r="E466" i="42" a="1"/>
  <c r="F468" i="42" a="1"/>
  <c r="F465" i="42" a="1"/>
  <c r="F471" i="42" a="1"/>
  <c r="H468" i="42" a="1"/>
  <c r="F467" i="42" a="1"/>
  <c r="E470" i="42" a="1"/>
  <c r="E469" i="42" a="1"/>
  <c r="H466" i="42" a="1"/>
  <c r="H469" i="42" a="1"/>
  <c r="F466" i="42" a="1"/>
  <c r="F470" i="42" a="1"/>
  <c r="H128" i="42" a="1"/>
  <c r="E468" i="42" a="1"/>
  <c r="H467" i="42" a="1"/>
  <c r="E471" i="42" a="1"/>
  <c r="H471" i="42" a="1"/>
  <c r="E467" i="42" a="1"/>
  <c r="H470" i="42" a="1"/>
  <c r="H464" i="42" a="1"/>
  <c r="H465" i="42" a="1"/>
  <c r="H128" i="42" l="1"/>
  <c r="E129" i="42"/>
  <c r="H464" i="42"/>
  <c r="E464" i="42"/>
  <c r="F464" i="42"/>
  <c r="F466" i="42"/>
  <c r="F469" i="42"/>
  <c r="H466" i="42"/>
  <c r="I466" i="42" s="1"/>
  <c r="E471" i="42"/>
  <c r="E465" i="42"/>
  <c r="F468" i="42"/>
  <c r="F471" i="42"/>
  <c r="F465" i="42"/>
  <c r="H468" i="42"/>
  <c r="I468" i="42" s="1"/>
  <c r="E470" i="42"/>
  <c r="H471" i="42"/>
  <c r="I471" i="42" s="1"/>
  <c r="H465" i="42"/>
  <c r="I465" i="42" s="1"/>
  <c r="E468" i="42"/>
  <c r="F467" i="42"/>
  <c r="F470" i="42"/>
  <c r="H469" i="42"/>
  <c r="I469" i="42" s="1"/>
  <c r="E466" i="42"/>
  <c r="E469" i="42"/>
  <c r="E467" i="42"/>
  <c r="H467" i="42"/>
  <c r="I467" i="42" s="1"/>
  <c r="H470" i="42"/>
  <c r="I470" i="42" s="1"/>
  <c r="B11" i="4"/>
  <c r="G49" i="4" l="1"/>
  <c r="G51" i="4" s="1"/>
  <c r="H48" i="4"/>
  <c r="H50" i="4" s="1"/>
  <c r="G48" i="4"/>
  <c r="G50" i="4" s="1"/>
  <c r="H49" i="4"/>
  <c r="H51" i="4" s="1"/>
  <c r="B10" i="59"/>
  <c r="B10" i="9"/>
  <c r="D13" i="52"/>
  <c r="B13" i="4"/>
  <c r="D13" i="2"/>
  <c r="B12" i="59"/>
  <c r="B12" i="9"/>
  <c r="D12" i="2"/>
  <c r="D12" i="52"/>
  <c r="D11" i="52"/>
  <c r="B13" i="2"/>
  <c r="B13" i="52"/>
  <c r="B13" i="59"/>
  <c r="B13" i="9"/>
  <c r="B12" i="4"/>
  <c r="B11" i="59"/>
  <c r="B12" i="52"/>
  <c r="B11" i="9"/>
  <c r="B11" i="52"/>
  <c r="B11" i="2"/>
  <c r="A413" i="42"/>
  <c r="A369" i="42"/>
  <c r="A325" i="42"/>
  <c r="A281" i="42"/>
  <c r="H39" i="4" l="1"/>
  <c r="H41" i="4" s="1"/>
  <c r="H28" i="4"/>
  <c r="H30" i="4" s="1"/>
  <c r="H38" i="4"/>
  <c r="H40" i="4" s="1"/>
  <c r="G28" i="4"/>
  <c r="G30" i="4" s="1"/>
  <c r="G27" i="4"/>
  <c r="G29" i="4" s="1"/>
  <c r="H27" i="4"/>
  <c r="H29" i="4" s="1"/>
  <c r="G39" i="4"/>
  <c r="G41" i="4" s="1"/>
  <c r="G38" i="4"/>
  <c r="G40" i="4" s="1"/>
  <c r="AG44" i="9"/>
  <c r="AG45" i="9" s="1"/>
  <c r="AF44" i="9"/>
  <c r="AF45" i="9" s="1"/>
  <c r="AC50" i="9"/>
  <c r="AC51" i="9" s="1"/>
  <c r="Z65" i="9"/>
  <c r="W65" i="9"/>
  <c r="Z44" i="9"/>
  <c r="Z45" i="9" s="1"/>
  <c r="W44" i="9"/>
  <c r="W45" i="9" s="1"/>
  <c r="AC44" i="9"/>
  <c r="AC45" i="9" s="1"/>
  <c r="Z50" i="9"/>
  <c r="Z51" i="9" s="1"/>
  <c r="W50" i="9"/>
  <c r="W51" i="9" s="1"/>
  <c r="AD65" i="9"/>
  <c r="AD50" i="9"/>
  <c r="AD51" i="9" s="1"/>
  <c r="AA65" i="9"/>
  <c r="X65" i="9"/>
  <c r="U65" i="9"/>
  <c r="AE65" i="9"/>
  <c r="AD44" i="9"/>
  <c r="AD45" i="9" s="1"/>
  <c r="AA50" i="9"/>
  <c r="AA51" i="9" s="1"/>
  <c r="X50" i="9"/>
  <c r="X51" i="9" s="1"/>
  <c r="U50" i="9"/>
  <c r="U51" i="9" s="1"/>
  <c r="AA44" i="9"/>
  <c r="AA45" i="9" s="1"/>
  <c r="X44" i="9"/>
  <c r="X45" i="9" s="1"/>
  <c r="U44" i="9"/>
  <c r="U45" i="9" s="1"/>
  <c r="AE50" i="9"/>
  <c r="AE51" i="9" s="1"/>
  <c r="AB50" i="9"/>
  <c r="AB51" i="9" s="1"/>
  <c r="Y50" i="9"/>
  <c r="Y51" i="9" s="1"/>
  <c r="V50" i="9"/>
  <c r="V51" i="9" s="1"/>
  <c r="AF65" i="9"/>
  <c r="AB44" i="9"/>
  <c r="AB45" i="9" s="1"/>
  <c r="Y44" i="9"/>
  <c r="Y45" i="9" s="1"/>
  <c r="V44" i="9"/>
  <c r="V45" i="9" s="1"/>
  <c r="AE44" i="9"/>
  <c r="AE45" i="9" s="1"/>
  <c r="AB65" i="9"/>
  <c r="Y65" i="9"/>
  <c r="V65" i="9"/>
  <c r="AF50" i="9"/>
  <c r="AF51" i="9" s="1"/>
  <c r="AC65" i="9"/>
  <c r="AG65" i="9"/>
  <c r="AG50" i="9"/>
  <c r="AG51" i="9" s="1"/>
  <c r="AA87" i="9"/>
  <c r="X87" i="9"/>
  <c r="U87" i="9"/>
  <c r="W87" i="9"/>
  <c r="AD87" i="9"/>
  <c r="AE87" i="9"/>
  <c r="AB87" i="9"/>
  <c r="Y87" i="9"/>
  <c r="V87" i="9"/>
  <c r="AF87" i="9"/>
  <c r="Z87" i="9"/>
  <c r="AC87" i="9"/>
  <c r="AG87" i="9"/>
  <c r="AD104" i="9"/>
  <c r="AD106" i="9" s="1"/>
  <c r="AA103" i="9"/>
  <c r="AA105" i="9" s="1"/>
  <c r="X103" i="9"/>
  <c r="X105" i="9" s="1"/>
  <c r="U103" i="9"/>
  <c r="U105" i="9" s="1"/>
  <c r="AD103" i="9"/>
  <c r="AD105" i="9" s="1"/>
  <c r="AA104" i="9"/>
  <c r="AA106" i="9" s="1"/>
  <c r="X104" i="9"/>
  <c r="X106" i="9" s="1"/>
  <c r="U104" i="9"/>
  <c r="U106" i="9" s="1"/>
  <c r="AE104" i="9"/>
  <c r="AE106" i="9" s="1"/>
  <c r="AE103" i="9"/>
  <c r="AE105" i="9" s="1"/>
  <c r="AB104" i="9"/>
  <c r="AB106" i="9" s="1"/>
  <c r="Y104" i="9"/>
  <c r="Y106" i="9" s="1"/>
  <c r="V104" i="9"/>
  <c r="V106" i="9" s="1"/>
  <c r="AB103" i="9"/>
  <c r="AB105" i="9" s="1"/>
  <c r="Y103" i="9"/>
  <c r="Y105" i="9" s="1"/>
  <c r="V103" i="9"/>
  <c r="V105" i="9" s="1"/>
  <c r="AG104" i="9"/>
  <c r="AG106" i="9" s="1"/>
  <c r="AF104" i="9"/>
  <c r="AF106" i="9" s="1"/>
  <c r="Z103" i="9"/>
  <c r="Z105" i="9" s="1"/>
  <c r="W103" i="9"/>
  <c r="W105" i="9" s="1"/>
  <c r="AG103" i="9"/>
  <c r="AG105" i="9" s="1"/>
  <c r="AF103" i="9"/>
  <c r="AF105" i="9" s="1"/>
  <c r="AC104" i="9"/>
  <c r="AC106" i="9" s="1"/>
  <c r="AC103" i="9"/>
  <c r="AC105" i="9" s="1"/>
  <c r="Z104" i="9"/>
  <c r="Z106" i="9" s="1"/>
  <c r="W104" i="9"/>
  <c r="W106" i="9" s="1"/>
  <c r="G108" i="2"/>
  <c r="G109" i="2" s="1"/>
  <c r="G99" i="2"/>
  <c r="G164" i="2"/>
  <c r="G166" i="2" s="1"/>
  <c r="G168" i="2" s="1"/>
  <c r="G165" i="2"/>
  <c r="G129" i="2"/>
  <c r="G128" i="2"/>
  <c r="G119" i="2"/>
  <c r="G121" i="2" s="1"/>
  <c r="H121" i="2" s="1"/>
  <c r="G120" i="2"/>
  <c r="G122" i="2" s="1"/>
  <c r="H122" i="2" s="1"/>
  <c r="G78" i="2"/>
  <c r="G178" i="2"/>
  <c r="H178" i="2" s="1"/>
  <c r="G137" i="2"/>
  <c r="G139" i="2" s="1"/>
  <c r="H139" i="2" s="1"/>
  <c r="G138" i="2"/>
  <c r="G88" i="2"/>
  <c r="G89" i="2" s="1"/>
  <c r="H89" i="2" s="1"/>
  <c r="E7" i="61" a="1"/>
  <c r="H284" i="42" a="1"/>
  <c r="H317" i="42" a="1"/>
  <c r="H326" i="42" a="1"/>
  <c r="H370" i="42" a="1"/>
  <c r="H457" i="42" a="1"/>
  <c r="H375" i="42" a="1"/>
  <c r="H403" i="42" a="1"/>
  <c r="H291" i="42" a="1"/>
  <c r="H437" i="42" a="1"/>
  <c r="H461" i="42" a="1"/>
  <c r="H429" i="42" a="1"/>
  <c r="H418" i="42" a="1"/>
  <c r="H440" i="42" a="1"/>
  <c r="F330" i="42" a="1"/>
  <c r="F352" i="42" a="1"/>
  <c r="F288" i="42" a="1"/>
  <c r="F285" i="42" a="1"/>
  <c r="F441" i="42" a="1"/>
  <c r="F289" i="42" a="1"/>
  <c r="F322" i="42" a="1"/>
  <c r="F387" i="42" a="1"/>
  <c r="F373" i="42" a="1"/>
  <c r="F359" i="42" a="1"/>
  <c r="F447" i="42" a="1"/>
  <c r="F396" i="42" a="1"/>
  <c r="E424" i="42" a="1"/>
  <c r="E339" i="42" a="1"/>
  <c r="E401" i="42" a="1"/>
  <c r="E346" i="42" a="1"/>
  <c r="E384" i="42" a="1"/>
  <c r="E397" i="42" a="1"/>
  <c r="E455" i="42" a="1"/>
  <c r="E388" i="42" a="1"/>
  <c r="E356" i="42" a="1"/>
  <c r="E361" i="42" a="1"/>
  <c r="E319" i="42" a="1"/>
  <c r="E363" i="42" a="1"/>
  <c r="E379" i="42" a="1"/>
  <c r="H349" i="42" a="1"/>
  <c r="H422" i="42" a="1"/>
  <c r="H331" i="42" a="1"/>
  <c r="F309" i="42" a="1"/>
  <c r="F409" i="42" a="1"/>
  <c r="F421" i="42" a="1"/>
  <c r="E414" i="42" a="1"/>
  <c r="E305" i="42" a="1"/>
  <c r="E396" i="42" a="1"/>
  <c r="H307" i="42" a="1"/>
  <c r="H286" i="42" a="1"/>
  <c r="H350" i="42" a="1"/>
  <c r="F433" i="42" a="1"/>
  <c r="F290" i="42" a="1"/>
  <c r="F393" i="42" a="1"/>
  <c r="E447" i="42" a="1"/>
  <c r="E446" i="42" a="1"/>
  <c r="E449" i="42" a="1"/>
  <c r="H428" i="42" a="1"/>
  <c r="H305" i="42" a="1"/>
  <c r="H380" i="42" a="1"/>
  <c r="F282" i="42" a="1"/>
  <c r="F452" i="42" a="1"/>
  <c r="F367" i="42" a="1"/>
  <c r="E416" i="42" a="1"/>
  <c r="E440" i="42" a="1"/>
  <c r="E300" i="42" a="1"/>
  <c r="H299" i="42" a="1"/>
  <c r="H377" i="42" a="1"/>
  <c r="H417" i="42" a="1"/>
  <c r="F351" i="42" a="1"/>
  <c r="F440" i="42" a="1"/>
  <c r="F315" i="42" a="1"/>
  <c r="F292" i="42" a="1"/>
  <c r="E433" i="42" a="1"/>
  <c r="E402" i="42" a="1"/>
  <c r="E429" i="42" a="1"/>
  <c r="H306" i="42" a="1"/>
  <c r="H290" i="42" a="1"/>
  <c r="H456" i="42" a="1"/>
  <c r="F295" i="42" a="1"/>
  <c r="F458" i="42" a="1"/>
  <c r="F449" i="42" a="1"/>
  <c r="E377" i="42" a="1"/>
  <c r="E282" i="42" a="1"/>
  <c r="E421" i="42" a="1"/>
  <c r="H378" i="42" a="1"/>
  <c r="H397" i="42" a="1"/>
  <c r="H381" i="42" a="1"/>
  <c r="F381" i="42" a="1"/>
  <c r="F362" i="42" a="1"/>
  <c r="F418" i="42" a="1"/>
  <c r="E385" i="42" a="1"/>
  <c r="E405" i="42" a="1"/>
  <c r="E400" i="42" a="1"/>
  <c r="E289" i="42" a="1"/>
  <c r="H406" i="42" a="1"/>
  <c r="H387" i="42" a="1"/>
  <c r="H427" i="42" a="1"/>
  <c r="F394" i="42" a="1"/>
  <c r="F344" i="42" a="1"/>
  <c r="F356" i="42" a="1"/>
  <c r="E358" i="42" a="1"/>
  <c r="E344" i="42" a="1"/>
  <c r="E435" i="42" a="1"/>
  <c r="H296" i="42" a="1"/>
  <c r="H389" i="42" a="1"/>
  <c r="H421" i="42" a="1"/>
  <c r="F303" i="42" a="1"/>
  <c r="F401" i="42" a="1"/>
  <c r="F438" i="42" a="1"/>
  <c r="E444" i="42" a="1"/>
  <c r="E393" i="42" a="1"/>
  <c r="E321" i="42" a="1"/>
  <c r="H393" i="42" a="1"/>
  <c r="H445" i="42" a="1"/>
  <c r="H319" i="42" a="1"/>
  <c r="H424" i="42" a="1"/>
  <c r="H402" i="42" a="1"/>
  <c r="H356" i="42" a="1"/>
  <c r="H347" i="42" a="1"/>
  <c r="H365" i="42" a="1"/>
  <c r="H285" i="42" a="1"/>
  <c r="H411" i="42" a="1"/>
  <c r="H320" i="42" a="1"/>
  <c r="H309" i="42" a="1"/>
  <c r="H449" i="42" a="1"/>
  <c r="F389" i="42" a="1"/>
  <c r="F363" i="42" a="1"/>
  <c r="F399" i="42" a="1"/>
  <c r="F427" i="42" a="1"/>
  <c r="F456" i="42" a="1"/>
  <c r="F420" i="42" a="1"/>
  <c r="F329" i="42" a="1"/>
  <c r="F365" i="42" a="1"/>
  <c r="F353" i="42" a="1"/>
  <c r="F337" i="42" a="1"/>
  <c r="F423" i="42" a="1"/>
  <c r="F321" i="42" a="1"/>
  <c r="E380" i="42" a="1"/>
  <c r="E317" i="42" a="1"/>
  <c r="E420" i="42" a="1"/>
  <c r="E445" i="42" a="1"/>
  <c r="E372" i="42" a="1"/>
  <c r="E347" i="42" a="1"/>
  <c r="E328" i="42" a="1"/>
  <c r="E365" i="42" a="1"/>
  <c r="E334" i="42" a="1"/>
  <c r="E359" i="42" a="1"/>
  <c r="E438" i="42" a="1"/>
  <c r="E403" i="42" a="1"/>
  <c r="E458" i="42" a="1"/>
  <c r="H410" i="42" a="1"/>
  <c r="H337" i="42" a="1"/>
  <c r="H460" i="42" a="1"/>
  <c r="F461" i="42" a="1"/>
  <c r="F293" i="42" a="1"/>
  <c r="F366" i="42" a="1"/>
  <c r="E437" i="42" a="1"/>
  <c r="E431" i="42" a="1"/>
  <c r="E291" i="42" a="1"/>
  <c r="H362" i="42" a="1"/>
  <c r="H400" i="42" a="1"/>
  <c r="H345" i="42" a="1"/>
  <c r="F284" i="42" a="1"/>
  <c r="F314" i="42" a="1"/>
  <c r="F390" i="42" a="1"/>
  <c r="E299" i="42" a="1"/>
  <c r="E389" i="42" a="1"/>
  <c r="E408" i="42" a="1"/>
  <c r="H303" i="42" a="1"/>
  <c r="H443" i="42" a="1"/>
  <c r="H441" i="42" a="1"/>
  <c r="F405" i="42" a="1"/>
  <c r="F417" i="42" a="1"/>
  <c r="F377" i="42" a="1"/>
  <c r="E303" i="42" a="1"/>
  <c r="E326" i="42" a="1"/>
  <c r="E411" i="42" a="1"/>
  <c r="H438" i="42" a="1"/>
  <c r="H328" i="42" a="1"/>
  <c r="H446" i="42" a="1"/>
  <c r="F312" i="42" a="1"/>
  <c r="F305" i="42" a="1"/>
  <c r="F443" i="42" a="1"/>
  <c r="E340" i="42" a="1"/>
  <c r="E297" i="42" a="1"/>
  <c r="E419" i="42" a="1"/>
  <c r="H330" i="42" a="1"/>
  <c r="H335" i="42" a="1"/>
  <c r="H343" i="42" a="1"/>
  <c r="F403" i="42" a="1"/>
  <c r="F347" i="42" a="1"/>
  <c r="F414" i="42" a="1"/>
  <c r="F424" i="42" a="1"/>
  <c r="E378" i="42" a="1"/>
  <c r="E301" i="42" a="1"/>
  <c r="E352" i="42" a="1"/>
  <c r="H301" i="42" a="1"/>
  <c r="H313" i="42" a="1"/>
  <c r="H297" i="42" a="1"/>
  <c r="F437" i="42" a="1"/>
  <c r="F308" i="42" a="1"/>
  <c r="F286" i="42" a="1"/>
  <c r="E427" i="42" a="1"/>
  <c r="E285" i="42" a="1"/>
  <c r="E349" i="42" a="1"/>
  <c r="H295" i="42" a="1"/>
  <c r="H352" i="42" a="1"/>
  <c r="H434" i="42" a="1"/>
  <c r="F425" i="42" a="1"/>
  <c r="F302" i="42" a="1"/>
  <c r="F307" i="42" a="1"/>
  <c r="E395" i="42" a="1"/>
  <c r="E343" i="42" a="1"/>
  <c r="E336" i="42" a="1"/>
  <c r="H288" i="42" a="1"/>
  <c r="H363" i="42" a="1"/>
  <c r="H351" i="42" a="1"/>
  <c r="F339" i="42" a="1"/>
  <c r="F320" i="42" a="1"/>
  <c r="F326" i="42" a="1"/>
  <c r="E314" i="42" a="1"/>
  <c r="E387" i="42" a="1"/>
  <c r="E439" i="42" a="1"/>
  <c r="H361" i="42" a="1"/>
  <c r="H399" i="42" a="1"/>
  <c r="H321" i="42" a="1"/>
  <c r="H334" i="42" a="1"/>
  <c r="H383" i="42" a="1"/>
  <c r="H312" i="42" a="1"/>
  <c r="H353" i="42" a="1"/>
  <c r="H346" i="42" a="1"/>
  <c r="H340" i="42" a="1"/>
  <c r="H366" i="42" a="1"/>
  <c r="H308" i="42" a="1"/>
  <c r="H385" i="42" a="1"/>
  <c r="H391" i="42" a="1"/>
  <c r="F459" i="42" a="1"/>
  <c r="F361" i="42" a="1"/>
  <c r="F380" i="42" a="1"/>
  <c r="F372" i="42" a="1"/>
  <c r="F402" i="42" a="1"/>
  <c r="F444" i="42" a="1"/>
  <c r="F336" i="42" a="1"/>
  <c r="F323" i="42" a="1"/>
  <c r="F422" i="42" a="1"/>
  <c r="F341" i="42" a="1"/>
  <c r="F410" i="42" a="1"/>
  <c r="F332" i="42" a="1"/>
  <c r="E418" i="42" a="1"/>
  <c r="E312" i="42" a="1"/>
  <c r="E381" i="42" a="1"/>
  <c r="E391" i="42" a="1"/>
  <c r="E322" i="42" a="1"/>
  <c r="E357" i="42" a="1"/>
  <c r="E406" i="42" a="1"/>
  <c r="E451" i="42" a="1"/>
  <c r="E370" i="42" a="1"/>
  <c r="E383" i="42" a="1"/>
  <c r="E311" i="42" a="1"/>
  <c r="E307" i="42" a="1"/>
  <c r="H401" i="42" a="1"/>
  <c r="H394" i="42" a="1"/>
  <c r="H416" i="42" a="1"/>
  <c r="F370" i="42" a="1"/>
  <c r="F428" i="42" a="1"/>
  <c r="F385" i="42" a="1"/>
  <c r="F291" i="42" a="1"/>
  <c r="E394" i="42" a="1"/>
  <c r="E375" i="42" a="1"/>
  <c r="E318" i="42" a="1"/>
  <c r="H311" i="42" a="1"/>
  <c r="H323" i="42" a="1"/>
  <c r="H364" i="42" a="1"/>
  <c r="F457" i="42" a="1"/>
  <c r="F411" i="42" a="1"/>
  <c r="F429" i="42" a="1"/>
  <c r="E425" i="42" a="1"/>
  <c r="E450" i="42" a="1"/>
  <c r="E460" i="42" a="1"/>
  <c r="H355" i="42" a="1"/>
  <c r="H322" i="42" a="1"/>
  <c r="H431" i="42" a="1"/>
  <c r="F376" i="42" a="1"/>
  <c r="F358" i="42" a="1"/>
  <c r="F419" i="42" a="1"/>
  <c r="F328" i="42" a="1"/>
  <c r="E330" i="42" a="1"/>
  <c r="E457" i="42" a="1"/>
  <c r="E306" i="42" a="1"/>
  <c r="H293" i="42" a="1"/>
  <c r="H318" i="42" a="1"/>
  <c r="H444" i="42" a="1"/>
  <c r="F300" i="42" a="1"/>
  <c r="F432" i="42" a="1"/>
  <c r="F355" i="42" a="1"/>
  <c r="E295" i="42" a="1"/>
  <c r="E409" i="42" a="1"/>
  <c r="E452" i="42" a="1"/>
  <c r="H372" i="42" a="1"/>
  <c r="H344" i="42" a="1"/>
  <c r="H336" i="42" a="1"/>
  <c r="F446" i="42" a="1"/>
  <c r="F384" i="42" a="1"/>
  <c r="F374" i="42" a="1"/>
  <c r="E376" i="42" a="1"/>
  <c r="E323" i="42" a="1"/>
  <c r="E367" i="42" a="1"/>
  <c r="H374" i="42" a="1"/>
  <c r="H373" i="42" a="1"/>
  <c r="H358" i="42" a="1"/>
  <c r="F450" i="42" a="1"/>
  <c r="F460" i="42" a="1"/>
  <c r="F349" i="42" a="1"/>
  <c r="E286" i="42" a="1"/>
  <c r="E353" i="42" a="1"/>
  <c r="E320" i="42" a="1"/>
  <c r="H452" i="42" a="1"/>
  <c r="H405" i="42" a="1"/>
  <c r="H433" i="42" a="1"/>
  <c r="F340" i="42" a="1"/>
  <c r="F378" i="42" a="1"/>
  <c r="F297" i="42" a="1"/>
  <c r="E296" i="42" a="1"/>
  <c r="E315" i="42" a="1"/>
  <c r="E337" i="42" a="1"/>
  <c r="E302" i="42" a="1"/>
  <c r="H333" i="42" a="1"/>
  <c r="H300" i="42" a="1"/>
  <c r="H451" i="42" a="1"/>
  <c r="F406" i="42" a="1"/>
  <c r="F435" i="42" a="1"/>
  <c r="F383" i="42" a="1"/>
  <c r="E364" i="42" a="1"/>
  <c r="E287" i="42" a="1"/>
  <c r="E423" i="42" a="1"/>
  <c r="H455" i="42" a="1"/>
  <c r="H289" i="42" a="1"/>
  <c r="H379" i="42" a="1"/>
  <c r="H439" i="42" a="1"/>
  <c r="H315" i="42" a="1"/>
  <c r="H419" i="42" a="1"/>
  <c r="H408" i="42" a="1"/>
  <c r="H287" i="42" a="1"/>
  <c r="H423" i="42" a="1"/>
  <c r="H388" i="42" a="1"/>
  <c r="H414" i="42" a="1"/>
  <c r="H384" i="42" a="1"/>
  <c r="H396" i="42" a="1"/>
  <c r="F313" i="42" a="1"/>
  <c r="F455" i="42" a="1"/>
  <c r="F331" i="42" a="1"/>
  <c r="F334" i="42" a="1"/>
  <c r="F375" i="42" a="1"/>
  <c r="F453" i="42" a="1"/>
  <c r="F318" i="42" a="1"/>
  <c r="F299" i="42" a="1"/>
  <c r="F431" i="42" a="1"/>
  <c r="F379" i="42" a="1"/>
  <c r="F445" i="42" a="1"/>
  <c r="F395" i="42" a="1"/>
  <c r="E350" i="42" a="1"/>
  <c r="E313" i="42" a="1"/>
  <c r="E441" i="42" a="1"/>
  <c r="E288" i="42" a="1"/>
  <c r="E434" i="42" a="1"/>
  <c r="E333" i="42" a="1"/>
  <c r="E341" i="42" a="1"/>
  <c r="E373" i="42" a="1"/>
  <c r="E366" i="42" a="1"/>
  <c r="E355" i="42" a="1"/>
  <c r="E390" i="42" a="1"/>
  <c r="E345" i="42" a="1"/>
  <c r="H420" i="42" a="1"/>
  <c r="H458" i="42" a="1"/>
  <c r="H459" i="42" a="1"/>
  <c r="F296" i="42" a="1"/>
  <c r="F333" i="42" a="1"/>
  <c r="F400" i="42" a="1"/>
  <c r="E453" i="42" a="1"/>
  <c r="E332" i="42" a="1"/>
  <c r="E284" i="42" a="1"/>
  <c r="H367" i="42" a="1"/>
  <c r="H395" i="42" a="1"/>
  <c r="H390" i="42" a="1"/>
  <c r="F346" i="42" a="1"/>
  <c r="F335" i="42" a="1"/>
  <c r="F451" i="42" a="1"/>
  <c r="F397" i="42" a="1"/>
  <c r="E362" i="42" a="1"/>
  <c r="E456" i="42" a="1"/>
  <c r="E309" i="42" a="1"/>
  <c r="H292" i="42" a="1"/>
  <c r="H376" i="42" a="1"/>
  <c r="H425" i="42" a="1"/>
  <c r="F343" i="42" a="1"/>
  <c r="F434" i="42" a="1"/>
  <c r="F345" i="42" a="1"/>
  <c r="E308" i="42" a="1"/>
  <c r="E374" i="42" a="1"/>
  <c r="E351" i="42" a="1"/>
  <c r="H314" i="42" a="1"/>
  <c r="H435" i="42" a="1"/>
  <c r="H432" i="42" a="1"/>
  <c r="F391" i="42" a="1"/>
  <c r="F301" i="42" a="1"/>
  <c r="F408" i="42" a="1"/>
  <c r="E292" i="42" a="1"/>
  <c r="E428" i="42" a="1"/>
  <c r="E461" i="42" a="1"/>
  <c r="H453" i="42" a="1"/>
  <c r="H302" i="42" a="1"/>
  <c r="H339" i="42" a="1"/>
  <c r="F350" i="42" a="1"/>
  <c r="F306" i="42" a="1"/>
  <c r="F357" i="42" a="1"/>
  <c r="E410" i="42" a="1"/>
  <c r="E293" i="42" a="1"/>
  <c r="E417" i="42" a="1"/>
  <c r="H447" i="42" a="1"/>
  <c r="H329" i="42" a="1"/>
  <c r="H341" i="42" a="1"/>
  <c r="F319" i="42" a="1"/>
  <c r="F364" i="42" a="1"/>
  <c r="F388" i="42" a="1"/>
  <c r="E290" i="42" a="1"/>
  <c r="E459" i="42" a="1"/>
  <c r="E443" i="42" a="1"/>
  <c r="H332" i="42" a="1"/>
  <c r="H409" i="42" a="1"/>
  <c r="H357" i="42" a="1"/>
  <c r="F416" i="42" a="1"/>
  <c r="F317" i="42" a="1"/>
  <c r="F311" i="42" a="1"/>
  <c r="E331" i="42" a="1"/>
  <c r="E399" i="42" a="1"/>
  <c r="E335" i="42" a="1"/>
  <c r="H359" i="42" a="1"/>
  <c r="H407" i="42" a="1"/>
  <c r="H450" i="42" a="1"/>
  <c r="F407" i="42" a="1"/>
  <c r="F287" i="42" a="1"/>
  <c r="F439" i="42" a="1"/>
  <c r="E422" i="42" a="1"/>
  <c r="E407" i="42" a="1"/>
  <c r="E329" i="42" a="1"/>
  <c r="E432" i="42" a="1"/>
  <c r="E38" i="61" a="1"/>
  <c r="E39" i="61" a="1"/>
  <c r="F38" i="61" a="1"/>
  <c r="F7" i="61" a="1"/>
  <c r="E8" i="61" a="1"/>
  <c r="F39" i="61" a="1"/>
  <c r="F8" i="61" a="1"/>
  <c r="G167" i="2" l="1"/>
  <c r="G169" i="2" s="1"/>
  <c r="E458" i="42"/>
  <c r="E395" i="42"/>
  <c r="E331" i="42"/>
  <c r="F282" i="42"/>
  <c r="E290" i="42"/>
  <c r="E376" i="42"/>
  <c r="E432" i="42"/>
  <c r="E314" i="42"/>
  <c r="F326" i="42"/>
  <c r="F410" i="42"/>
  <c r="F311" i="42"/>
  <c r="H289" i="42"/>
  <c r="I289" i="42" s="1"/>
  <c r="H303" i="42"/>
  <c r="I303" i="42" s="1"/>
  <c r="E358" i="42"/>
  <c r="F293" i="42"/>
  <c r="F453" i="42"/>
  <c r="F441" i="42"/>
  <c r="H305" i="42"/>
  <c r="I305" i="42" s="1"/>
  <c r="H322" i="42"/>
  <c r="I322" i="42" s="1"/>
  <c r="E356" i="42"/>
  <c r="F424" i="42"/>
  <c r="F457" i="42"/>
  <c r="F292" i="42"/>
  <c r="H445" i="42"/>
  <c r="I445" i="42" s="1"/>
  <c r="H420" i="42"/>
  <c r="I420" i="42" s="1"/>
  <c r="E459" i="42"/>
  <c r="E405" i="42"/>
  <c r="F297" i="42"/>
  <c r="F318" i="42"/>
  <c r="F336" i="42"/>
  <c r="H379" i="42"/>
  <c r="I379" i="42" s="1"/>
  <c r="H359" i="42"/>
  <c r="I359" i="42" s="1"/>
  <c r="E311" i="42"/>
  <c r="E337" i="42"/>
  <c r="E400" i="42"/>
  <c r="F365" i="42"/>
  <c r="F434" i="42"/>
  <c r="H343" i="42"/>
  <c r="I343" i="42" s="1"/>
  <c r="H341" i="42"/>
  <c r="I341" i="42" s="1"/>
  <c r="E379" i="42"/>
  <c r="E286" i="42"/>
  <c r="E340" i="42"/>
  <c r="E302" i="42"/>
  <c r="E399" i="42"/>
  <c r="F328" i="42"/>
  <c r="E355" i="42"/>
  <c r="E301" i="42"/>
  <c r="E285" i="42"/>
  <c r="E353" i="42"/>
  <c r="F423" i="42"/>
  <c r="F349" i="42"/>
  <c r="F375" i="42"/>
  <c r="H339" i="42"/>
  <c r="I339" i="42" s="1"/>
  <c r="H336" i="42"/>
  <c r="I336" i="42" s="1"/>
  <c r="E289" i="42"/>
  <c r="E460" i="42"/>
  <c r="E343" i="42"/>
  <c r="E383" i="42"/>
  <c r="F444" i="42"/>
  <c r="F287" i="42"/>
  <c r="F445" i="42"/>
  <c r="H417" i="42"/>
  <c r="I417" i="42" s="1"/>
  <c r="H318" i="42"/>
  <c r="I318" i="42" s="1"/>
  <c r="E427" i="42"/>
  <c r="F296" i="42"/>
  <c r="F397" i="42"/>
  <c r="F447" i="42"/>
  <c r="H399" i="42"/>
  <c r="I399" i="42" s="1"/>
  <c r="H307" i="42"/>
  <c r="I307" i="42" s="1"/>
  <c r="E359" i="42"/>
  <c r="F314" i="42"/>
  <c r="F456" i="42"/>
  <c r="F420" i="42"/>
  <c r="H395" i="42"/>
  <c r="I395" i="42" s="1"/>
  <c r="H317" i="42"/>
  <c r="I317" i="42" s="1"/>
  <c r="H321" i="42"/>
  <c r="I321" i="42" s="1"/>
  <c r="E410" i="42"/>
  <c r="E416" i="42"/>
  <c r="E352" i="42"/>
  <c r="E315" i="42"/>
  <c r="F312" i="42"/>
  <c r="F313" i="42"/>
  <c r="F291" i="42"/>
  <c r="H332" i="42"/>
  <c r="I332" i="42" s="1"/>
  <c r="H396" i="42"/>
  <c r="I396" i="42" s="1"/>
  <c r="H435" i="42"/>
  <c r="I435" i="42" s="1"/>
  <c r="E378" i="42"/>
  <c r="E377" i="42"/>
  <c r="F402" i="42"/>
  <c r="F329" i="42"/>
  <c r="H432" i="42"/>
  <c r="I432" i="42" s="1"/>
  <c r="H446" i="42"/>
  <c r="I446" i="42" s="1"/>
  <c r="H431" i="42"/>
  <c r="I431" i="42" s="1"/>
  <c r="E361" i="42"/>
  <c r="E402" i="42"/>
  <c r="E282" i="42"/>
  <c r="E293" i="42"/>
  <c r="F331" i="42"/>
  <c r="F284" i="42"/>
  <c r="F459" i="42"/>
  <c r="H376" i="42"/>
  <c r="I376" i="42" s="1"/>
  <c r="H443" i="42"/>
  <c r="I443" i="42" s="1"/>
  <c r="H311" i="42"/>
  <c r="I311" i="42" s="1"/>
  <c r="E7" i="61"/>
  <c r="F8" i="61"/>
  <c r="F39" i="61"/>
  <c r="E8" i="61"/>
  <c r="F7" i="61"/>
  <c r="F38" i="61"/>
  <c r="E39" i="61"/>
  <c r="E38" i="61"/>
  <c r="H390" i="42"/>
  <c r="I390" i="42" s="1"/>
  <c r="H400" i="42"/>
  <c r="I400" i="42" s="1"/>
  <c r="H286" i="42"/>
  <c r="I286" i="42" s="1"/>
  <c r="E429" i="42"/>
  <c r="E435" i="42"/>
  <c r="E344" i="42"/>
  <c r="E439" i="42"/>
  <c r="E457" i="42"/>
  <c r="F374" i="42"/>
  <c r="F418" i="42"/>
  <c r="F387" i="42"/>
  <c r="F322" i="42"/>
  <c r="F289" i="42"/>
  <c r="H323" i="42"/>
  <c r="I323" i="42" s="1"/>
  <c r="H394" i="42"/>
  <c r="I394" i="42" s="1"/>
  <c r="H410" i="42"/>
  <c r="I410" i="42" s="1"/>
  <c r="H319" i="42"/>
  <c r="I319" i="42" s="1"/>
  <c r="H447" i="42"/>
  <c r="I447" i="42" s="1"/>
  <c r="E335" i="42"/>
  <c r="E456" i="42"/>
  <c r="E428" i="42"/>
  <c r="E409" i="42"/>
  <c r="E323" i="42"/>
  <c r="F395" i="42"/>
  <c r="F438" i="42"/>
  <c r="F443" i="42"/>
  <c r="F414" i="42"/>
  <c r="F435" i="42"/>
  <c r="H391" i="42"/>
  <c r="I391" i="42" s="1"/>
  <c r="H328" i="42"/>
  <c r="I328" i="42" s="1"/>
  <c r="H425" i="42"/>
  <c r="I425" i="42" s="1"/>
  <c r="H380" i="42"/>
  <c r="I380" i="42" s="1"/>
  <c r="H416" i="42"/>
  <c r="I416" i="42" s="1"/>
  <c r="E374" i="42"/>
  <c r="E297" i="42"/>
  <c r="E433" i="42"/>
  <c r="E292" i="42"/>
  <c r="E295" i="42"/>
  <c r="F461" i="42"/>
  <c r="F389" i="42"/>
  <c r="F332" i="42"/>
  <c r="F307" i="42"/>
  <c r="H337" i="42"/>
  <c r="I337" i="42" s="1"/>
  <c r="H422" i="42"/>
  <c r="I422" i="42" s="1"/>
  <c r="H458" i="42"/>
  <c r="I458" i="42" s="1"/>
  <c r="H315" i="42"/>
  <c r="I315" i="42" s="1"/>
  <c r="H439" i="42"/>
  <c r="I439" i="42" s="1"/>
  <c r="H326" i="42"/>
  <c r="I326" i="42" s="1"/>
  <c r="E303" i="42"/>
  <c r="E308" i="42"/>
  <c r="E425" i="42"/>
  <c r="E306" i="42"/>
  <c r="F359" i="42"/>
  <c r="F380" i="42"/>
  <c r="F455" i="42"/>
  <c r="F330" i="42"/>
  <c r="F321" i="42"/>
  <c r="H330" i="42"/>
  <c r="I330" i="42" s="1"/>
  <c r="H449" i="42"/>
  <c r="I449" i="42" s="1"/>
  <c r="H292" i="42"/>
  <c r="I292" i="42" s="1"/>
  <c r="H350" i="42"/>
  <c r="I350" i="42" s="1"/>
  <c r="H364" i="42"/>
  <c r="I364" i="42" s="1"/>
  <c r="E453" i="42"/>
  <c r="E309" i="42"/>
  <c r="E349" i="42"/>
  <c r="E329" i="42"/>
  <c r="E443" i="42"/>
  <c r="F320" i="42"/>
  <c r="F378" i="42"/>
  <c r="F427" i="42"/>
  <c r="F399" i="42"/>
  <c r="F361" i="42"/>
  <c r="F407" i="42"/>
  <c r="F396" i="42"/>
  <c r="F388" i="42"/>
  <c r="F367" i="42"/>
  <c r="F315" i="42"/>
  <c r="F344" i="42"/>
  <c r="H423" i="42"/>
  <c r="I423" i="42" s="1"/>
  <c r="H287" i="42"/>
  <c r="I287" i="42" s="1"/>
  <c r="H408" i="42"/>
  <c r="I408" i="42" s="1"/>
  <c r="H419" i="42"/>
  <c r="I419" i="42" s="1"/>
  <c r="H383" i="42"/>
  <c r="I383" i="42" s="1"/>
  <c r="H334" i="42"/>
  <c r="I334" i="42" s="1"/>
  <c r="H288" i="42"/>
  <c r="I288" i="42" s="1"/>
  <c r="H299" i="42"/>
  <c r="I299" i="42" s="1"/>
  <c r="H440" i="42"/>
  <c r="I440" i="42" s="1"/>
  <c r="H331" i="42"/>
  <c r="I331" i="42" s="1"/>
  <c r="H460" i="42"/>
  <c r="I460" i="42" s="1"/>
  <c r="H459" i="42"/>
  <c r="I459" i="42" s="1"/>
  <c r="E367" i="42"/>
  <c r="E375" i="42"/>
  <c r="E326" i="42"/>
  <c r="E450" i="42"/>
  <c r="E440" i="42"/>
  <c r="E330" i="42"/>
  <c r="E299" i="42"/>
  <c r="E447" i="42"/>
  <c r="E350" i="42"/>
  <c r="E318" i="42"/>
  <c r="E421" i="42"/>
  <c r="E438" i="42"/>
  <c r="F401" i="42"/>
  <c r="F317" i="42"/>
  <c r="F362" i="42"/>
  <c r="F285" i="42"/>
  <c r="F288" i="42"/>
  <c r="F363" i="42"/>
  <c r="F340" i="42"/>
  <c r="F383" i="42"/>
  <c r="F357" i="42"/>
  <c r="F429" i="42"/>
  <c r="F419" i="42"/>
  <c r="F308" i="42"/>
  <c r="H340" i="42"/>
  <c r="I340" i="42" s="1"/>
  <c r="H346" i="42"/>
  <c r="I346" i="42" s="1"/>
  <c r="H353" i="42"/>
  <c r="I353" i="42" s="1"/>
  <c r="H312" i="42"/>
  <c r="I312" i="42" s="1"/>
  <c r="H402" i="42"/>
  <c r="I402" i="42" s="1"/>
  <c r="H424" i="42"/>
  <c r="I424" i="42" s="1"/>
  <c r="H452" i="42"/>
  <c r="I452" i="42" s="1"/>
  <c r="H428" i="42"/>
  <c r="I428" i="42" s="1"/>
  <c r="H451" i="42"/>
  <c r="I451" i="42" s="1"/>
  <c r="H377" i="42"/>
  <c r="I377" i="42" s="1"/>
  <c r="H414" i="42"/>
  <c r="I414" i="42" s="1"/>
  <c r="H388" i="42"/>
  <c r="I388" i="42" s="1"/>
  <c r="H285" i="42"/>
  <c r="I285" i="42" s="1"/>
  <c r="H365" i="42"/>
  <c r="I365" i="42" s="1"/>
  <c r="H347" i="42"/>
  <c r="I347" i="42" s="1"/>
  <c r="E431" i="42"/>
  <c r="E446" i="42"/>
  <c r="E362" i="42"/>
  <c r="F406" i="42"/>
  <c r="F303" i="42"/>
  <c r="H356" i="42"/>
  <c r="I356" i="42" s="1"/>
  <c r="H457" i="42"/>
  <c r="I457" i="42" s="1"/>
  <c r="H370" i="42"/>
  <c r="I370" i="42" s="1"/>
  <c r="E291" i="42"/>
  <c r="E419" i="42"/>
  <c r="F408" i="42"/>
  <c r="F400" i="42"/>
  <c r="F451" i="42"/>
  <c r="H374" i="42"/>
  <c r="I374" i="42" s="1"/>
  <c r="H367" i="42"/>
  <c r="I367" i="42" s="1"/>
  <c r="E414" i="42"/>
  <c r="E437" i="42"/>
  <c r="E418" i="42"/>
  <c r="F460" i="42"/>
  <c r="F347" i="42"/>
  <c r="F394" i="42"/>
  <c r="H427" i="42"/>
  <c r="I427" i="42" s="1"/>
  <c r="H384" i="42"/>
  <c r="I384" i="42" s="1"/>
  <c r="E389" i="42"/>
  <c r="E333" i="42"/>
  <c r="E332" i="42"/>
  <c r="F381" i="42"/>
  <c r="F356" i="42"/>
  <c r="H308" i="42"/>
  <c r="I308" i="42" s="1"/>
  <c r="H366" i="42"/>
  <c r="I366" i="42" s="1"/>
  <c r="H437" i="42"/>
  <c r="I437" i="42" s="1"/>
  <c r="E461" i="42"/>
  <c r="E319" i="42"/>
  <c r="F458" i="42"/>
  <c r="E373" i="42"/>
  <c r="E305" i="42"/>
  <c r="E357" i="42"/>
  <c r="E434" i="42"/>
  <c r="E394" i="42"/>
  <c r="E441" i="42"/>
  <c r="E313" i="42"/>
  <c r="E380" i="42"/>
  <c r="E345" i="42"/>
  <c r="E411" i="42"/>
  <c r="E321" i="42"/>
  <c r="E300" i="42"/>
  <c r="F302" i="42"/>
  <c r="F306" i="42"/>
  <c r="F440" i="42"/>
  <c r="F437" i="42"/>
  <c r="F425" i="42"/>
  <c r="F352" i="42"/>
  <c r="F403" i="42"/>
  <c r="F286" i="42"/>
  <c r="F345" i="42"/>
  <c r="F431" i="42"/>
  <c r="F385" i="42"/>
  <c r="F432" i="42"/>
  <c r="H291" i="42"/>
  <c r="I291" i="42" s="1"/>
  <c r="H403" i="42"/>
  <c r="I403" i="42" s="1"/>
  <c r="H375" i="42"/>
  <c r="I375" i="42" s="1"/>
  <c r="H333" i="42"/>
  <c r="I333" i="42" s="1"/>
  <c r="H296" i="42"/>
  <c r="I296" i="42" s="1"/>
  <c r="H372" i="42"/>
  <c r="I372" i="42" s="1"/>
  <c r="H401" i="42"/>
  <c r="I401" i="42" s="1"/>
  <c r="H297" i="42"/>
  <c r="I297" i="42" s="1"/>
  <c r="H385" i="42"/>
  <c r="I385" i="42" s="1"/>
  <c r="H320" i="42"/>
  <c r="I320" i="42" s="1"/>
  <c r="H411" i="42"/>
  <c r="I411" i="42" s="1"/>
  <c r="H300" i="42"/>
  <c r="I300" i="42" s="1"/>
  <c r="H389" i="42"/>
  <c r="I389" i="42" s="1"/>
  <c r="H363" i="42"/>
  <c r="I363" i="42" s="1"/>
  <c r="H407" i="42"/>
  <c r="I407" i="42" s="1"/>
  <c r="E322" i="42"/>
  <c r="E288" i="42"/>
  <c r="E381" i="42"/>
  <c r="F295" i="42"/>
  <c r="F319" i="42"/>
  <c r="F339" i="42"/>
  <c r="H406" i="42"/>
  <c r="I406" i="42" s="1"/>
  <c r="H295" i="42"/>
  <c r="I295" i="42" s="1"/>
  <c r="E449" i="42"/>
  <c r="E451" i="42"/>
  <c r="E341" i="42"/>
  <c r="F390" i="42"/>
  <c r="F422" i="42"/>
  <c r="H314" i="42"/>
  <c r="I314" i="42" s="1"/>
  <c r="H455" i="42"/>
  <c r="I455" i="42" s="1"/>
  <c r="H456" i="42"/>
  <c r="I456" i="42" s="1"/>
  <c r="E424" i="42"/>
  <c r="E307" i="42"/>
  <c r="F305" i="42"/>
  <c r="F358" i="42"/>
  <c r="F300" i="42"/>
  <c r="H309" i="42"/>
  <c r="I309" i="42" s="1"/>
  <c r="H429" i="42"/>
  <c r="I429" i="42" s="1"/>
  <c r="E347" i="42"/>
  <c r="E372" i="42"/>
  <c r="E391" i="42"/>
  <c r="F351" i="42"/>
  <c r="F449" i="42"/>
  <c r="F366" i="42"/>
  <c r="H461" i="42"/>
  <c r="I461" i="42" s="1"/>
  <c r="H387" i="42"/>
  <c r="I387" i="42" s="1"/>
  <c r="E336" i="42"/>
  <c r="E284" i="42"/>
  <c r="F417" i="42"/>
  <c r="E406" i="42"/>
  <c r="E397" i="42"/>
  <c r="E384" i="42"/>
  <c r="E445" i="42"/>
  <c r="E420" i="42"/>
  <c r="E312" i="42"/>
  <c r="E422" i="42"/>
  <c r="E403" i="42"/>
  <c r="E408" i="42"/>
  <c r="E320" i="42"/>
  <c r="E366" i="42"/>
  <c r="E365" i="42"/>
  <c r="E328" i="42"/>
  <c r="F364" i="42"/>
  <c r="F452" i="42"/>
  <c r="F335" i="42"/>
  <c r="F405" i="42"/>
  <c r="F446" i="42"/>
  <c r="F416" i="42"/>
  <c r="F376" i="42"/>
  <c r="F355" i="42"/>
  <c r="F379" i="42"/>
  <c r="F353" i="42"/>
  <c r="F299" i="42"/>
  <c r="F290" i="42"/>
  <c r="H352" i="42"/>
  <c r="I352" i="42" s="1"/>
  <c r="H409" i="42"/>
  <c r="I409" i="42" s="1"/>
  <c r="H405" i="42"/>
  <c r="I405" i="42" s="1"/>
  <c r="H301" i="42"/>
  <c r="I301" i="42" s="1"/>
  <c r="H378" i="42"/>
  <c r="I378" i="42" s="1"/>
  <c r="H355" i="42"/>
  <c r="I355" i="42" s="1"/>
  <c r="H361" i="42"/>
  <c r="I361" i="42" s="1"/>
  <c r="H444" i="42"/>
  <c r="I444" i="42" s="1"/>
  <c r="H418" i="42"/>
  <c r="I418" i="42" s="1"/>
  <c r="H351" i="42"/>
  <c r="I351" i="42" s="1"/>
  <c r="H450" i="42"/>
  <c r="I450" i="42" s="1"/>
  <c r="H313" i="42"/>
  <c r="I313" i="42" s="1"/>
  <c r="H397" i="42"/>
  <c r="I397" i="42" s="1"/>
  <c r="H329" i="42"/>
  <c r="I329" i="42" s="1"/>
  <c r="E346" i="42"/>
  <c r="F428" i="42"/>
  <c r="F433" i="42"/>
  <c r="F391" i="42"/>
  <c r="H373" i="42"/>
  <c r="I373" i="42" s="1"/>
  <c r="H306" i="42"/>
  <c r="I306" i="42" s="1"/>
  <c r="E417" i="42"/>
  <c r="E370" i="42"/>
  <c r="F377" i="42"/>
  <c r="F341" i="42"/>
  <c r="F373" i="42"/>
  <c r="H453" i="42"/>
  <c r="I453" i="42" s="1"/>
  <c r="H362" i="42"/>
  <c r="I362" i="42" s="1"/>
  <c r="E401" i="42"/>
  <c r="E317" i="42"/>
  <c r="F384" i="42"/>
  <c r="F411" i="42"/>
  <c r="F334" i="42"/>
  <c r="H393" i="42"/>
  <c r="I393" i="42" s="1"/>
  <c r="H441" i="42"/>
  <c r="I441" i="42" s="1"/>
  <c r="E388" i="42"/>
  <c r="E455" i="42"/>
  <c r="F450" i="42"/>
  <c r="F346" i="42"/>
  <c r="F393" i="42"/>
  <c r="H421" i="42"/>
  <c r="I421" i="42" s="1"/>
  <c r="H357" i="42"/>
  <c r="I357" i="42" s="1"/>
  <c r="E296" i="42"/>
  <c r="E363" i="42"/>
  <c r="E396" i="42"/>
  <c r="E452" i="42"/>
  <c r="E334" i="42"/>
  <c r="E287" i="42"/>
  <c r="E393" i="42"/>
  <c r="E387" i="42"/>
  <c r="E407" i="42"/>
  <c r="E364" i="42"/>
  <c r="E444" i="42"/>
  <c r="E339" i="42"/>
  <c r="E385" i="42"/>
  <c r="E423" i="42"/>
  <c r="E390" i="42"/>
  <c r="E351" i="42"/>
  <c r="F323" i="42"/>
  <c r="F409" i="42"/>
  <c r="F301" i="42"/>
  <c r="F333" i="42"/>
  <c r="F372" i="42"/>
  <c r="F309" i="42"/>
  <c r="F343" i="42"/>
  <c r="F350" i="42"/>
  <c r="F370" i="42"/>
  <c r="F421" i="42"/>
  <c r="F337" i="42"/>
  <c r="F439" i="42"/>
  <c r="H433" i="42"/>
  <c r="I433" i="42" s="1"/>
  <c r="H290" i="42"/>
  <c r="I290" i="42" s="1"/>
  <c r="H302" i="42"/>
  <c r="I302" i="42" s="1"/>
  <c r="H344" i="42"/>
  <c r="I344" i="42" s="1"/>
  <c r="H335" i="42"/>
  <c r="I335" i="42" s="1"/>
  <c r="H293" i="42"/>
  <c r="I293" i="42" s="1"/>
  <c r="H438" i="42"/>
  <c r="I438" i="42" s="1"/>
  <c r="H349" i="42"/>
  <c r="I349" i="42" s="1"/>
  <c r="H284" i="42"/>
  <c r="I284" i="42" s="1"/>
  <c r="H345" i="42"/>
  <c r="I345" i="42" s="1"/>
  <c r="H434" i="42"/>
  <c r="I434" i="42" s="1"/>
  <c r="H381" i="42"/>
  <c r="I381" i="42" s="1"/>
  <c r="H358" i="42"/>
  <c r="I358" i="42" s="1"/>
  <c r="G130" i="2"/>
  <c r="H130" i="2" s="1"/>
  <c r="G131" i="2"/>
  <c r="H131" i="2" s="1"/>
  <c r="G100" i="2"/>
  <c r="H100" i="2" s="1"/>
  <c r="G140" i="2"/>
  <c r="H140" i="2" s="1"/>
  <c r="H109" i="2"/>
  <c r="H166" i="2"/>
  <c r="H167" i="2"/>
  <c r="G83" i="2"/>
  <c r="G79" i="2"/>
  <c r="I325" i="42"/>
  <c r="I369" i="42" l="1"/>
  <c r="I413" i="42"/>
  <c r="H169" i="2"/>
  <c r="H168" i="2"/>
  <c r="G84" i="2"/>
  <c r="H84" i="2" s="1"/>
  <c r="H87" i="9"/>
  <c r="L87" i="9"/>
  <c r="O87" i="9"/>
  <c r="AH87" i="9"/>
  <c r="P87" i="9"/>
  <c r="G87" i="9"/>
  <c r="Q87" i="9"/>
  <c r="R87" i="9"/>
  <c r="S87" i="9"/>
  <c r="N87" i="9"/>
  <c r="T87" i="9"/>
  <c r="M87" i="9"/>
  <c r="J87" i="9"/>
  <c r="K87" i="9"/>
  <c r="I87" i="9"/>
  <c r="H87" i="59"/>
  <c r="G87" i="59"/>
  <c r="I87" i="59"/>
  <c r="J87" i="59"/>
  <c r="K87" i="59"/>
  <c r="L87" i="59"/>
  <c r="M87" i="59"/>
  <c r="N87" i="59"/>
  <c r="O87" i="59"/>
  <c r="P87" i="59"/>
  <c r="Q87" i="59"/>
  <c r="R87" i="59"/>
  <c r="S87" i="59"/>
  <c r="E2" i="61" a="1"/>
  <c r="E2" i="61" l="1"/>
  <c r="C10" i="60" l="1" a="1"/>
  <c r="C10" i="60" s="1"/>
  <c r="C8" i="60" a="1"/>
  <c r="C8" i="60" s="1"/>
  <c r="C6" i="60"/>
  <c r="D3" i="60" a="1"/>
  <c r="D3" i="60" s="1"/>
  <c r="D2" i="60"/>
  <c r="E32" i="41"/>
  <c r="B37" i="41"/>
  <c r="B36" i="41"/>
  <c r="B35" i="41"/>
  <c r="B34" i="41"/>
  <c r="F53" i="4"/>
  <c r="I53" i="4" s="1"/>
  <c r="G20" i="32"/>
  <c r="H20" i="32" s="1"/>
  <c r="E84" i="42" a="1"/>
  <c r="F26" i="61" a="1"/>
  <c r="F25" i="61" a="1"/>
  <c r="E44" i="61" a="1"/>
  <c r="E33" i="61" a="1"/>
  <c r="E29" i="61" a="1"/>
  <c r="E15" i="61" a="1"/>
  <c r="E24" i="61" a="1"/>
  <c r="E28" i="61" a="1"/>
  <c r="F10" i="61" a="1"/>
  <c r="F21" i="61" a="1"/>
  <c r="E5" i="61" a="1"/>
  <c r="E131" i="42" a="1"/>
  <c r="E18" i="61" a="1"/>
  <c r="F28" i="42" a="1"/>
  <c r="F20" i="61" a="1"/>
  <c r="E10" i="61" a="1"/>
  <c r="F24" i="61" a="1"/>
  <c r="E6" i="61" a="1"/>
  <c r="F4" i="61" a="1"/>
  <c r="F18" i="61" a="1"/>
  <c r="F3" i="61" a="1"/>
  <c r="E20" i="42" a="1"/>
  <c r="F13" i="61" a="1"/>
  <c r="F5" i="61" a="1"/>
  <c r="E28" i="42" a="1"/>
  <c r="F43" i="61" a="1"/>
  <c r="F41" i="61" a="1"/>
  <c r="E14" i="61" a="1"/>
  <c r="F6" i="61" a="1"/>
  <c r="E22" i="61" a="1"/>
  <c r="F76" i="42" a="1"/>
  <c r="E37" i="61" a="1"/>
  <c r="F36" i="61" a="1"/>
  <c r="F30" i="61" a="1"/>
  <c r="E3" i="61" a="1"/>
  <c r="F23" i="61" a="1"/>
  <c r="F33" i="61" a="1"/>
  <c r="F14" i="61" a="1"/>
  <c r="F31" i="61" a="1"/>
  <c r="F2" i="61" a="1"/>
  <c r="E36" i="61" a="1"/>
  <c r="E41" i="61" a="1"/>
  <c r="F37" i="61" a="1"/>
  <c r="E21" i="61" a="1"/>
  <c r="F35" i="61" a="1"/>
  <c r="E25" i="61" a="1"/>
  <c r="F22" i="61" a="1"/>
  <c r="H76" i="42" a="1"/>
  <c r="F15" i="61" a="1"/>
  <c r="E11" i="61" a="1"/>
  <c r="F11" i="61" a="1"/>
  <c r="F19" i="61" a="1"/>
  <c r="F32" i="61" a="1"/>
  <c r="E27" i="61" a="1"/>
  <c r="F45" i="61" a="1"/>
  <c r="F12" i="61" a="1"/>
  <c r="F40" i="61" a="1"/>
  <c r="E4" i="61" a="1"/>
  <c r="E35" i="61" a="1"/>
  <c r="E31" i="61" a="1"/>
  <c r="E19" i="61" a="1"/>
  <c r="F28" i="61" a="1"/>
  <c r="H28" i="42" a="1"/>
  <c r="E16" i="61" a="1"/>
  <c r="E12" i="61" a="1"/>
  <c r="E45" i="61" a="1"/>
  <c r="F17" i="61" a="1"/>
  <c r="F34" i="61" a="1"/>
  <c r="E13" i="61" a="1"/>
  <c r="F42" i="61" a="1"/>
  <c r="E23" i="61" a="1"/>
  <c r="E34" i="61" a="1"/>
  <c r="E43" i="61" a="1"/>
  <c r="F9" i="61" a="1"/>
  <c r="E20" i="61" a="1"/>
  <c r="E42" i="61" a="1"/>
  <c r="E26" i="61" a="1"/>
  <c r="E76" i="42" a="1"/>
  <c r="E30" i="61" a="1"/>
  <c r="E9" i="61" a="1"/>
  <c r="F27" i="61" a="1"/>
  <c r="F29" i="61" a="1"/>
  <c r="E17" i="61" a="1"/>
  <c r="E32" i="61" a="1"/>
  <c r="E40" i="61" a="1"/>
  <c r="F44" i="61" a="1"/>
  <c r="F16" i="61" a="1"/>
  <c r="E6" i="61" l="1"/>
  <c r="E18" i="61"/>
  <c r="E25" i="61"/>
  <c r="E35" i="61"/>
  <c r="E43" i="61"/>
  <c r="E17" i="61"/>
  <c r="E19" i="61"/>
  <c r="E44" i="61"/>
  <c r="F9" i="61"/>
  <c r="F20" i="61"/>
  <c r="F27" i="61"/>
  <c r="F36" i="61"/>
  <c r="F44" i="61"/>
  <c r="F19" i="61"/>
  <c r="E36" i="61"/>
  <c r="E10" i="61"/>
  <c r="E21" i="61"/>
  <c r="E29" i="61"/>
  <c r="E37" i="61"/>
  <c r="E45" i="61"/>
  <c r="E28" i="61"/>
  <c r="F25" i="61"/>
  <c r="E27" i="61"/>
  <c r="F2" i="61"/>
  <c r="F10" i="61"/>
  <c r="F21" i="61"/>
  <c r="F29" i="61"/>
  <c r="F37" i="61"/>
  <c r="F45" i="61"/>
  <c r="F28" i="61"/>
  <c r="F18" i="61"/>
  <c r="E9" i="61"/>
  <c r="E3" i="61"/>
  <c r="E12" i="61"/>
  <c r="E22" i="61"/>
  <c r="E30" i="61"/>
  <c r="E40" i="61"/>
  <c r="E31" i="61"/>
  <c r="E13" i="61"/>
  <c r="F6" i="61"/>
  <c r="E20" i="61"/>
  <c r="F3" i="61"/>
  <c r="F12" i="61"/>
  <c r="F22" i="61"/>
  <c r="F30" i="61"/>
  <c r="F40" i="61"/>
  <c r="F31" i="61"/>
  <c r="F13" i="61"/>
  <c r="F43" i="61"/>
  <c r="E4" i="61"/>
  <c r="E14" i="61"/>
  <c r="E23" i="61"/>
  <c r="E33" i="61"/>
  <c r="E41" i="61"/>
  <c r="E16" i="61"/>
  <c r="E26" i="61"/>
  <c r="F35" i="61"/>
  <c r="F4" i="61"/>
  <c r="F14" i="61"/>
  <c r="F23" i="61"/>
  <c r="F33" i="61"/>
  <c r="F41" i="61"/>
  <c r="F16" i="61"/>
  <c r="F26" i="61"/>
  <c r="E5" i="61"/>
  <c r="E15" i="61"/>
  <c r="E24" i="61"/>
  <c r="E34" i="61"/>
  <c r="E42" i="61"/>
  <c r="E32" i="61"/>
  <c r="E11" i="61"/>
  <c r="F17" i="61"/>
  <c r="F5" i="61"/>
  <c r="F15" i="61"/>
  <c r="F24" i="61"/>
  <c r="F34" i="61"/>
  <c r="F42" i="61"/>
  <c r="F32" i="61"/>
  <c r="F11" i="61"/>
  <c r="H76" i="42"/>
  <c r="F76" i="42"/>
  <c r="E76" i="42"/>
  <c r="H28" i="42"/>
  <c r="F28" i="42"/>
  <c r="E28" i="42"/>
  <c r="E84" i="42"/>
  <c r="E20" i="42"/>
  <c r="E131" i="42"/>
  <c r="T20" i="59"/>
  <c r="H17" i="52"/>
  <c r="H24" i="52"/>
  <c r="H72" i="52"/>
  <c r="H109" i="52"/>
  <c r="H111" i="52"/>
  <c r="H132" i="52"/>
  <c r="E275" i="42" l="1" a="1"/>
  <c r="H277" i="42" a="1"/>
  <c r="E276" i="42" a="1"/>
  <c r="F276" i="42" a="1"/>
  <c r="H275" i="42" a="1"/>
  <c r="E278" i="42" a="1"/>
  <c r="E277" i="42" a="1"/>
  <c r="H276" i="42" a="1"/>
  <c r="E274" i="42" a="1"/>
  <c r="F275" i="42" a="1"/>
  <c r="H278" i="42" a="1"/>
  <c r="H274" i="42" a="1"/>
  <c r="F277" i="42" a="1"/>
  <c r="F278" i="42" a="1"/>
  <c r="F274" i="42" a="1"/>
  <c r="I273" i="42" l="1"/>
  <c r="H276" i="42"/>
  <c r="I276" i="42" s="1"/>
  <c r="F278" i="42"/>
  <c r="H278" i="42"/>
  <c r="I278" i="42" s="1"/>
  <c r="F274" i="42"/>
  <c r="H274" i="42"/>
  <c r="I274" i="42" s="1"/>
  <c r="E277" i="42"/>
  <c r="F277" i="42"/>
  <c r="E275" i="42"/>
  <c r="H277" i="42"/>
  <c r="I277" i="42" s="1"/>
  <c r="F275" i="42"/>
  <c r="E276" i="42"/>
  <c r="F276" i="42"/>
  <c r="E278" i="42"/>
  <c r="H275" i="42"/>
  <c r="I275" i="42" s="1"/>
  <c r="E274" i="42"/>
  <c r="A271" i="42" l="1"/>
  <c r="E279" i="42" a="1"/>
  <c r="H279" i="42" a="1"/>
  <c r="F279" i="42" a="1"/>
  <c r="E279" i="42" l="1"/>
  <c r="F279" i="42"/>
  <c r="H279" i="42"/>
  <c r="I279" i="42" s="1"/>
  <c r="H14" i="42" a="1"/>
  <c r="F13" i="42" a="1"/>
  <c r="H121" i="42" a="1"/>
  <c r="E121" i="42" a="1"/>
  <c r="F121" i="42" a="1"/>
  <c r="H14" i="42" l="1"/>
  <c r="F13" i="42"/>
  <c r="H121" i="42"/>
  <c r="F121" i="42"/>
  <c r="E121" i="42"/>
  <c r="G244" i="42"/>
  <c r="G228" i="42"/>
  <c r="G253" i="42"/>
  <c r="G254" i="42" s="1"/>
  <c r="G248" i="42" l="1"/>
  <c r="G249" i="42" s="1"/>
  <c r="G245" i="42"/>
  <c r="G231" i="42"/>
  <c r="G229" i="42"/>
  <c r="H253" i="42" a="1"/>
  <c r="F227" i="42" a="1"/>
  <c r="E248" i="42" a="1"/>
  <c r="E254" i="42" a="1"/>
  <c r="F231" i="42" a="1"/>
  <c r="H248" i="42" a="1"/>
  <c r="F247" i="42" a="1"/>
  <c r="F254" i="42" a="1"/>
  <c r="E232" i="42" a="1"/>
  <c r="H232" i="42" a="1"/>
  <c r="E253" i="42" a="1"/>
  <c r="F253" i="42" a="1"/>
  <c r="E252" i="42" a="1"/>
  <c r="E231" i="42" a="1"/>
  <c r="F248" i="42" a="1"/>
  <c r="E244" i="42" a="1"/>
  <c r="E229" i="42" a="1"/>
  <c r="F232" i="42" a="1"/>
  <c r="F229" i="42" a="1"/>
  <c r="H252" i="42" a="1"/>
  <c r="F252" i="42" a="1"/>
  <c r="H244" i="42" a="1"/>
  <c r="H231" i="42" a="1"/>
  <c r="E247" i="42" a="1"/>
  <c r="E245" i="42" a="1"/>
  <c r="H254" i="42" a="1"/>
  <c r="F244" i="42" a="1"/>
  <c r="H247" i="42" a="1"/>
  <c r="F245" i="42" a="1"/>
  <c r="H229" i="42" a="1"/>
  <c r="E227" i="42" a="1"/>
  <c r="H227" i="42" a="1"/>
  <c r="H245" i="42" a="1"/>
  <c r="G232" i="42" l="1"/>
  <c r="G233" i="42" s="1"/>
  <c r="H252" i="42"/>
  <c r="I252" i="42" s="1"/>
  <c r="H253" i="42"/>
  <c r="I253" i="42" s="1"/>
  <c r="H254" i="42"/>
  <c r="I254" i="42" s="1"/>
  <c r="F253" i="42"/>
  <c r="E253" i="42"/>
  <c r="E254" i="42"/>
  <c r="E252" i="42"/>
  <c r="F252" i="42"/>
  <c r="F254" i="42"/>
  <c r="F245" i="42"/>
  <c r="H245" i="42"/>
  <c r="I245" i="42" s="1"/>
  <c r="H244" i="42"/>
  <c r="I244" i="42" s="1"/>
  <c r="E245" i="42"/>
  <c r="E244" i="42"/>
  <c r="F244" i="42"/>
  <c r="H247" i="42"/>
  <c r="I247" i="42" s="1"/>
  <c r="F247" i="42"/>
  <c r="H232" i="42"/>
  <c r="H231" i="42"/>
  <c r="I231" i="42" s="1"/>
  <c r="E232" i="42"/>
  <c r="F232" i="42"/>
  <c r="E231" i="42"/>
  <c r="F231" i="42"/>
  <c r="E248" i="42"/>
  <c r="F248" i="42"/>
  <c r="H248" i="42"/>
  <c r="I248" i="42" s="1"/>
  <c r="E247" i="42"/>
  <c r="E227" i="42"/>
  <c r="F227" i="42"/>
  <c r="H227" i="42"/>
  <c r="E229" i="42"/>
  <c r="F229" i="42"/>
  <c r="H229" i="42"/>
  <c r="I229" i="42" s="1"/>
  <c r="H13" i="32"/>
  <c r="F288" i="35"/>
  <c r="E256" i="42"/>
  <c r="AI40" i="9"/>
  <c r="AI42" i="9"/>
  <c r="AI47" i="9"/>
  <c r="AI48" i="9"/>
  <c r="AI121" i="9"/>
  <c r="AI122" i="9"/>
  <c r="AI123" i="9"/>
  <c r="AI125" i="9"/>
  <c r="F345" i="35"/>
  <c r="F344" i="35"/>
  <c r="F343" i="35"/>
  <c r="F342" i="35"/>
  <c r="F341" i="35"/>
  <c r="F340" i="35"/>
  <c r="F339" i="35"/>
  <c r="F338" i="35"/>
  <c r="F337" i="35"/>
  <c r="F336" i="35"/>
  <c r="F335" i="35"/>
  <c r="F334" i="35"/>
  <c r="F333" i="35"/>
  <c r="F332" i="35"/>
  <c r="F331" i="35"/>
  <c r="F330" i="35"/>
  <c r="F329" i="35"/>
  <c r="F328" i="35"/>
  <c r="F327" i="35"/>
  <c r="F326" i="35"/>
  <c r="F325" i="35"/>
  <c r="F324" i="35"/>
  <c r="F323" i="35"/>
  <c r="F322" i="35"/>
  <c r="F321" i="35"/>
  <c r="F320" i="35"/>
  <c r="F319" i="35"/>
  <c r="F318" i="35"/>
  <c r="AA343" i="35"/>
  <c r="Z343" i="35" a="1"/>
  <c r="Z343" i="35" s="1"/>
  <c r="Y343" i="35" a="1"/>
  <c r="Y343" i="35" s="1"/>
  <c r="X343" i="35" a="1"/>
  <c r="X343" i="35" s="1"/>
  <c r="W343" i="35" a="1"/>
  <c r="W343" i="35" s="1"/>
  <c r="AA342" i="35"/>
  <c r="Z342" i="35" a="1"/>
  <c r="Z342" i="35" s="1"/>
  <c r="Y342" i="35" a="1"/>
  <c r="Y342" i="35" s="1"/>
  <c r="X342" i="35" a="1"/>
  <c r="X342" i="35" s="1"/>
  <c r="W342" i="35" a="1"/>
  <c r="W342" i="35" s="1"/>
  <c r="AA341" i="35"/>
  <c r="Z341" i="35" a="1"/>
  <c r="Z341" i="35" s="1"/>
  <c r="Y341" i="35" a="1"/>
  <c r="Y341" i="35" s="1"/>
  <c r="X341" i="35" a="1"/>
  <c r="X341" i="35" s="1"/>
  <c r="W341" i="35" a="1"/>
  <c r="W341" i="35" s="1"/>
  <c r="AA340" i="35"/>
  <c r="Z340" i="35" a="1"/>
  <c r="Z340" i="35" s="1"/>
  <c r="Y340" i="35" a="1"/>
  <c r="Y340" i="35" s="1"/>
  <c r="X340" i="35" a="1"/>
  <c r="X340" i="35" s="1"/>
  <c r="W340" i="35" a="1"/>
  <c r="W340" i="35" s="1"/>
  <c r="AA339" i="35"/>
  <c r="Z339" i="35" a="1"/>
  <c r="Z339" i="35" s="1"/>
  <c r="Y339" i="35" a="1"/>
  <c r="Y339" i="35" s="1"/>
  <c r="X339" i="35" a="1"/>
  <c r="X339" i="35" s="1"/>
  <c r="W339" i="35" a="1"/>
  <c r="W339" i="35" s="1"/>
  <c r="AA338" i="35"/>
  <c r="Z338" i="35" a="1"/>
  <c r="Z338" i="35" s="1"/>
  <c r="Y338" i="35" a="1"/>
  <c r="Y338" i="35" s="1"/>
  <c r="X338" i="35" a="1"/>
  <c r="X338" i="35" s="1"/>
  <c r="W338" i="35" a="1"/>
  <c r="W338" i="35" s="1"/>
  <c r="AA337" i="35"/>
  <c r="Z337" i="35" a="1"/>
  <c r="Z337" i="35" s="1"/>
  <c r="Y337" i="35" a="1"/>
  <c r="Y337" i="35" s="1"/>
  <c r="X337" i="35" a="1"/>
  <c r="X337" i="35" s="1"/>
  <c r="W337" i="35" a="1"/>
  <c r="W337" i="35" s="1"/>
  <c r="AA336" i="35"/>
  <c r="Z336" i="35" a="1"/>
  <c r="Z336" i="35" s="1"/>
  <c r="Y336" i="35" a="1"/>
  <c r="Y336" i="35" s="1"/>
  <c r="X336" i="35" a="1"/>
  <c r="X336" i="35" s="1"/>
  <c r="W336" i="35" a="1"/>
  <c r="W336" i="35" s="1"/>
  <c r="AA335" i="35"/>
  <c r="Z335" i="35" a="1"/>
  <c r="Z335" i="35" s="1"/>
  <c r="Y335" i="35" a="1"/>
  <c r="Y335" i="35" s="1"/>
  <c r="X335" i="35" a="1"/>
  <c r="X335" i="35" s="1"/>
  <c r="W335" i="35" a="1"/>
  <c r="W335" i="35" s="1"/>
  <c r="AA334" i="35"/>
  <c r="Z334" i="35" a="1"/>
  <c r="Z334" i="35" s="1"/>
  <c r="Y334" i="35" a="1"/>
  <c r="Y334" i="35" s="1"/>
  <c r="X334" i="35" a="1"/>
  <c r="X334" i="35" s="1"/>
  <c r="W334" i="35" a="1"/>
  <c r="W334" i="35" s="1"/>
  <c r="AA333" i="35"/>
  <c r="Z333" i="35" a="1"/>
  <c r="Z333" i="35" s="1"/>
  <c r="Y333" i="35" a="1"/>
  <c r="Y333" i="35" s="1"/>
  <c r="X333" i="35" a="1"/>
  <c r="X333" i="35" s="1"/>
  <c r="W333" i="35" a="1"/>
  <c r="W333" i="35" s="1"/>
  <c r="AA332" i="35"/>
  <c r="Z332" i="35" a="1"/>
  <c r="Z332" i="35" s="1"/>
  <c r="Y332" i="35" a="1"/>
  <c r="Y332" i="35" s="1"/>
  <c r="X332" i="35" a="1"/>
  <c r="X332" i="35" s="1"/>
  <c r="W332" i="35" a="1"/>
  <c r="W332" i="35" s="1"/>
  <c r="AA331" i="35"/>
  <c r="Z331" i="35" a="1"/>
  <c r="Z331" i="35" s="1"/>
  <c r="Y331" i="35" a="1"/>
  <c r="Y331" i="35" s="1"/>
  <c r="X331" i="35" a="1"/>
  <c r="X331" i="35" s="1"/>
  <c r="W331" i="35" a="1"/>
  <c r="W331" i="35" s="1"/>
  <c r="AA330" i="35"/>
  <c r="Z330" i="35" a="1"/>
  <c r="Z330" i="35" s="1"/>
  <c r="Y330" i="35" a="1"/>
  <c r="Y330" i="35" s="1"/>
  <c r="X330" i="35" a="1"/>
  <c r="X330" i="35" s="1"/>
  <c r="W330" i="35" a="1"/>
  <c r="W330" i="35" s="1"/>
  <c r="AA329" i="35"/>
  <c r="Z329" i="35" a="1"/>
  <c r="Z329" i="35" s="1"/>
  <c r="Y329" i="35" a="1"/>
  <c r="Y329" i="35" s="1"/>
  <c r="X329" i="35" a="1"/>
  <c r="X329" i="35" s="1"/>
  <c r="W329" i="35" a="1"/>
  <c r="W329" i="35" s="1"/>
  <c r="AA328" i="35"/>
  <c r="Z328" i="35" a="1"/>
  <c r="Z328" i="35" s="1"/>
  <c r="Y328" i="35" a="1"/>
  <c r="Y328" i="35" s="1"/>
  <c r="X328" i="35" a="1"/>
  <c r="X328" i="35" s="1"/>
  <c r="W328" i="35" a="1"/>
  <c r="W328" i="35" s="1"/>
  <c r="AA327" i="35"/>
  <c r="Z327" i="35" a="1"/>
  <c r="Z327" i="35" s="1"/>
  <c r="Y327" i="35" a="1"/>
  <c r="Y327" i="35" s="1"/>
  <c r="X327" i="35" a="1"/>
  <c r="X327" i="35" s="1"/>
  <c r="W327" i="35" a="1"/>
  <c r="W327" i="35" s="1"/>
  <c r="AA326" i="35"/>
  <c r="Z326" i="35" a="1"/>
  <c r="Z326" i="35" s="1"/>
  <c r="Y326" i="35" a="1"/>
  <c r="Y326" i="35" s="1"/>
  <c r="X326" i="35" a="1"/>
  <c r="X326" i="35" s="1"/>
  <c r="W326" i="35" a="1"/>
  <c r="W326" i="35" s="1"/>
  <c r="AA325" i="35"/>
  <c r="Z325" i="35" a="1"/>
  <c r="Z325" i="35" s="1"/>
  <c r="Y325" i="35" a="1"/>
  <c r="Y325" i="35" s="1"/>
  <c r="X325" i="35" a="1"/>
  <c r="X325" i="35" s="1"/>
  <c r="W325" i="35" a="1"/>
  <c r="W325" i="35" s="1"/>
  <c r="AA324" i="35"/>
  <c r="Z324" i="35" a="1"/>
  <c r="Z324" i="35" s="1"/>
  <c r="Y324" i="35" a="1"/>
  <c r="Y324" i="35" s="1"/>
  <c r="X324" i="35" a="1"/>
  <c r="X324" i="35" s="1"/>
  <c r="W324" i="35" a="1"/>
  <c r="W324" i="35" s="1"/>
  <c r="AA323" i="35"/>
  <c r="Z323" i="35" a="1"/>
  <c r="Z323" i="35" s="1"/>
  <c r="Y323" i="35" a="1"/>
  <c r="Y323" i="35" s="1"/>
  <c r="X323" i="35" a="1"/>
  <c r="X323" i="35" s="1"/>
  <c r="W323" i="35" a="1"/>
  <c r="W323" i="35" s="1"/>
  <c r="AA322" i="35"/>
  <c r="Z322" i="35" a="1"/>
  <c r="Z322" i="35" s="1"/>
  <c r="Y322" i="35" a="1"/>
  <c r="Y322" i="35" s="1"/>
  <c r="X322" i="35" a="1"/>
  <c r="X322" i="35" s="1"/>
  <c r="W322" i="35" a="1"/>
  <c r="W322" i="35" s="1"/>
  <c r="AA321" i="35"/>
  <c r="Z321" i="35" a="1"/>
  <c r="Z321" i="35" s="1"/>
  <c r="Y321" i="35" a="1"/>
  <c r="Y321" i="35" s="1"/>
  <c r="X321" i="35" a="1"/>
  <c r="X321" i="35" s="1"/>
  <c r="W321" i="35" a="1"/>
  <c r="W321" i="35" s="1"/>
  <c r="AA320" i="35"/>
  <c r="Z320" i="35" a="1"/>
  <c r="Z320" i="35" s="1"/>
  <c r="Y320" i="35" a="1"/>
  <c r="Y320" i="35" s="1"/>
  <c r="X320" i="35" a="1"/>
  <c r="X320" i="35" s="1"/>
  <c r="W320" i="35" a="1"/>
  <c r="W320" i="35" s="1"/>
  <c r="AA319" i="35"/>
  <c r="Z319" i="35" a="1"/>
  <c r="Z319" i="35" s="1"/>
  <c r="Y319" i="35" a="1"/>
  <c r="Y319" i="35" s="1"/>
  <c r="X319" i="35" a="1"/>
  <c r="X319" i="35" s="1"/>
  <c r="W319" i="35" a="1"/>
  <c r="W319" i="35" s="1"/>
  <c r="AA318" i="35"/>
  <c r="Z318" i="35" a="1"/>
  <c r="Z318" i="35" s="1"/>
  <c r="Y318" i="35" a="1"/>
  <c r="Y318" i="35" s="1"/>
  <c r="X318" i="35" a="1"/>
  <c r="X318" i="35" s="1"/>
  <c r="W318" i="35" a="1"/>
  <c r="W318" i="35" s="1"/>
  <c r="AA317" i="35"/>
  <c r="Z317" i="35" a="1"/>
  <c r="Z317" i="35" s="1"/>
  <c r="Y317" i="35" a="1"/>
  <c r="Y317" i="35" s="1"/>
  <c r="X317" i="35" a="1"/>
  <c r="X317" i="35" s="1"/>
  <c r="W317" i="35" a="1"/>
  <c r="W317" i="35" s="1"/>
  <c r="AA316" i="35"/>
  <c r="Z316" i="35" a="1"/>
  <c r="Z316" i="35" s="1"/>
  <c r="Y316" i="35" a="1"/>
  <c r="Y316" i="35" s="1"/>
  <c r="X316" i="35" a="1"/>
  <c r="X316" i="35" s="1"/>
  <c r="W316" i="35" a="1"/>
  <c r="W316" i="35" s="1"/>
  <c r="AA315" i="35"/>
  <c r="Z315" i="35" a="1"/>
  <c r="Z315" i="35" s="1"/>
  <c r="Y315" i="35" a="1"/>
  <c r="Y315" i="35" s="1"/>
  <c r="X315" i="35" a="1"/>
  <c r="X315" i="35" s="1"/>
  <c r="W315" i="35" a="1"/>
  <c r="W315" i="35" s="1"/>
  <c r="T340" i="35"/>
  <c r="T339" i="35"/>
  <c r="T338" i="35"/>
  <c r="T337" i="35"/>
  <c r="T336" i="35"/>
  <c r="T335" i="35"/>
  <c r="T334" i="35"/>
  <c r="T333" i="35"/>
  <c r="T332" i="35"/>
  <c r="T331" i="35"/>
  <c r="T330" i="35"/>
  <c r="T329" i="35"/>
  <c r="T328" i="35"/>
  <c r="T327" i="35"/>
  <c r="T326" i="35"/>
  <c r="T325" i="35"/>
  <c r="T324" i="35"/>
  <c r="T323" i="35"/>
  <c r="T322" i="35"/>
  <c r="T321" i="35"/>
  <c r="T320" i="35"/>
  <c r="T319" i="35"/>
  <c r="T318" i="35"/>
  <c r="T317" i="35"/>
  <c r="T316" i="35"/>
  <c r="T315" i="35"/>
  <c r="H230" i="42" a="1"/>
  <c r="E233" i="42" a="1"/>
  <c r="E225" i="42" a="1"/>
  <c r="F226" i="42" a="1"/>
  <c r="E258" i="42" a="1"/>
  <c r="F230" i="42" a="1"/>
  <c r="E230" i="42" a="1"/>
  <c r="E228" i="42" a="1"/>
  <c r="F228" i="42" a="1"/>
  <c r="F258" i="42" a="1"/>
  <c r="H226" i="42" a="1"/>
  <c r="E226" i="42" a="1"/>
  <c r="F257" i="42" a="1"/>
  <c r="H233" i="42" a="1"/>
  <c r="H225" i="42" a="1"/>
  <c r="H257" i="42" a="1"/>
  <c r="F20" i="42" a="1"/>
  <c r="H258" i="42" a="1"/>
  <c r="F233" i="42" a="1"/>
  <c r="H228" i="42" a="1"/>
  <c r="F225" i="42" a="1"/>
  <c r="A256" i="42" l="1"/>
  <c r="I232" i="42"/>
  <c r="I227" i="42"/>
  <c r="E228" i="42"/>
  <c r="F228" i="42"/>
  <c r="H228" i="42"/>
  <c r="I228" i="42" s="1"/>
  <c r="H225" i="42"/>
  <c r="H226" i="42"/>
  <c r="H230" i="42"/>
  <c r="I230" i="42" s="1"/>
  <c r="H233" i="42"/>
  <c r="I233" i="42" s="1"/>
  <c r="E226" i="42"/>
  <c r="F226" i="42"/>
  <c r="E230" i="42"/>
  <c r="F230" i="42"/>
  <c r="E225" i="42"/>
  <c r="E233" i="42"/>
  <c r="F225" i="42"/>
  <c r="F233" i="42"/>
  <c r="H258" i="42"/>
  <c r="I258" i="42" s="1"/>
  <c r="H257" i="42"/>
  <c r="I257" i="42" s="1"/>
  <c r="F257" i="42"/>
  <c r="E258" i="42"/>
  <c r="F258" i="42"/>
  <c r="F20" i="42"/>
  <c r="N107" i="59"/>
  <c r="N18" i="59"/>
  <c r="M107" i="59"/>
  <c r="M19" i="59"/>
  <c r="M18" i="59"/>
  <c r="L107" i="59"/>
  <c r="L19" i="59"/>
  <c r="L18" i="59"/>
  <c r="K107" i="59"/>
  <c r="K19" i="59"/>
  <c r="K18" i="59"/>
  <c r="J107" i="59"/>
  <c r="J19" i="59"/>
  <c r="J18" i="59"/>
  <c r="I107" i="59"/>
  <c r="I19" i="59"/>
  <c r="I18" i="59"/>
  <c r="H107" i="59"/>
  <c r="H19" i="59"/>
  <c r="H18" i="59"/>
  <c r="G74" i="52"/>
  <c r="G76" i="52" s="1"/>
  <c r="H76" i="52" l="1"/>
  <c r="H74" i="52"/>
  <c r="I226" i="42"/>
  <c r="I225" i="42"/>
  <c r="I256" i="42"/>
  <c r="J25" i="59" a="1"/>
  <c r="J25" i="59" s="1"/>
  <c r="J35" i="59" s="1"/>
  <c r="K25" i="59" a="1"/>
  <c r="K25" i="59" s="1"/>
  <c r="K76" i="59" s="1"/>
  <c r="I25" i="59" a="1"/>
  <c r="I25" i="59" s="1"/>
  <c r="I95" i="59" s="1"/>
  <c r="I101" i="59" s="1"/>
  <c r="L22" i="59" a="1"/>
  <c r="L22" i="59" s="1"/>
  <c r="L21" i="59" s="1"/>
  <c r="L23" i="59" s="1"/>
  <c r="J26" i="59" a="1"/>
  <c r="J26" i="59" s="1"/>
  <c r="L25" i="59" a="1"/>
  <c r="L25" i="59" s="1"/>
  <c r="L35" i="59" s="1"/>
  <c r="J27" i="59" a="1"/>
  <c r="J27" i="59" s="1"/>
  <c r="H27" i="59" a="1"/>
  <c r="H27" i="59" s="1"/>
  <c r="I26" i="59" a="1"/>
  <c r="I26" i="59" s="1"/>
  <c r="I27" i="59" a="1"/>
  <c r="I27" i="59" s="1"/>
  <c r="M22" i="59" a="1"/>
  <c r="M22" i="59" s="1"/>
  <c r="M21" i="59" s="1"/>
  <c r="M23" i="59" s="1"/>
  <c r="K26" i="59" a="1"/>
  <c r="K26" i="59" s="1"/>
  <c r="H22" i="59" a="1"/>
  <c r="H22" i="59" s="1"/>
  <c r="N22" i="59" a="1"/>
  <c r="N22" i="59" s="1"/>
  <c r="K27" i="59" a="1"/>
  <c r="K27" i="59" s="1"/>
  <c r="L26" i="59" a="1"/>
  <c r="L26" i="59" s="1"/>
  <c r="M25" i="59" a="1"/>
  <c r="M25" i="59" s="1"/>
  <c r="I22" i="59" a="1"/>
  <c r="I22" i="59" s="1"/>
  <c r="H25" i="59" a="1"/>
  <c r="H25" i="59" s="1"/>
  <c r="L27" i="59" a="1"/>
  <c r="L27" i="59" s="1"/>
  <c r="M26" i="59" a="1"/>
  <c r="M26" i="59" s="1"/>
  <c r="N25" i="59" a="1"/>
  <c r="N25" i="59" s="1"/>
  <c r="J22" i="59" a="1"/>
  <c r="J22" i="59" s="1"/>
  <c r="H26" i="59" a="1"/>
  <c r="H26" i="59" s="1"/>
  <c r="M27" i="59" a="1"/>
  <c r="M27" i="59" s="1"/>
  <c r="N26" i="59" a="1"/>
  <c r="N26" i="59" s="1"/>
  <c r="K22" i="59" a="1"/>
  <c r="K22" i="59" s="1"/>
  <c r="N27" i="59" a="1"/>
  <c r="N27" i="59" s="1"/>
  <c r="J93" i="59" l="1"/>
  <c r="J99" i="59" s="1"/>
  <c r="J37" i="59"/>
  <c r="J95" i="59"/>
  <c r="J101" i="59" s="1"/>
  <c r="J90" i="59"/>
  <c r="J76" i="59"/>
  <c r="J92" i="59"/>
  <c r="J94" i="59"/>
  <c r="J100" i="59" s="1"/>
  <c r="K37" i="59"/>
  <c r="K94" i="59"/>
  <c r="K100" i="59" s="1"/>
  <c r="K90" i="59"/>
  <c r="K35" i="59"/>
  <c r="K95" i="59"/>
  <c r="K101" i="59" s="1"/>
  <c r="K93" i="59"/>
  <c r="K99" i="59" s="1"/>
  <c r="K92" i="59"/>
  <c r="I37" i="59"/>
  <c r="I92" i="59"/>
  <c r="I94" i="59"/>
  <c r="I100" i="59" s="1"/>
  <c r="I93" i="59"/>
  <c r="I99" i="59" s="1"/>
  <c r="L94" i="59"/>
  <c r="L100" i="59" s="1"/>
  <c r="I90" i="59"/>
  <c r="L76" i="59"/>
  <c r="I76" i="59"/>
  <c r="I35" i="59"/>
  <c r="L95" i="59"/>
  <c r="L101" i="59" s="1"/>
  <c r="L37" i="59"/>
  <c r="L92" i="59"/>
  <c r="L75" i="59"/>
  <c r="L90" i="59"/>
  <c r="L93" i="59"/>
  <c r="L99" i="59" s="1"/>
  <c r="L91" i="59"/>
  <c r="J21" i="59"/>
  <c r="K21" i="59"/>
  <c r="N37" i="59"/>
  <c r="N95" i="59"/>
  <c r="N101" i="59" s="1"/>
  <c r="N35" i="59"/>
  <c r="N94" i="59"/>
  <c r="N100" i="59" s="1"/>
  <c r="N93" i="59"/>
  <c r="N99" i="59" s="1"/>
  <c r="N91" i="59"/>
  <c r="N90" i="59"/>
  <c r="N21" i="59"/>
  <c r="N23" i="59" s="1"/>
  <c r="H95" i="59"/>
  <c r="H101" i="59" s="1"/>
  <c r="H35" i="59"/>
  <c r="H94" i="59"/>
  <c r="H100" i="59" s="1"/>
  <c r="H93" i="59"/>
  <c r="H99" i="59" s="1"/>
  <c r="H92" i="59"/>
  <c r="H76" i="59"/>
  <c r="H90" i="59"/>
  <c r="H37" i="59"/>
  <c r="H21" i="59"/>
  <c r="H23" i="59" s="1"/>
  <c r="L36" i="59"/>
  <c r="I21" i="59"/>
  <c r="M37" i="59"/>
  <c r="M95" i="59"/>
  <c r="M101" i="59" s="1"/>
  <c r="M35" i="59"/>
  <c r="M94" i="59"/>
  <c r="M100" i="59" s="1"/>
  <c r="M90" i="59"/>
  <c r="M75" i="59"/>
  <c r="M93" i="59"/>
  <c r="M99" i="59" s="1"/>
  <c r="M92" i="59"/>
  <c r="M91" i="59"/>
  <c r="M76" i="59"/>
  <c r="K36" i="59" l="1"/>
  <c r="J36" i="59"/>
  <c r="N76" i="59"/>
  <c r="N92" i="59"/>
  <c r="H75" i="59"/>
  <c r="H91" i="59"/>
  <c r="I23" i="59"/>
  <c r="I91" i="59"/>
  <c r="I36" i="59"/>
  <c r="I75" i="59"/>
  <c r="N75" i="59"/>
  <c r="K23" i="59"/>
  <c r="K75" i="59"/>
  <c r="K91" i="59"/>
  <c r="H36" i="59"/>
  <c r="N36" i="59"/>
  <c r="J23" i="59"/>
  <c r="J91" i="59"/>
  <c r="J75" i="59"/>
  <c r="M36" i="59"/>
  <c r="Q107" i="59" l="1"/>
  <c r="Q18" i="59"/>
  <c r="G18" i="9"/>
  <c r="H18" i="9"/>
  <c r="I18" i="9"/>
  <c r="J18" i="9"/>
  <c r="K18" i="9"/>
  <c r="L18" i="9"/>
  <c r="M18" i="9"/>
  <c r="N18" i="9"/>
  <c r="O18" i="9"/>
  <c r="P18" i="9"/>
  <c r="Q18" i="9"/>
  <c r="R18" i="9"/>
  <c r="S18" i="9"/>
  <c r="T18" i="9"/>
  <c r="H19" i="9"/>
  <c r="I19" i="9"/>
  <c r="J19" i="9"/>
  <c r="K19" i="9"/>
  <c r="L19" i="9"/>
  <c r="M19" i="9"/>
  <c r="N19" i="9"/>
  <c r="O19" i="9"/>
  <c r="P19" i="9"/>
  <c r="Q19" i="9"/>
  <c r="R19" i="9"/>
  <c r="S19" i="9"/>
  <c r="T19" i="9"/>
  <c r="F4" i="35"/>
  <c r="F5" i="35"/>
  <c r="F6" i="35"/>
  <c r="F7" i="35"/>
  <c r="F8" i="35"/>
  <c r="F9" i="35"/>
  <c r="F10" i="35"/>
  <c r="F11" i="35"/>
  <c r="F12"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F45" i="35"/>
  <c r="F46" i="35"/>
  <c r="F47" i="35"/>
  <c r="F48" i="35"/>
  <c r="F49" i="35"/>
  <c r="F50" i="35"/>
  <c r="F51" i="35"/>
  <c r="F52" i="35"/>
  <c r="F53" i="35"/>
  <c r="F54" i="35"/>
  <c r="F55" i="35"/>
  <c r="F56" i="35"/>
  <c r="F57" i="35"/>
  <c r="F58" i="35"/>
  <c r="F59" i="35"/>
  <c r="F60" i="35"/>
  <c r="F61" i="35"/>
  <c r="F62" i="35"/>
  <c r="F63" i="35"/>
  <c r="F64" i="35"/>
  <c r="F65" i="35"/>
  <c r="F66" i="35"/>
  <c r="F67" i="35"/>
  <c r="F68" i="35"/>
  <c r="F69" i="35"/>
  <c r="F70" i="35"/>
  <c r="F71" i="35"/>
  <c r="F72" i="35"/>
  <c r="F73" i="35"/>
  <c r="F74" i="35"/>
  <c r="F75" i="35"/>
  <c r="F76" i="35"/>
  <c r="F77" i="35"/>
  <c r="F78" i="35"/>
  <c r="F79" i="35"/>
  <c r="F80" i="35"/>
  <c r="F81" i="35"/>
  <c r="F82" i="35"/>
  <c r="F83" i="35"/>
  <c r="F84" i="35"/>
  <c r="F85" i="35"/>
  <c r="F86" i="35"/>
  <c r="F87" i="35"/>
  <c r="F88" i="35"/>
  <c r="F89" i="35"/>
  <c r="F90" i="35"/>
  <c r="F91" i="35"/>
  <c r="F92" i="35"/>
  <c r="F93" i="35"/>
  <c r="F94" i="35"/>
  <c r="F95" i="35"/>
  <c r="F96" i="35"/>
  <c r="F97" i="35"/>
  <c r="F98" i="35"/>
  <c r="F99" i="35"/>
  <c r="F100" i="35"/>
  <c r="F101" i="35"/>
  <c r="F102" i="35"/>
  <c r="F103" i="35"/>
  <c r="F104" i="35"/>
  <c r="F105" i="35"/>
  <c r="F106" i="35"/>
  <c r="F107" i="35"/>
  <c r="F108" i="35"/>
  <c r="F109" i="35"/>
  <c r="F110" i="35"/>
  <c r="F111" i="35"/>
  <c r="F112" i="35"/>
  <c r="F113" i="35"/>
  <c r="F114" i="35"/>
  <c r="F115" i="35"/>
  <c r="F116" i="35"/>
  <c r="F117" i="35"/>
  <c r="F118" i="35"/>
  <c r="F119" i="35"/>
  <c r="F120" i="35"/>
  <c r="F121" i="35"/>
  <c r="F122" i="35"/>
  <c r="F123" i="35"/>
  <c r="F124" i="35"/>
  <c r="F125" i="35"/>
  <c r="F126" i="35"/>
  <c r="F127" i="35"/>
  <c r="F128" i="35"/>
  <c r="F129" i="35"/>
  <c r="F130" i="35"/>
  <c r="F131" i="35"/>
  <c r="F132" i="35"/>
  <c r="F133" i="35"/>
  <c r="F134" i="35"/>
  <c r="F135" i="35"/>
  <c r="F136" i="35"/>
  <c r="F137" i="35"/>
  <c r="F138" i="35"/>
  <c r="F139" i="35"/>
  <c r="F140" i="35"/>
  <c r="F141" i="35"/>
  <c r="F142" i="35"/>
  <c r="F143" i="35"/>
  <c r="F144" i="35"/>
  <c r="F145" i="35"/>
  <c r="F146" i="35"/>
  <c r="F147" i="35"/>
  <c r="F148" i="35"/>
  <c r="F149" i="35"/>
  <c r="F150" i="35"/>
  <c r="F151" i="35"/>
  <c r="F152" i="35"/>
  <c r="F153" i="35"/>
  <c r="F154" i="35"/>
  <c r="F155" i="35"/>
  <c r="F156" i="35"/>
  <c r="F157" i="35"/>
  <c r="F158" i="35"/>
  <c r="F159" i="35"/>
  <c r="F160" i="35"/>
  <c r="F161" i="35"/>
  <c r="F162" i="35"/>
  <c r="F163" i="35"/>
  <c r="F164" i="35"/>
  <c r="F165" i="35"/>
  <c r="F166" i="35"/>
  <c r="F167" i="35"/>
  <c r="F168" i="35"/>
  <c r="F169" i="35"/>
  <c r="F170" i="35"/>
  <c r="F171" i="35"/>
  <c r="F172" i="35"/>
  <c r="F173" i="35"/>
  <c r="F174" i="35"/>
  <c r="F175" i="35"/>
  <c r="F176" i="35"/>
  <c r="F177" i="35"/>
  <c r="F178" i="35"/>
  <c r="F179" i="35"/>
  <c r="F180" i="35"/>
  <c r="F181" i="35"/>
  <c r="F182" i="35"/>
  <c r="F183" i="35"/>
  <c r="F184" i="35"/>
  <c r="F185" i="35"/>
  <c r="F186" i="35"/>
  <c r="F187" i="35"/>
  <c r="F188" i="35"/>
  <c r="F189" i="35"/>
  <c r="F190" i="35"/>
  <c r="F191" i="35"/>
  <c r="F192" i="35"/>
  <c r="F193" i="35"/>
  <c r="F194" i="35"/>
  <c r="F195" i="35"/>
  <c r="F196" i="35"/>
  <c r="F197" i="35"/>
  <c r="F198" i="35"/>
  <c r="F199" i="35"/>
  <c r="F200" i="35"/>
  <c r="F201" i="35"/>
  <c r="F202" i="35"/>
  <c r="F203" i="35"/>
  <c r="F204" i="35"/>
  <c r="F205" i="35"/>
  <c r="F206" i="35"/>
  <c r="F207" i="35"/>
  <c r="F208" i="35"/>
  <c r="F209" i="35"/>
  <c r="F210" i="35"/>
  <c r="F211" i="35"/>
  <c r="F212" i="35"/>
  <c r="F213" i="35"/>
  <c r="F214" i="35"/>
  <c r="F215" i="35"/>
  <c r="F216" i="35"/>
  <c r="F217" i="35"/>
  <c r="F218" i="35"/>
  <c r="F219" i="35"/>
  <c r="F220" i="35"/>
  <c r="F221" i="35"/>
  <c r="F222" i="35"/>
  <c r="F223" i="35"/>
  <c r="F224" i="35"/>
  <c r="F225" i="35"/>
  <c r="F226" i="35"/>
  <c r="F227" i="35"/>
  <c r="F228" i="35"/>
  <c r="F229" i="35"/>
  <c r="F230" i="35"/>
  <c r="F231" i="35"/>
  <c r="F232" i="35"/>
  <c r="F233" i="35"/>
  <c r="F234" i="35"/>
  <c r="F235" i="35"/>
  <c r="F236" i="35"/>
  <c r="F237" i="35"/>
  <c r="F238" i="35"/>
  <c r="F239" i="35"/>
  <c r="F240" i="35"/>
  <c r="F241" i="35"/>
  <c r="F242" i="35"/>
  <c r="F243" i="35"/>
  <c r="F244" i="35"/>
  <c r="F245" i="35"/>
  <c r="F246" i="35"/>
  <c r="F247" i="35"/>
  <c r="F248" i="35"/>
  <c r="F249" i="35"/>
  <c r="F250" i="35"/>
  <c r="F251" i="35"/>
  <c r="F252" i="35"/>
  <c r="F253" i="35"/>
  <c r="F254" i="35"/>
  <c r="F255" i="35"/>
  <c r="F256" i="35"/>
  <c r="F257" i="35"/>
  <c r="F258" i="35"/>
  <c r="F259" i="35"/>
  <c r="F260" i="35"/>
  <c r="F261" i="35"/>
  <c r="F262" i="35"/>
  <c r="F263" i="35"/>
  <c r="F264" i="35"/>
  <c r="F265" i="35"/>
  <c r="F266" i="35"/>
  <c r="F267" i="35"/>
  <c r="F268" i="35"/>
  <c r="F269" i="35"/>
  <c r="F270" i="35"/>
  <c r="F271" i="35"/>
  <c r="F272" i="35"/>
  <c r="F273" i="35"/>
  <c r="F274" i="35"/>
  <c r="F275" i="35"/>
  <c r="F276" i="35"/>
  <c r="F277" i="35"/>
  <c r="F278" i="35"/>
  <c r="F279" i="35"/>
  <c r="F280" i="35"/>
  <c r="F281" i="35"/>
  <c r="F282" i="35"/>
  <c r="F283" i="35"/>
  <c r="F284" i="35"/>
  <c r="F285" i="35"/>
  <c r="F286" i="35"/>
  <c r="F287" i="35"/>
  <c r="F289" i="35"/>
  <c r="F290" i="35"/>
  <c r="F291" i="35"/>
  <c r="F292" i="35"/>
  <c r="F293" i="35"/>
  <c r="F294" i="35"/>
  <c r="F295" i="35"/>
  <c r="F296" i="35"/>
  <c r="F297" i="35"/>
  <c r="F298" i="35"/>
  <c r="F299" i="35"/>
  <c r="F300" i="35"/>
  <c r="F301" i="35"/>
  <c r="F302" i="35"/>
  <c r="F303" i="35"/>
  <c r="F304" i="35"/>
  <c r="F305" i="35"/>
  <c r="F306" i="35"/>
  <c r="F307" i="35"/>
  <c r="F308" i="35"/>
  <c r="F309" i="35"/>
  <c r="F310" i="35"/>
  <c r="F311" i="35"/>
  <c r="F312" i="35"/>
  <c r="F313" i="35"/>
  <c r="F314" i="35"/>
  <c r="F315" i="35"/>
  <c r="F316" i="35"/>
  <c r="F317" i="35"/>
  <c r="W310" i="35" a="1"/>
  <c r="W310" i="35" s="1"/>
  <c r="X310" i="35" a="1"/>
  <c r="X310" i="35" s="1"/>
  <c r="Y310" i="35" a="1"/>
  <c r="Y310" i="35" s="1"/>
  <c r="Z310" i="35" a="1"/>
  <c r="Z310" i="35" s="1"/>
  <c r="AA310" i="35"/>
  <c r="W311" i="35" a="1"/>
  <c r="W311" i="35" s="1"/>
  <c r="X311" i="35" a="1"/>
  <c r="X311" i="35" s="1"/>
  <c r="Y311" i="35" a="1"/>
  <c r="Y311" i="35" s="1"/>
  <c r="Z311" i="35" a="1"/>
  <c r="Z311" i="35" s="1"/>
  <c r="AA311" i="35"/>
  <c r="W312" i="35" a="1"/>
  <c r="W312" i="35" s="1"/>
  <c r="X312" i="35" a="1"/>
  <c r="X312" i="35" s="1"/>
  <c r="Y312" i="35" a="1"/>
  <c r="Y312" i="35" s="1"/>
  <c r="Z312" i="35" a="1"/>
  <c r="Z312" i="35" s="1"/>
  <c r="AA312" i="35"/>
  <c r="W313" i="35" a="1"/>
  <c r="W313" i="35" s="1"/>
  <c r="X313" i="35" a="1"/>
  <c r="X313" i="35" s="1"/>
  <c r="Y313" i="35" a="1"/>
  <c r="Y313" i="35" s="1"/>
  <c r="Z313" i="35" a="1"/>
  <c r="Z313" i="35" s="1"/>
  <c r="AA313" i="35"/>
  <c r="W314" i="35" a="1"/>
  <c r="W314" i="35" s="1"/>
  <c r="X314" i="35" a="1"/>
  <c r="X314" i="35" s="1"/>
  <c r="Y314" i="35" a="1"/>
  <c r="Y314" i="35" s="1"/>
  <c r="Z314" i="35" a="1"/>
  <c r="Z314" i="35" s="1"/>
  <c r="AA314" i="35"/>
  <c r="T310" i="35"/>
  <c r="T311" i="35"/>
  <c r="T312" i="35"/>
  <c r="T313" i="35"/>
  <c r="T314" i="35"/>
  <c r="K26" i="9" l="1" a="1"/>
  <c r="K26" i="9" s="1"/>
  <c r="K20" i="9" a="1"/>
  <c r="K20" i="9" s="1"/>
  <c r="K25" i="9" a="1"/>
  <c r="K25" i="9" s="1"/>
  <c r="K27" i="9" a="1"/>
  <c r="K27" i="9" s="1"/>
  <c r="J25" i="9" a="1"/>
  <c r="J25" i="9" s="1"/>
  <c r="J20" i="9" a="1"/>
  <c r="J20" i="9" s="1"/>
  <c r="J26" i="9" a="1"/>
  <c r="J26" i="9" s="1"/>
  <c r="J27" i="9" a="1"/>
  <c r="J27" i="9" s="1"/>
  <c r="M25" i="9" a="1"/>
  <c r="M25" i="9" s="1"/>
  <c r="M26" i="9" a="1"/>
  <c r="M26" i="9" s="1"/>
  <c r="M20" i="9" a="1"/>
  <c r="M20" i="9" s="1"/>
  <c r="M27" i="9" a="1"/>
  <c r="M27" i="9" s="1"/>
  <c r="I26" i="9" a="1"/>
  <c r="I26" i="9" s="1"/>
  <c r="I20" i="9" a="1"/>
  <c r="I20" i="9" s="1"/>
  <c r="I27" i="9" a="1"/>
  <c r="I27" i="9" s="1"/>
  <c r="I25" i="9" a="1"/>
  <c r="I25" i="9" s="1"/>
  <c r="H25" i="9" a="1"/>
  <c r="H25" i="9" s="1"/>
  <c r="H26" i="9" a="1"/>
  <c r="H26" i="9" s="1"/>
  <c r="H20" i="9" a="1"/>
  <c r="H20" i="9" s="1"/>
  <c r="H27" i="9" a="1"/>
  <c r="H27" i="9" s="1"/>
  <c r="T26" i="9" a="1"/>
  <c r="T26" i="9" s="1"/>
  <c r="T27" i="9" a="1"/>
  <c r="T27" i="9" s="1"/>
  <c r="T25" i="9" a="1"/>
  <c r="T25" i="9" s="1"/>
  <c r="S27" i="9" a="1"/>
  <c r="S27" i="9" s="1"/>
  <c r="S20" i="9" a="1"/>
  <c r="S20" i="9" s="1"/>
  <c r="S26" i="9" a="1"/>
  <c r="S26" i="9" s="1"/>
  <c r="S25" i="9" a="1"/>
  <c r="S25" i="9" s="1"/>
  <c r="L25" i="9" a="1"/>
  <c r="L25" i="9" s="1"/>
  <c r="L26" i="9" a="1"/>
  <c r="L26" i="9" s="1"/>
  <c r="L20" i="9" a="1"/>
  <c r="L20" i="9" s="1"/>
  <c r="L27" i="9" a="1"/>
  <c r="L27" i="9" s="1"/>
  <c r="R26" i="9" a="1"/>
  <c r="R26" i="9" s="1"/>
  <c r="R27" i="9" a="1"/>
  <c r="R27" i="9" s="1"/>
  <c r="R25" i="9" a="1"/>
  <c r="R25" i="9" s="1"/>
  <c r="R20" i="9" a="1"/>
  <c r="R20" i="9" s="1"/>
  <c r="Q27" i="9" a="1"/>
  <c r="Q27" i="9" s="1"/>
  <c r="Q25" i="9" a="1"/>
  <c r="Q25" i="9" s="1"/>
  <c r="Q20" i="9" a="1"/>
  <c r="Q20" i="9" s="1"/>
  <c r="Q26" i="9" a="1"/>
  <c r="Q26" i="9" s="1"/>
  <c r="G20" i="9" a="1"/>
  <c r="G20" i="9" s="1"/>
  <c r="G27" i="9" a="1"/>
  <c r="G27" i="9" s="1"/>
  <c r="G25" i="9" a="1"/>
  <c r="G25" i="9" s="1"/>
  <c r="G26" i="9" a="1"/>
  <c r="G26" i="9" s="1"/>
  <c r="P27" i="9" a="1"/>
  <c r="P27" i="9" s="1"/>
  <c r="P25" i="9" a="1"/>
  <c r="P25" i="9" s="1"/>
  <c r="P26" i="9" a="1"/>
  <c r="P26" i="9" s="1"/>
  <c r="P20" i="9" a="1"/>
  <c r="P20" i="9" s="1"/>
  <c r="O25" i="9" a="1"/>
  <c r="O25" i="9" s="1"/>
  <c r="O27" i="9" a="1"/>
  <c r="O27" i="9" s="1"/>
  <c r="O20" i="9" a="1"/>
  <c r="O20" i="9" s="1"/>
  <c r="O26" i="9" a="1"/>
  <c r="O26" i="9" s="1"/>
  <c r="N25" i="9" a="1"/>
  <c r="N25" i="9" s="1"/>
  <c r="N26" i="9" a="1"/>
  <c r="N26" i="9" s="1"/>
  <c r="N20" i="9" a="1"/>
  <c r="N20" i="9" s="1"/>
  <c r="N27" i="9" a="1"/>
  <c r="N27" i="9" s="1"/>
  <c r="T20" i="9" a="1"/>
  <c r="T20" i="9" s="1"/>
  <c r="Q28" i="59" a="1"/>
  <c r="Q28" i="59" s="1"/>
  <c r="Q29" i="59" s="1"/>
  <c r="Q22" i="59" a="1"/>
  <c r="Q22" i="59" s="1"/>
  <c r="Q25" i="59" a="1"/>
  <c r="Q25" i="59" s="1"/>
  <c r="Q27" i="59" a="1"/>
  <c r="Q27" i="59" s="1"/>
  <c r="Q30" i="59" a="1"/>
  <c r="Q30" i="59" s="1"/>
  <c r="Q31" i="59" s="1"/>
  <c r="Q26" i="59" a="1"/>
  <c r="Q26" i="59" s="1"/>
  <c r="Q108" i="59"/>
  <c r="G21" i="9" l="1"/>
  <c r="Q95" i="59"/>
  <c r="Q101" i="59" s="1"/>
  <c r="Q35" i="59"/>
  <c r="Q94" i="59"/>
  <c r="Q100" i="59" s="1"/>
  <c r="Q93" i="59"/>
  <c r="Q99" i="59" s="1"/>
  <c r="Q92" i="59"/>
  <c r="Q76" i="59"/>
  <c r="Q90" i="59"/>
  <c r="Q37" i="59"/>
  <c r="Q21" i="59"/>
  <c r="Q23" i="59" s="1"/>
  <c r="Q32" i="59"/>
  <c r="G35" i="9"/>
  <c r="G37" i="9"/>
  <c r="A251" i="42"/>
  <c r="P107" i="59"/>
  <c r="O107" i="59"/>
  <c r="E12" i="59"/>
  <c r="E11" i="59"/>
  <c r="E10" i="59"/>
  <c r="P18" i="59"/>
  <c r="O18" i="59"/>
  <c r="G36" i="9" l="1"/>
  <c r="H19" i="2"/>
  <c r="M19" i="2" s="1"/>
  <c r="G23" i="9"/>
  <c r="I102" i="59"/>
  <c r="L102" i="59"/>
  <c r="K96" i="59"/>
  <c r="L96" i="59"/>
  <c r="J102" i="59"/>
  <c r="J96" i="59"/>
  <c r="K102" i="59"/>
  <c r="I96" i="59"/>
  <c r="H96" i="59"/>
  <c r="H102" i="59"/>
  <c r="N96" i="59"/>
  <c r="N102" i="59"/>
  <c r="M96" i="59"/>
  <c r="M102" i="59"/>
  <c r="L97" i="59"/>
  <c r="M97" i="59"/>
  <c r="N97" i="59"/>
  <c r="H97" i="59"/>
  <c r="J97" i="59"/>
  <c r="K97" i="59"/>
  <c r="I97" i="59"/>
  <c r="I98" i="59"/>
  <c r="L98" i="59"/>
  <c r="J98" i="59"/>
  <c r="K98" i="59"/>
  <c r="M98" i="59"/>
  <c r="N98" i="59"/>
  <c r="H98" i="59"/>
  <c r="O26" i="59" a="1"/>
  <c r="O26" i="59" s="1"/>
  <c r="O27" i="59" a="1"/>
  <c r="O27" i="59" s="1"/>
  <c r="O25" i="59" a="1"/>
  <c r="O25" i="59" s="1"/>
  <c r="O37" i="59" s="1"/>
  <c r="O22" i="59" a="1"/>
  <c r="O22" i="59" s="1"/>
  <c r="O21" i="59" s="1"/>
  <c r="O23" i="59" s="1"/>
  <c r="P28" i="59" a="1"/>
  <c r="P28" i="59" s="1"/>
  <c r="P26" i="59" a="1"/>
  <c r="P26" i="59" s="1"/>
  <c r="P30" i="59" a="1"/>
  <c r="P30" i="59" s="1"/>
  <c r="P27" i="59" a="1"/>
  <c r="P27" i="59" s="1"/>
  <c r="P25" i="59" a="1"/>
  <c r="P25" i="59" s="1"/>
  <c r="P37" i="59" s="1"/>
  <c r="P22" i="59" a="1"/>
  <c r="P22" i="59" s="1"/>
  <c r="P21" i="59" s="1"/>
  <c r="P23" i="59" s="1"/>
  <c r="Q75" i="59"/>
  <c r="Q91" i="59"/>
  <c r="Q102" i="59" s="1"/>
  <c r="Q96" i="59"/>
  <c r="Q98" i="59"/>
  <c r="Q36" i="59"/>
  <c r="Q68" i="59"/>
  <c r="Q54" i="59"/>
  <c r="Q33" i="59"/>
  <c r="Q34" i="59" s="1"/>
  <c r="Q72" i="59"/>
  <c r="Q73" i="59"/>
  <c r="Q59" i="59"/>
  <c r="Q71" i="59"/>
  <c r="Q70" i="59"/>
  <c r="Q69" i="59"/>
  <c r="Q97" i="59" l="1"/>
  <c r="Q55" i="59"/>
  <c r="Q39" i="59"/>
  <c r="Q57" i="59"/>
  <c r="Q61" i="59" s="1"/>
  <c r="Q56" i="59"/>
  <c r="Q58" i="59"/>
  <c r="Q79" i="59"/>
  <c r="P76" i="59"/>
  <c r="P93" i="59"/>
  <c r="P99" i="59" s="1"/>
  <c r="P35" i="59"/>
  <c r="P90" i="59"/>
  <c r="P96" i="59" s="1"/>
  <c r="P92" i="59"/>
  <c r="P98" i="59" s="1"/>
  <c r="P94" i="59"/>
  <c r="P100" i="59" s="1"/>
  <c r="P95" i="59"/>
  <c r="P101" i="59" s="1"/>
  <c r="O90" i="59"/>
  <c r="O96" i="59" s="1"/>
  <c r="O92" i="59"/>
  <c r="O98" i="59" s="1"/>
  <c r="O94" i="59"/>
  <c r="O100" i="59" s="1"/>
  <c r="I251" i="42"/>
  <c r="O76" i="59"/>
  <c r="O93" i="59"/>
  <c r="O99" i="59" s="1"/>
  <c r="O35" i="59"/>
  <c r="O95" i="59"/>
  <c r="O101" i="59" s="1"/>
  <c r="P75" i="59"/>
  <c r="P91" i="59"/>
  <c r="P97" i="59" s="1"/>
  <c r="O91" i="59"/>
  <c r="O97" i="59" s="1"/>
  <c r="O75" i="59"/>
  <c r="P36" i="59" l="1"/>
  <c r="Q81" i="59"/>
  <c r="Q60" i="59"/>
  <c r="Q78" i="59" s="1"/>
  <c r="Q82" i="59"/>
  <c r="Q46" i="59"/>
  <c r="Q49" i="59" s="1"/>
  <c r="Q43" i="59"/>
  <c r="Q41" i="59"/>
  <c r="Q62" i="59"/>
  <c r="P102" i="59"/>
  <c r="O36" i="59"/>
  <c r="O102" i="59"/>
  <c r="Q53" i="59" l="1"/>
  <c r="Q63" i="59" s="1"/>
  <c r="Q80" i="59"/>
  <c r="Q83" i="59"/>
  <c r="E241" i="42" a="1"/>
  <c r="Q84" i="59" l="1"/>
  <c r="Q85" i="59" s="1"/>
  <c r="E241" i="42"/>
  <c r="A240" i="42" l="1"/>
  <c r="A235" i="42"/>
  <c r="A224" i="42"/>
  <c r="G32" i="52"/>
  <c r="G22" i="52" s="1"/>
  <c r="G83" i="52" s="1"/>
  <c r="G91" i="52" s="1"/>
  <c r="F241" i="42" a="1"/>
  <c r="E236" i="42" a="1"/>
  <c r="F243" i="42" a="1"/>
  <c r="E249" i="42" a="1"/>
  <c r="E242" i="42" a="1"/>
  <c r="F246" i="42" a="1"/>
  <c r="E246" i="42" a="1"/>
  <c r="F249" i="42" a="1"/>
  <c r="E238" i="42" a="1"/>
  <c r="H237" i="42" a="1"/>
  <c r="F237" i="42" a="1"/>
  <c r="F242" i="42" a="1"/>
  <c r="E243" i="42" a="1"/>
  <c r="H242" i="42" a="1"/>
  <c r="F238" i="42" a="1"/>
  <c r="F236" i="42" a="1"/>
  <c r="H241" i="42" a="1"/>
  <c r="H236" i="42" a="1"/>
  <c r="H243" i="42" a="1"/>
  <c r="H246" i="42" a="1"/>
  <c r="E237" i="42" a="1"/>
  <c r="H249" i="42" a="1"/>
  <c r="H238" i="42" a="1"/>
  <c r="H32" i="52" l="1"/>
  <c r="G45" i="52"/>
  <c r="H242" i="42"/>
  <c r="H243" i="42"/>
  <c r="H246" i="42"/>
  <c r="I246" i="42" s="1"/>
  <c r="H249" i="42"/>
  <c r="I249" i="42" s="1"/>
  <c r="E243" i="42"/>
  <c r="F243" i="42"/>
  <c r="E246" i="42"/>
  <c r="F246" i="42"/>
  <c r="E242" i="42"/>
  <c r="E249" i="42"/>
  <c r="F242" i="42"/>
  <c r="F249" i="42"/>
  <c r="E237" i="42"/>
  <c r="F241" i="42"/>
  <c r="H241" i="42"/>
  <c r="F237" i="42"/>
  <c r="E236" i="42"/>
  <c r="H238" i="42"/>
  <c r="I238" i="42" s="1"/>
  <c r="F238" i="42"/>
  <c r="E238" i="42"/>
  <c r="H236" i="42"/>
  <c r="I236" i="42" s="1"/>
  <c r="H237" i="42"/>
  <c r="I237" i="42" s="1"/>
  <c r="F236" i="42"/>
  <c r="H22" i="52" l="1"/>
  <c r="H45" i="52"/>
  <c r="I243" i="42"/>
  <c r="I241" i="42"/>
  <c r="I242" i="42"/>
  <c r="I235" i="42"/>
  <c r="I224" i="42"/>
  <c r="I240" i="42" l="1"/>
  <c r="A211" i="42"/>
  <c r="A206" i="42"/>
  <c r="H221" i="42" a="1"/>
  <c r="F212" i="42" a="1"/>
  <c r="E221" i="42" a="1"/>
  <c r="H217" i="42" a="1"/>
  <c r="F217" i="42" a="1"/>
  <c r="E214" i="42" a="1"/>
  <c r="E217" i="42" a="1"/>
  <c r="E209" i="42" a="1"/>
  <c r="H218" i="42" a="1"/>
  <c r="F215" i="42" a="1"/>
  <c r="E218" i="42" a="1"/>
  <c r="E208" i="42" a="1"/>
  <c r="F222" i="42" a="1"/>
  <c r="F221" i="42" a="1"/>
  <c r="E222" i="42" a="1"/>
  <c r="H222" i="42" a="1"/>
  <c r="H208" i="42" a="1"/>
  <c r="F209" i="42" a="1"/>
  <c r="E216" i="42" a="1"/>
  <c r="H212" i="42" a="1"/>
  <c r="F213" i="42" a="1"/>
  <c r="H214" i="42" a="1"/>
  <c r="H213" i="42" a="1"/>
  <c r="E220" i="42" a="1"/>
  <c r="E219" i="42" a="1"/>
  <c r="H215" i="42" a="1"/>
  <c r="F207" i="42" a="1"/>
  <c r="F219" i="42" a="1"/>
  <c r="F218" i="42" a="1"/>
  <c r="H219" i="42" a="1"/>
  <c r="F208" i="42" a="1"/>
  <c r="F220" i="42" a="1"/>
  <c r="E213" i="42" a="1"/>
  <c r="H220" i="42" a="1"/>
  <c r="E215" i="42" a="1"/>
  <c r="F214" i="42" a="1"/>
  <c r="H209" i="42" a="1"/>
  <c r="F216" i="42" a="1"/>
  <c r="E212" i="42" a="1"/>
  <c r="H207" i="42" a="1"/>
  <c r="E207" i="42" a="1"/>
  <c r="H216" i="42" a="1"/>
  <c r="H216" i="42" l="1"/>
  <c r="I216" i="42" s="1"/>
  <c r="F218" i="42"/>
  <c r="F207" i="42"/>
  <c r="H208" i="42"/>
  <c r="I208" i="42" s="1"/>
  <c r="E212" i="42"/>
  <c r="F213" i="42"/>
  <c r="H220" i="42"/>
  <c r="I220" i="42" s="1"/>
  <c r="E215" i="42"/>
  <c r="H207" i="42"/>
  <c r="I207" i="42" s="1"/>
  <c r="H212" i="42"/>
  <c r="I212" i="42" s="1"/>
  <c r="E222" i="42"/>
  <c r="H215" i="42"/>
  <c r="I215" i="42" s="1"/>
  <c r="F217" i="42"/>
  <c r="E219" i="42"/>
  <c r="F212" i="42"/>
  <c r="E214" i="42"/>
  <c r="H213" i="42"/>
  <c r="I213" i="42" s="1"/>
  <c r="E209" i="42"/>
  <c r="E221" i="42"/>
  <c r="F222" i="42"/>
  <c r="H217" i="42"/>
  <c r="I217" i="42" s="1"/>
  <c r="F219" i="42"/>
  <c r="F214" i="42"/>
  <c r="E216" i="42"/>
  <c r="H218" i="42"/>
  <c r="I218" i="42" s="1"/>
  <c r="E208" i="42"/>
  <c r="F209" i="42"/>
  <c r="E220" i="42"/>
  <c r="F221" i="42"/>
  <c r="H222" i="42"/>
  <c r="I222" i="42" s="1"/>
  <c r="H219" i="42"/>
  <c r="I219" i="42" s="1"/>
  <c r="F215" i="42"/>
  <c r="H214" i="42"/>
  <c r="I214" i="42" s="1"/>
  <c r="F216" i="42"/>
  <c r="E218" i="42"/>
  <c r="E217" i="42"/>
  <c r="E207" i="42"/>
  <c r="F208" i="42"/>
  <c r="H209" i="42"/>
  <c r="I209" i="42" s="1"/>
  <c r="E213" i="42"/>
  <c r="F220" i="42"/>
  <c r="H221" i="42"/>
  <c r="I221" i="42" s="1"/>
  <c r="I211" i="42" l="1"/>
  <c r="I206" i="42"/>
  <c r="R31" i="59" l="1"/>
  <c r="R21" i="59"/>
  <c r="T121" i="59"/>
  <c r="T119" i="59"/>
  <c r="T118" i="59"/>
  <c r="T117" i="59"/>
  <c r="G107" i="59"/>
  <c r="R95" i="59"/>
  <c r="R101" i="59" s="1"/>
  <c r="R94" i="59"/>
  <c r="R100" i="59" s="1"/>
  <c r="R93" i="59"/>
  <c r="R99" i="59" s="1"/>
  <c r="R92" i="59"/>
  <c r="R98" i="59" s="1"/>
  <c r="R90" i="59"/>
  <c r="R76" i="59"/>
  <c r="R73" i="59"/>
  <c r="R72" i="59"/>
  <c r="R71" i="59"/>
  <c r="R70" i="59"/>
  <c r="R69" i="59"/>
  <c r="S60" i="59"/>
  <c r="R60" i="59"/>
  <c r="T48" i="59"/>
  <c r="T47" i="59"/>
  <c r="T42" i="59"/>
  <c r="T40" i="59"/>
  <c r="R39" i="59"/>
  <c r="R41" i="59" s="1"/>
  <c r="R37" i="59"/>
  <c r="R35" i="59"/>
  <c r="S33" i="59"/>
  <c r="R33" i="59"/>
  <c r="S31" i="59"/>
  <c r="S29" i="59"/>
  <c r="S19" i="59"/>
  <c r="R19" i="59"/>
  <c r="S18" i="59"/>
  <c r="R18" i="59"/>
  <c r="G18" i="59"/>
  <c r="B7" i="59" a="1"/>
  <c r="B7" i="59" s="1"/>
  <c r="S6" i="59"/>
  <c r="B5" i="59"/>
  <c r="C2" i="59" a="1"/>
  <c r="C2" i="59" s="1"/>
  <c r="C1" i="59"/>
  <c r="R34" i="59" l="1"/>
  <c r="K104" i="59"/>
  <c r="K106" i="59" s="1"/>
  <c r="J104" i="59"/>
  <c r="J106" i="59" s="1"/>
  <c r="J103" i="59"/>
  <c r="J105" i="59" s="1"/>
  <c r="I104" i="59"/>
  <c r="I106" i="59" s="1"/>
  <c r="I103" i="59"/>
  <c r="I105" i="59" s="1"/>
  <c r="L104" i="59"/>
  <c r="L106" i="59" s="1"/>
  <c r="N104" i="59"/>
  <c r="N106" i="59" s="1"/>
  <c r="H104" i="59"/>
  <c r="H106" i="59" s="1"/>
  <c r="N103" i="59"/>
  <c r="N105" i="59" s="1"/>
  <c r="H103" i="59"/>
  <c r="H105" i="59" s="1"/>
  <c r="L103" i="59"/>
  <c r="L105" i="59" s="1"/>
  <c r="M104" i="59"/>
  <c r="M106" i="59" s="1"/>
  <c r="M103" i="59"/>
  <c r="M105" i="59" s="1"/>
  <c r="K103" i="59"/>
  <c r="K105" i="59" s="1"/>
  <c r="M44" i="59"/>
  <c r="J65" i="59"/>
  <c r="L44" i="59"/>
  <c r="I65" i="59"/>
  <c r="K44" i="59"/>
  <c r="I50" i="59"/>
  <c r="N65" i="59"/>
  <c r="H65" i="59"/>
  <c r="N50" i="59"/>
  <c r="J44" i="59"/>
  <c r="H50" i="59"/>
  <c r="M65" i="59"/>
  <c r="K65" i="59"/>
  <c r="M50" i="59"/>
  <c r="I44" i="59"/>
  <c r="L65" i="59"/>
  <c r="N44" i="59"/>
  <c r="L50" i="59"/>
  <c r="H44" i="59"/>
  <c r="K50" i="59"/>
  <c r="J50" i="59"/>
  <c r="G26" i="59" a="1"/>
  <c r="G26" i="59" s="1"/>
  <c r="G27" i="59" a="1"/>
  <c r="G27" i="59" s="1"/>
  <c r="G25" i="59" a="1"/>
  <c r="G25" i="59" s="1"/>
  <c r="G22" i="59" a="1"/>
  <c r="G22" i="59" s="1"/>
  <c r="Q104" i="59"/>
  <c r="Q106" i="59" s="1"/>
  <c r="Q103" i="59"/>
  <c r="Q105" i="59" s="1"/>
  <c r="O104" i="59"/>
  <c r="O106" i="59" s="1"/>
  <c r="O103" i="59"/>
  <c r="O105" i="59" s="1"/>
  <c r="P103" i="59"/>
  <c r="P105" i="59" s="1"/>
  <c r="P104" i="59"/>
  <c r="P106" i="59" s="1"/>
  <c r="Q65" i="59"/>
  <c r="Q66" i="59" s="1"/>
  <c r="Q50" i="59"/>
  <c r="Q51" i="59" s="1"/>
  <c r="Q88" i="59"/>
  <c r="Q44" i="59"/>
  <c r="Q45" i="59" s="1"/>
  <c r="P65" i="59"/>
  <c r="P50" i="59"/>
  <c r="P44" i="59"/>
  <c r="O44" i="59"/>
  <c r="O50" i="59"/>
  <c r="O65" i="59"/>
  <c r="R57" i="59"/>
  <c r="R36" i="59"/>
  <c r="R23" i="59"/>
  <c r="R43" i="59"/>
  <c r="R91" i="59"/>
  <c r="R97" i="59" s="1"/>
  <c r="R75" i="59"/>
  <c r="R68" i="59"/>
  <c r="R103" i="59"/>
  <c r="S104" i="59"/>
  <c r="S103" i="59"/>
  <c r="R104" i="59"/>
  <c r="G104" i="59"/>
  <c r="G103" i="59"/>
  <c r="G44" i="59"/>
  <c r="G50" i="59"/>
  <c r="S65" i="59"/>
  <c r="R65" i="59"/>
  <c r="S50" i="59"/>
  <c r="R50" i="59"/>
  <c r="G65" i="59"/>
  <c r="R44" i="59"/>
  <c r="S44" i="59"/>
  <c r="S93" i="59"/>
  <c r="S99" i="59" s="1"/>
  <c r="S94" i="59"/>
  <c r="S100" i="59" s="1"/>
  <c r="S92" i="59"/>
  <c r="S98" i="59" s="1"/>
  <c r="S95" i="59"/>
  <c r="S101" i="59" s="1"/>
  <c r="S91" i="59"/>
  <c r="S97" i="59" s="1"/>
  <c r="S73" i="59"/>
  <c r="S72" i="59"/>
  <c r="S76" i="59"/>
  <c r="S71" i="59"/>
  <c r="S70" i="59"/>
  <c r="S69" i="59"/>
  <c r="S37" i="59"/>
  <c r="S35" i="59"/>
  <c r="S34" i="59" s="1"/>
  <c r="R54" i="59"/>
  <c r="R46" i="59"/>
  <c r="R49" i="59" s="1"/>
  <c r="R96" i="59"/>
  <c r="T3" i="35"/>
  <c r="T4" i="35"/>
  <c r="T5" i="35"/>
  <c r="T6" i="35"/>
  <c r="T7" i="35"/>
  <c r="T8" i="35"/>
  <c r="T9" i="35"/>
  <c r="T10" i="35"/>
  <c r="T11" i="35"/>
  <c r="T12" i="35"/>
  <c r="T13" i="35"/>
  <c r="T14" i="35"/>
  <c r="T15" i="35"/>
  <c r="T16" i="35"/>
  <c r="T17" i="35"/>
  <c r="T18" i="35"/>
  <c r="T19" i="35"/>
  <c r="T20" i="35"/>
  <c r="T21" i="35"/>
  <c r="T22" i="35"/>
  <c r="T23" i="35"/>
  <c r="T24" i="35"/>
  <c r="T25" i="35"/>
  <c r="T26" i="35"/>
  <c r="T28" i="35"/>
  <c r="T29" i="35"/>
  <c r="T30" i="35"/>
  <c r="T31" i="35"/>
  <c r="T32" i="35"/>
  <c r="T33" i="35"/>
  <c r="T34" i="35"/>
  <c r="T35" i="35"/>
  <c r="T36" i="35"/>
  <c r="T37" i="35"/>
  <c r="T38" i="35"/>
  <c r="T39" i="35"/>
  <c r="T40" i="35"/>
  <c r="T41" i="35"/>
  <c r="T42" i="35"/>
  <c r="T43" i="35"/>
  <c r="T44" i="35"/>
  <c r="T45" i="35"/>
  <c r="T46" i="35"/>
  <c r="T47" i="35"/>
  <c r="T48" i="35"/>
  <c r="T49" i="35"/>
  <c r="T50" i="35"/>
  <c r="T51" i="35"/>
  <c r="T52" i="35"/>
  <c r="T53" i="35"/>
  <c r="T54" i="35"/>
  <c r="T55" i="35"/>
  <c r="T56" i="35"/>
  <c r="T57" i="35"/>
  <c r="T58" i="35"/>
  <c r="T59" i="35"/>
  <c r="T60" i="35"/>
  <c r="T61" i="35"/>
  <c r="T62" i="35"/>
  <c r="T63" i="35"/>
  <c r="T64" i="35"/>
  <c r="T65" i="35"/>
  <c r="T66" i="35"/>
  <c r="T67" i="35"/>
  <c r="T68" i="35"/>
  <c r="T69" i="35"/>
  <c r="T70" i="35"/>
  <c r="T71" i="35"/>
  <c r="T72" i="35"/>
  <c r="T73" i="35"/>
  <c r="T74" i="35"/>
  <c r="T75" i="35"/>
  <c r="T76" i="35"/>
  <c r="T77" i="35"/>
  <c r="T78" i="35"/>
  <c r="T79" i="35"/>
  <c r="T80" i="35"/>
  <c r="T81" i="35"/>
  <c r="T82" i="35"/>
  <c r="T83" i="35"/>
  <c r="T84" i="35"/>
  <c r="T85" i="35"/>
  <c r="T86" i="35"/>
  <c r="T87" i="35"/>
  <c r="T88" i="35"/>
  <c r="T89" i="35"/>
  <c r="T90" i="35"/>
  <c r="T91" i="35"/>
  <c r="T92" i="35"/>
  <c r="T93" i="35"/>
  <c r="T94" i="35"/>
  <c r="T95" i="35"/>
  <c r="T96" i="35"/>
  <c r="T97" i="35"/>
  <c r="T98" i="35"/>
  <c r="T99" i="35"/>
  <c r="T100" i="35"/>
  <c r="T101" i="35"/>
  <c r="T102" i="35"/>
  <c r="T103" i="35"/>
  <c r="T104" i="35"/>
  <c r="T105" i="35"/>
  <c r="T106" i="35"/>
  <c r="T107" i="35"/>
  <c r="T108" i="35"/>
  <c r="T109" i="35"/>
  <c r="T110" i="35"/>
  <c r="T111" i="35"/>
  <c r="T112" i="35"/>
  <c r="T113" i="35"/>
  <c r="T114" i="35"/>
  <c r="T115" i="35"/>
  <c r="T116" i="35"/>
  <c r="T117" i="35"/>
  <c r="T118" i="35"/>
  <c r="T119" i="35"/>
  <c r="T120" i="35"/>
  <c r="T121" i="35"/>
  <c r="T122" i="35"/>
  <c r="T123" i="35"/>
  <c r="T124" i="35"/>
  <c r="T125" i="35"/>
  <c r="T126" i="35"/>
  <c r="T127" i="35"/>
  <c r="T128" i="35"/>
  <c r="T129" i="35"/>
  <c r="T130" i="35"/>
  <c r="T131" i="35"/>
  <c r="T132" i="35"/>
  <c r="T133" i="35"/>
  <c r="T134" i="35"/>
  <c r="T135" i="35"/>
  <c r="T136" i="35"/>
  <c r="T137" i="35"/>
  <c r="T138" i="35"/>
  <c r="T139" i="35"/>
  <c r="T140" i="35"/>
  <c r="T141" i="35"/>
  <c r="T142" i="35"/>
  <c r="T143" i="35"/>
  <c r="T144" i="35"/>
  <c r="T145" i="35"/>
  <c r="T146" i="35"/>
  <c r="T147" i="35"/>
  <c r="T148" i="35"/>
  <c r="T149" i="35"/>
  <c r="T150" i="35"/>
  <c r="T151" i="35"/>
  <c r="T152" i="35"/>
  <c r="T153" i="35"/>
  <c r="T154" i="35"/>
  <c r="T155" i="35"/>
  <c r="T156" i="35"/>
  <c r="T157" i="35"/>
  <c r="T158" i="35"/>
  <c r="T159" i="35"/>
  <c r="T160" i="35"/>
  <c r="T161" i="35"/>
  <c r="T162" i="35"/>
  <c r="T163" i="35"/>
  <c r="T164" i="35"/>
  <c r="T165" i="35"/>
  <c r="T166" i="35"/>
  <c r="T167" i="35"/>
  <c r="T168" i="35"/>
  <c r="T169" i="35"/>
  <c r="T170" i="35"/>
  <c r="T171" i="35"/>
  <c r="T172" i="35"/>
  <c r="T173" i="35"/>
  <c r="T174" i="35"/>
  <c r="T175" i="35"/>
  <c r="T176" i="35"/>
  <c r="T177" i="35"/>
  <c r="T178" i="35"/>
  <c r="T179" i="35"/>
  <c r="T180" i="35"/>
  <c r="T181" i="35"/>
  <c r="T182" i="35"/>
  <c r="T183" i="35"/>
  <c r="T184" i="35"/>
  <c r="T185" i="35"/>
  <c r="T186" i="35"/>
  <c r="T187" i="35"/>
  <c r="T188" i="35"/>
  <c r="T189" i="35"/>
  <c r="T190" i="35"/>
  <c r="T192" i="35"/>
  <c r="T193" i="35"/>
  <c r="T194" i="35"/>
  <c r="T195" i="35"/>
  <c r="T196" i="35"/>
  <c r="T197" i="35"/>
  <c r="T198" i="35"/>
  <c r="T199" i="35"/>
  <c r="T200" i="35"/>
  <c r="T201" i="35"/>
  <c r="T202" i="35"/>
  <c r="T203" i="35"/>
  <c r="T204" i="35"/>
  <c r="T205" i="35"/>
  <c r="T206" i="35"/>
  <c r="T207" i="35"/>
  <c r="T208" i="35"/>
  <c r="T209" i="35"/>
  <c r="T210" i="35"/>
  <c r="T211" i="35"/>
  <c r="T212" i="35"/>
  <c r="T213" i="35"/>
  <c r="T214" i="35"/>
  <c r="T215" i="35"/>
  <c r="T216" i="35"/>
  <c r="T217" i="35"/>
  <c r="T218" i="35"/>
  <c r="T219" i="35"/>
  <c r="T220" i="35"/>
  <c r="T221" i="35"/>
  <c r="T222" i="35"/>
  <c r="T223" i="35"/>
  <c r="T224" i="35"/>
  <c r="T225" i="35"/>
  <c r="T226" i="35"/>
  <c r="T227" i="35"/>
  <c r="T228" i="35"/>
  <c r="T229" i="35"/>
  <c r="T230" i="35"/>
  <c r="T231" i="35"/>
  <c r="T232" i="35"/>
  <c r="T233" i="35"/>
  <c r="T234" i="35"/>
  <c r="T235" i="35"/>
  <c r="T236" i="35"/>
  <c r="T237" i="35"/>
  <c r="T238" i="35"/>
  <c r="T239" i="35"/>
  <c r="T240" i="35"/>
  <c r="T241" i="35"/>
  <c r="T242" i="35"/>
  <c r="T243" i="35"/>
  <c r="T244" i="35"/>
  <c r="T245" i="35"/>
  <c r="T246" i="35"/>
  <c r="T247" i="35"/>
  <c r="T248" i="35"/>
  <c r="T249" i="35"/>
  <c r="T250" i="35"/>
  <c r="T251" i="35"/>
  <c r="T252" i="35"/>
  <c r="T253" i="35"/>
  <c r="T254" i="35"/>
  <c r="T255" i="35"/>
  <c r="T256" i="35"/>
  <c r="T257" i="35"/>
  <c r="T258" i="35"/>
  <c r="T259" i="35"/>
  <c r="T260" i="35"/>
  <c r="T261" i="35"/>
  <c r="T262" i="35"/>
  <c r="T263" i="35"/>
  <c r="T264" i="35"/>
  <c r="T265" i="35"/>
  <c r="T266" i="35"/>
  <c r="T267" i="35"/>
  <c r="T268" i="35"/>
  <c r="T269" i="35"/>
  <c r="T270" i="35"/>
  <c r="T271" i="35"/>
  <c r="T272" i="35"/>
  <c r="T273" i="35"/>
  <c r="T274" i="35"/>
  <c r="T275" i="35"/>
  <c r="T276" i="35"/>
  <c r="T277" i="35"/>
  <c r="T278" i="35"/>
  <c r="T279" i="35"/>
  <c r="T280" i="35"/>
  <c r="T281" i="35"/>
  <c r="T282" i="35"/>
  <c r="T283" i="35"/>
  <c r="T284" i="35"/>
  <c r="T285" i="35"/>
  <c r="T286" i="35"/>
  <c r="T287" i="35"/>
  <c r="T288" i="35"/>
  <c r="T289" i="35"/>
  <c r="T290" i="35"/>
  <c r="T291" i="35"/>
  <c r="T292" i="35"/>
  <c r="T293" i="35"/>
  <c r="T294" i="35"/>
  <c r="T295" i="35"/>
  <c r="T296" i="35"/>
  <c r="T297" i="35"/>
  <c r="T298" i="35"/>
  <c r="T299" i="35"/>
  <c r="T300" i="35"/>
  <c r="T301" i="35"/>
  <c r="T302" i="35"/>
  <c r="T303" i="35"/>
  <c r="T304" i="35"/>
  <c r="T305" i="35"/>
  <c r="T306" i="35"/>
  <c r="T307" i="35"/>
  <c r="T308" i="35"/>
  <c r="T309" i="35"/>
  <c r="T191" i="35"/>
  <c r="F3" i="35"/>
  <c r="AH124" i="9" s="1"/>
  <c r="AA3" i="35"/>
  <c r="AA4" i="35"/>
  <c r="AA5" i="35"/>
  <c r="AA6" i="35"/>
  <c r="AA7" i="35"/>
  <c r="AA8" i="35"/>
  <c r="AA9" i="35"/>
  <c r="AA10" i="35"/>
  <c r="AA11" i="35"/>
  <c r="AA12" i="35"/>
  <c r="AA13" i="35"/>
  <c r="AA14" i="35"/>
  <c r="AA15" i="35"/>
  <c r="AA16" i="35"/>
  <c r="AA17" i="35"/>
  <c r="AA18" i="35"/>
  <c r="AA19" i="35"/>
  <c r="AA20" i="35"/>
  <c r="AA21" i="35"/>
  <c r="AA22" i="35"/>
  <c r="AA23" i="35"/>
  <c r="AA24" i="35"/>
  <c r="AA25" i="35"/>
  <c r="AA26" i="35"/>
  <c r="AA27" i="35"/>
  <c r="AA29" i="35"/>
  <c r="AA30" i="35"/>
  <c r="AA31" i="35"/>
  <c r="AA32" i="35"/>
  <c r="AA33" i="35"/>
  <c r="AA34" i="35"/>
  <c r="AA35" i="35"/>
  <c r="AA36" i="35"/>
  <c r="AA37" i="35"/>
  <c r="AA38" i="35"/>
  <c r="AA39" i="35"/>
  <c r="AA40" i="35"/>
  <c r="AA41" i="35"/>
  <c r="AA42" i="35"/>
  <c r="AA43" i="35"/>
  <c r="U112" i="9" s="1"/>
  <c r="AA44" i="35"/>
  <c r="V112" i="9" s="1"/>
  <c r="AA45" i="35"/>
  <c r="W112" i="9" s="1"/>
  <c r="AA46" i="35"/>
  <c r="X112" i="9" s="1"/>
  <c r="AA47" i="35"/>
  <c r="Y112" i="9" s="1"/>
  <c r="AA48" i="35"/>
  <c r="Z112" i="9" s="1"/>
  <c r="AA49" i="35"/>
  <c r="AA112" i="9" s="1"/>
  <c r="AA50" i="35"/>
  <c r="AB112" i="9" s="1"/>
  <c r="AA51" i="35"/>
  <c r="AC112" i="9" s="1"/>
  <c r="AA52" i="35"/>
  <c r="AD112" i="9" s="1"/>
  <c r="AA53" i="35"/>
  <c r="AE112" i="9" s="1"/>
  <c r="AA54" i="35"/>
  <c r="AF112" i="9" s="1"/>
  <c r="AA55" i="35"/>
  <c r="AG112" i="9" s="1"/>
  <c r="AA56" i="35"/>
  <c r="AA57" i="35"/>
  <c r="AA58" i="35"/>
  <c r="AA59" i="35"/>
  <c r="AA60" i="35"/>
  <c r="AA61" i="35"/>
  <c r="AA62" i="35"/>
  <c r="AA63" i="35"/>
  <c r="AA64" i="35"/>
  <c r="AA65" i="35"/>
  <c r="AA66" i="35"/>
  <c r="AA67" i="35"/>
  <c r="AA68" i="35"/>
  <c r="AA69" i="35"/>
  <c r="AA70" i="35"/>
  <c r="AA71" i="35"/>
  <c r="AA72" i="35"/>
  <c r="AA73" i="35"/>
  <c r="AA74" i="35"/>
  <c r="AA75" i="35"/>
  <c r="AA76" i="35"/>
  <c r="AA77" i="35"/>
  <c r="AA78" i="35"/>
  <c r="AA79" i="35"/>
  <c r="AA80" i="35"/>
  <c r="AA81" i="35"/>
  <c r="AA82" i="35"/>
  <c r="AA83" i="35"/>
  <c r="AA84" i="35"/>
  <c r="AA85" i="35"/>
  <c r="AA86" i="35"/>
  <c r="AA87" i="35"/>
  <c r="AA88" i="35"/>
  <c r="AA89" i="35"/>
  <c r="AA90" i="35"/>
  <c r="AA91" i="35"/>
  <c r="AA92" i="35"/>
  <c r="AA93" i="35"/>
  <c r="AA94" i="35"/>
  <c r="AA95" i="35"/>
  <c r="AA96" i="35"/>
  <c r="AA97" i="35"/>
  <c r="AA98" i="35"/>
  <c r="AA99" i="35"/>
  <c r="AA100" i="35"/>
  <c r="AA101" i="35"/>
  <c r="AA102" i="35"/>
  <c r="AA103" i="35"/>
  <c r="AA104" i="35"/>
  <c r="AA105" i="35"/>
  <c r="AA106" i="35"/>
  <c r="AA107" i="35"/>
  <c r="AA108" i="35"/>
  <c r="AA109" i="35"/>
  <c r="AA110" i="35"/>
  <c r="AA111" i="35"/>
  <c r="AA112" i="35"/>
  <c r="AA113" i="35"/>
  <c r="AA114" i="35"/>
  <c r="AA115" i="35"/>
  <c r="AA116" i="35"/>
  <c r="AA117" i="35"/>
  <c r="AA118" i="35"/>
  <c r="AA119" i="35"/>
  <c r="AA120" i="35"/>
  <c r="AA121" i="35"/>
  <c r="AA122" i="35"/>
  <c r="AA123" i="35"/>
  <c r="AA124" i="35"/>
  <c r="AA125" i="35"/>
  <c r="AA126" i="35"/>
  <c r="AA127" i="35"/>
  <c r="AA128" i="35"/>
  <c r="AA129" i="35"/>
  <c r="AA130" i="35"/>
  <c r="AA131" i="35"/>
  <c r="AA132" i="35"/>
  <c r="AA133" i="35"/>
  <c r="AA134" i="35"/>
  <c r="AA135" i="35"/>
  <c r="AA136" i="35"/>
  <c r="AA137" i="35"/>
  <c r="AA138" i="35"/>
  <c r="AA139" i="35"/>
  <c r="AA140" i="35"/>
  <c r="AA141" i="35"/>
  <c r="AA142" i="35"/>
  <c r="AA143" i="35"/>
  <c r="AA144" i="35"/>
  <c r="AA145" i="35"/>
  <c r="AA146" i="35"/>
  <c r="AA147" i="35"/>
  <c r="AA148" i="35"/>
  <c r="AA149" i="35"/>
  <c r="AA150" i="35"/>
  <c r="AA151" i="35"/>
  <c r="AA152" i="35"/>
  <c r="AA153" i="35"/>
  <c r="AA154" i="35"/>
  <c r="AA155" i="35"/>
  <c r="AA156" i="35"/>
  <c r="AA157" i="35"/>
  <c r="AA158" i="35"/>
  <c r="AA159" i="35"/>
  <c r="AA160" i="35"/>
  <c r="AA161" i="35"/>
  <c r="AA162" i="35"/>
  <c r="AA163" i="35"/>
  <c r="AA164" i="35"/>
  <c r="AA165" i="35"/>
  <c r="AA166" i="35"/>
  <c r="AA167" i="35"/>
  <c r="AA168" i="35"/>
  <c r="AA169" i="35"/>
  <c r="AA170" i="35"/>
  <c r="AA171" i="35"/>
  <c r="AA172" i="35"/>
  <c r="AA173" i="35"/>
  <c r="AA174" i="35"/>
  <c r="AA175" i="35"/>
  <c r="AA176" i="35"/>
  <c r="AA177" i="35"/>
  <c r="AA178" i="35"/>
  <c r="AA179" i="35"/>
  <c r="AA180" i="35"/>
  <c r="AA181" i="35"/>
  <c r="AA182" i="35"/>
  <c r="AA183" i="35"/>
  <c r="AA184" i="35"/>
  <c r="AA185" i="35"/>
  <c r="AA186" i="35"/>
  <c r="AA187" i="35"/>
  <c r="AA188" i="35"/>
  <c r="AA189" i="35"/>
  <c r="AA190" i="35"/>
  <c r="AA191" i="35"/>
  <c r="AA192" i="35"/>
  <c r="AA193" i="35"/>
  <c r="AA194" i="35"/>
  <c r="AA195" i="35"/>
  <c r="AA196" i="35"/>
  <c r="AA197" i="35"/>
  <c r="AA198" i="35"/>
  <c r="AA199" i="35"/>
  <c r="AA200" i="35"/>
  <c r="AA201" i="35"/>
  <c r="AA202" i="35"/>
  <c r="AA203" i="35"/>
  <c r="AA204" i="35"/>
  <c r="AA205" i="35"/>
  <c r="AA206" i="35"/>
  <c r="AA207" i="35"/>
  <c r="AA208" i="35"/>
  <c r="AA209" i="35"/>
  <c r="AA210" i="35"/>
  <c r="AA211" i="35"/>
  <c r="AA212" i="35"/>
  <c r="AA213" i="35"/>
  <c r="AA214" i="35"/>
  <c r="AA215" i="35"/>
  <c r="AA216" i="35"/>
  <c r="AA217" i="35"/>
  <c r="AA218" i="35"/>
  <c r="AA219" i="35"/>
  <c r="AA220" i="35"/>
  <c r="AA221" i="35"/>
  <c r="AA222" i="35"/>
  <c r="AA223" i="35"/>
  <c r="AA224" i="35"/>
  <c r="AA225" i="35"/>
  <c r="AA226" i="35"/>
  <c r="AA227" i="35"/>
  <c r="AA228" i="35"/>
  <c r="AA229" i="35"/>
  <c r="AA230" i="35"/>
  <c r="AA231" i="35"/>
  <c r="AA232" i="35"/>
  <c r="AA233" i="35"/>
  <c r="AA234" i="35"/>
  <c r="AA235" i="35"/>
  <c r="AA236" i="35"/>
  <c r="AA237" i="35"/>
  <c r="AA238" i="35"/>
  <c r="AA239" i="35"/>
  <c r="AA240" i="35"/>
  <c r="AA241" i="35"/>
  <c r="AA242" i="35"/>
  <c r="AA243" i="35"/>
  <c r="AA244" i="35"/>
  <c r="AA245" i="35"/>
  <c r="AA246" i="35"/>
  <c r="AA247" i="35"/>
  <c r="AA248" i="35"/>
  <c r="AA249" i="35"/>
  <c r="AA250" i="35"/>
  <c r="AA251" i="35"/>
  <c r="AA252" i="35"/>
  <c r="AA253" i="35"/>
  <c r="AA254" i="35"/>
  <c r="AA255" i="35"/>
  <c r="AA256" i="35"/>
  <c r="AA257" i="35"/>
  <c r="AA258" i="35"/>
  <c r="AA259" i="35"/>
  <c r="AA260" i="35"/>
  <c r="AA261" i="35"/>
  <c r="AA262" i="35"/>
  <c r="AA263" i="35"/>
  <c r="AA264" i="35"/>
  <c r="AA265" i="35"/>
  <c r="AA266" i="35"/>
  <c r="AA267" i="35"/>
  <c r="AA268" i="35"/>
  <c r="AA269" i="35"/>
  <c r="AA270" i="35"/>
  <c r="AA271" i="35"/>
  <c r="AA272" i="35"/>
  <c r="AA273" i="35"/>
  <c r="AA274" i="35"/>
  <c r="AA275" i="35"/>
  <c r="AA276" i="35"/>
  <c r="AA277" i="35"/>
  <c r="AA278" i="35"/>
  <c r="AA279" i="35"/>
  <c r="AA280" i="35"/>
  <c r="AA281" i="35"/>
  <c r="AA282" i="35"/>
  <c r="AA283" i="35"/>
  <c r="AA284" i="35"/>
  <c r="AA285" i="35"/>
  <c r="AA286" i="35"/>
  <c r="AA287" i="35"/>
  <c r="AA288" i="35"/>
  <c r="AA289" i="35"/>
  <c r="AA290" i="35"/>
  <c r="AA291" i="35"/>
  <c r="AA292" i="35"/>
  <c r="AA293" i="35"/>
  <c r="AA294" i="35"/>
  <c r="AA295" i="35"/>
  <c r="AA296" i="35"/>
  <c r="AA297" i="35"/>
  <c r="AA298" i="35"/>
  <c r="AA299" i="35"/>
  <c r="AA300" i="35"/>
  <c r="AA301" i="35"/>
  <c r="AA302" i="35"/>
  <c r="AA303" i="35"/>
  <c r="AA305" i="35"/>
  <c r="AA306" i="35"/>
  <c r="AA307" i="35"/>
  <c r="AA308" i="35"/>
  <c r="P108" i="59" s="1"/>
  <c r="P111" i="59" s="1"/>
  <c r="AA309" i="35"/>
  <c r="AA304" i="35"/>
  <c r="W4" i="35" a="1"/>
  <c r="W4" i="35" s="1"/>
  <c r="X4" i="35" a="1"/>
  <c r="X4" i="35" s="1"/>
  <c r="Y4" i="35" a="1"/>
  <c r="Y4" i="35" s="1"/>
  <c r="Z4" i="35" a="1"/>
  <c r="Z4" i="35" s="1"/>
  <c r="W5" i="35" a="1"/>
  <c r="W5" i="35" s="1"/>
  <c r="X5" i="35" a="1"/>
  <c r="X5" i="35" s="1"/>
  <c r="Y5" i="35" a="1"/>
  <c r="Y5" i="35" s="1"/>
  <c r="Z5" i="35" a="1"/>
  <c r="Z5" i="35" s="1"/>
  <c r="W6" i="35" a="1"/>
  <c r="W6" i="35" s="1"/>
  <c r="X6" i="35" a="1"/>
  <c r="X6" i="35" s="1"/>
  <c r="Y6" i="35" a="1"/>
  <c r="Y6" i="35" s="1"/>
  <c r="Z6" i="35" a="1"/>
  <c r="Z6" i="35" s="1"/>
  <c r="W7" i="35" a="1"/>
  <c r="W7" i="35" s="1"/>
  <c r="X7" i="35" a="1"/>
  <c r="X7" i="35" s="1"/>
  <c r="Y7" i="35" a="1"/>
  <c r="Y7" i="35" s="1"/>
  <c r="Z7" i="35" a="1"/>
  <c r="Z7" i="35" s="1"/>
  <c r="W8" i="35" a="1"/>
  <c r="W8" i="35" s="1"/>
  <c r="X8" i="35" a="1"/>
  <c r="X8" i="35" s="1"/>
  <c r="Y8" i="35" a="1"/>
  <c r="Y8" i="35" s="1"/>
  <c r="Z8" i="35" a="1"/>
  <c r="Z8" i="35" s="1"/>
  <c r="W9" i="35" a="1"/>
  <c r="W9" i="35" s="1"/>
  <c r="X9" i="35" a="1"/>
  <c r="X9" i="35" s="1"/>
  <c r="Y9" i="35" a="1"/>
  <c r="Y9" i="35" s="1"/>
  <c r="Z9" i="35" a="1"/>
  <c r="Z9" i="35" s="1"/>
  <c r="W10" i="35" a="1"/>
  <c r="W10" i="35" s="1"/>
  <c r="X10" i="35" a="1"/>
  <c r="X10" i="35" s="1"/>
  <c r="Y10" i="35" a="1"/>
  <c r="Y10" i="35" s="1"/>
  <c r="Z10" i="35" a="1"/>
  <c r="Z10" i="35" s="1"/>
  <c r="W11" i="35" a="1"/>
  <c r="W11" i="35" s="1"/>
  <c r="X11" i="35" a="1"/>
  <c r="X11" i="35" s="1"/>
  <c r="Y11" i="35" a="1"/>
  <c r="Y11" i="35" s="1"/>
  <c r="Z11" i="35" a="1"/>
  <c r="Z11" i="35" s="1"/>
  <c r="W12" i="35" a="1"/>
  <c r="W12" i="35" s="1"/>
  <c r="X12" i="35" a="1"/>
  <c r="X12" i="35" s="1"/>
  <c r="Y12" i="35" a="1"/>
  <c r="Y12" i="35" s="1"/>
  <c r="Z12" i="35" a="1"/>
  <c r="Z12" i="35" s="1"/>
  <c r="W13" i="35" a="1"/>
  <c r="W13" i="35" s="1"/>
  <c r="X13" i="35" a="1"/>
  <c r="X13" i="35" s="1"/>
  <c r="Y13" i="35" a="1"/>
  <c r="Y13" i="35" s="1"/>
  <c r="Z13" i="35" a="1"/>
  <c r="Z13" i="35" s="1"/>
  <c r="W14" i="35" a="1"/>
  <c r="W14" i="35" s="1"/>
  <c r="X14" i="35" a="1"/>
  <c r="X14" i="35" s="1"/>
  <c r="Y14" i="35" a="1"/>
  <c r="Y14" i="35" s="1"/>
  <c r="Z14" i="35" a="1"/>
  <c r="Z14" i="35" s="1"/>
  <c r="W15" i="35" a="1"/>
  <c r="W15" i="35" s="1"/>
  <c r="X15" i="35" a="1"/>
  <c r="X15" i="35" s="1"/>
  <c r="Y15" i="35" a="1"/>
  <c r="Y15" i="35" s="1"/>
  <c r="Z15" i="35" a="1"/>
  <c r="Z15" i="35" s="1"/>
  <c r="W16" i="35" a="1"/>
  <c r="W16" i="35" s="1"/>
  <c r="X16" i="35" a="1"/>
  <c r="X16" i="35" s="1"/>
  <c r="Y16" i="35" a="1"/>
  <c r="Y16" i="35" s="1"/>
  <c r="Z16" i="35" a="1"/>
  <c r="Z16" i="35" s="1"/>
  <c r="W17" i="35" a="1"/>
  <c r="W17" i="35" s="1"/>
  <c r="X17" i="35" a="1"/>
  <c r="X17" i="35" s="1"/>
  <c r="Y17" i="35" a="1"/>
  <c r="Y17" i="35" s="1"/>
  <c r="Z17" i="35" a="1"/>
  <c r="Z17" i="35" s="1"/>
  <c r="W18" i="35" a="1"/>
  <c r="W18" i="35" s="1"/>
  <c r="X18" i="35" a="1"/>
  <c r="X18" i="35" s="1"/>
  <c r="Y18" i="35" a="1"/>
  <c r="Y18" i="35" s="1"/>
  <c r="Z18" i="35" a="1"/>
  <c r="Z18" i="35" s="1"/>
  <c r="W19" i="35" a="1"/>
  <c r="W19" i="35" s="1"/>
  <c r="X19" i="35" a="1"/>
  <c r="X19" i="35" s="1"/>
  <c r="Y19" i="35" a="1"/>
  <c r="Y19" i="35" s="1"/>
  <c r="Z19" i="35" a="1"/>
  <c r="Z19" i="35" s="1"/>
  <c r="W20" i="35" a="1"/>
  <c r="W20" i="35" s="1"/>
  <c r="X20" i="35" a="1"/>
  <c r="X20" i="35" s="1"/>
  <c r="Y20" i="35" a="1"/>
  <c r="Y20" i="35" s="1"/>
  <c r="Z20" i="35" a="1"/>
  <c r="Z20" i="35" s="1"/>
  <c r="W21" i="35" a="1"/>
  <c r="W21" i="35" s="1"/>
  <c r="X21" i="35" a="1"/>
  <c r="X21" i="35" s="1"/>
  <c r="Y21" i="35" a="1"/>
  <c r="Y21" i="35" s="1"/>
  <c r="Z21" i="35" a="1"/>
  <c r="Z21" i="35" s="1"/>
  <c r="W22" i="35" a="1"/>
  <c r="W22" i="35" s="1"/>
  <c r="X22" i="35" a="1"/>
  <c r="X22" i="35" s="1"/>
  <c r="Y22" i="35" a="1"/>
  <c r="Y22" i="35" s="1"/>
  <c r="Z22" i="35" a="1"/>
  <c r="Z22" i="35" s="1"/>
  <c r="W23" i="35" a="1"/>
  <c r="W23" i="35" s="1"/>
  <c r="X23" i="35" a="1"/>
  <c r="X23" i="35" s="1"/>
  <c r="Y23" i="35" a="1"/>
  <c r="Y23" i="35" s="1"/>
  <c r="Z23" i="35" a="1"/>
  <c r="Z23" i="35" s="1"/>
  <c r="W24" i="35" a="1"/>
  <c r="W24" i="35" s="1"/>
  <c r="X24" i="35" a="1"/>
  <c r="X24" i="35" s="1"/>
  <c r="Y24" i="35" a="1"/>
  <c r="Y24" i="35" s="1"/>
  <c r="Z24" i="35" a="1"/>
  <c r="Z24" i="35" s="1"/>
  <c r="W25" i="35" a="1"/>
  <c r="W25" i="35" s="1"/>
  <c r="X25" i="35" a="1"/>
  <c r="X25" i="35" s="1"/>
  <c r="Y25" i="35" a="1"/>
  <c r="Y25" i="35" s="1"/>
  <c r="Z25" i="35" a="1"/>
  <c r="Z25" i="35" s="1"/>
  <c r="W26" i="35" a="1"/>
  <c r="W26" i="35" s="1"/>
  <c r="X26" i="35" a="1"/>
  <c r="X26" i="35" s="1"/>
  <c r="Y26" i="35" a="1"/>
  <c r="Y26" i="35" s="1"/>
  <c r="Z26" i="35" a="1"/>
  <c r="Z26" i="35" s="1"/>
  <c r="W27" i="35" a="1"/>
  <c r="W27" i="35" s="1"/>
  <c r="X27" i="35" a="1"/>
  <c r="X27" i="35" s="1"/>
  <c r="Y27" i="35" a="1"/>
  <c r="Y27" i="35" s="1"/>
  <c r="Z27" i="35" a="1"/>
  <c r="Z27" i="35" s="1"/>
  <c r="W28" i="35" a="1"/>
  <c r="W28" i="35" s="1"/>
  <c r="X28" i="35" a="1"/>
  <c r="X28" i="35" s="1"/>
  <c r="Y28" i="35" a="1"/>
  <c r="Y28" i="35" s="1"/>
  <c r="Z28" i="35" a="1"/>
  <c r="Z28" i="35" s="1"/>
  <c r="W29" i="35" a="1"/>
  <c r="W29" i="35" s="1"/>
  <c r="X29" i="35" a="1"/>
  <c r="X29" i="35" s="1"/>
  <c r="Y29" i="35" a="1"/>
  <c r="Y29" i="35" s="1"/>
  <c r="Z29" i="35" a="1"/>
  <c r="Z29" i="35" s="1"/>
  <c r="W30" i="35" a="1"/>
  <c r="W30" i="35" s="1"/>
  <c r="X30" i="35" a="1"/>
  <c r="X30" i="35" s="1"/>
  <c r="Y30" i="35" a="1"/>
  <c r="Y30" i="35" s="1"/>
  <c r="Z30" i="35" a="1"/>
  <c r="Z30" i="35" s="1"/>
  <c r="W31" i="35" a="1"/>
  <c r="W31" i="35" s="1"/>
  <c r="X31" i="35" a="1"/>
  <c r="X31" i="35" s="1"/>
  <c r="Y31" i="35" a="1"/>
  <c r="Y31" i="35" s="1"/>
  <c r="Z31" i="35" a="1"/>
  <c r="Z31" i="35" s="1"/>
  <c r="W32" i="35" a="1"/>
  <c r="W32" i="35" s="1"/>
  <c r="X32" i="35" a="1"/>
  <c r="X32" i="35" s="1"/>
  <c r="Y32" i="35" a="1"/>
  <c r="Y32" i="35" s="1"/>
  <c r="Z32" i="35" a="1"/>
  <c r="Z32" i="35" s="1"/>
  <c r="W33" i="35" a="1"/>
  <c r="W33" i="35" s="1"/>
  <c r="X33" i="35" a="1"/>
  <c r="X33" i="35" s="1"/>
  <c r="Y33" i="35" a="1"/>
  <c r="Y33" i="35" s="1"/>
  <c r="Z33" i="35" a="1"/>
  <c r="Z33" i="35" s="1"/>
  <c r="W34" i="35" a="1"/>
  <c r="W34" i="35" s="1"/>
  <c r="X34" i="35" a="1"/>
  <c r="X34" i="35" s="1"/>
  <c r="Y34" i="35" a="1"/>
  <c r="Y34" i="35" s="1"/>
  <c r="Z34" i="35" a="1"/>
  <c r="Z34" i="35" s="1"/>
  <c r="W35" i="35" a="1"/>
  <c r="W35" i="35" s="1"/>
  <c r="X35" i="35" a="1"/>
  <c r="X35" i="35" s="1"/>
  <c r="Y35" i="35" a="1"/>
  <c r="Y35" i="35" s="1"/>
  <c r="Z35" i="35" a="1"/>
  <c r="Z35" i="35" s="1"/>
  <c r="W36" i="35" a="1"/>
  <c r="W36" i="35" s="1"/>
  <c r="X36" i="35" a="1"/>
  <c r="X36" i="35" s="1"/>
  <c r="Y36" i="35" a="1"/>
  <c r="Y36" i="35" s="1"/>
  <c r="Z36" i="35" a="1"/>
  <c r="Z36" i="35" s="1"/>
  <c r="W37" i="35" a="1"/>
  <c r="W37" i="35" s="1"/>
  <c r="X37" i="35" a="1"/>
  <c r="X37" i="35" s="1"/>
  <c r="Y37" i="35" a="1"/>
  <c r="Y37" i="35" s="1"/>
  <c r="Z37" i="35" a="1"/>
  <c r="Z37" i="35" s="1"/>
  <c r="W38" i="35" a="1"/>
  <c r="W38" i="35" s="1"/>
  <c r="X38" i="35" a="1"/>
  <c r="X38" i="35" s="1"/>
  <c r="Y38" i="35" a="1"/>
  <c r="Y38" i="35" s="1"/>
  <c r="Z38" i="35" a="1"/>
  <c r="Z38" i="35" s="1"/>
  <c r="W39" i="35" a="1"/>
  <c r="W39" i="35" s="1"/>
  <c r="X39" i="35" a="1"/>
  <c r="X39" i="35" s="1"/>
  <c r="Y39" i="35" a="1"/>
  <c r="Y39" i="35" s="1"/>
  <c r="Z39" i="35" a="1"/>
  <c r="Z39" i="35" s="1"/>
  <c r="W40" i="35" a="1"/>
  <c r="W40" i="35" s="1"/>
  <c r="X40" i="35" a="1"/>
  <c r="X40" i="35" s="1"/>
  <c r="Y40" i="35" a="1"/>
  <c r="Y40" i="35" s="1"/>
  <c r="Z40" i="35" a="1"/>
  <c r="Z40" i="35" s="1"/>
  <c r="W41" i="35" a="1"/>
  <c r="W41" i="35" s="1"/>
  <c r="X41" i="35" a="1"/>
  <c r="X41" i="35" s="1"/>
  <c r="Y41" i="35" a="1"/>
  <c r="Y41" i="35" s="1"/>
  <c r="Z41" i="35" a="1"/>
  <c r="Z41" i="35" s="1"/>
  <c r="W42" i="35" a="1"/>
  <c r="W42" i="35" s="1"/>
  <c r="X42" i="35" a="1"/>
  <c r="X42" i="35" s="1"/>
  <c r="Y42" i="35" a="1"/>
  <c r="Y42" i="35" s="1"/>
  <c r="Z42" i="35" a="1"/>
  <c r="Z42" i="35" s="1"/>
  <c r="W43" i="35" a="1"/>
  <c r="W43" i="35" s="1"/>
  <c r="X43" i="35" a="1"/>
  <c r="X43" i="35" s="1"/>
  <c r="Y43" i="35" a="1"/>
  <c r="Y43" i="35" s="1"/>
  <c r="U28" i="9" s="1" a="1"/>
  <c r="U28" i="9" s="1"/>
  <c r="Z43" i="35" a="1"/>
  <c r="Z43" i="35" s="1"/>
  <c r="U30" i="9" s="1" a="1"/>
  <c r="U30" i="9" s="1"/>
  <c r="U31" i="9" s="1"/>
  <c r="W44" i="35" a="1"/>
  <c r="W44" i="35" s="1"/>
  <c r="X44" i="35" a="1"/>
  <c r="X44" i="35" s="1"/>
  <c r="Y44" i="35" a="1"/>
  <c r="Y44" i="35" s="1"/>
  <c r="V28" i="9" s="1" a="1"/>
  <c r="V28" i="9" s="1"/>
  <c r="Z44" i="35" a="1"/>
  <c r="Z44" i="35" s="1"/>
  <c r="V30" i="9" s="1" a="1"/>
  <c r="V30" i="9" s="1"/>
  <c r="V31" i="9" s="1"/>
  <c r="W45" i="35" a="1"/>
  <c r="W45" i="35" s="1"/>
  <c r="X45" i="35" a="1"/>
  <c r="X45" i="35" s="1"/>
  <c r="Y45" i="35" a="1"/>
  <c r="Y45" i="35" s="1"/>
  <c r="W28" i="9" s="1" a="1"/>
  <c r="W28" i="9" s="1"/>
  <c r="Z45" i="35" a="1"/>
  <c r="Z45" i="35" s="1"/>
  <c r="W30" i="9" s="1" a="1"/>
  <c r="W30" i="9" s="1"/>
  <c r="W31" i="9" s="1"/>
  <c r="W46" i="35" a="1"/>
  <c r="W46" i="35" s="1"/>
  <c r="X46" i="35" a="1"/>
  <c r="X46" i="35" s="1"/>
  <c r="Y46" i="35" a="1"/>
  <c r="Y46" i="35" s="1"/>
  <c r="X28" i="9" s="1" a="1"/>
  <c r="X28" i="9" s="1"/>
  <c r="Z46" i="35" a="1"/>
  <c r="Z46" i="35" s="1"/>
  <c r="X30" i="9" s="1" a="1"/>
  <c r="X30" i="9" s="1"/>
  <c r="X31" i="9" s="1"/>
  <c r="W47" i="35" a="1"/>
  <c r="W47" i="35" s="1"/>
  <c r="X47" i="35" a="1"/>
  <c r="X47" i="35" s="1"/>
  <c r="Y47" i="35" a="1"/>
  <c r="Y47" i="35" s="1"/>
  <c r="Y28" i="9" s="1" a="1"/>
  <c r="Y28" i="9" s="1"/>
  <c r="Z47" i="35" a="1"/>
  <c r="Z47" i="35" s="1"/>
  <c r="Y30" i="9" s="1" a="1"/>
  <c r="Y30" i="9" s="1"/>
  <c r="Y31" i="9" s="1"/>
  <c r="W48" i="35" a="1"/>
  <c r="W48" i="35" s="1"/>
  <c r="X48" i="35" a="1"/>
  <c r="X48" i="35" s="1"/>
  <c r="Y48" i="35" a="1"/>
  <c r="Y48" i="35" s="1"/>
  <c r="Z28" i="9" s="1" a="1"/>
  <c r="Z28" i="9" s="1"/>
  <c r="Z48" i="35" a="1"/>
  <c r="Z48" i="35" s="1"/>
  <c r="Z30" i="9" s="1" a="1"/>
  <c r="Z30" i="9" s="1"/>
  <c r="Z31" i="9" s="1"/>
  <c r="W49" i="35" a="1"/>
  <c r="W49" i="35" s="1"/>
  <c r="X49" i="35" a="1"/>
  <c r="X49" i="35" s="1"/>
  <c r="Y49" i="35" a="1"/>
  <c r="Y49" i="35" s="1"/>
  <c r="AA28" i="9" s="1" a="1"/>
  <c r="AA28" i="9" s="1"/>
  <c r="Z49" i="35" a="1"/>
  <c r="Z49" i="35" s="1"/>
  <c r="AA30" i="9" s="1" a="1"/>
  <c r="AA30" i="9" s="1"/>
  <c r="AA31" i="9" s="1"/>
  <c r="W50" i="35" a="1"/>
  <c r="W50" i="35" s="1"/>
  <c r="X50" i="35" a="1"/>
  <c r="X50" i="35" s="1"/>
  <c r="Y50" i="35" a="1"/>
  <c r="Y50" i="35" s="1"/>
  <c r="AB28" i="9" s="1" a="1"/>
  <c r="AB28" i="9" s="1"/>
  <c r="Z50" i="35" a="1"/>
  <c r="Z50" i="35" s="1"/>
  <c r="AB30" i="9" s="1" a="1"/>
  <c r="AB30" i="9" s="1"/>
  <c r="AB31" i="9" s="1"/>
  <c r="W51" i="35" a="1"/>
  <c r="W51" i="35" s="1"/>
  <c r="X51" i="35" a="1"/>
  <c r="X51" i="35" s="1"/>
  <c r="Y51" i="35" a="1"/>
  <c r="Y51" i="35" s="1"/>
  <c r="AC28" i="9" s="1" a="1"/>
  <c r="AC28" i="9" s="1"/>
  <c r="Z51" i="35" a="1"/>
  <c r="Z51" i="35" s="1"/>
  <c r="AC30" i="9" s="1" a="1"/>
  <c r="AC30" i="9" s="1"/>
  <c r="AC31" i="9" s="1"/>
  <c r="W52" i="35" a="1"/>
  <c r="W52" i="35" s="1"/>
  <c r="X52" i="35" a="1"/>
  <c r="X52" i="35" s="1"/>
  <c r="Y52" i="35" a="1"/>
  <c r="Y52" i="35" s="1"/>
  <c r="AD28" i="9" s="1" a="1"/>
  <c r="AD28" i="9" s="1"/>
  <c r="Z52" i="35" a="1"/>
  <c r="Z52" i="35" s="1"/>
  <c r="AD30" i="9" s="1" a="1"/>
  <c r="AD30" i="9" s="1"/>
  <c r="AD31" i="9" s="1"/>
  <c r="W53" i="35" a="1"/>
  <c r="W53" i="35" s="1"/>
  <c r="X53" i="35" a="1"/>
  <c r="X53" i="35" s="1"/>
  <c r="Y53" i="35" a="1"/>
  <c r="Y53" i="35" s="1"/>
  <c r="AE28" i="9" s="1" a="1"/>
  <c r="AE28" i="9" s="1"/>
  <c r="Z53" i="35" a="1"/>
  <c r="Z53" i="35" s="1"/>
  <c r="AE30" i="9" s="1" a="1"/>
  <c r="AE30" i="9" s="1"/>
  <c r="AE31" i="9" s="1"/>
  <c r="W54" i="35" a="1"/>
  <c r="W54" i="35" s="1"/>
  <c r="X54" i="35" a="1"/>
  <c r="X54" i="35" s="1"/>
  <c r="Y54" i="35" a="1"/>
  <c r="Y54" i="35" s="1"/>
  <c r="AF28" i="9" s="1" a="1"/>
  <c r="AF28" i="9" s="1"/>
  <c r="Z54" i="35" a="1"/>
  <c r="Z54" i="35" s="1"/>
  <c r="AF30" i="9" s="1" a="1"/>
  <c r="AF30" i="9" s="1"/>
  <c r="AF31" i="9" s="1"/>
  <c r="W55" i="35" a="1"/>
  <c r="W55" i="35" s="1"/>
  <c r="X55" i="35" a="1"/>
  <c r="X55" i="35" s="1"/>
  <c r="Y55" i="35" a="1"/>
  <c r="Y55" i="35" s="1"/>
  <c r="AG28" i="9" s="1" a="1"/>
  <c r="AG28" i="9" s="1"/>
  <c r="Z55" i="35" a="1"/>
  <c r="Z55" i="35" s="1"/>
  <c r="AG30" i="9" s="1" a="1"/>
  <c r="AG30" i="9" s="1"/>
  <c r="AG31" i="9" s="1"/>
  <c r="W56" i="35" a="1"/>
  <c r="W56" i="35" s="1"/>
  <c r="X56" i="35" a="1"/>
  <c r="X56" i="35" s="1"/>
  <c r="Y56" i="35" a="1"/>
  <c r="Y56" i="35" s="1"/>
  <c r="Z56" i="35" a="1"/>
  <c r="Z56" i="35" s="1"/>
  <c r="W57" i="35" a="1"/>
  <c r="W57" i="35" s="1"/>
  <c r="X57" i="35" a="1"/>
  <c r="X57" i="35" s="1"/>
  <c r="Y57" i="35" a="1"/>
  <c r="Y57" i="35" s="1"/>
  <c r="Z57" i="35" a="1"/>
  <c r="Z57" i="35" s="1"/>
  <c r="W58" i="35" a="1"/>
  <c r="W58" i="35" s="1"/>
  <c r="X58" i="35" a="1"/>
  <c r="X58" i="35" s="1"/>
  <c r="Y58" i="35" a="1"/>
  <c r="Y58" i="35" s="1"/>
  <c r="Z58" i="35" a="1"/>
  <c r="Z58" i="35" s="1"/>
  <c r="W59" i="35" a="1"/>
  <c r="W59" i="35" s="1"/>
  <c r="X59" i="35" a="1"/>
  <c r="X59" i="35" s="1"/>
  <c r="Y59" i="35" a="1"/>
  <c r="Y59" i="35" s="1"/>
  <c r="Z59" i="35" a="1"/>
  <c r="Z59" i="35" s="1"/>
  <c r="W60" i="35" a="1"/>
  <c r="W60" i="35" s="1"/>
  <c r="X60" i="35" a="1"/>
  <c r="X60" i="35" s="1"/>
  <c r="Y60" i="35" a="1"/>
  <c r="Y60" i="35" s="1"/>
  <c r="Z60" i="35" a="1"/>
  <c r="Z60" i="35" s="1"/>
  <c r="W61" i="35" a="1"/>
  <c r="W61" i="35" s="1"/>
  <c r="X61" i="35" a="1"/>
  <c r="X61" i="35" s="1"/>
  <c r="Y61" i="35" a="1"/>
  <c r="Y61" i="35" s="1"/>
  <c r="Z61" i="35" a="1"/>
  <c r="Z61" i="35" s="1"/>
  <c r="W62" i="35" a="1"/>
  <c r="W62" i="35" s="1"/>
  <c r="X62" i="35" a="1"/>
  <c r="X62" i="35" s="1"/>
  <c r="Y62" i="35" a="1"/>
  <c r="Y62" i="35" s="1"/>
  <c r="Z62" i="35" a="1"/>
  <c r="Z62" i="35" s="1"/>
  <c r="W63" i="35" a="1"/>
  <c r="W63" i="35" s="1"/>
  <c r="X63" i="35" a="1"/>
  <c r="X63" i="35" s="1"/>
  <c r="Y63" i="35" a="1"/>
  <c r="Y63" i="35" s="1"/>
  <c r="Z63" i="35" a="1"/>
  <c r="Z63" i="35" s="1"/>
  <c r="W64" i="35" a="1"/>
  <c r="W64" i="35" s="1"/>
  <c r="X64" i="35" a="1"/>
  <c r="X64" i="35" s="1"/>
  <c r="Y64" i="35" a="1"/>
  <c r="Y64" i="35" s="1"/>
  <c r="Z64" i="35" a="1"/>
  <c r="Z64" i="35" s="1"/>
  <c r="W65" i="35" a="1"/>
  <c r="W65" i="35" s="1"/>
  <c r="X65" i="35" a="1"/>
  <c r="X65" i="35" s="1"/>
  <c r="Y65" i="35" a="1"/>
  <c r="Y65" i="35" s="1"/>
  <c r="Z65" i="35" a="1"/>
  <c r="Z65" i="35" s="1"/>
  <c r="W66" i="35" a="1"/>
  <c r="W66" i="35" s="1"/>
  <c r="X66" i="35" a="1"/>
  <c r="X66" i="35" s="1"/>
  <c r="Y66" i="35" a="1"/>
  <c r="Y66" i="35" s="1"/>
  <c r="Z66" i="35" a="1"/>
  <c r="Z66" i="35" s="1"/>
  <c r="W67" i="35" a="1"/>
  <c r="W67" i="35" s="1"/>
  <c r="X67" i="35" a="1"/>
  <c r="X67" i="35" s="1"/>
  <c r="Y67" i="35" a="1"/>
  <c r="Y67" i="35" s="1"/>
  <c r="Z67" i="35" a="1"/>
  <c r="Z67" i="35" s="1"/>
  <c r="W68" i="35" a="1"/>
  <c r="W68" i="35" s="1"/>
  <c r="X68" i="35" a="1"/>
  <c r="X68" i="35" s="1"/>
  <c r="Y68" i="35" a="1"/>
  <c r="Y68" i="35" s="1"/>
  <c r="Z68" i="35" a="1"/>
  <c r="Z68" i="35" s="1"/>
  <c r="W69" i="35" a="1"/>
  <c r="W69" i="35" s="1"/>
  <c r="X69" i="35" a="1"/>
  <c r="X69" i="35" s="1"/>
  <c r="Y69" i="35" a="1"/>
  <c r="Y69" i="35" s="1"/>
  <c r="Z69" i="35" a="1"/>
  <c r="Z69" i="35" s="1"/>
  <c r="W70" i="35" a="1"/>
  <c r="W70" i="35" s="1"/>
  <c r="X70" i="35" a="1"/>
  <c r="X70" i="35" s="1"/>
  <c r="Y70" i="35" a="1"/>
  <c r="Y70" i="35" s="1"/>
  <c r="Z70" i="35" a="1"/>
  <c r="Z70" i="35" s="1"/>
  <c r="W71" i="35" a="1"/>
  <c r="W71" i="35" s="1"/>
  <c r="X71" i="35" a="1"/>
  <c r="X71" i="35" s="1"/>
  <c r="Y71" i="35" a="1"/>
  <c r="Y71" i="35" s="1"/>
  <c r="Z71" i="35" a="1"/>
  <c r="Z71" i="35" s="1"/>
  <c r="W72" i="35" a="1"/>
  <c r="W72" i="35" s="1"/>
  <c r="X72" i="35" a="1"/>
  <c r="X72" i="35" s="1"/>
  <c r="Y72" i="35" a="1"/>
  <c r="Y72" i="35" s="1"/>
  <c r="Z72" i="35" a="1"/>
  <c r="Z72" i="35" s="1"/>
  <c r="W73" i="35" a="1"/>
  <c r="W73" i="35" s="1"/>
  <c r="X73" i="35" a="1"/>
  <c r="X73" i="35" s="1"/>
  <c r="Y73" i="35" a="1"/>
  <c r="Y73" i="35" s="1"/>
  <c r="Z73" i="35" a="1"/>
  <c r="Z73" i="35" s="1"/>
  <c r="W74" i="35" a="1"/>
  <c r="W74" i="35" s="1"/>
  <c r="X74" i="35" a="1"/>
  <c r="X74" i="35" s="1"/>
  <c r="Y74" i="35" a="1"/>
  <c r="Y74" i="35" s="1"/>
  <c r="Z74" i="35" a="1"/>
  <c r="Z74" i="35" s="1"/>
  <c r="W75" i="35" a="1"/>
  <c r="W75" i="35" s="1"/>
  <c r="X75" i="35" a="1"/>
  <c r="X75" i="35" s="1"/>
  <c r="Y75" i="35" a="1"/>
  <c r="Y75" i="35" s="1"/>
  <c r="Z75" i="35" a="1"/>
  <c r="Z75" i="35" s="1"/>
  <c r="W76" i="35" a="1"/>
  <c r="W76" i="35" s="1"/>
  <c r="X76" i="35" a="1"/>
  <c r="X76" i="35" s="1"/>
  <c r="Y76" i="35" a="1"/>
  <c r="Y76" i="35" s="1"/>
  <c r="Z76" i="35" a="1"/>
  <c r="Z76" i="35" s="1"/>
  <c r="W77" i="35" a="1"/>
  <c r="W77" i="35" s="1"/>
  <c r="X77" i="35" a="1"/>
  <c r="X77" i="35" s="1"/>
  <c r="Y77" i="35" a="1"/>
  <c r="Y77" i="35" s="1"/>
  <c r="Z77" i="35" a="1"/>
  <c r="Z77" i="35" s="1"/>
  <c r="W78" i="35" a="1"/>
  <c r="W78" i="35" s="1"/>
  <c r="X78" i="35" a="1"/>
  <c r="X78" i="35" s="1"/>
  <c r="Y78" i="35" a="1"/>
  <c r="Y78" i="35" s="1"/>
  <c r="Z78" i="35" a="1"/>
  <c r="Z78" i="35" s="1"/>
  <c r="W79" i="35" a="1"/>
  <c r="W79" i="35" s="1"/>
  <c r="X79" i="35" a="1"/>
  <c r="X79" i="35" s="1"/>
  <c r="Y79" i="35" a="1"/>
  <c r="Y79" i="35" s="1"/>
  <c r="Z79" i="35" a="1"/>
  <c r="Z79" i="35" s="1"/>
  <c r="W80" i="35" a="1"/>
  <c r="W80" i="35" s="1"/>
  <c r="X80" i="35" a="1"/>
  <c r="X80" i="35" s="1"/>
  <c r="Y80" i="35" a="1"/>
  <c r="Y80" i="35" s="1"/>
  <c r="Z80" i="35" a="1"/>
  <c r="Z80" i="35" s="1"/>
  <c r="W81" i="35" a="1"/>
  <c r="W81" i="35" s="1"/>
  <c r="X81" i="35" a="1"/>
  <c r="X81" i="35" s="1"/>
  <c r="Y81" i="35" a="1"/>
  <c r="Y81" i="35" s="1"/>
  <c r="Z81" i="35" a="1"/>
  <c r="Z81" i="35" s="1"/>
  <c r="W82" i="35" a="1"/>
  <c r="W82" i="35" s="1"/>
  <c r="X82" i="35" a="1"/>
  <c r="X82" i="35" s="1"/>
  <c r="Y82" i="35" a="1"/>
  <c r="Y82" i="35" s="1"/>
  <c r="Z82" i="35" a="1"/>
  <c r="Z82" i="35" s="1"/>
  <c r="W83" i="35" a="1"/>
  <c r="W83" i="35" s="1"/>
  <c r="X83" i="35" a="1"/>
  <c r="X83" i="35" s="1"/>
  <c r="Y83" i="35" a="1"/>
  <c r="Y83" i="35" s="1"/>
  <c r="Z83" i="35" a="1"/>
  <c r="Z83" i="35" s="1"/>
  <c r="W84" i="35" a="1"/>
  <c r="W84" i="35" s="1"/>
  <c r="X84" i="35" a="1"/>
  <c r="X84" i="35" s="1"/>
  <c r="Y84" i="35" a="1"/>
  <c r="Y84" i="35" s="1"/>
  <c r="Z84" i="35" a="1"/>
  <c r="Z84" i="35" s="1"/>
  <c r="W85" i="35" a="1"/>
  <c r="W85" i="35" s="1"/>
  <c r="X85" i="35" a="1"/>
  <c r="X85" i="35" s="1"/>
  <c r="Y85" i="35" a="1"/>
  <c r="Y85" i="35" s="1"/>
  <c r="Z85" i="35" a="1"/>
  <c r="Z85" i="35" s="1"/>
  <c r="W86" i="35" a="1"/>
  <c r="W86" i="35" s="1"/>
  <c r="X86" i="35" a="1"/>
  <c r="X86" i="35" s="1"/>
  <c r="Y86" i="35" a="1"/>
  <c r="Y86" i="35" s="1"/>
  <c r="Z86" i="35" a="1"/>
  <c r="Z86" i="35" s="1"/>
  <c r="W87" i="35" a="1"/>
  <c r="W87" i="35" s="1"/>
  <c r="X87" i="35" a="1"/>
  <c r="X87" i="35" s="1"/>
  <c r="Y87" i="35" a="1"/>
  <c r="Y87" i="35" s="1"/>
  <c r="Z87" i="35" a="1"/>
  <c r="Z87" i="35" s="1"/>
  <c r="W88" i="35" a="1"/>
  <c r="W88" i="35" s="1"/>
  <c r="X88" i="35" a="1"/>
  <c r="X88" i="35" s="1"/>
  <c r="Y88" i="35" a="1"/>
  <c r="Y88" i="35" s="1"/>
  <c r="Z88" i="35" a="1"/>
  <c r="Z88" i="35" s="1"/>
  <c r="W89" i="35" a="1"/>
  <c r="W89" i="35" s="1"/>
  <c r="X89" i="35" a="1"/>
  <c r="X89" i="35" s="1"/>
  <c r="Y89" i="35" a="1"/>
  <c r="Y89" i="35" s="1"/>
  <c r="Z89" i="35" a="1"/>
  <c r="Z89" i="35" s="1"/>
  <c r="W90" i="35" a="1"/>
  <c r="W90" i="35" s="1"/>
  <c r="X90" i="35" a="1"/>
  <c r="X90" i="35" s="1"/>
  <c r="Y90" i="35" a="1"/>
  <c r="Y90" i="35" s="1"/>
  <c r="Z90" i="35" a="1"/>
  <c r="Z90" i="35" s="1"/>
  <c r="W91" i="35" a="1"/>
  <c r="W91" i="35" s="1"/>
  <c r="X91" i="35" a="1"/>
  <c r="X91" i="35" s="1"/>
  <c r="Y91" i="35" a="1"/>
  <c r="Y91" i="35" s="1"/>
  <c r="Z91" i="35" a="1"/>
  <c r="Z91" i="35" s="1"/>
  <c r="W92" i="35" a="1"/>
  <c r="W92" i="35" s="1"/>
  <c r="X92" i="35" a="1"/>
  <c r="X92" i="35" s="1"/>
  <c r="Y92" i="35" a="1"/>
  <c r="Y92" i="35" s="1"/>
  <c r="Z92" i="35" a="1"/>
  <c r="Z92" i="35" s="1"/>
  <c r="W93" i="35" a="1"/>
  <c r="W93" i="35" s="1"/>
  <c r="X93" i="35" a="1"/>
  <c r="X93" i="35" s="1"/>
  <c r="Y93" i="35" a="1"/>
  <c r="Y93" i="35" s="1"/>
  <c r="Z93" i="35" a="1"/>
  <c r="Z93" i="35" s="1"/>
  <c r="W94" i="35" a="1"/>
  <c r="W94" i="35" s="1"/>
  <c r="X94" i="35" a="1"/>
  <c r="X94" i="35" s="1"/>
  <c r="Y94" i="35" a="1"/>
  <c r="Y94" i="35" s="1"/>
  <c r="Z94" i="35" a="1"/>
  <c r="Z94" i="35" s="1"/>
  <c r="W95" i="35" a="1"/>
  <c r="W95" i="35" s="1"/>
  <c r="X95" i="35" a="1"/>
  <c r="X95" i="35" s="1"/>
  <c r="Y95" i="35" a="1"/>
  <c r="Y95" i="35" s="1"/>
  <c r="Z95" i="35" a="1"/>
  <c r="Z95" i="35" s="1"/>
  <c r="W96" i="35" a="1"/>
  <c r="W96" i="35" s="1"/>
  <c r="X96" i="35" a="1"/>
  <c r="X96" i="35" s="1"/>
  <c r="Y96" i="35" a="1"/>
  <c r="Y96" i="35" s="1"/>
  <c r="Z96" i="35" a="1"/>
  <c r="Z96" i="35" s="1"/>
  <c r="W97" i="35" a="1"/>
  <c r="W97" i="35" s="1"/>
  <c r="X97" i="35" a="1"/>
  <c r="X97" i="35" s="1"/>
  <c r="Y97" i="35" a="1"/>
  <c r="Y97" i="35" s="1"/>
  <c r="Z97" i="35" a="1"/>
  <c r="Z97" i="35" s="1"/>
  <c r="W98" i="35" a="1"/>
  <c r="W98" i="35" s="1"/>
  <c r="X98" i="35" a="1"/>
  <c r="X98" i="35" s="1"/>
  <c r="Y98" i="35" a="1"/>
  <c r="Y98" i="35" s="1"/>
  <c r="Z98" i="35" a="1"/>
  <c r="Z98" i="35" s="1"/>
  <c r="W99" i="35" a="1"/>
  <c r="W99" i="35" s="1"/>
  <c r="X99" i="35" a="1"/>
  <c r="X99" i="35" s="1"/>
  <c r="Y99" i="35" a="1"/>
  <c r="Y99" i="35" s="1"/>
  <c r="Z99" i="35" a="1"/>
  <c r="Z99" i="35" s="1"/>
  <c r="W100" i="35" a="1"/>
  <c r="W100" i="35" s="1"/>
  <c r="X100" i="35" a="1"/>
  <c r="X100" i="35" s="1"/>
  <c r="Y100" i="35" a="1"/>
  <c r="Y100" i="35" s="1"/>
  <c r="Z100" i="35" a="1"/>
  <c r="Z100" i="35" s="1"/>
  <c r="W101" i="35" a="1"/>
  <c r="W101" i="35" s="1"/>
  <c r="X101" i="35" a="1"/>
  <c r="X101" i="35" s="1"/>
  <c r="Y101" i="35" a="1"/>
  <c r="Y101" i="35" s="1"/>
  <c r="Z101" i="35" a="1"/>
  <c r="Z101" i="35" s="1"/>
  <c r="W102" i="35" a="1"/>
  <c r="W102" i="35" s="1"/>
  <c r="X102" i="35" a="1"/>
  <c r="X102" i="35" s="1"/>
  <c r="Y102" i="35" a="1"/>
  <c r="Y102" i="35" s="1"/>
  <c r="Z102" i="35" a="1"/>
  <c r="Z102" i="35" s="1"/>
  <c r="W103" i="35" a="1"/>
  <c r="W103" i="35" s="1"/>
  <c r="X103" i="35" a="1"/>
  <c r="X103" i="35" s="1"/>
  <c r="Y103" i="35" a="1"/>
  <c r="Y103" i="35" s="1"/>
  <c r="Z103" i="35" a="1"/>
  <c r="Z103" i="35" s="1"/>
  <c r="W104" i="35" a="1"/>
  <c r="W104" i="35" s="1"/>
  <c r="X104" i="35" a="1"/>
  <c r="X104" i="35" s="1"/>
  <c r="Y104" i="35" a="1"/>
  <c r="Y104" i="35" s="1"/>
  <c r="Z104" i="35" a="1"/>
  <c r="Z104" i="35" s="1"/>
  <c r="W105" i="35" a="1"/>
  <c r="W105" i="35" s="1"/>
  <c r="X105" i="35" a="1"/>
  <c r="X105" i="35" s="1"/>
  <c r="Y105" i="35" a="1"/>
  <c r="Y105" i="35" s="1"/>
  <c r="Z105" i="35" a="1"/>
  <c r="Z105" i="35" s="1"/>
  <c r="W106" i="35" a="1"/>
  <c r="W106" i="35" s="1"/>
  <c r="X106" i="35" a="1"/>
  <c r="X106" i="35" s="1"/>
  <c r="Y106" i="35" a="1"/>
  <c r="Y106" i="35" s="1"/>
  <c r="Z106" i="35" a="1"/>
  <c r="Z106" i="35" s="1"/>
  <c r="W107" i="35" a="1"/>
  <c r="W107" i="35" s="1"/>
  <c r="X107" i="35" a="1"/>
  <c r="X107" i="35" s="1"/>
  <c r="Y107" i="35" a="1"/>
  <c r="Y107" i="35" s="1"/>
  <c r="Z107" i="35" a="1"/>
  <c r="Z107" i="35" s="1"/>
  <c r="W108" i="35" a="1"/>
  <c r="W108" i="35" s="1"/>
  <c r="X108" i="35" a="1"/>
  <c r="X108" i="35" s="1"/>
  <c r="Y108" i="35" a="1"/>
  <c r="Y108" i="35" s="1"/>
  <c r="Z108" i="35" a="1"/>
  <c r="Z108" i="35" s="1"/>
  <c r="W109" i="35" a="1"/>
  <c r="W109" i="35" s="1"/>
  <c r="X109" i="35" a="1"/>
  <c r="X109" i="35" s="1"/>
  <c r="Y109" i="35" a="1"/>
  <c r="Y109" i="35" s="1"/>
  <c r="Z109" i="35" a="1"/>
  <c r="Z109" i="35" s="1"/>
  <c r="W110" i="35" a="1"/>
  <c r="W110" i="35" s="1"/>
  <c r="X110" i="35" a="1"/>
  <c r="X110" i="35" s="1"/>
  <c r="Y110" i="35" a="1"/>
  <c r="Y110" i="35" s="1"/>
  <c r="Z110" i="35" a="1"/>
  <c r="Z110" i="35" s="1"/>
  <c r="W111" i="35" a="1"/>
  <c r="W111" i="35" s="1"/>
  <c r="X111" i="35" a="1"/>
  <c r="X111" i="35" s="1"/>
  <c r="Y111" i="35" a="1"/>
  <c r="Y111" i="35" s="1"/>
  <c r="Z111" i="35" a="1"/>
  <c r="Z111" i="35" s="1"/>
  <c r="W112" i="35" a="1"/>
  <c r="W112" i="35" s="1"/>
  <c r="X112" i="35" a="1"/>
  <c r="X112" i="35" s="1"/>
  <c r="Y112" i="35" a="1"/>
  <c r="Y112" i="35" s="1"/>
  <c r="Z112" i="35" a="1"/>
  <c r="Z112" i="35" s="1"/>
  <c r="W113" i="35" a="1"/>
  <c r="W113" i="35" s="1"/>
  <c r="X113" i="35" a="1"/>
  <c r="X113" i="35" s="1"/>
  <c r="Y113" i="35" a="1"/>
  <c r="Y113" i="35" s="1"/>
  <c r="Z113" i="35" a="1"/>
  <c r="Z113" i="35" s="1"/>
  <c r="W114" i="35" a="1"/>
  <c r="W114" i="35" s="1"/>
  <c r="X114" i="35" a="1"/>
  <c r="X114" i="35" s="1"/>
  <c r="Y114" i="35" a="1"/>
  <c r="Y114" i="35" s="1"/>
  <c r="Z114" i="35" a="1"/>
  <c r="Z114" i="35" s="1"/>
  <c r="W115" i="35" a="1"/>
  <c r="W115" i="35" s="1"/>
  <c r="X115" i="35" a="1"/>
  <c r="X115" i="35" s="1"/>
  <c r="Y115" i="35" a="1"/>
  <c r="Y115" i="35" s="1"/>
  <c r="Z115" i="35" a="1"/>
  <c r="Z115" i="35" s="1"/>
  <c r="W116" i="35" a="1"/>
  <c r="W116" i="35" s="1"/>
  <c r="X116" i="35" a="1"/>
  <c r="X116" i="35" s="1"/>
  <c r="Y116" i="35" a="1"/>
  <c r="Y116" i="35" s="1"/>
  <c r="Z116" i="35" a="1"/>
  <c r="Z116" i="35" s="1"/>
  <c r="W117" i="35" a="1"/>
  <c r="W117" i="35" s="1"/>
  <c r="X117" i="35" a="1"/>
  <c r="X117" i="35" s="1"/>
  <c r="Y117" i="35" a="1"/>
  <c r="Y117" i="35" s="1"/>
  <c r="Z117" i="35" a="1"/>
  <c r="Z117" i="35" s="1"/>
  <c r="W118" i="35" a="1"/>
  <c r="W118" i="35" s="1"/>
  <c r="X118" i="35" a="1"/>
  <c r="X118" i="35" s="1"/>
  <c r="Y118" i="35" a="1"/>
  <c r="Y118" i="35" s="1"/>
  <c r="Z118" i="35" a="1"/>
  <c r="Z118" i="35" s="1"/>
  <c r="W119" i="35" a="1"/>
  <c r="W119" i="35" s="1"/>
  <c r="X119" i="35" a="1"/>
  <c r="X119" i="35" s="1"/>
  <c r="Y119" i="35" a="1"/>
  <c r="Y119" i="35" s="1"/>
  <c r="Z119" i="35" a="1"/>
  <c r="Z119" i="35" s="1"/>
  <c r="W120" i="35" a="1"/>
  <c r="W120" i="35" s="1"/>
  <c r="X120" i="35" a="1"/>
  <c r="X120" i="35" s="1"/>
  <c r="Y120" i="35" a="1"/>
  <c r="Y120" i="35" s="1"/>
  <c r="Z120" i="35" a="1"/>
  <c r="Z120" i="35" s="1"/>
  <c r="W121" i="35" a="1"/>
  <c r="W121" i="35" s="1"/>
  <c r="X121" i="35" a="1"/>
  <c r="X121" i="35" s="1"/>
  <c r="Y121" i="35" a="1"/>
  <c r="Y121" i="35" s="1"/>
  <c r="Z121" i="35" a="1"/>
  <c r="Z121" i="35" s="1"/>
  <c r="W122" i="35" a="1"/>
  <c r="W122" i="35" s="1"/>
  <c r="X122" i="35" a="1"/>
  <c r="X122" i="35" s="1"/>
  <c r="Y122" i="35" a="1"/>
  <c r="Y122" i="35" s="1"/>
  <c r="Z122" i="35" a="1"/>
  <c r="Z122" i="35" s="1"/>
  <c r="W123" i="35" a="1"/>
  <c r="W123" i="35" s="1"/>
  <c r="X123" i="35" a="1"/>
  <c r="X123" i="35" s="1"/>
  <c r="Y123" i="35" a="1"/>
  <c r="Y123" i="35" s="1"/>
  <c r="Z123" i="35" a="1"/>
  <c r="Z123" i="35" s="1"/>
  <c r="W124" i="35" a="1"/>
  <c r="W124" i="35" s="1"/>
  <c r="X124" i="35" a="1"/>
  <c r="X124" i="35" s="1"/>
  <c r="Y124" i="35" a="1"/>
  <c r="Y124" i="35" s="1"/>
  <c r="Z124" i="35" a="1"/>
  <c r="Z124" i="35" s="1"/>
  <c r="W125" i="35" a="1"/>
  <c r="W125" i="35" s="1"/>
  <c r="X125" i="35" a="1"/>
  <c r="X125" i="35" s="1"/>
  <c r="Y125" i="35" a="1"/>
  <c r="Y125" i="35" s="1"/>
  <c r="Z125" i="35" a="1"/>
  <c r="Z125" i="35" s="1"/>
  <c r="W126" i="35" a="1"/>
  <c r="W126" i="35" s="1"/>
  <c r="X126" i="35" a="1"/>
  <c r="X126" i="35" s="1"/>
  <c r="Y126" i="35" a="1"/>
  <c r="Y126" i="35" s="1"/>
  <c r="Z126" i="35" a="1"/>
  <c r="Z126" i="35" s="1"/>
  <c r="W127" i="35" a="1"/>
  <c r="W127" i="35" s="1"/>
  <c r="X127" i="35" a="1"/>
  <c r="X127" i="35" s="1"/>
  <c r="Y127" i="35" a="1"/>
  <c r="Y127" i="35" s="1"/>
  <c r="Z127" i="35" a="1"/>
  <c r="Z127" i="35" s="1"/>
  <c r="W128" i="35" a="1"/>
  <c r="W128" i="35" s="1"/>
  <c r="X128" i="35" a="1"/>
  <c r="X128" i="35" s="1"/>
  <c r="Y128" i="35" a="1"/>
  <c r="Y128" i="35" s="1"/>
  <c r="Z128" i="35" a="1"/>
  <c r="Z128" i="35" s="1"/>
  <c r="W129" i="35" a="1"/>
  <c r="W129" i="35" s="1"/>
  <c r="X129" i="35" a="1"/>
  <c r="X129" i="35" s="1"/>
  <c r="Y129" i="35" a="1"/>
  <c r="Y129" i="35" s="1"/>
  <c r="Z129" i="35" a="1"/>
  <c r="Z129" i="35" s="1"/>
  <c r="W130" i="35" a="1"/>
  <c r="W130" i="35" s="1"/>
  <c r="X130" i="35" a="1"/>
  <c r="X130" i="35" s="1"/>
  <c r="Y130" i="35" a="1"/>
  <c r="Y130" i="35" s="1"/>
  <c r="Z130" i="35" a="1"/>
  <c r="Z130" i="35" s="1"/>
  <c r="W131" i="35" a="1"/>
  <c r="W131" i="35" s="1"/>
  <c r="X131" i="35" a="1"/>
  <c r="X131" i="35" s="1"/>
  <c r="Y131" i="35" a="1"/>
  <c r="Y131" i="35" s="1"/>
  <c r="Z131" i="35" a="1"/>
  <c r="Z131" i="35" s="1"/>
  <c r="W132" i="35" a="1"/>
  <c r="W132" i="35" s="1"/>
  <c r="X132" i="35" a="1"/>
  <c r="X132" i="35" s="1"/>
  <c r="Y132" i="35" a="1"/>
  <c r="Y132" i="35" s="1"/>
  <c r="Z132" i="35" a="1"/>
  <c r="Z132" i="35" s="1"/>
  <c r="W133" i="35" a="1"/>
  <c r="W133" i="35" s="1"/>
  <c r="X133" i="35" a="1"/>
  <c r="X133" i="35" s="1"/>
  <c r="Y133" i="35" a="1"/>
  <c r="Y133" i="35" s="1"/>
  <c r="Z133" i="35" a="1"/>
  <c r="Z133" i="35" s="1"/>
  <c r="W134" i="35" a="1"/>
  <c r="W134" i="35" s="1"/>
  <c r="X134" i="35" a="1"/>
  <c r="X134" i="35" s="1"/>
  <c r="Y134" i="35" a="1"/>
  <c r="Y134" i="35" s="1"/>
  <c r="Z134" i="35" a="1"/>
  <c r="Z134" i="35" s="1"/>
  <c r="W135" i="35" a="1"/>
  <c r="W135" i="35" s="1"/>
  <c r="X135" i="35" a="1"/>
  <c r="X135" i="35" s="1"/>
  <c r="Y135" i="35" a="1"/>
  <c r="Y135" i="35" s="1"/>
  <c r="Z135" i="35" a="1"/>
  <c r="Z135" i="35" s="1"/>
  <c r="W136" i="35" a="1"/>
  <c r="W136" i="35" s="1"/>
  <c r="X136" i="35" a="1"/>
  <c r="X136" i="35" s="1"/>
  <c r="Y136" i="35" a="1"/>
  <c r="Y136" i="35" s="1"/>
  <c r="Z136" i="35" a="1"/>
  <c r="Z136" i="35" s="1"/>
  <c r="W137" i="35" a="1"/>
  <c r="W137" i="35" s="1"/>
  <c r="X137" i="35" a="1"/>
  <c r="X137" i="35" s="1"/>
  <c r="Y137" i="35" a="1"/>
  <c r="Y137" i="35" s="1"/>
  <c r="Z137" i="35" a="1"/>
  <c r="Z137" i="35" s="1"/>
  <c r="W138" i="35" a="1"/>
  <c r="W138" i="35" s="1"/>
  <c r="X138" i="35" a="1"/>
  <c r="X138" i="35" s="1"/>
  <c r="Y138" i="35" a="1"/>
  <c r="Y138" i="35" s="1"/>
  <c r="Z138" i="35" a="1"/>
  <c r="Z138" i="35" s="1"/>
  <c r="W139" i="35" a="1"/>
  <c r="W139" i="35" s="1"/>
  <c r="X139" i="35" a="1"/>
  <c r="X139" i="35" s="1"/>
  <c r="Y139" i="35" a="1"/>
  <c r="Y139" i="35" s="1"/>
  <c r="Z139" i="35" a="1"/>
  <c r="Z139" i="35" s="1"/>
  <c r="W140" i="35" a="1"/>
  <c r="W140" i="35" s="1"/>
  <c r="X140" i="35" a="1"/>
  <c r="X140" i="35" s="1"/>
  <c r="Y140" i="35" a="1"/>
  <c r="Y140" i="35" s="1"/>
  <c r="Z140" i="35" a="1"/>
  <c r="Z140" i="35" s="1"/>
  <c r="W141" i="35" a="1"/>
  <c r="W141" i="35" s="1"/>
  <c r="X141" i="35" a="1"/>
  <c r="X141" i="35" s="1"/>
  <c r="Y141" i="35" a="1"/>
  <c r="Y141" i="35" s="1"/>
  <c r="Z141" i="35" a="1"/>
  <c r="Z141" i="35" s="1"/>
  <c r="W142" i="35" a="1"/>
  <c r="W142" i="35" s="1"/>
  <c r="X142" i="35" a="1"/>
  <c r="X142" i="35" s="1"/>
  <c r="Y142" i="35" a="1"/>
  <c r="Y142" i="35" s="1"/>
  <c r="Z142" i="35" a="1"/>
  <c r="Z142" i="35" s="1"/>
  <c r="W143" i="35" a="1"/>
  <c r="W143" i="35" s="1"/>
  <c r="X143" i="35" a="1"/>
  <c r="X143" i="35" s="1"/>
  <c r="Y143" i="35" a="1"/>
  <c r="Y143" i="35" s="1"/>
  <c r="Z143" i="35" a="1"/>
  <c r="Z143" i="35" s="1"/>
  <c r="W144" i="35" a="1"/>
  <c r="W144" i="35" s="1"/>
  <c r="X144" i="35" a="1"/>
  <c r="X144" i="35" s="1"/>
  <c r="Y144" i="35" a="1"/>
  <c r="Y144" i="35" s="1"/>
  <c r="Z144" i="35" a="1"/>
  <c r="Z144" i="35" s="1"/>
  <c r="W145" i="35" a="1"/>
  <c r="W145" i="35" s="1"/>
  <c r="X145" i="35" a="1"/>
  <c r="X145" i="35" s="1"/>
  <c r="Y145" i="35" a="1"/>
  <c r="Y145" i="35" s="1"/>
  <c r="Z145" i="35" a="1"/>
  <c r="Z145" i="35" s="1"/>
  <c r="W146" i="35" a="1"/>
  <c r="W146" i="35" s="1"/>
  <c r="X146" i="35" a="1"/>
  <c r="X146" i="35" s="1"/>
  <c r="Y146" i="35" a="1"/>
  <c r="Y146" i="35" s="1"/>
  <c r="Z146" i="35" a="1"/>
  <c r="Z146" i="35" s="1"/>
  <c r="W147" i="35" a="1"/>
  <c r="W147" i="35" s="1"/>
  <c r="X147" i="35" a="1"/>
  <c r="X147" i="35" s="1"/>
  <c r="Y147" i="35" a="1"/>
  <c r="Y147" i="35" s="1"/>
  <c r="Z147" i="35" a="1"/>
  <c r="Z147" i="35" s="1"/>
  <c r="W148" i="35" a="1"/>
  <c r="W148" i="35" s="1"/>
  <c r="X148" i="35" a="1"/>
  <c r="X148" i="35" s="1"/>
  <c r="Y148" i="35" a="1"/>
  <c r="Y148" i="35" s="1"/>
  <c r="Z148" i="35" a="1"/>
  <c r="Z148" i="35" s="1"/>
  <c r="W149" i="35" a="1"/>
  <c r="W149" i="35" s="1"/>
  <c r="X149" i="35" a="1"/>
  <c r="X149" i="35" s="1"/>
  <c r="Y149" i="35" a="1"/>
  <c r="Y149" i="35" s="1"/>
  <c r="Z149" i="35" a="1"/>
  <c r="Z149" i="35" s="1"/>
  <c r="W150" i="35" a="1"/>
  <c r="W150" i="35" s="1"/>
  <c r="X150" i="35" a="1"/>
  <c r="X150" i="35" s="1"/>
  <c r="Y150" i="35" a="1"/>
  <c r="Y150" i="35" s="1"/>
  <c r="Z150" i="35" a="1"/>
  <c r="Z150" i="35" s="1"/>
  <c r="W151" i="35" a="1"/>
  <c r="W151" i="35" s="1"/>
  <c r="X151" i="35" a="1"/>
  <c r="X151" i="35" s="1"/>
  <c r="Y151" i="35" a="1"/>
  <c r="Y151" i="35" s="1"/>
  <c r="Z151" i="35" a="1"/>
  <c r="Z151" i="35" s="1"/>
  <c r="W152" i="35" a="1"/>
  <c r="W152" i="35" s="1"/>
  <c r="X152" i="35" a="1"/>
  <c r="X152" i="35" s="1"/>
  <c r="Y152" i="35" a="1"/>
  <c r="Y152" i="35" s="1"/>
  <c r="Z152" i="35" a="1"/>
  <c r="Z152" i="35" s="1"/>
  <c r="W153" i="35" a="1"/>
  <c r="W153" i="35" s="1"/>
  <c r="X153" i="35" a="1"/>
  <c r="X153" i="35" s="1"/>
  <c r="Y153" i="35" a="1"/>
  <c r="Y153" i="35" s="1"/>
  <c r="Z153" i="35" a="1"/>
  <c r="Z153" i="35" s="1"/>
  <c r="W154" i="35" a="1"/>
  <c r="W154" i="35" s="1"/>
  <c r="X154" i="35" a="1"/>
  <c r="X154" i="35" s="1"/>
  <c r="Y154" i="35" a="1"/>
  <c r="Y154" i="35" s="1"/>
  <c r="Z154" i="35" a="1"/>
  <c r="Z154" i="35" s="1"/>
  <c r="W155" i="35" a="1"/>
  <c r="W155" i="35" s="1"/>
  <c r="X155" i="35" a="1"/>
  <c r="X155" i="35" s="1"/>
  <c r="Y155" i="35" a="1"/>
  <c r="Y155" i="35" s="1"/>
  <c r="Z155" i="35" a="1"/>
  <c r="Z155" i="35" s="1"/>
  <c r="W156" i="35" a="1"/>
  <c r="W156" i="35" s="1"/>
  <c r="X156" i="35" a="1"/>
  <c r="X156" i="35" s="1"/>
  <c r="Y156" i="35" a="1"/>
  <c r="Y156" i="35" s="1"/>
  <c r="Z156" i="35" a="1"/>
  <c r="Z156" i="35" s="1"/>
  <c r="W157" i="35" a="1"/>
  <c r="W157" i="35" s="1"/>
  <c r="X157" i="35" a="1"/>
  <c r="X157" i="35" s="1"/>
  <c r="Y157" i="35" a="1"/>
  <c r="Y157" i="35" s="1"/>
  <c r="Z157" i="35" a="1"/>
  <c r="Z157" i="35" s="1"/>
  <c r="W158" i="35" a="1"/>
  <c r="W158" i="35" s="1"/>
  <c r="X158" i="35" a="1"/>
  <c r="X158" i="35" s="1"/>
  <c r="Y158" i="35" a="1"/>
  <c r="Y158" i="35" s="1"/>
  <c r="Z158" i="35" a="1"/>
  <c r="Z158" i="35" s="1"/>
  <c r="W159" i="35" a="1"/>
  <c r="W159" i="35" s="1"/>
  <c r="X159" i="35" a="1"/>
  <c r="X159" i="35" s="1"/>
  <c r="Y159" i="35" a="1"/>
  <c r="Y159" i="35" s="1"/>
  <c r="Z159" i="35" a="1"/>
  <c r="Z159" i="35" s="1"/>
  <c r="W160" i="35" a="1"/>
  <c r="W160" i="35" s="1"/>
  <c r="X160" i="35" a="1"/>
  <c r="X160" i="35" s="1"/>
  <c r="Y160" i="35" a="1"/>
  <c r="Y160" i="35" s="1"/>
  <c r="Z160" i="35" a="1"/>
  <c r="Z160" i="35" s="1"/>
  <c r="W161" i="35" a="1"/>
  <c r="W161" i="35" s="1"/>
  <c r="X161" i="35" a="1"/>
  <c r="X161" i="35" s="1"/>
  <c r="Y161" i="35" a="1"/>
  <c r="Y161" i="35" s="1"/>
  <c r="Z161" i="35" a="1"/>
  <c r="Z161" i="35" s="1"/>
  <c r="W162" i="35" a="1"/>
  <c r="W162" i="35" s="1"/>
  <c r="X162" i="35" a="1"/>
  <c r="X162" i="35" s="1"/>
  <c r="Y162" i="35" a="1"/>
  <c r="Y162" i="35" s="1"/>
  <c r="Z162" i="35" a="1"/>
  <c r="Z162" i="35" s="1"/>
  <c r="W163" i="35" a="1"/>
  <c r="W163" i="35" s="1"/>
  <c r="X163" i="35" a="1"/>
  <c r="X163" i="35" s="1"/>
  <c r="Y163" i="35" a="1"/>
  <c r="Y163" i="35" s="1"/>
  <c r="Z163" i="35" a="1"/>
  <c r="Z163" i="35" s="1"/>
  <c r="W164" i="35" a="1"/>
  <c r="W164" i="35" s="1"/>
  <c r="X164" i="35" a="1"/>
  <c r="X164" i="35" s="1"/>
  <c r="Y164" i="35" a="1"/>
  <c r="Y164" i="35" s="1"/>
  <c r="Z164" i="35" a="1"/>
  <c r="Z164" i="35" s="1"/>
  <c r="W165" i="35" a="1"/>
  <c r="W165" i="35" s="1"/>
  <c r="X165" i="35" a="1"/>
  <c r="X165" i="35" s="1"/>
  <c r="Y165" i="35" a="1"/>
  <c r="Y165" i="35" s="1"/>
  <c r="Z165" i="35" a="1"/>
  <c r="Z165" i="35" s="1"/>
  <c r="W166" i="35" a="1"/>
  <c r="W166" i="35" s="1"/>
  <c r="X166" i="35" a="1"/>
  <c r="X166" i="35" s="1"/>
  <c r="Y166" i="35" a="1"/>
  <c r="Y166" i="35" s="1"/>
  <c r="Z166" i="35" a="1"/>
  <c r="Z166" i="35" s="1"/>
  <c r="W167" i="35" a="1"/>
  <c r="W167" i="35" s="1"/>
  <c r="X167" i="35" a="1"/>
  <c r="X167" i="35" s="1"/>
  <c r="Y167" i="35" a="1"/>
  <c r="Y167" i="35" s="1"/>
  <c r="Z167" i="35" a="1"/>
  <c r="Z167" i="35" s="1"/>
  <c r="W168" i="35" a="1"/>
  <c r="W168" i="35" s="1"/>
  <c r="X168" i="35" a="1"/>
  <c r="X168" i="35" s="1"/>
  <c r="Y168" i="35" a="1"/>
  <c r="Y168" i="35" s="1"/>
  <c r="Z168" i="35" a="1"/>
  <c r="Z168" i="35" s="1"/>
  <c r="W169" i="35" a="1"/>
  <c r="W169" i="35" s="1"/>
  <c r="X169" i="35" a="1"/>
  <c r="X169" i="35" s="1"/>
  <c r="Y169" i="35" a="1"/>
  <c r="Y169" i="35" s="1"/>
  <c r="Z169" i="35" a="1"/>
  <c r="Z169" i="35" s="1"/>
  <c r="W170" i="35" a="1"/>
  <c r="W170" i="35" s="1"/>
  <c r="X170" i="35" a="1"/>
  <c r="X170" i="35" s="1"/>
  <c r="Y170" i="35" a="1"/>
  <c r="Y170" i="35" s="1"/>
  <c r="Z170" i="35" a="1"/>
  <c r="Z170" i="35" s="1"/>
  <c r="W171" i="35" a="1"/>
  <c r="W171" i="35" s="1"/>
  <c r="X171" i="35" a="1"/>
  <c r="X171" i="35" s="1"/>
  <c r="Y171" i="35" a="1"/>
  <c r="Y171" i="35" s="1"/>
  <c r="Z171" i="35" a="1"/>
  <c r="Z171" i="35" s="1"/>
  <c r="W172" i="35" a="1"/>
  <c r="W172" i="35" s="1"/>
  <c r="X172" i="35" a="1"/>
  <c r="X172" i="35" s="1"/>
  <c r="Y172" i="35" a="1"/>
  <c r="Y172" i="35" s="1"/>
  <c r="Z172" i="35" a="1"/>
  <c r="Z172" i="35" s="1"/>
  <c r="W173" i="35" a="1"/>
  <c r="W173" i="35" s="1"/>
  <c r="X173" i="35" a="1"/>
  <c r="X173" i="35" s="1"/>
  <c r="Y173" i="35" a="1"/>
  <c r="Y173" i="35" s="1"/>
  <c r="Z173" i="35" a="1"/>
  <c r="Z173" i="35" s="1"/>
  <c r="W174" i="35" a="1"/>
  <c r="W174" i="35" s="1"/>
  <c r="X174" i="35" a="1"/>
  <c r="X174" i="35" s="1"/>
  <c r="Y174" i="35" a="1"/>
  <c r="Y174" i="35" s="1"/>
  <c r="Z174" i="35" a="1"/>
  <c r="Z174" i="35" s="1"/>
  <c r="W175" i="35" a="1"/>
  <c r="W175" i="35" s="1"/>
  <c r="X175" i="35" a="1"/>
  <c r="X175" i="35" s="1"/>
  <c r="Y175" i="35" a="1"/>
  <c r="Y175" i="35" s="1"/>
  <c r="Z175" i="35" a="1"/>
  <c r="Z175" i="35" s="1"/>
  <c r="W176" i="35" a="1"/>
  <c r="W176" i="35" s="1"/>
  <c r="X176" i="35" a="1"/>
  <c r="X176" i="35" s="1"/>
  <c r="Y176" i="35" a="1"/>
  <c r="Y176" i="35" s="1"/>
  <c r="Z176" i="35" a="1"/>
  <c r="Z176" i="35" s="1"/>
  <c r="W177" i="35" a="1"/>
  <c r="W177" i="35" s="1"/>
  <c r="X177" i="35" a="1"/>
  <c r="X177" i="35" s="1"/>
  <c r="Y177" i="35" a="1"/>
  <c r="Y177" i="35" s="1"/>
  <c r="Z177" i="35" a="1"/>
  <c r="Z177" i="35" s="1"/>
  <c r="W178" i="35" a="1"/>
  <c r="W178" i="35" s="1"/>
  <c r="X178" i="35" a="1"/>
  <c r="X178" i="35" s="1"/>
  <c r="Y178" i="35" a="1"/>
  <c r="Y178" i="35" s="1"/>
  <c r="Z178" i="35" a="1"/>
  <c r="Z178" i="35" s="1"/>
  <c r="W179" i="35" a="1"/>
  <c r="W179" i="35" s="1"/>
  <c r="X179" i="35" a="1"/>
  <c r="X179" i="35" s="1"/>
  <c r="Y179" i="35" a="1"/>
  <c r="Y179" i="35" s="1"/>
  <c r="Z179" i="35" a="1"/>
  <c r="Z179" i="35" s="1"/>
  <c r="W180" i="35" a="1"/>
  <c r="W180" i="35" s="1"/>
  <c r="X180" i="35" a="1"/>
  <c r="X180" i="35" s="1"/>
  <c r="Y180" i="35" a="1"/>
  <c r="Y180" i="35" s="1"/>
  <c r="Z180" i="35" a="1"/>
  <c r="Z180" i="35" s="1"/>
  <c r="W181" i="35" a="1"/>
  <c r="W181" i="35" s="1"/>
  <c r="X181" i="35" a="1"/>
  <c r="X181" i="35" s="1"/>
  <c r="Y181" i="35" a="1"/>
  <c r="Y181" i="35" s="1"/>
  <c r="Z181" i="35" a="1"/>
  <c r="Z181" i="35" s="1"/>
  <c r="W182" i="35" a="1"/>
  <c r="W182" i="35" s="1"/>
  <c r="X182" i="35" a="1"/>
  <c r="X182" i="35" s="1"/>
  <c r="Y182" i="35" a="1"/>
  <c r="Y182" i="35" s="1"/>
  <c r="Z182" i="35" a="1"/>
  <c r="Z182" i="35" s="1"/>
  <c r="W183" i="35" a="1"/>
  <c r="W183" i="35" s="1"/>
  <c r="X183" i="35" a="1"/>
  <c r="X183" i="35" s="1"/>
  <c r="Y183" i="35" a="1"/>
  <c r="Y183" i="35" s="1"/>
  <c r="Z183" i="35" a="1"/>
  <c r="Z183" i="35" s="1"/>
  <c r="W184" i="35" a="1"/>
  <c r="W184" i="35" s="1"/>
  <c r="X184" i="35" a="1"/>
  <c r="X184" i="35" s="1"/>
  <c r="Y184" i="35" a="1"/>
  <c r="Y184" i="35" s="1"/>
  <c r="Z184" i="35" a="1"/>
  <c r="Z184" i="35" s="1"/>
  <c r="W185" i="35" a="1"/>
  <c r="W185" i="35" s="1"/>
  <c r="X185" i="35" a="1"/>
  <c r="X185" i="35" s="1"/>
  <c r="Y185" i="35" a="1"/>
  <c r="Y185" i="35" s="1"/>
  <c r="Z185" i="35" a="1"/>
  <c r="Z185" i="35" s="1"/>
  <c r="W186" i="35" a="1"/>
  <c r="W186" i="35" s="1"/>
  <c r="X186" i="35" a="1"/>
  <c r="X186" i="35" s="1"/>
  <c r="Y186" i="35" a="1"/>
  <c r="Y186" i="35" s="1"/>
  <c r="Z186" i="35" a="1"/>
  <c r="Z186" i="35" s="1"/>
  <c r="W187" i="35" a="1"/>
  <c r="W187" i="35" s="1"/>
  <c r="X187" i="35" a="1"/>
  <c r="X187" i="35" s="1"/>
  <c r="Y187" i="35" a="1"/>
  <c r="Y187" i="35" s="1"/>
  <c r="Z187" i="35" a="1"/>
  <c r="Z187" i="35" s="1"/>
  <c r="W188" i="35" a="1"/>
  <c r="W188" i="35" s="1"/>
  <c r="X188" i="35" a="1"/>
  <c r="X188" i="35" s="1"/>
  <c r="Y188" i="35" a="1"/>
  <c r="Y188" i="35" s="1"/>
  <c r="Z188" i="35" a="1"/>
  <c r="Z188" i="35" s="1"/>
  <c r="W189" i="35" a="1"/>
  <c r="W189" i="35" s="1"/>
  <c r="X189" i="35" a="1"/>
  <c r="X189" i="35" s="1"/>
  <c r="Y189" i="35" a="1"/>
  <c r="Y189" i="35" s="1"/>
  <c r="Z189" i="35" a="1"/>
  <c r="Z189" i="35" s="1"/>
  <c r="W190" i="35" a="1"/>
  <c r="W190" i="35" s="1"/>
  <c r="X190" i="35" a="1"/>
  <c r="X190" i="35" s="1"/>
  <c r="Y190" i="35" a="1"/>
  <c r="Y190" i="35" s="1"/>
  <c r="Z190" i="35" a="1"/>
  <c r="Z190" i="35" s="1"/>
  <c r="W191" i="35" a="1"/>
  <c r="W191" i="35" s="1"/>
  <c r="X191" i="35" a="1"/>
  <c r="X191" i="35" s="1"/>
  <c r="Y191" i="35" a="1"/>
  <c r="Y191" i="35" s="1"/>
  <c r="Z191" i="35" a="1"/>
  <c r="Z191" i="35" s="1"/>
  <c r="W192" i="35" a="1"/>
  <c r="W192" i="35" s="1"/>
  <c r="X192" i="35" a="1"/>
  <c r="X192" i="35" s="1"/>
  <c r="Y192" i="35" a="1"/>
  <c r="Y192" i="35" s="1"/>
  <c r="Z192" i="35" a="1"/>
  <c r="Z192" i="35" s="1"/>
  <c r="W193" i="35" a="1"/>
  <c r="W193" i="35" s="1"/>
  <c r="X193" i="35" a="1"/>
  <c r="X193" i="35" s="1"/>
  <c r="Y193" i="35" a="1"/>
  <c r="Y193" i="35" s="1"/>
  <c r="Z193" i="35" a="1"/>
  <c r="Z193" i="35" s="1"/>
  <c r="W194" i="35" a="1"/>
  <c r="W194" i="35" s="1"/>
  <c r="X194" i="35" a="1"/>
  <c r="X194" i="35" s="1"/>
  <c r="Y194" i="35" a="1"/>
  <c r="Y194" i="35" s="1"/>
  <c r="Z194" i="35" a="1"/>
  <c r="Z194" i="35" s="1"/>
  <c r="W195" i="35" a="1"/>
  <c r="W195" i="35" s="1"/>
  <c r="X195" i="35" a="1"/>
  <c r="X195" i="35" s="1"/>
  <c r="Y195" i="35" a="1"/>
  <c r="Y195" i="35" s="1"/>
  <c r="Z195" i="35" a="1"/>
  <c r="Z195" i="35" s="1"/>
  <c r="W196" i="35" a="1"/>
  <c r="W196" i="35" s="1"/>
  <c r="X196" i="35" a="1"/>
  <c r="X196" i="35" s="1"/>
  <c r="Y196" i="35" a="1"/>
  <c r="Y196" i="35" s="1"/>
  <c r="Z196" i="35" a="1"/>
  <c r="Z196" i="35" s="1"/>
  <c r="W197" i="35" a="1"/>
  <c r="W197" i="35" s="1"/>
  <c r="X197" i="35" a="1"/>
  <c r="X197" i="35" s="1"/>
  <c r="Y197" i="35" a="1"/>
  <c r="Y197" i="35" s="1"/>
  <c r="Z197" i="35" a="1"/>
  <c r="Z197" i="35" s="1"/>
  <c r="W198" i="35" a="1"/>
  <c r="W198" i="35" s="1"/>
  <c r="X198" i="35" a="1"/>
  <c r="X198" i="35" s="1"/>
  <c r="Y198" i="35" a="1"/>
  <c r="Y198" i="35" s="1"/>
  <c r="Z198" i="35" a="1"/>
  <c r="Z198" i="35" s="1"/>
  <c r="W199" i="35" a="1"/>
  <c r="W199" i="35" s="1"/>
  <c r="X199" i="35" a="1"/>
  <c r="X199" i="35" s="1"/>
  <c r="Y199" i="35" a="1"/>
  <c r="Y199" i="35" s="1"/>
  <c r="Z199" i="35" a="1"/>
  <c r="Z199" i="35" s="1"/>
  <c r="W200" i="35" a="1"/>
  <c r="W200" i="35" s="1"/>
  <c r="X200" i="35" a="1"/>
  <c r="X200" i="35" s="1"/>
  <c r="Y200" i="35" a="1"/>
  <c r="Y200" i="35" s="1"/>
  <c r="Z200" i="35" a="1"/>
  <c r="Z200" i="35" s="1"/>
  <c r="W201" i="35" a="1"/>
  <c r="W201" i="35" s="1"/>
  <c r="X201" i="35" a="1"/>
  <c r="X201" i="35" s="1"/>
  <c r="Y201" i="35" a="1"/>
  <c r="Y201" i="35" s="1"/>
  <c r="Z201" i="35" a="1"/>
  <c r="Z201" i="35" s="1"/>
  <c r="W202" i="35" a="1"/>
  <c r="W202" i="35" s="1"/>
  <c r="X202" i="35" a="1"/>
  <c r="X202" i="35" s="1"/>
  <c r="Y202" i="35" a="1"/>
  <c r="Y202" i="35" s="1"/>
  <c r="Z202" i="35" a="1"/>
  <c r="Z202" i="35" s="1"/>
  <c r="W203" i="35" a="1"/>
  <c r="W203" i="35" s="1"/>
  <c r="X203" i="35" a="1"/>
  <c r="X203" i="35" s="1"/>
  <c r="Y203" i="35" a="1"/>
  <c r="Y203" i="35" s="1"/>
  <c r="Z203" i="35" a="1"/>
  <c r="Z203" i="35" s="1"/>
  <c r="W204" i="35" a="1"/>
  <c r="W204" i="35" s="1"/>
  <c r="X204" i="35" a="1"/>
  <c r="X204" i="35" s="1"/>
  <c r="Y204" i="35" a="1"/>
  <c r="Y204" i="35" s="1"/>
  <c r="Z204" i="35" a="1"/>
  <c r="Z204" i="35" s="1"/>
  <c r="W205" i="35" a="1"/>
  <c r="W205" i="35" s="1"/>
  <c r="X205" i="35" a="1"/>
  <c r="X205" i="35" s="1"/>
  <c r="Y205" i="35" a="1"/>
  <c r="Y205" i="35" s="1"/>
  <c r="Z205" i="35" a="1"/>
  <c r="Z205" i="35" s="1"/>
  <c r="W206" i="35" a="1"/>
  <c r="W206" i="35" s="1"/>
  <c r="X206" i="35" a="1"/>
  <c r="X206" i="35" s="1"/>
  <c r="Y206" i="35" a="1"/>
  <c r="Y206" i="35" s="1"/>
  <c r="Z206" i="35" a="1"/>
  <c r="Z206" i="35" s="1"/>
  <c r="W207" i="35" a="1"/>
  <c r="W207" i="35" s="1"/>
  <c r="X207" i="35" a="1"/>
  <c r="X207" i="35" s="1"/>
  <c r="Y207" i="35" a="1"/>
  <c r="Y207" i="35" s="1"/>
  <c r="Z207" i="35" a="1"/>
  <c r="Z207" i="35" s="1"/>
  <c r="W208" i="35" a="1"/>
  <c r="W208" i="35" s="1"/>
  <c r="X208" i="35" a="1"/>
  <c r="X208" i="35" s="1"/>
  <c r="Y208" i="35" a="1"/>
  <c r="Y208" i="35" s="1"/>
  <c r="Z208" i="35" a="1"/>
  <c r="Z208" i="35" s="1"/>
  <c r="W209" i="35" a="1"/>
  <c r="W209" i="35" s="1"/>
  <c r="X209" i="35" a="1"/>
  <c r="X209" i="35" s="1"/>
  <c r="Y209" i="35" a="1"/>
  <c r="Y209" i="35" s="1"/>
  <c r="Z209" i="35" a="1"/>
  <c r="Z209" i="35" s="1"/>
  <c r="W210" i="35" a="1"/>
  <c r="W210" i="35" s="1"/>
  <c r="X210" i="35" a="1"/>
  <c r="X210" i="35" s="1"/>
  <c r="Y210" i="35" a="1"/>
  <c r="Y210" i="35" s="1"/>
  <c r="Z210" i="35" a="1"/>
  <c r="Z210" i="35" s="1"/>
  <c r="W211" i="35" a="1"/>
  <c r="W211" i="35" s="1"/>
  <c r="X211" i="35" a="1"/>
  <c r="X211" i="35" s="1"/>
  <c r="Y211" i="35" a="1"/>
  <c r="Y211" i="35" s="1"/>
  <c r="Z211" i="35" a="1"/>
  <c r="Z211" i="35" s="1"/>
  <c r="W212" i="35" a="1"/>
  <c r="W212" i="35" s="1"/>
  <c r="X212" i="35" a="1"/>
  <c r="X212" i="35" s="1"/>
  <c r="Y212" i="35" a="1"/>
  <c r="Y212" i="35" s="1"/>
  <c r="Z212" i="35" a="1"/>
  <c r="Z212" i="35" s="1"/>
  <c r="W213" i="35" a="1"/>
  <c r="W213" i="35" s="1"/>
  <c r="X213" i="35" a="1"/>
  <c r="X213" i="35" s="1"/>
  <c r="Y213" i="35" a="1"/>
  <c r="Y213" i="35" s="1"/>
  <c r="Z213" i="35" a="1"/>
  <c r="Z213" i="35" s="1"/>
  <c r="W214" i="35" a="1"/>
  <c r="W214" i="35" s="1"/>
  <c r="X214" i="35" a="1"/>
  <c r="X214" i="35" s="1"/>
  <c r="Y214" i="35" a="1"/>
  <c r="Y214" i="35" s="1"/>
  <c r="Z214" i="35" a="1"/>
  <c r="Z214" i="35" s="1"/>
  <c r="W215" i="35" a="1"/>
  <c r="W215" i="35" s="1"/>
  <c r="X215" i="35" a="1"/>
  <c r="X215" i="35" s="1"/>
  <c r="Y215" i="35" a="1"/>
  <c r="Y215" i="35" s="1"/>
  <c r="Z215" i="35" a="1"/>
  <c r="Z215" i="35" s="1"/>
  <c r="W216" i="35" a="1"/>
  <c r="W216" i="35" s="1"/>
  <c r="X216" i="35" a="1"/>
  <c r="X216" i="35" s="1"/>
  <c r="Y216" i="35" a="1"/>
  <c r="Y216" i="35" s="1"/>
  <c r="Z216" i="35" a="1"/>
  <c r="Z216" i="35" s="1"/>
  <c r="W217" i="35" a="1"/>
  <c r="W217" i="35" s="1"/>
  <c r="X217" i="35" a="1"/>
  <c r="X217" i="35" s="1"/>
  <c r="Y217" i="35" a="1"/>
  <c r="Y217" i="35" s="1"/>
  <c r="Z217" i="35" a="1"/>
  <c r="Z217" i="35" s="1"/>
  <c r="W218" i="35" a="1"/>
  <c r="W218" i="35" s="1"/>
  <c r="X218" i="35" a="1"/>
  <c r="X218" i="35" s="1"/>
  <c r="Y218" i="35" a="1"/>
  <c r="Y218" i="35" s="1"/>
  <c r="Z218" i="35" a="1"/>
  <c r="Z218" i="35" s="1"/>
  <c r="W219" i="35" a="1"/>
  <c r="W219" i="35" s="1"/>
  <c r="X219" i="35" a="1"/>
  <c r="X219" i="35" s="1"/>
  <c r="Y219" i="35" a="1"/>
  <c r="Y219" i="35" s="1"/>
  <c r="Z219" i="35" a="1"/>
  <c r="Z219" i="35" s="1"/>
  <c r="W220" i="35" a="1"/>
  <c r="W220" i="35" s="1"/>
  <c r="X220" i="35" a="1"/>
  <c r="X220" i="35" s="1"/>
  <c r="Y220" i="35" a="1"/>
  <c r="Y220" i="35" s="1"/>
  <c r="Z220" i="35" a="1"/>
  <c r="Z220" i="35" s="1"/>
  <c r="W221" i="35" a="1"/>
  <c r="W221" i="35" s="1"/>
  <c r="X221" i="35" a="1"/>
  <c r="X221" i="35" s="1"/>
  <c r="Y221" i="35" a="1"/>
  <c r="Y221" i="35" s="1"/>
  <c r="Z221" i="35" a="1"/>
  <c r="Z221" i="35" s="1"/>
  <c r="W222" i="35" a="1"/>
  <c r="W222" i="35" s="1"/>
  <c r="X222" i="35" a="1"/>
  <c r="X222" i="35" s="1"/>
  <c r="Y222" i="35" a="1"/>
  <c r="Y222" i="35" s="1"/>
  <c r="Z222" i="35" a="1"/>
  <c r="Z222" i="35" s="1"/>
  <c r="W223" i="35" a="1"/>
  <c r="W223" i="35" s="1"/>
  <c r="X223" i="35" a="1"/>
  <c r="X223" i="35" s="1"/>
  <c r="Y223" i="35" a="1"/>
  <c r="Y223" i="35" s="1"/>
  <c r="Z223" i="35" a="1"/>
  <c r="Z223" i="35" s="1"/>
  <c r="W224" i="35" a="1"/>
  <c r="W224" i="35" s="1"/>
  <c r="X224" i="35" a="1"/>
  <c r="X224" i="35" s="1"/>
  <c r="Y224" i="35" a="1"/>
  <c r="Y224" i="35" s="1"/>
  <c r="Z224" i="35" a="1"/>
  <c r="Z224" i="35" s="1"/>
  <c r="W225" i="35" a="1"/>
  <c r="W225" i="35" s="1"/>
  <c r="X225" i="35" a="1"/>
  <c r="X225" i="35" s="1"/>
  <c r="Y225" i="35" a="1"/>
  <c r="Y225" i="35" s="1"/>
  <c r="Z225" i="35" a="1"/>
  <c r="Z225" i="35" s="1"/>
  <c r="W226" i="35" a="1"/>
  <c r="W226" i="35" s="1"/>
  <c r="X226" i="35" a="1"/>
  <c r="X226" i="35" s="1"/>
  <c r="Y226" i="35" a="1"/>
  <c r="Y226" i="35" s="1"/>
  <c r="Z226" i="35" a="1"/>
  <c r="Z226" i="35" s="1"/>
  <c r="W227" i="35" a="1"/>
  <c r="W227" i="35" s="1"/>
  <c r="X227" i="35" a="1"/>
  <c r="X227" i="35" s="1"/>
  <c r="Y227" i="35" a="1"/>
  <c r="Y227" i="35" s="1"/>
  <c r="Z227" i="35" a="1"/>
  <c r="Z227" i="35" s="1"/>
  <c r="W228" i="35" a="1"/>
  <c r="W228" i="35" s="1"/>
  <c r="X228" i="35" a="1"/>
  <c r="X228" i="35" s="1"/>
  <c r="Y228" i="35" a="1"/>
  <c r="Y228" i="35" s="1"/>
  <c r="Z228" i="35" a="1"/>
  <c r="Z228" i="35" s="1"/>
  <c r="W229" i="35" a="1"/>
  <c r="W229" i="35" s="1"/>
  <c r="X229" i="35" a="1"/>
  <c r="X229" i="35" s="1"/>
  <c r="Y229" i="35" a="1"/>
  <c r="Y229" i="35" s="1"/>
  <c r="Z229" i="35" a="1"/>
  <c r="Z229" i="35" s="1"/>
  <c r="W230" i="35" a="1"/>
  <c r="W230" i="35" s="1"/>
  <c r="X230" i="35" a="1"/>
  <c r="X230" i="35" s="1"/>
  <c r="Y230" i="35" a="1"/>
  <c r="Y230" i="35" s="1"/>
  <c r="Z230" i="35" a="1"/>
  <c r="Z230" i="35" s="1"/>
  <c r="W231" i="35" a="1"/>
  <c r="W231" i="35" s="1"/>
  <c r="X231" i="35" a="1"/>
  <c r="X231" i="35" s="1"/>
  <c r="Y231" i="35" a="1"/>
  <c r="Y231" i="35" s="1"/>
  <c r="Z231" i="35" a="1"/>
  <c r="Z231" i="35" s="1"/>
  <c r="W232" i="35" a="1"/>
  <c r="W232" i="35" s="1"/>
  <c r="X232" i="35" a="1"/>
  <c r="X232" i="35" s="1"/>
  <c r="Y232" i="35" a="1"/>
  <c r="Y232" i="35" s="1"/>
  <c r="Z232" i="35" a="1"/>
  <c r="Z232" i="35" s="1"/>
  <c r="W233" i="35" a="1"/>
  <c r="W233" i="35" s="1"/>
  <c r="X233" i="35" a="1"/>
  <c r="X233" i="35" s="1"/>
  <c r="Y233" i="35" a="1"/>
  <c r="Y233" i="35" s="1"/>
  <c r="Z233" i="35" a="1"/>
  <c r="Z233" i="35" s="1"/>
  <c r="W234" i="35" a="1"/>
  <c r="W234" i="35" s="1"/>
  <c r="X234" i="35" a="1"/>
  <c r="X234" i="35" s="1"/>
  <c r="Y234" i="35" a="1"/>
  <c r="Y234" i="35" s="1"/>
  <c r="Z234" i="35" a="1"/>
  <c r="Z234" i="35" s="1"/>
  <c r="W235" i="35" a="1"/>
  <c r="W235" i="35" s="1"/>
  <c r="X235" i="35" a="1"/>
  <c r="X235" i="35" s="1"/>
  <c r="Y235" i="35" a="1"/>
  <c r="Y235" i="35" s="1"/>
  <c r="Z235" i="35" a="1"/>
  <c r="Z235" i="35" s="1"/>
  <c r="W236" i="35" a="1"/>
  <c r="W236" i="35" s="1"/>
  <c r="X236" i="35" a="1"/>
  <c r="X236" i="35" s="1"/>
  <c r="Y236" i="35" a="1"/>
  <c r="Y236" i="35" s="1"/>
  <c r="Z236" i="35" a="1"/>
  <c r="Z236" i="35" s="1"/>
  <c r="W237" i="35" a="1"/>
  <c r="W237" i="35" s="1"/>
  <c r="X237" i="35" a="1"/>
  <c r="X237" i="35" s="1"/>
  <c r="Y237" i="35" a="1"/>
  <c r="Y237" i="35" s="1"/>
  <c r="Z237" i="35" a="1"/>
  <c r="Z237" i="35" s="1"/>
  <c r="W238" i="35" a="1"/>
  <c r="W238" i="35" s="1"/>
  <c r="X238" i="35" a="1"/>
  <c r="X238" i="35" s="1"/>
  <c r="Y238" i="35" a="1"/>
  <c r="Y238" i="35" s="1"/>
  <c r="Z238" i="35" a="1"/>
  <c r="Z238" i="35" s="1"/>
  <c r="W239" i="35" a="1"/>
  <c r="W239" i="35" s="1"/>
  <c r="X239" i="35" a="1"/>
  <c r="X239" i="35" s="1"/>
  <c r="Y239" i="35" a="1"/>
  <c r="Y239" i="35" s="1"/>
  <c r="Z239" i="35" a="1"/>
  <c r="Z239" i="35" s="1"/>
  <c r="W240" i="35" a="1"/>
  <c r="W240" i="35" s="1"/>
  <c r="X240" i="35" a="1"/>
  <c r="X240" i="35" s="1"/>
  <c r="Y240" i="35" a="1"/>
  <c r="Y240" i="35" s="1"/>
  <c r="Z240" i="35" a="1"/>
  <c r="Z240" i="35" s="1"/>
  <c r="W241" i="35" a="1"/>
  <c r="W241" i="35" s="1"/>
  <c r="X241" i="35" a="1"/>
  <c r="X241" i="35" s="1"/>
  <c r="Y241" i="35" a="1"/>
  <c r="Y241" i="35" s="1"/>
  <c r="Z241" i="35" a="1"/>
  <c r="Z241" i="35" s="1"/>
  <c r="W242" i="35" a="1"/>
  <c r="W242" i="35" s="1"/>
  <c r="X242" i="35" a="1"/>
  <c r="X242" i="35" s="1"/>
  <c r="Y242" i="35" a="1"/>
  <c r="Y242" i="35" s="1"/>
  <c r="Z242" i="35" a="1"/>
  <c r="Z242" i="35" s="1"/>
  <c r="W243" i="35" a="1"/>
  <c r="W243" i="35" s="1"/>
  <c r="X243" i="35" a="1"/>
  <c r="X243" i="35" s="1"/>
  <c r="Y243" i="35" a="1"/>
  <c r="Y243" i="35" s="1"/>
  <c r="Z243" i="35" a="1"/>
  <c r="Z243" i="35" s="1"/>
  <c r="W244" i="35" a="1"/>
  <c r="W244" i="35" s="1"/>
  <c r="X244" i="35" a="1"/>
  <c r="X244" i="35" s="1"/>
  <c r="Y244" i="35" a="1"/>
  <c r="Y244" i="35" s="1"/>
  <c r="Z244" i="35" a="1"/>
  <c r="Z244" i="35" s="1"/>
  <c r="W245" i="35" a="1"/>
  <c r="W245" i="35" s="1"/>
  <c r="X245" i="35" a="1"/>
  <c r="X245" i="35" s="1"/>
  <c r="Y245" i="35" a="1"/>
  <c r="Y245" i="35" s="1"/>
  <c r="Z245" i="35" a="1"/>
  <c r="Z245" i="35" s="1"/>
  <c r="W246" i="35" a="1"/>
  <c r="W246" i="35" s="1"/>
  <c r="X246" i="35" a="1"/>
  <c r="X246" i="35" s="1"/>
  <c r="Y246" i="35" a="1"/>
  <c r="Y246" i="35" s="1"/>
  <c r="Z246" i="35" a="1"/>
  <c r="Z246" i="35" s="1"/>
  <c r="W247" i="35" a="1"/>
  <c r="W247" i="35" s="1"/>
  <c r="X247" i="35" a="1"/>
  <c r="X247" i="35" s="1"/>
  <c r="Y247" i="35" a="1"/>
  <c r="Y247" i="35" s="1"/>
  <c r="Z247" i="35" a="1"/>
  <c r="Z247" i="35" s="1"/>
  <c r="W248" i="35" a="1"/>
  <c r="W248" i="35" s="1"/>
  <c r="X248" i="35" a="1"/>
  <c r="X248" i="35" s="1"/>
  <c r="Y248" i="35" a="1"/>
  <c r="Y248" i="35" s="1"/>
  <c r="Z248" i="35" a="1"/>
  <c r="Z248" i="35" s="1"/>
  <c r="W249" i="35" a="1"/>
  <c r="W249" i="35" s="1"/>
  <c r="X249" i="35" a="1"/>
  <c r="X249" i="35" s="1"/>
  <c r="Y249" i="35" a="1"/>
  <c r="Y249" i="35" s="1"/>
  <c r="Z249" i="35" a="1"/>
  <c r="Z249" i="35" s="1"/>
  <c r="W250" i="35" a="1"/>
  <c r="W250" i="35" s="1"/>
  <c r="X250" i="35" a="1"/>
  <c r="X250" i="35" s="1"/>
  <c r="Y250" i="35" a="1"/>
  <c r="Y250" i="35" s="1"/>
  <c r="Z250" i="35" a="1"/>
  <c r="Z250" i="35" s="1"/>
  <c r="W251" i="35" a="1"/>
  <c r="W251" i="35" s="1"/>
  <c r="X251" i="35" a="1"/>
  <c r="X251" i="35" s="1"/>
  <c r="Y251" i="35" a="1"/>
  <c r="Y251" i="35" s="1"/>
  <c r="Z251" i="35" a="1"/>
  <c r="Z251" i="35" s="1"/>
  <c r="W252" i="35" a="1"/>
  <c r="W252" i="35" s="1"/>
  <c r="X252" i="35" a="1"/>
  <c r="X252" i="35" s="1"/>
  <c r="Y252" i="35" a="1"/>
  <c r="Y252" i="35" s="1"/>
  <c r="Z252" i="35" a="1"/>
  <c r="Z252" i="35" s="1"/>
  <c r="W253" i="35" a="1"/>
  <c r="W253" i="35" s="1"/>
  <c r="X253" i="35" a="1"/>
  <c r="X253" i="35" s="1"/>
  <c r="Y253" i="35" a="1"/>
  <c r="Y253" i="35" s="1"/>
  <c r="Z253" i="35" a="1"/>
  <c r="Z253" i="35" s="1"/>
  <c r="W254" i="35" a="1"/>
  <c r="W254" i="35" s="1"/>
  <c r="X254" i="35" a="1"/>
  <c r="X254" i="35" s="1"/>
  <c r="Y254" i="35" a="1"/>
  <c r="Y254" i="35" s="1"/>
  <c r="Z254" i="35" a="1"/>
  <c r="Z254" i="35" s="1"/>
  <c r="W255" i="35" a="1"/>
  <c r="W255" i="35" s="1"/>
  <c r="X255" i="35" a="1"/>
  <c r="X255" i="35" s="1"/>
  <c r="Y255" i="35" a="1"/>
  <c r="Y255" i="35" s="1"/>
  <c r="Z255" i="35" a="1"/>
  <c r="Z255" i="35" s="1"/>
  <c r="W256" i="35" a="1"/>
  <c r="W256" i="35" s="1"/>
  <c r="X256" i="35" a="1"/>
  <c r="X256" i="35" s="1"/>
  <c r="Y256" i="35" a="1"/>
  <c r="Y256" i="35" s="1"/>
  <c r="Z256" i="35" a="1"/>
  <c r="Z256" i="35" s="1"/>
  <c r="W257" i="35" a="1"/>
  <c r="W257" i="35" s="1"/>
  <c r="X257" i="35" a="1"/>
  <c r="X257" i="35" s="1"/>
  <c r="Y257" i="35" a="1"/>
  <c r="Y257" i="35" s="1"/>
  <c r="Z257" i="35" a="1"/>
  <c r="Z257" i="35" s="1"/>
  <c r="W258" i="35" a="1"/>
  <c r="W258" i="35" s="1"/>
  <c r="X258" i="35" a="1"/>
  <c r="X258" i="35" s="1"/>
  <c r="Y258" i="35" a="1"/>
  <c r="Y258" i="35" s="1"/>
  <c r="Z258" i="35" a="1"/>
  <c r="Z258" i="35" s="1"/>
  <c r="W259" i="35" a="1"/>
  <c r="W259" i="35" s="1"/>
  <c r="X259" i="35" a="1"/>
  <c r="X259" i="35" s="1"/>
  <c r="Y259" i="35" a="1"/>
  <c r="Y259" i="35" s="1"/>
  <c r="Z259" i="35" a="1"/>
  <c r="Z259" i="35" s="1"/>
  <c r="W260" i="35" a="1"/>
  <c r="W260" i="35" s="1"/>
  <c r="X260" i="35" a="1"/>
  <c r="X260" i="35" s="1"/>
  <c r="Y260" i="35" a="1"/>
  <c r="Y260" i="35" s="1"/>
  <c r="Z260" i="35" a="1"/>
  <c r="Z260" i="35" s="1"/>
  <c r="W261" i="35" a="1"/>
  <c r="W261" i="35" s="1"/>
  <c r="X261" i="35" a="1"/>
  <c r="X261" i="35" s="1"/>
  <c r="Y261" i="35" a="1"/>
  <c r="Y261" i="35" s="1"/>
  <c r="Z261" i="35" a="1"/>
  <c r="Z261" i="35" s="1"/>
  <c r="W262" i="35" a="1"/>
  <c r="W262" i="35" s="1"/>
  <c r="X262" i="35" a="1"/>
  <c r="X262" i="35" s="1"/>
  <c r="Y262" i="35" a="1"/>
  <c r="Y262" i="35" s="1"/>
  <c r="Z262" i="35" a="1"/>
  <c r="Z262" i="35" s="1"/>
  <c r="W263" i="35" a="1"/>
  <c r="W263" i="35" s="1"/>
  <c r="X263" i="35" a="1"/>
  <c r="X263" i="35" s="1"/>
  <c r="Y263" i="35" a="1"/>
  <c r="Y263" i="35" s="1"/>
  <c r="Z263" i="35" a="1"/>
  <c r="Z263" i="35" s="1"/>
  <c r="W264" i="35" a="1"/>
  <c r="W264" i="35" s="1"/>
  <c r="X264" i="35" a="1"/>
  <c r="X264" i="35" s="1"/>
  <c r="Y264" i="35" a="1"/>
  <c r="Y264" i="35" s="1"/>
  <c r="Z264" i="35" a="1"/>
  <c r="Z264" i="35" s="1"/>
  <c r="W265" i="35" a="1"/>
  <c r="W265" i="35" s="1"/>
  <c r="X265" i="35" a="1"/>
  <c r="X265" i="35" s="1"/>
  <c r="Y265" i="35" a="1"/>
  <c r="Y265" i="35" s="1"/>
  <c r="Z265" i="35" a="1"/>
  <c r="Z265" i="35" s="1"/>
  <c r="W266" i="35" a="1"/>
  <c r="W266" i="35" s="1"/>
  <c r="X266" i="35" a="1"/>
  <c r="X266" i="35" s="1"/>
  <c r="Y266" i="35" a="1"/>
  <c r="Y266" i="35" s="1"/>
  <c r="Z266" i="35" a="1"/>
  <c r="Z266" i="35" s="1"/>
  <c r="W267" i="35" a="1"/>
  <c r="W267" i="35" s="1"/>
  <c r="X267" i="35" a="1"/>
  <c r="X267" i="35" s="1"/>
  <c r="Y267" i="35" a="1"/>
  <c r="Y267" i="35" s="1"/>
  <c r="Z267" i="35" a="1"/>
  <c r="Z267" i="35" s="1"/>
  <c r="W268" i="35" a="1"/>
  <c r="W268" i="35" s="1"/>
  <c r="X268" i="35" a="1"/>
  <c r="X268" i="35" s="1"/>
  <c r="Y268" i="35" a="1"/>
  <c r="Y268" i="35" s="1"/>
  <c r="Z268" i="35" a="1"/>
  <c r="Z268" i="35" s="1"/>
  <c r="W269" i="35" a="1"/>
  <c r="W269" i="35" s="1"/>
  <c r="X269" i="35" a="1"/>
  <c r="X269" i="35" s="1"/>
  <c r="Y269" i="35" a="1"/>
  <c r="Y269" i="35" s="1"/>
  <c r="Z269" i="35" a="1"/>
  <c r="Z269" i="35" s="1"/>
  <c r="W270" i="35" a="1"/>
  <c r="W270" i="35" s="1"/>
  <c r="X270" i="35" a="1"/>
  <c r="X270" i="35" s="1"/>
  <c r="Y270" i="35" a="1"/>
  <c r="Y270" i="35" s="1"/>
  <c r="Z270" i="35" a="1"/>
  <c r="Z270" i="35" s="1"/>
  <c r="W271" i="35" a="1"/>
  <c r="W271" i="35" s="1"/>
  <c r="X271" i="35" a="1"/>
  <c r="X271" i="35" s="1"/>
  <c r="Y271" i="35" a="1"/>
  <c r="Y271" i="35" s="1"/>
  <c r="Z271" i="35" a="1"/>
  <c r="Z271" i="35" s="1"/>
  <c r="W272" i="35" a="1"/>
  <c r="W272" i="35" s="1"/>
  <c r="X272" i="35" a="1"/>
  <c r="X272" i="35" s="1"/>
  <c r="Y272" i="35" a="1"/>
  <c r="Y272" i="35" s="1"/>
  <c r="H28" i="59" s="1" a="1"/>
  <c r="H28" i="59" s="1"/>
  <c r="Z272" i="35" a="1"/>
  <c r="Z272" i="35" s="1"/>
  <c r="H30" i="59" s="1" a="1"/>
  <c r="H30" i="59" s="1"/>
  <c r="H31" i="59" s="1"/>
  <c r="W273" i="35" a="1"/>
  <c r="W273" i="35" s="1"/>
  <c r="X273" i="35" a="1"/>
  <c r="X273" i="35" s="1"/>
  <c r="Y273" i="35" a="1"/>
  <c r="Y273" i="35" s="1"/>
  <c r="I28" i="59" s="1" a="1"/>
  <c r="I28" i="59" s="1"/>
  <c r="Z273" i="35" a="1"/>
  <c r="Z273" i="35" s="1"/>
  <c r="I30" i="59" s="1" a="1"/>
  <c r="I30" i="59" s="1"/>
  <c r="I31" i="59" s="1"/>
  <c r="W274" i="35" a="1"/>
  <c r="W274" i="35" s="1"/>
  <c r="X274" i="35" a="1"/>
  <c r="X274" i="35" s="1"/>
  <c r="Y274" i="35" a="1"/>
  <c r="Y274" i="35" s="1"/>
  <c r="J28" i="59" s="1" a="1"/>
  <c r="J28" i="59" s="1"/>
  <c r="Z274" i="35" a="1"/>
  <c r="Z274" i="35" s="1"/>
  <c r="J30" i="59" s="1" a="1"/>
  <c r="J30" i="59" s="1"/>
  <c r="J31" i="59" s="1"/>
  <c r="W275" i="35" a="1"/>
  <c r="W275" i="35" s="1"/>
  <c r="X275" i="35" a="1"/>
  <c r="X275" i="35" s="1"/>
  <c r="Y275" i="35" a="1"/>
  <c r="Y275" i="35" s="1"/>
  <c r="M28" i="59" s="1" a="1"/>
  <c r="M28" i="59" s="1"/>
  <c r="Z275" i="35" a="1"/>
  <c r="Z275" i="35" s="1"/>
  <c r="M30" i="59" s="1" a="1"/>
  <c r="M30" i="59" s="1"/>
  <c r="M31" i="59" s="1"/>
  <c r="W276" i="35" a="1"/>
  <c r="W276" i="35" s="1"/>
  <c r="X276" i="35" a="1"/>
  <c r="X276" i="35" s="1"/>
  <c r="Y276" i="35" a="1"/>
  <c r="Y276" i="35" s="1"/>
  <c r="Z276" i="35" a="1"/>
  <c r="Z276" i="35" s="1"/>
  <c r="W277" i="35" a="1"/>
  <c r="W277" i="35" s="1"/>
  <c r="X277" i="35" a="1"/>
  <c r="X277" i="35" s="1"/>
  <c r="Y277" i="35" a="1"/>
  <c r="Y277" i="35" s="1"/>
  <c r="Z277" i="35" a="1"/>
  <c r="Z277" i="35" s="1"/>
  <c r="W278" i="35" a="1"/>
  <c r="W278" i="35" s="1"/>
  <c r="X278" i="35" a="1"/>
  <c r="X278" i="35" s="1"/>
  <c r="Y278" i="35" a="1"/>
  <c r="Y278" i="35" s="1"/>
  <c r="Z278" i="35" a="1"/>
  <c r="Z278" i="35" s="1"/>
  <c r="W279" i="35" a="1"/>
  <c r="W279" i="35" s="1"/>
  <c r="X279" i="35" a="1"/>
  <c r="X279" i="35" s="1"/>
  <c r="Y279" i="35" a="1"/>
  <c r="Y279" i="35" s="1"/>
  <c r="Z279" i="35" a="1"/>
  <c r="Z279" i="35" s="1"/>
  <c r="W280" i="35" a="1"/>
  <c r="W280" i="35" s="1"/>
  <c r="X280" i="35" a="1"/>
  <c r="X280" i="35" s="1"/>
  <c r="Y280" i="35" a="1"/>
  <c r="Y280" i="35" s="1"/>
  <c r="Z280" i="35" a="1"/>
  <c r="Z280" i="35" s="1"/>
  <c r="W281" i="35" a="1"/>
  <c r="W281" i="35" s="1"/>
  <c r="X281" i="35" a="1"/>
  <c r="X281" i="35" s="1"/>
  <c r="Y281" i="35" a="1"/>
  <c r="Y281" i="35" s="1"/>
  <c r="Z281" i="35" a="1"/>
  <c r="Z281" i="35" s="1"/>
  <c r="W282" i="35" a="1"/>
  <c r="W282" i="35" s="1"/>
  <c r="X282" i="35" a="1"/>
  <c r="X282" i="35" s="1"/>
  <c r="Y282" i="35" a="1"/>
  <c r="Y282" i="35" s="1"/>
  <c r="Z282" i="35" a="1"/>
  <c r="Z282" i="35" s="1"/>
  <c r="W283" i="35" a="1"/>
  <c r="W283" i="35" s="1"/>
  <c r="X283" i="35" a="1"/>
  <c r="X283" i="35" s="1"/>
  <c r="Y283" i="35" a="1"/>
  <c r="Y283" i="35" s="1"/>
  <c r="Z283" i="35" a="1"/>
  <c r="Z283" i="35" s="1"/>
  <c r="W284" i="35" a="1"/>
  <c r="W284" i="35" s="1"/>
  <c r="X284" i="35" a="1"/>
  <c r="X284" i="35" s="1"/>
  <c r="Y284" i="35" a="1"/>
  <c r="Y284" i="35" s="1"/>
  <c r="Z284" i="35" a="1"/>
  <c r="Z284" i="35" s="1"/>
  <c r="W285" i="35" a="1"/>
  <c r="W285" i="35" s="1"/>
  <c r="X285" i="35" a="1"/>
  <c r="X285" i="35" s="1"/>
  <c r="Y285" i="35" a="1"/>
  <c r="Y285" i="35" s="1"/>
  <c r="L28" i="59" s="1" a="1"/>
  <c r="L28" i="59" s="1"/>
  <c r="Z285" i="35" a="1"/>
  <c r="Z285" i="35" s="1"/>
  <c r="L30" i="59" s="1" a="1"/>
  <c r="L30" i="59" s="1"/>
  <c r="L31" i="59" s="1"/>
  <c r="W286" i="35" a="1"/>
  <c r="W286" i="35" s="1"/>
  <c r="X286" i="35" a="1"/>
  <c r="X286" i="35" s="1"/>
  <c r="Y286" i="35" a="1"/>
  <c r="Y286" i="35" s="1"/>
  <c r="K28" i="59" s="1" a="1"/>
  <c r="K28" i="59" s="1"/>
  <c r="Z286" i="35" a="1"/>
  <c r="Z286" i="35" s="1"/>
  <c r="K30" i="59" s="1" a="1"/>
  <c r="K30" i="59" s="1"/>
  <c r="K31" i="59" s="1"/>
  <c r="W287" i="35" a="1"/>
  <c r="W287" i="35" s="1"/>
  <c r="X287" i="35" a="1"/>
  <c r="X287" i="35" s="1"/>
  <c r="Y287" i="35" a="1"/>
  <c r="Y287" i="35" s="1"/>
  <c r="Z287" i="35" a="1"/>
  <c r="Z287" i="35" s="1"/>
  <c r="W288" i="35" a="1"/>
  <c r="W288" i="35" s="1"/>
  <c r="X288" i="35" a="1"/>
  <c r="X288" i="35" s="1"/>
  <c r="Y288" i="35" a="1"/>
  <c r="Y288" i="35" s="1"/>
  <c r="Z288" i="35" a="1"/>
  <c r="Z288" i="35" s="1"/>
  <c r="W289" i="35" a="1"/>
  <c r="W289" i="35" s="1"/>
  <c r="X289" i="35" a="1"/>
  <c r="X289" i="35" s="1"/>
  <c r="Y289" i="35" a="1"/>
  <c r="Y289" i="35" s="1"/>
  <c r="Z289" i="35" a="1"/>
  <c r="Z289" i="35" s="1"/>
  <c r="W290" i="35" a="1"/>
  <c r="W290" i="35" s="1"/>
  <c r="X290" i="35" a="1"/>
  <c r="X290" i="35" s="1"/>
  <c r="Y290" i="35" a="1"/>
  <c r="Y290" i="35" s="1"/>
  <c r="Z290" i="35" a="1"/>
  <c r="Z290" i="35" s="1"/>
  <c r="W291" i="35" a="1"/>
  <c r="W291" i="35" s="1"/>
  <c r="X291" i="35" a="1"/>
  <c r="X291" i="35" s="1"/>
  <c r="Y291" i="35" a="1"/>
  <c r="Y291" i="35" s="1"/>
  <c r="Z291" i="35" a="1"/>
  <c r="Z291" i="35" s="1"/>
  <c r="W292" i="35" a="1"/>
  <c r="W292" i="35" s="1"/>
  <c r="X292" i="35" a="1"/>
  <c r="X292" i="35" s="1"/>
  <c r="Y292" i="35" a="1"/>
  <c r="Y292" i="35" s="1"/>
  <c r="Z292" i="35" a="1"/>
  <c r="Z292" i="35" s="1"/>
  <c r="W293" i="35" a="1"/>
  <c r="W293" i="35" s="1"/>
  <c r="X293" i="35" a="1"/>
  <c r="X293" i="35" s="1"/>
  <c r="Y293" i="35" a="1"/>
  <c r="Y293" i="35" s="1"/>
  <c r="Z293" i="35" a="1"/>
  <c r="Z293" i="35" s="1"/>
  <c r="W294" i="35" a="1"/>
  <c r="W294" i="35" s="1"/>
  <c r="X294" i="35" a="1"/>
  <c r="X294" i="35" s="1"/>
  <c r="Y294" i="35" a="1"/>
  <c r="Y294" i="35" s="1"/>
  <c r="Z294" i="35" a="1"/>
  <c r="Z294" i="35" s="1"/>
  <c r="W295" i="35" a="1"/>
  <c r="W295" i="35" s="1"/>
  <c r="X295" i="35" a="1"/>
  <c r="X295" i="35" s="1"/>
  <c r="Y295" i="35" a="1"/>
  <c r="Y295" i="35" s="1"/>
  <c r="Z295" i="35" a="1"/>
  <c r="Z295" i="35" s="1"/>
  <c r="W296" i="35" a="1"/>
  <c r="W296" i="35" s="1"/>
  <c r="X296" i="35" a="1"/>
  <c r="X296" i="35" s="1"/>
  <c r="Y296" i="35" a="1"/>
  <c r="Y296" i="35" s="1"/>
  <c r="Z296" i="35" a="1"/>
  <c r="Z296" i="35" s="1"/>
  <c r="W297" i="35" a="1"/>
  <c r="W297" i="35" s="1"/>
  <c r="X297" i="35" a="1"/>
  <c r="X297" i="35" s="1"/>
  <c r="Y297" i="35" a="1"/>
  <c r="Y297" i="35" s="1"/>
  <c r="Z297" i="35" a="1"/>
  <c r="Z297" i="35" s="1"/>
  <c r="W298" i="35" a="1"/>
  <c r="W298" i="35" s="1"/>
  <c r="X298" i="35" a="1"/>
  <c r="X298" i="35" s="1"/>
  <c r="Y298" i="35" a="1"/>
  <c r="Y298" i="35" s="1"/>
  <c r="Z298" i="35" a="1"/>
  <c r="Z298" i="35" s="1"/>
  <c r="W299" i="35" a="1"/>
  <c r="W299" i="35" s="1"/>
  <c r="X299" i="35" a="1"/>
  <c r="X299" i="35" s="1"/>
  <c r="Y299" i="35" a="1"/>
  <c r="Y299" i="35" s="1"/>
  <c r="Z299" i="35" a="1"/>
  <c r="Z299" i="35" s="1"/>
  <c r="W300" i="35" a="1"/>
  <c r="W300" i="35" s="1"/>
  <c r="X300" i="35" a="1"/>
  <c r="X300" i="35" s="1"/>
  <c r="Y300" i="35" a="1"/>
  <c r="Y300" i="35" s="1"/>
  <c r="Z300" i="35" a="1"/>
  <c r="Z300" i="35" s="1"/>
  <c r="W301" i="35" a="1"/>
  <c r="W301" i="35" s="1"/>
  <c r="X301" i="35" a="1"/>
  <c r="X301" i="35" s="1"/>
  <c r="Y301" i="35" a="1"/>
  <c r="Y301" i="35" s="1"/>
  <c r="Z301" i="35" a="1"/>
  <c r="Z301" i="35" s="1"/>
  <c r="W302" i="35" a="1"/>
  <c r="W302" i="35" s="1"/>
  <c r="X302" i="35" a="1"/>
  <c r="X302" i="35" s="1"/>
  <c r="Y302" i="35" a="1"/>
  <c r="Y302" i="35" s="1"/>
  <c r="Z302" i="35" a="1"/>
  <c r="Z302" i="35" s="1"/>
  <c r="W303" i="35" a="1"/>
  <c r="W303" i="35" s="1"/>
  <c r="X303" i="35" a="1"/>
  <c r="X303" i="35" s="1"/>
  <c r="Y303" i="35" a="1"/>
  <c r="Y303" i="35" s="1"/>
  <c r="Z303" i="35" a="1"/>
  <c r="Z303" i="35" s="1"/>
  <c r="W304" i="35" a="1"/>
  <c r="W304" i="35" s="1"/>
  <c r="X304" i="35" a="1"/>
  <c r="X304" i="35" s="1"/>
  <c r="Y304" i="35" a="1"/>
  <c r="Y304" i="35" s="1"/>
  <c r="Z304" i="35" a="1"/>
  <c r="Z304" i="35" s="1"/>
  <c r="W305" i="35" a="1"/>
  <c r="W305" i="35" s="1"/>
  <c r="X305" i="35" a="1"/>
  <c r="X305" i="35" s="1"/>
  <c r="Y305" i="35" a="1"/>
  <c r="Y305" i="35" s="1"/>
  <c r="Z305" i="35" a="1"/>
  <c r="Z305" i="35" s="1"/>
  <c r="W306" i="35" a="1"/>
  <c r="W306" i="35" s="1"/>
  <c r="X306" i="35" a="1"/>
  <c r="X306" i="35" s="1"/>
  <c r="Y306" i="35" a="1"/>
  <c r="Y306" i="35" s="1"/>
  <c r="O28" i="59" s="1" a="1"/>
  <c r="O28" i="59" s="1"/>
  <c r="Z306" i="35" a="1"/>
  <c r="Z306" i="35" s="1"/>
  <c r="O30" i="59" s="1" a="1"/>
  <c r="O30" i="59" s="1"/>
  <c r="W307" i="35" a="1"/>
  <c r="W307" i="35" s="1"/>
  <c r="X307" i="35" a="1"/>
  <c r="X307" i="35" s="1"/>
  <c r="Y307" i="35" a="1"/>
  <c r="Y307" i="35" s="1"/>
  <c r="Z307" i="35" a="1"/>
  <c r="Z307" i="35" s="1"/>
  <c r="W308" i="35" a="1"/>
  <c r="W308" i="35" s="1"/>
  <c r="X308" i="35" a="1"/>
  <c r="X308" i="35" s="1"/>
  <c r="Y308" i="35" a="1"/>
  <c r="Y308" i="35" s="1"/>
  <c r="Z308" i="35" a="1"/>
  <c r="Z308" i="35" s="1"/>
  <c r="P31" i="59" s="1"/>
  <c r="W309" i="35" a="1"/>
  <c r="W309" i="35" s="1"/>
  <c r="X309" i="35" a="1"/>
  <c r="X309" i="35" s="1"/>
  <c r="Y309" i="35" a="1"/>
  <c r="Y309" i="35" s="1"/>
  <c r="Z309" i="35" a="1"/>
  <c r="Z309" i="35" s="1"/>
  <c r="Z3" i="35" a="1"/>
  <c r="Z3" i="35" s="1"/>
  <c r="Y3" i="35" a="1"/>
  <c r="Y3" i="35" s="1"/>
  <c r="X3" i="35" a="1"/>
  <c r="X3" i="35" s="1"/>
  <c r="W3" i="35" a="1"/>
  <c r="W3" i="35" s="1"/>
  <c r="L112" i="9" l="1"/>
  <c r="S112" i="9"/>
  <c r="G112" i="9"/>
  <c r="P112" i="9"/>
  <c r="O112" i="9"/>
  <c r="S30" i="9" a="1"/>
  <c r="S30" i="9" s="1"/>
  <c r="S31" i="9" s="1"/>
  <c r="P30" i="9" a="1"/>
  <c r="P30" i="9" s="1"/>
  <c r="P31" i="9" s="1"/>
  <c r="M30" i="9" a="1"/>
  <c r="M30" i="9" s="1"/>
  <c r="M31" i="9" s="1"/>
  <c r="N112" i="9"/>
  <c r="M112" i="9"/>
  <c r="K112" i="9"/>
  <c r="J112" i="9"/>
  <c r="I112" i="9"/>
  <c r="Q28" i="9" a="1"/>
  <c r="Q28" i="9" s="1"/>
  <c r="Q29" i="9" s="1"/>
  <c r="Q113" i="9" s="1"/>
  <c r="N28" i="9" a="1"/>
  <c r="N28" i="9" s="1"/>
  <c r="N29" i="9" s="1"/>
  <c r="N113" i="9" s="1"/>
  <c r="K28" i="9" a="1"/>
  <c r="K28" i="9" s="1"/>
  <c r="K29" i="9" s="1"/>
  <c r="K113" i="9" s="1"/>
  <c r="H28" i="9" a="1"/>
  <c r="H28" i="9" s="1"/>
  <c r="H29" i="9" s="1"/>
  <c r="H113" i="9" s="1"/>
  <c r="T112" i="9"/>
  <c r="H112" i="9"/>
  <c r="R112" i="9"/>
  <c r="Q112" i="9"/>
  <c r="J30" i="9" a="1"/>
  <c r="J30" i="9" s="1"/>
  <c r="J31" i="9" s="1"/>
  <c r="G30" i="9" a="1"/>
  <c r="G30" i="9" s="1"/>
  <c r="G31" i="9" s="1"/>
  <c r="R28" i="9" a="1"/>
  <c r="R28" i="9" s="1"/>
  <c r="R29" i="9" s="1"/>
  <c r="R113" i="9" s="1"/>
  <c r="O28" i="9" a="1"/>
  <c r="O28" i="9" s="1"/>
  <c r="O29" i="9" s="1"/>
  <c r="O113" i="9" s="1"/>
  <c r="L28" i="9" a="1"/>
  <c r="L28" i="9" s="1"/>
  <c r="L29" i="9" s="1"/>
  <c r="L113" i="9" s="1"/>
  <c r="I28" i="9" a="1"/>
  <c r="I28" i="9" s="1"/>
  <c r="I29" i="9" s="1"/>
  <c r="I113" i="9" s="1"/>
  <c r="S28" i="9" a="1"/>
  <c r="S28" i="9" s="1"/>
  <c r="S29" i="9" s="1"/>
  <c r="S113" i="9" s="1"/>
  <c r="R30" i="9" a="1"/>
  <c r="R30" i="9" s="1"/>
  <c r="R31" i="9" s="1"/>
  <c r="O30" i="9" a="1"/>
  <c r="O30" i="9" s="1"/>
  <c r="O31" i="9" s="1"/>
  <c r="L30" i="9" a="1"/>
  <c r="L30" i="9" s="1"/>
  <c r="L31" i="9" s="1"/>
  <c r="I30" i="9" a="1"/>
  <c r="I30" i="9" s="1"/>
  <c r="I31" i="9" s="1"/>
  <c r="T30" i="9" a="1"/>
  <c r="T30" i="9" s="1"/>
  <c r="T31" i="9" s="1"/>
  <c r="Q30" i="9" a="1"/>
  <c r="Q30" i="9" s="1"/>
  <c r="Q31" i="9" s="1"/>
  <c r="N30" i="9" a="1"/>
  <c r="N30" i="9" s="1"/>
  <c r="N31" i="9" s="1"/>
  <c r="K30" i="9" a="1"/>
  <c r="K30" i="9" s="1"/>
  <c r="K31" i="9" s="1"/>
  <c r="H30" i="9" a="1"/>
  <c r="H30" i="9" s="1"/>
  <c r="H31" i="9" s="1"/>
  <c r="T28" i="9" a="1"/>
  <c r="T28" i="9" s="1"/>
  <c r="T29" i="9" s="1"/>
  <c r="T113" i="9" s="1"/>
  <c r="P28" i="9" a="1"/>
  <c r="P28" i="9" s="1"/>
  <c r="P29" i="9" s="1"/>
  <c r="P113" i="9" s="1"/>
  <c r="M28" i="9" a="1"/>
  <c r="M28" i="9" s="1"/>
  <c r="M29" i="9" s="1"/>
  <c r="M113" i="9" s="1"/>
  <c r="J28" i="9" a="1"/>
  <c r="J28" i="9" s="1"/>
  <c r="J29" i="9" s="1"/>
  <c r="J113" i="9" s="1"/>
  <c r="G28" i="9" a="1"/>
  <c r="G28" i="9" s="1"/>
  <c r="G29" i="9" s="1"/>
  <c r="G113" i="9" s="1"/>
  <c r="AF108" i="9"/>
  <c r="AF29" i="9"/>
  <c r="AF111" i="9"/>
  <c r="AF110" i="9"/>
  <c r="AF109" i="9"/>
  <c r="AF114" i="9"/>
  <c r="AC114" i="9"/>
  <c r="AC111" i="9"/>
  <c r="AC110" i="9"/>
  <c r="AC109" i="9"/>
  <c r="AC108" i="9"/>
  <c r="AC29" i="9"/>
  <c r="Z111" i="9"/>
  <c r="Z109" i="9"/>
  <c r="Z110" i="9"/>
  <c r="Z108" i="9"/>
  <c r="Z29" i="9"/>
  <c r="Z114" i="9"/>
  <c r="W114" i="9"/>
  <c r="W109" i="9"/>
  <c r="W108" i="9"/>
  <c r="W29" i="9"/>
  <c r="W111" i="9"/>
  <c r="W110" i="9"/>
  <c r="AE114" i="9"/>
  <c r="AE109" i="9"/>
  <c r="AE108" i="9"/>
  <c r="AE29" i="9"/>
  <c r="AE111" i="9"/>
  <c r="AE110" i="9"/>
  <c r="AB109" i="9"/>
  <c r="AB108" i="9"/>
  <c r="AB114" i="9"/>
  <c r="AB29" i="9"/>
  <c r="AB111" i="9"/>
  <c r="AB110" i="9"/>
  <c r="Y110" i="9"/>
  <c r="Y114" i="9"/>
  <c r="Y109" i="9"/>
  <c r="Y108" i="9"/>
  <c r="Y111" i="9"/>
  <c r="Y29" i="9"/>
  <c r="V111" i="9"/>
  <c r="V109" i="9"/>
  <c r="V108" i="9"/>
  <c r="V29" i="9"/>
  <c r="V110" i="9"/>
  <c r="V114" i="9"/>
  <c r="AG108" i="9"/>
  <c r="AG29" i="9"/>
  <c r="AG111" i="9"/>
  <c r="AG110" i="9"/>
  <c r="AG109" i="9"/>
  <c r="AG114" i="9"/>
  <c r="AD111" i="9"/>
  <c r="AD110" i="9"/>
  <c r="AD109" i="9"/>
  <c r="AD108" i="9"/>
  <c r="AD29" i="9"/>
  <c r="AD114" i="9"/>
  <c r="AA29" i="9"/>
  <c r="AA111" i="9"/>
  <c r="AA108" i="9"/>
  <c r="AA110" i="9"/>
  <c r="AA114" i="9"/>
  <c r="AA109" i="9"/>
  <c r="X114" i="9"/>
  <c r="X109" i="9"/>
  <c r="X108" i="9"/>
  <c r="X29" i="9"/>
  <c r="X111" i="9"/>
  <c r="X110" i="9"/>
  <c r="U110" i="9"/>
  <c r="U29" i="9"/>
  <c r="U111" i="9"/>
  <c r="U114" i="9"/>
  <c r="U109" i="9"/>
  <c r="U108" i="9"/>
  <c r="AH126" i="9"/>
  <c r="AH20" i="9" a="1"/>
  <c r="AH20" i="9" s="1"/>
  <c r="I111" i="9"/>
  <c r="N109" i="9"/>
  <c r="N108" i="9"/>
  <c r="N111" i="9"/>
  <c r="N110" i="9"/>
  <c r="H111" i="9"/>
  <c r="S110" i="9"/>
  <c r="S111" i="9"/>
  <c r="S108" i="9"/>
  <c r="M110" i="9"/>
  <c r="M108" i="9"/>
  <c r="K108" i="9"/>
  <c r="K111" i="9"/>
  <c r="K109" i="9"/>
  <c r="K110" i="9"/>
  <c r="J108" i="9"/>
  <c r="AI124" i="9"/>
  <c r="G30" i="59" a="1"/>
  <c r="G30" i="59" s="1"/>
  <c r="G31" i="59" s="1"/>
  <c r="N30" i="59" a="1"/>
  <c r="N30" i="59" s="1"/>
  <c r="N31" i="59" s="1"/>
  <c r="N109" i="59"/>
  <c r="N108" i="59"/>
  <c r="N111" i="59" s="1"/>
  <c r="G28" i="59" a="1"/>
  <c r="G28" i="59" s="1"/>
  <c r="G110" i="59" s="1"/>
  <c r="N28" i="59" a="1"/>
  <c r="N28" i="59" s="1"/>
  <c r="K29" i="59"/>
  <c r="K32" i="59" s="1"/>
  <c r="K110" i="59"/>
  <c r="J29" i="59"/>
  <c r="J32" i="59" s="1"/>
  <c r="J110" i="59"/>
  <c r="M29" i="59"/>
  <c r="M32" i="59" s="1"/>
  <c r="M110" i="59"/>
  <c r="M109" i="59"/>
  <c r="M108" i="59"/>
  <c r="M111" i="59" s="1"/>
  <c r="H29" i="59"/>
  <c r="H32" i="59" s="1"/>
  <c r="H110" i="59"/>
  <c r="K108" i="59"/>
  <c r="K111" i="59" s="1"/>
  <c r="K109" i="59"/>
  <c r="J108" i="59"/>
  <c r="J111" i="59" s="1"/>
  <c r="J109" i="59"/>
  <c r="L109" i="59"/>
  <c r="L108" i="59"/>
  <c r="L111" i="59" s="1"/>
  <c r="I108" i="59"/>
  <c r="I111" i="59" s="1"/>
  <c r="I109" i="59"/>
  <c r="L29" i="59"/>
  <c r="L32" i="59" s="1"/>
  <c r="L110" i="59"/>
  <c r="I29" i="59"/>
  <c r="I32" i="59" s="1"/>
  <c r="I110" i="59"/>
  <c r="H108" i="59"/>
  <c r="H111" i="59" s="1"/>
  <c r="H109" i="59"/>
  <c r="S22" i="59" a="1"/>
  <c r="S22" i="59" s="1"/>
  <c r="S21" i="59" s="1"/>
  <c r="S90" i="59" s="1"/>
  <c r="AI22" i="9"/>
  <c r="R58" i="59"/>
  <c r="R56" i="59"/>
  <c r="R55" i="59"/>
  <c r="R80" i="59" s="1"/>
  <c r="O31" i="59"/>
  <c r="O29" i="59"/>
  <c r="O108" i="59"/>
  <c r="O111" i="59" s="1"/>
  <c r="S120" i="59"/>
  <c r="T120" i="59" s="1"/>
  <c r="P29" i="59"/>
  <c r="P32" i="59" s="1"/>
  <c r="P110" i="59"/>
  <c r="R45" i="59"/>
  <c r="R102" i="59"/>
  <c r="R105" i="59" s="1"/>
  <c r="G109" i="59"/>
  <c r="G108" i="59"/>
  <c r="G111" i="59" s="1"/>
  <c r="S115" i="59"/>
  <c r="T115" i="59" s="1"/>
  <c r="S114" i="59"/>
  <c r="T114" i="59" s="1"/>
  <c r="S113" i="59"/>
  <c r="T113" i="59" s="1"/>
  <c r="S112" i="59"/>
  <c r="T112" i="59" s="1"/>
  <c r="S116" i="59"/>
  <c r="T116" i="59" s="1"/>
  <c r="R51" i="59"/>
  <c r="G21" i="59"/>
  <c r="G23" i="59" s="1"/>
  <c r="R61" i="59"/>
  <c r="R82" i="59" s="1"/>
  <c r="T50" i="59"/>
  <c r="R62" i="59"/>
  <c r="R83" i="59" s="1"/>
  <c r="T44" i="59"/>
  <c r="R59" i="59"/>
  <c r="R79" i="59" s="1"/>
  <c r="G95" i="59"/>
  <c r="G101" i="59" s="1"/>
  <c r="G90" i="59"/>
  <c r="G94" i="59"/>
  <c r="G100" i="59" s="1"/>
  <c r="G93" i="59"/>
  <c r="G99" i="59" s="1"/>
  <c r="G37" i="59"/>
  <c r="G35" i="59"/>
  <c r="AH120" i="9"/>
  <c r="AI120" i="9" s="1"/>
  <c r="AH119" i="9"/>
  <c r="AI119" i="9" s="1"/>
  <c r="G26" i="52"/>
  <c r="G28" i="52" s="1"/>
  <c r="G35" i="52"/>
  <c r="G38" i="52" s="1"/>
  <c r="G36" i="52"/>
  <c r="G39" i="52" s="1"/>
  <c r="G47" i="52"/>
  <c r="G55" i="52"/>
  <c r="G64" i="52"/>
  <c r="G66" i="52" s="1"/>
  <c r="G85" i="52"/>
  <c r="G99" i="52"/>
  <c r="G101" i="52" s="1"/>
  <c r="G103" i="52" s="1"/>
  <c r="G113" i="52"/>
  <c r="G114" i="52" s="1"/>
  <c r="O36" i="55"/>
  <c r="H36" i="55"/>
  <c r="O35" i="55"/>
  <c r="H35" i="55"/>
  <c r="O34" i="55"/>
  <c r="H34" i="55"/>
  <c r="M34" i="55" s="1"/>
  <c r="Y17" i="55"/>
  <c r="O33" i="55"/>
  <c r="Q33" i="55" s="1"/>
  <c r="X17" i="55" s="1"/>
  <c r="M33" i="55"/>
  <c r="H33" i="55"/>
  <c r="Y16" i="55"/>
  <c r="O32" i="55"/>
  <c r="Q32" i="55" s="1"/>
  <c r="X16" i="55" s="1"/>
  <c r="H32" i="55"/>
  <c r="M32" i="55" s="1"/>
  <c r="Y15" i="55"/>
  <c r="O31" i="55"/>
  <c r="H31" i="55"/>
  <c r="M31" i="55" s="1"/>
  <c r="O30" i="55"/>
  <c r="Q30" i="55" s="1"/>
  <c r="M30" i="55"/>
  <c r="H30" i="55"/>
  <c r="Y14" i="55"/>
  <c r="O29" i="55"/>
  <c r="Q29" i="55" s="1"/>
  <c r="X14" i="55" s="1"/>
  <c r="H29" i="55"/>
  <c r="M29" i="55" s="1"/>
  <c r="O28" i="55"/>
  <c r="H28" i="55"/>
  <c r="M28" i="55" s="1"/>
  <c r="O27" i="55"/>
  <c r="H27" i="55"/>
  <c r="M27" i="55" s="1"/>
  <c r="O26" i="55"/>
  <c r="H26" i="55"/>
  <c r="M26" i="55" s="1"/>
  <c r="O25" i="55"/>
  <c r="Q25" i="55" s="1"/>
  <c r="H25" i="55"/>
  <c r="M25" i="55" s="1"/>
  <c r="O24" i="55"/>
  <c r="Q24" i="55" s="1"/>
  <c r="M24" i="55"/>
  <c r="H24" i="55"/>
  <c r="O23" i="55"/>
  <c r="H23" i="55"/>
  <c r="M23" i="55" s="1"/>
  <c r="O22" i="55"/>
  <c r="H22" i="55"/>
  <c r="M22" i="55" s="1"/>
  <c r="O21" i="55"/>
  <c r="H21" i="55"/>
  <c r="M21" i="55" s="1"/>
  <c r="O20" i="55"/>
  <c r="Q20" i="55" s="1"/>
  <c r="H20" i="55"/>
  <c r="M20" i="55" s="1"/>
  <c r="O19" i="55"/>
  <c r="Q19" i="55" s="1"/>
  <c r="H19" i="55"/>
  <c r="M19" i="55" s="1"/>
  <c r="O18" i="55"/>
  <c r="H18" i="55"/>
  <c r="M18" i="55" s="1"/>
  <c r="O17" i="55"/>
  <c r="H17" i="55"/>
  <c r="O16" i="55"/>
  <c r="H16" i="55"/>
  <c r="M16" i="55" s="1"/>
  <c r="O15" i="55"/>
  <c r="H15" i="55"/>
  <c r="M15" i="55" s="1"/>
  <c r="O14" i="55"/>
  <c r="Q14" i="55" s="1"/>
  <c r="H14" i="55"/>
  <c r="M14" i="55" s="1"/>
  <c r="Y13" i="55"/>
  <c r="O13" i="55"/>
  <c r="M13" i="55"/>
  <c r="H13" i="55"/>
  <c r="O8" i="55"/>
  <c r="C8" i="55" a="1"/>
  <c r="C8" i="55" s="1"/>
  <c r="O7" i="55"/>
  <c r="C7" i="55" a="1"/>
  <c r="C7" i="55" s="1"/>
  <c r="C5" i="55"/>
  <c r="D2" i="55" a="1"/>
  <c r="D2" i="55" s="1"/>
  <c r="D1" i="55"/>
  <c r="Q22" i="55" l="1"/>
  <c r="Q27" i="55"/>
  <c r="Q16" i="55"/>
  <c r="Q21" i="55"/>
  <c r="Q31" i="55"/>
  <c r="X15" i="55" s="1"/>
  <c r="Q34" i="55"/>
  <c r="Q26" i="55"/>
  <c r="Q13" i="55"/>
  <c r="Q23" i="55"/>
  <c r="Q28" i="55"/>
  <c r="Q18" i="55"/>
  <c r="H109" i="9"/>
  <c r="AD32" i="9"/>
  <c r="AD113" i="9"/>
  <c r="X32" i="9"/>
  <c r="X33" i="9" s="1"/>
  <c r="X34" i="9" s="1"/>
  <c r="X58" i="9" s="1"/>
  <c r="X62" i="9" s="1"/>
  <c r="X83" i="9" s="1"/>
  <c r="X113" i="9"/>
  <c r="V32" i="9"/>
  <c r="V113" i="9"/>
  <c r="AB32" i="9"/>
  <c r="AB113" i="9"/>
  <c r="W32" i="9"/>
  <c r="W113" i="9"/>
  <c r="Y32" i="9"/>
  <c r="Y54" i="9" s="1"/>
  <c r="Y113" i="9"/>
  <c r="Z32" i="9"/>
  <c r="Z113" i="9"/>
  <c r="AE32" i="9"/>
  <c r="AE113" i="9"/>
  <c r="U32" i="9"/>
  <c r="U113" i="9"/>
  <c r="AG32" i="9"/>
  <c r="AG113" i="9"/>
  <c r="AF32" i="9"/>
  <c r="AF113" i="9"/>
  <c r="AA32" i="9"/>
  <c r="AA59" i="9" s="1"/>
  <c r="AA113" i="9"/>
  <c r="AC32" i="9"/>
  <c r="AC113" i="9"/>
  <c r="J111" i="9"/>
  <c r="J109" i="9"/>
  <c r="H110" i="9"/>
  <c r="H115" i="9" s="1"/>
  <c r="H108" i="9"/>
  <c r="R111" i="9"/>
  <c r="M111" i="9"/>
  <c r="M109" i="9"/>
  <c r="M115" i="9" s="1"/>
  <c r="G32" i="9"/>
  <c r="L111" i="9"/>
  <c r="L115" i="9" s="1"/>
  <c r="L110" i="9"/>
  <c r="Q111" i="9"/>
  <c r="T110" i="9"/>
  <c r="Q109" i="9"/>
  <c r="T108" i="9"/>
  <c r="Q110" i="9"/>
  <c r="Q115" i="9" s="1"/>
  <c r="L108" i="9"/>
  <c r="P108" i="9"/>
  <c r="L109" i="9"/>
  <c r="Q108" i="9"/>
  <c r="R108" i="9"/>
  <c r="U115" i="9"/>
  <c r="R109" i="9"/>
  <c r="R110" i="9"/>
  <c r="O110" i="9"/>
  <c r="O111" i="9"/>
  <c r="O108" i="9"/>
  <c r="O109" i="9"/>
  <c r="J110" i="9"/>
  <c r="J115" i="9" s="1"/>
  <c r="I109" i="9"/>
  <c r="P110" i="9"/>
  <c r="P111" i="9"/>
  <c r="P109" i="9"/>
  <c r="S109" i="9"/>
  <c r="S115" i="9" s="1"/>
  <c r="I110" i="9"/>
  <c r="I108" i="9"/>
  <c r="T111" i="9"/>
  <c r="T109" i="9"/>
  <c r="AC69" i="9"/>
  <c r="AC68" i="9"/>
  <c r="AC71" i="9"/>
  <c r="AC70" i="9"/>
  <c r="AC54" i="9"/>
  <c r="AC33" i="9"/>
  <c r="AC34" i="9" s="1"/>
  <c r="AC55" i="9" s="1"/>
  <c r="AC72" i="9"/>
  <c r="AC73" i="9"/>
  <c r="AC59" i="9"/>
  <c r="AD68" i="9"/>
  <c r="AD54" i="9"/>
  <c r="AD72" i="9"/>
  <c r="AD69" i="9"/>
  <c r="AD33" i="9"/>
  <c r="AD34" i="9" s="1"/>
  <c r="AD57" i="9" s="1"/>
  <c r="AD70" i="9"/>
  <c r="AD73" i="9"/>
  <c r="AD59" i="9"/>
  <c r="AD71" i="9"/>
  <c r="AC115" i="9"/>
  <c r="X72" i="9"/>
  <c r="X54" i="9"/>
  <c r="X73" i="9"/>
  <c r="X59" i="9"/>
  <c r="X69" i="9"/>
  <c r="X71" i="9"/>
  <c r="X70" i="9"/>
  <c r="AD115" i="9"/>
  <c r="V70" i="9"/>
  <c r="V69" i="9"/>
  <c r="V54" i="9"/>
  <c r="V73" i="9"/>
  <c r="V71" i="9"/>
  <c r="V68" i="9"/>
  <c r="V72" i="9"/>
  <c r="V33" i="9"/>
  <c r="V34" i="9" s="1"/>
  <c r="V55" i="9" s="1"/>
  <c r="V59" i="9"/>
  <c r="AB54" i="9"/>
  <c r="AB33" i="9"/>
  <c r="AB34" i="9" s="1"/>
  <c r="AB55" i="9" s="1"/>
  <c r="AB72" i="9"/>
  <c r="AB70" i="9"/>
  <c r="AB68" i="9"/>
  <c r="AB73" i="9"/>
  <c r="AB59" i="9"/>
  <c r="AB71" i="9"/>
  <c r="AB69" i="9"/>
  <c r="W71" i="9"/>
  <c r="W70" i="9"/>
  <c r="W73" i="9"/>
  <c r="W69" i="9"/>
  <c r="W68" i="9"/>
  <c r="W54" i="9"/>
  <c r="W33" i="9"/>
  <c r="W34" i="9" s="1"/>
  <c r="W56" i="9" s="1"/>
  <c r="W59" i="9"/>
  <c r="W72" i="9"/>
  <c r="X115" i="9"/>
  <c r="V115" i="9"/>
  <c r="W115" i="9"/>
  <c r="AB115" i="9"/>
  <c r="Y33" i="9"/>
  <c r="Y34" i="9" s="1"/>
  <c r="Y55" i="9" s="1"/>
  <c r="Y69" i="9"/>
  <c r="Y73" i="9"/>
  <c r="Y59" i="9"/>
  <c r="Y71" i="9"/>
  <c r="Z54" i="9"/>
  <c r="Z69" i="9"/>
  <c r="Z72" i="9"/>
  <c r="Z70" i="9"/>
  <c r="Z33" i="9"/>
  <c r="Z34" i="9" s="1"/>
  <c r="Z56" i="9" s="1"/>
  <c r="Z68" i="9"/>
  <c r="Z73" i="9"/>
  <c r="Z59" i="9"/>
  <c r="Z71" i="9"/>
  <c r="Y115" i="9"/>
  <c r="AE70" i="9"/>
  <c r="AE73" i="9"/>
  <c r="AE69" i="9"/>
  <c r="AE68" i="9"/>
  <c r="AE54" i="9"/>
  <c r="AE33" i="9"/>
  <c r="AE72" i="9"/>
  <c r="AE71" i="9"/>
  <c r="AE59" i="9"/>
  <c r="Z115" i="9"/>
  <c r="AA115" i="9"/>
  <c r="AE115" i="9"/>
  <c r="U71" i="9"/>
  <c r="U70" i="9"/>
  <c r="U69" i="9"/>
  <c r="U68" i="9"/>
  <c r="U54" i="9"/>
  <c r="U33" i="9"/>
  <c r="U34" i="9" s="1"/>
  <c r="U57" i="9" s="1"/>
  <c r="U61" i="9" s="1"/>
  <c r="U82" i="9" s="1"/>
  <c r="U72" i="9"/>
  <c r="U73" i="9"/>
  <c r="U59" i="9"/>
  <c r="AG71" i="9"/>
  <c r="AG70" i="9"/>
  <c r="AG69" i="9"/>
  <c r="AG68" i="9"/>
  <c r="AG54" i="9"/>
  <c r="AG59" i="9" s="1"/>
  <c r="AG33" i="9"/>
  <c r="AG34" i="9" s="1"/>
  <c r="AG56" i="9" s="1"/>
  <c r="AG72" i="9"/>
  <c r="AG73" i="9"/>
  <c r="AF68" i="9"/>
  <c r="AF54" i="9"/>
  <c r="AF33" i="9"/>
  <c r="AF34" i="9" s="1"/>
  <c r="AF55" i="9" s="1"/>
  <c r="AF72" i="9"/>
  <c r="AF71" i="9"/>
  <c r="AF69" i="9"/>
  <c r="AF73" i="9"/>
  <c r="AF70" i="9"/>
  <c r="AF59" i="9"/>
  <c r="AA70" i="9"/>
  <c r="AA71" i="9"/>
  <c r="AA33" i="9"/>
  <c r="AA34" i="9" s="1"/>
  <c r="AA57" i="9" s="1"/>
  <c r="AA61" i="9" s="1"/>
  <c r="AA82" i="9" s="1"/>
  <c r="AA73" i="9"/>
  <c r="AA72" i="9"/>
  <c r="AG115" i="9"/>
  <c r="AF115" i="9"/>
  <c r="AH127" i="9"/>
  <c r="AI126" i="9"/>
  <c r="K115" i="9"/>
  <c r="G110" i="9"/>
  <c r="G109" i="9"/>
  <c r="G108" i="9"/>
  <c r="G111" i="9"/>
  <c r="N115" i="9"/>
  <c r="H113" i="52"/>
  <c r="H47" i="52"/>
  <c r="AI112" i="9"/>
  <c r="T109" i="59"/>
  <c r="G29" i="59"/>
  <c r="G32" i="59" s="1"/>
  <c r="G70" i="59" s="1"/>
  <c r="M54" i="59"/>
  <c r="M69" i="59"/>
  <c r="M33" i="59"/>
  <c r="M72" i="59"/>
  <c r="M73" i="59"/>
  <c r="M68" i="59"/>
  <c r="M59" i="59"/>
  <c r="M71" i="59"/>
  <c r="M70" i="59"/>
  <c r="M60" i="59"/>
  <c r="H68" i="59"/>
  <c r="H59" i="59"/>
  <c r="H72" i="59"/>
  <c r="H73" i="59"/>
  <c r="H54" i="59"/>
  <c r="H33" i="59"/>
  <c r="H71" i="59"/>
  <c r="H70" i="59"/>
  <c r="H69" i="59"/>
  <c r="N29" i="59"/>
  <c r="N32" i="59" s="1"/>
  <c r="N110" i="59"/>
  <c r="I54" i="59"/>
  <c r="I70" i="59"/>
  <c r="I68" i="59"/>
  <c r="I73" i="59"/>
  <c r="I33" i="59"/>
  <c r="I59" i="59"/>
  <c r="I69" i="59"/>
  <c r="I72" i="59"/>
  <c r="I71" i="59"/>
  <c r="J70" i="59"/>
  <c r="J71" i="59"/>
  <c r="J68" i="59"/>
  <c r="J33" i="59"/>
  <c r="J73" i="59"/>
  <c r="J59" i="59"/>
  <c r="J54" i="59"/>
  <c r="J72" i="59"/>
  <c r="J69" i="59"/>
  <c r="L69" i="59"/>
  <c r="L68" i="59"/>
  <c r="L71" i="59"/>
  <c r="L70" i="59"/>
  <c r="L59" i="59"/>
  <c r="L72" i="59"/>
  <c r="L54" i="59"/>
  <c r="L73" i="59"/>
  <c r="L33" i="59"/>
  <c r="K59" i="59"/>
  <c r="K70" i="59"/>
  <c r="K72" i="59"/>
  <c r="K71" i="59"/>
  <c r="K54" i="59"/>
  <c r="K33" i="59"/>
  <c r="K68" i="59"/>
  <c r="K73" i="59"/>
  <c r="K69" i="59"/>
  <c r="T22" i="59"/>
  <c r="S39" i="59"/>
  <c r="S41" i="59" s="1"/>
  <c r="G91" i="59"/>
  <c r="G97" i="59" s="1"/>
  <c r="G75" i="59"/>
  <c r="R106" i="59"/>
  <c r="O32" i="59"/>
  <c r="O71" i="59" s="1"/>
  <c r="T111" i="59"/>
  <c r="S102" i="59"/>
  <c r="S106" i="59" s="1"/>
  <c r="S96" i="59"/>
  <c r="O110" i="59"/>
  <c r="P54" i="59"/>
  <c r="P33" i="59"/>
  <c r="P68" i="59"/>
  <c r="P73" i="59"/>
  <c r="P59" i="59"/>
  <c r="P72" i="59"/>
  <c r="P71" i="59"/>
  <c r="P70" i="59"/>
  <c r="P69" i="59"/>
  <c r="S36" i="59"/>
  <c r="T108" i="59"/>
  <c r="G76" i="59"/>
  <c r="T76" i="59" s="1"/>
  <c r="G92" i="59"/>
  <c r="G98" i="59" s="1"/>
  <c r="G93" i="52"/>
  <c r="S75" i="59"/>
  <c r="S68" i="59"/>
  <c r="S23" i="59"/>
  <c r="Q17" i="55"/>
  <c r="R78" i="59"/>
  <c r="R81" i="59"/>
  <c r="G96" i="59"/>
  <c r="G36" i="59"/>
  <c r="T100" i="59"/>
  <c r="T94" i="59"/>
  <c r="S57" i="59"/>
  <c r="S58" i="59"/>
  <c r="T99" i="59"/>
  <c r="T93" i="59"/>
  <c r="S54" i="59"/>
  <c r="T101" i="59"/>
  <c r="T95" i="59"/>
  <c r="S56" i="59"/>
  <c r="R53" i="59"/>
  <c r="S55" i="59"/>
  <c r="S80" i="59" s="1"/>
  <c r="T21" i="59"/>
  <c r="Z17" i="55"/>
  <c r="Z15" i="55"/>
  <c r="Z14" i="55"/>
  <c r="Z16" i="55"/>
  <c r="Q35" i="55"/>
  <c r="Q36" i="55"/>
  <c r="Q15" i="55"/>
  <c r="M36" i="55"/>
  <c r="M17" i="55"/>
  <c r="M35" i="55"/>
  <c r="H114" i="52"/>
  <c r="AA69" i="9" l="1"/>
  <c r="Y68" i="9"/>
  <c r="AI113" i="9"/>
  <c r="Y70" i="9"/>
  <c r="AA54" i="9"/>
  <c r="Y72" i="9"/>
  <c r="AA68" i="9"/>
  <c r="X68" i="9"/>
  <c r="R115" i="9"/>
  <c r="AI108" i="9"/>
  <c r="AI110" i="9"/>
  <c r="T115" i="9"/>
  <c r="P115" i="9"/>
  <c r="O115" i="9"/>
  <c r="AE34" i="9"/>
  <c r="AE57" i="9" s="1"/>
  <c r="AE61" i="9" s="1"/>
  <c r="I115" i="9"/>
  <c r="AC58" i="9"/>
  <c r="AC62" i="9" s="1"/>
  <c r="AD79" i="9"/>
  <c r="X79" i="9"/>
  <c r="AI109" i="9"/>
  <c r="Y79" i="9"/>
  <c r="AG79" i="9"/>
  <c r="X57" i="9"/>
  <c r="X61" i="9" s="1"/>
  <c r="AF58" i="9"/>
  <c r="AF62" i="9" s="1"/>
  <c r="Z79" i="9"/>
  <c r="AA55" i="9"/>
  <c r="Y58" i="9"/>
  <c r="Y62" i="9" s="1"/>
  <c r="Y83" i="9" s="1"/>
  <c r="AB56" i="9"/>
  <c r="AB60" i="9" s="1"/>
  <c r="AB80" i="9" s="1"/>
  <c r="AB57" i="9"/>
  <c r="AB61" i="9" s="1"/>
  <c r="Z57" i="9"/>
  <c r="Z61" i="9" s="1"/>
  <c r="Z82" i="9" s="1"/>
  <c r="AG55" i="9"/>
  <c r="AG60" i="9" s="1"/>
  <c r="AG80" i="9" s="1"/>
  <c r="AB79" i="9"/>
  <c r="AC57" i="9"/>
  <c r="Y57" i="9"/>
  <c r="Y61" i="9" s="1"/>
  <c r="Y82" i="9" s="1"/>
  <c r="AA58" i="9"/>
  <c r="AA62" i="9" s="1"/>
  <c r="AA83" i="9" s="1"/>
  <c r="AA56" i="9"/>
  <c r="AA81" i="9" s="1"/>
  <c r="AA79" i="9"/>
  <c r="Y56" i="9"/>
  <c r="X56" i="9"/>
  <c r="AD58" i="9"/>
  <c r="AD62" i="9" s="1"/>
  <c r="AD83" i="9" s="1"/>
  <c r="AC56" i="9"/>
  <c r="AD61" i="9"/>
  <c r="AD82" i="9" s="1"/>
  <c r="U56" i="9"/>
  <c r="U81" i="9" s="1"/>
  <c r="Z55" i="9"/>
  <c r="Z60" i="9" s="1"/>
  <c r="Z80" i="9" s="1"/>
  <c r="V58" i="9"/>
  <c r="V62" i="9" s="1"/>
  <c r="V83" i="9" s="1"/>
  <c r="W57" i="9"/>
  <c r="W61" i="9" s="1"/>
  <c r="W82" i="9" s="1"/>
  <c r="U55" i="9"/>
  <c r="W58" i="9"/>
  <c r="W62" i="9" s="1"/>
  <c r="W83" i="9" s="1"/>
  <c r="AF79" i="9"/>
  <c r="U58" i="9"/>
  <c r="U62" i="9" s="1"/>
  <c r="U83" i="9" s="1"/>
  <c r="AE79" i="9"/>
  <c r="W55" i="9"/>
  <c r="AF56" i="9"/>
  <c r="X55" i="9"/>
  <c r="Z58" i="9"/>
  <c r="Z62" i="9" s="1"/>
  <c r="Z83" i="9" s="1"/>
  <c r="AF57" i="9"/>
  <c r="AF61" i="9" s="1"/>
  <c r="AF82" i="9" s="1"/>
  <c r="AB58" i="9"/>
  <c r="AB62" i="9" s="1"/>
  <c r="AB83" i="9" s="1"/>
  <c r="AD56" i="9"/>
  <c r="V79" i="9"/>
  <c r="AC79" i="9"/>
  <c r="W79" i="9"/>
  <c r="U79" i="9"/>
  <c r="AG57" i="9"/>
  <c r="AG61" i="9" s="1"/>
  <c r="AG82" i="9" s="1"/>
  <c r="V57" i="9"/>
  <c r="AD55" i="9"/>
  <c r="AG58" i="9"/>
  <c r="AG62" i="9" s="1"/>
  <c r="AG83" i="9" s="1"/>
  <c r="V56" i="9"/>
  <c r="V60" i="9" s="1"/>
  <c r="V80" i="9" s="1"/>
  <c r="AH128" i="9"/>
  <c r="AH140" i="9"/>
  <c r="AI127" i="9"/>
  <c r="G33" i="9"/>
  <c r="G34" i="9" s="1"/>
  <c r="G54" i="9" s="1"/>
  <c r="G59" i="9" s="1"/>
  <c r="G115" i="9"/>
  <c r="AI111" i="9"/>
  <c r="H34" i="59"/>
  <c r="H39" i="59" s="1"/>
  <c r="K34" i="59"/>
  <c r="K39" i="59" s="1"/>
  <c r="L34" i="59"/>
  <c r="L39" i="59" s="1"/>
  <c r="P34" i="59"/>
  <c r="P39" i="59" s="1"/>
  <c r="I34" i="59"/>
  <c r="I39" i="59" s="1"/>
  <c r="M34" i="59"/>
  <c r="M56" i="59" s="1"/>
  <c r="J39" i="59"/>
  <c r="J46" i="59" s="1"/>
  <c r="J49" i="59" s="1"/>
  <c r="J51" i="59" s="1"/>
  <c r="J34" i="59"/>
  <c r="J58" i="59" s="1"/>
  <c r="J62" i="59" s="1"/>
  <c r="J83" i="59" s="1"/>
  <c r="S46" i="59"/>
  <c r="S49" i="59" s="1"/>
  <c r="S51" i="59" s="1"/>
  <c r="S43" i="59"/>
  <c r="S45" i="59" s="1"/>
  <c r="G33" i="59"/>
  <c r="G54" i="59"/>
  <c r="G69" i="59"/>
  <c r="G59" i="59"/>
  <c r="G71" i="59"/>
  <c r="G72" i="59"/>
  <c r="K79" i="59"/>
  <c r="M79" i="59"/>
  <c r="I79" i="59"/>
  <c r="T110" i="59"/>
  <c r="J79" i="59"/>
  <c r="N54" i="59"/>
  <c r="N72" i="59"/>
  <c r="N33" i="59"/>
  <c r="N34" i="59" s="1"/>
  <c r="N73" i="59"/>
  <c r="N70" i="59"/>
  <c r="N68" i="59"/>
  <c r="N59" i="59"/>
  <c r="N71" i="59"/>
  <c r="N69" i="59"/>
  <c r="H79" i="59"/>
  <c r="L79" i="59"/>
  <c r="G68" i="59"/>
  <c r="G73" i="59"/>
  <c r="G39" i="9"/>
  <c r="X13" i="55"/>
  <c r="Z13" i="55" s="1"/>
  <c r="O54" i="59"/>
  <c r="O68" i="59"/>
  <c r="O59" i="59"/>
  <c r="O70" i="59"/>
  <c r="O69" i="59"/>
  <c r="O73" i="59"/>
  <c r="S105" i="59"/>
  <c r="O72" i="59"/>
  <c r="O33" i="59"/>
  <c r="G102" i="59"/>
  <c r="G105" i="59" s="1"/>
  <c r="P79" i="59"/>
  <c r="T75" i="59"/>
  <c r="T23" i="59"/>
  <c r="Q37" i="55"/>
  <c r="T36" i="59"/>
  <c r="S62" i="59"/>
  <c r="S83" i="59" s="1"/>
  <c r="R84" i="59"/>
  <c r="R85" i="59" s="1"/>
  <c r="R88" i="59" s="1"/>
  <c r="R63" i="59"/>
  <c r="R66" i="59" s="1"/>
  <c r="S61" i="59"/>
  <c r="S82" i="59" s="1"/>
  <c r="T98" i="59"/>
  <c r="T92" i="59"/>
  <c r="T91" i="59"/>
  <c r="T97" i="59"/>
  <c r="S59" i="59"/>
  <c r="S79" i="59" s="1"/>
  <c r="AE55" i="9" l="1"/>
  <c r="AE58" i="9"/>
  <c r="AE62" i="9" s="1"/>
  <c r="AE83" i="9" s="1"/>
  <c r="AE56" i="9"/>
  <c r="AE81" i="9" s="1"/>
  <c r="X82" i="9"/>
  <c r="Z81" i="9"/>
  <c r="AC83" i="9"/>
  <c r="X81" i="9"/>
  <c r="AF83" i="9"/>
  <c r="AB53" i="9"/>
  <c r="AB63" i="9" s="1"/>
  <c r="AB66" i="9" s="1"/>
  <c r="AF81" i="9"/>
  <c r="AB82" i="9"/>
  <c r="AD81" i="9"/>
  <c r="AC61" i="9"/>
  <c r="AC81" i="9" s="1"/>
  <c r="Y81" i="9"/>
  <c r="AB81" i="9"/>
  <c r="Z53" i="9"/>
  <c r="AD60" i="9"/>
  <c r="AD78" i="9" s="1"/>
  <c r="Z78" i="9"/>
  <c r="AG81" i="9"/>
  <c r="AC60" i="9"/>
  <c r="AC80" i="9" s="1"/>
  <c r="AB78" i="9"/>
  <c r="U60" i="9"/>
  <c r="U80" i="9" s="1"/>
  <c r="Y60" i="9"/>
  <c r="Y80" i="9" s="1"/>
  <c r="AA60" i="9"/>
  <c r="AA53" i="9" s="1"/>
  <c r="AA63" i="9" s="1"/>
  <c r="AA66" i="9" s="1"/>
  <c r="AG53" i="9"/>
  <c r="AG63" i="9" s="1"/>
  <c r="AG66" i="9" s="1"/>
  <c r="AG78" i="9"/>
  <c r="W60" i="9"/>
  <c r="W53" i="9" s="1"/>
  <c r="AF60" i="9"/>
  <c r="AF80" i="9" s="1"/>
  <c r="W81" i="9"/>
  <c r="AE82" i="9"/>
  <c r="V61" i="9"/>
  <c r="V81" i="9" s="1"/>
  <c r="X60" i="9"/>
  <c r="AI140" i="9"/>
  <c r="AH142" i="9"/>
  <c r="AH129" i="9"/>
  <c r="AI128" i="9"/>
  <c r="J43" i="59"/>
  <c r="J45" i="59" s="1"/>
  <c r="M57" i="59"/>
  <c r="M61" i="59" s="1"/>
  <c r="M81" i="59" s="1"/>
  <c r="J41" i="59"/>
  <c r="L55" i="59"/>
  <c r="L58" i="59"/>
  <c r="L62" i="59" s="1"/>
  <c r="L83" i="59" s="1"/>
  <c r="K58" i="59"/>
  <c r="K62" i="59" s="1"/>
  <c r="K56" i="59"/>
  <c r="H55" i="59"/>
  <c r="K55" i="59"/>
  <c r="K57" i="59"/>
  <c r="K61" i="59" s="1"/>
  <c r="H57" i="59"/>
  <c r="H61" i="59" s="1"/>
  <c r="H56" i="59"/>
  <c r="I56" i="59"/>
  <c r="I57" i="59"/>
  <c r="I61" i="59" s="1"/>
  <c r="I58" i="59"/>
  <c r="I62" i="59" s="1"/>
  <c r="I83" i="59" s="1"/>
  <c r="L57" i="59"/>
  <c r="L61" i="59" s="1"/>
  <c r="I55" i="59"/>
  <c r="P56" i="59"/>
  <c r="P57" i="59"/>
  <c r="P61" i="59" s="1"/>
  <c r="P82" i="59" s="1"/>
  <c r="P58" i="59"/>
  <c r="P62" i="59" s="1"/>
  <c r="P83" i="59" s="1"/>
  <c r="P55" i="59"/>
  <c r="L56" i="59"/>
  <c r="H58" i="59"/>
  <c r="H62" i="59" s="1"/>
  <c r="H83" i="59" s="1"/>
  <c r="G57" i="9"/>
  <c r="G61" i="9" s="1"/>
  <c r="G58" i="9"/>
  <c r="G62" i="9" s="1"/>
  <c r="G55" i="9"/>
  <c r="G56" i="9"/>
  <c r="J55" i="59"/>
  <c r="J57" i="59"/>
  <c r="J61" i="59" s="1"/>
  <c r="J56" i="59"/>
  <c r="I41" i="59"/>
  <c r="I46" i="59"/>
  <c r="I49" i="59" s="1"/>
  <c r="I51" i="59" s="1"/>
  <c r="I43" i="59"/>
  <c r="I45" i="59" s="1"/>
  <c r="P43" i="59"/>
  <c r="P45" i="59" s="1"/>
  <c r="P41" i="59"/>
  <c r="P46" i="59"/>
  <c r="P49" i="59" s="1"/>
  <c r="P51" i="59" s="1"/>
  <c r="L41" i="59"/>
  <c r="L46" i="59"/>
  <c r="L49" i="59" s="1"/>
  <c r="L51" i="59" s="1"/>
  <c r="L43" i="59"/>
  <c r="L45" i="59" s="1"/>
  <c r="K41" i="59"/>
  <c r="K43" i="59"/>
  <c r="K45" i="59" s="1"/>
  <c r="K46" i="59"/>
  <c r="K49" i="59" s="1"/>
  <c r="K51" i="59" s="1"/>
  <c r="H43" i="59"/>
  <c r="H45" i="59" s="1"/>
  <c r="H46" i="59"/>
  <c r="H49" i="59" s="1"/>
  <c r="H51" i="59" s="1"/>
  <c r="H41" i="59"/>
  <c r="M58" i="59"/>
  <c r="M62" i="59" s="1"/>
  <c r="M83" i="59" s="1"/>
  <c r="M55" i="59"/>
  <c r="M80" i="59" s="1"/>
  <c r="M39" i="59"/>
  <c r="M43" i="59" s="1"/>
  <c r="M45" i="59" s="1"/>
  <c r="O34" i="59"/>
  <c r="O39" i="59" s="1"/>
  <c r="G39" i="59"/>
  <c r="G46" i="59" s="1"/>
  <c r="G34" i="59"/>
  <c r="G58" i="59" s="1"/>
  <c r="G62" i="59" s="1"/>
  <c r="G83" i="59" s="1"/>
  <c r="G46" i="9"/>
  <c r="G79" i="59"/>
  <c r="T71" i="59"/>
  <c r="K60" i="59"/>
  <c r="T68" i="59"/>
  <c r="T69" i="59"/>
  <c r="N79" i="59"/>
  <c r="H60" i="59"/>
  <c r="T72" i="59"/>
  <c r="I60" i="59"/>
  <c r="N55" i="59"/>
  <c r="N39" i="59"/>
  <c r="L60" i="59"/>
  <c r="L80" i="59" s="1"/>
  <c r="N56" i="59"/>
  <c r="N57" i="59"/>
  <c r="N61" i="59" s="1"/>
  <c r="N82" i="59" s="1"/>
  <c r="G43" i="9"/>
  <c r="N58" i="59"/>
  <c r="G41" i="9"/>
  <c r="J60" i="59"/>
  <c r="T73" i="59"/>
  <c r="T70" i="59"/>
  <c r="O79" i="59"/>
  <c r="P60" i="59"/>
  <c r="G106" i="59"/>
  <c r="S81" i="59"/>
  <c r="T96" i="59"/>
  <c r="T90" i="59"/>
  <c r="T54" i="59"/>
  <c r="S53" i="59"/>
  <c r="T102" i="59"/>
  <c r="S78" i="59"/>
  <c r="T59" i="59"/>
  <c r="AE60" i="9" l="1"/>
  <c r="AE80" i="9" s="1"/>
  <c r="V78" i="9"/>
  <c r="AB84" i="9"/>
  <c r="AB85" i="9" s="1"/>
  <c r="AB88" i="9" s="1"/>
  <c r="AE53" i="9"/>
  <c r="AE63" i="9" s="1"/>
  <c r="AE66" i="9" s="1"/>
  <c r="AG84" i="9"/>
  <c r="AG85" i="9" s="1"/>
  <c r="AG88" i="9" s="1"/>
  <c r="AC82" i="9"/>
  <c r="AE78" i="9"/>
  <c r="Z84" i="9"/>
  <c r="Z85" i="9" s="1"/>
  <c r="Z88" i="9" s="1"/>
  <c r="Z63" i="9"/>
  <c r="Z66" i="9" s="1"/>
  <c r="V53" i="9"/>
  <c r="V82" i="9"/>
  <c r="AC78" i="9"/>
  <c r="U78" i="9"/>
  <c r="Y53" i="9"/>
  <c r="AC53" i="9"/>
  <c r="U53" i="9"/>
  <c r="Y78" i="9"/>
  <c r="W80" i="9"/>
  <c r="AA80" i="9"/>
  <c r="AA78" i="9"/>
  <c r="AA84" i="9" s="1"/>
  <c r="AA85" i="9" s="1"/>
  <c r="AA88" i="9" s="1"/>
  <c r="AD80" i="9"/>
  <c r="AD53" i="9"/>
  <c r="W63" i="9"/>
  <c r="W66" i="9" s="1"/>
  <c r="X78" i="9"/>
  <c r="X53" i="9"/>
  <c r="X80" i="9"/>
  <c r="AF78" i="9"/>
  <c r="W78" i="9"/>
  <c r="W84" i="9" s="1"/>
  <c r="W85" i="9" s="1"/>
  <c r="W88" i="9" s="1"/>
  <c r="AF53" i="9"/>
  <c r="H80" i="59"/>
  <c r="M82" i="59"/>
  <c r="K83" i="59"/>
  <c r="K81" i="59"/>
  <c r="AH131" i="9"/>
  <c r="AI131" i="9" s="1"/>
  <c r="AI129" i="9"/>
  <c r="AH144" i="9"/>
  <c r="AI144" i="9" s="1"/>
  <c r="AI142" i="9"/>
  <c r="G60" i="9"/>
  <c r="G53" i="9" s="1"/>
  <c r="H81" i="59"/>
  <c r="P81" i="59"/>
  <c r="L81" i="59"/>
  <c r="K82" i="59"/>
  <c r="K80" i="59"/>
  <c r="M41" i="59"/>
  <c r="I80" i="59"/>
  <c r="P78" i="59"/>
  <c r="G41" i="59"/>
  <c r="J82" i="59"/>
  <c r="J81" i="59"/>
  <c r="J53" i="59"/>
  <c r="J63" i="59" s="1"/>
  <c r="J66" i="59" s="1"/>
  <c r="O57" i="59"/>
  <c r="O61" i="59" s="1"/>
  <c r="O82" i="59" s="1"/>
  <c r="O55" i="59"/>
  <c r="O56" i="59"/>
  <c r="G55" i="59"/>
  <c r="T55" i="59" s="1"/>
  <c r="O58" i="59"/>
  <c r="O62" i="59" s="1"/>
  <c r="O83" i="59" s="1"/>
  <c r="M78" i="59"/>
  <c r="O43" i="59"/>
  <c r="O45" i="59" s="1"/>
  <c r="O41" i="59"/>
  <c r="O46" i="59"/>
  <c r="O49" i="59" s="1"/>
  <c r="O51" i="59" s="1"/>
  <c r="M46" i="59"/>
  <c r="M49" i="59" s="1"/>
  <c r="M51" i="59" s="1"/>
  <c r="T39" i="59"/>
  <c r="G43" i="59"/>
  <c r="G45" i="59" s="1"/>
  <c r="G56" i="59"/>
  <c r="T56" i="59" s="1"/>
  <c r="G57" i="59"/>
  <c r="G61" i="59" s="1"/>
  <c r="T61" i="59" s="1"/>
  <c r="M53" i="59"/>
  <c r="M63" i="59" s="1"/>
  <c r="M66" i="59" s="1"/>
  <c r="G49" i="9"/>
  <c r="G60" i="59"/>
  <c r="K53" i="59"/>
  <c r="K63" i="59" s="1"/>
  <c r="K66" i="59" s="1"/>
  <c r="K78" i="59"/>
  <c r="T79" i="59"/>
  <c r="I78" i="59"/>
  <c r="I82" i="59"/>
  <c r="L82" i="59"/>
  <c r="H82" i="59"/>
  <c r="I53" i="59"/>
  <c r="N81" i="59"/>
  <c r="H53" i="59"/>
  <c r="I81" i="59"/>
  <c r="N62" i="59"/>
  <c r="N83" i="59" s="1"/>
  <c r="T83" i="59" s="1"/>
  <c r="L53" i="59"/>
  <c r="L78" i="59"/>
  <c r="N46" i="59"/>
  <c r="N49" i="59" s="1"/>
  <c r="N51" i="59" s="1"/>
  <c r="N41" i="59"/>
  <c r="N43" i="59"/>
  <c r="N45" i="59" s="1"/>
  <c r="H78" i="59"/>
  <c r="N60" i="59"/>
  <c r="N80" i="59" s="1"/>
  <c r="J80" i="59"/>
  <c r="J78" i="59"/>
  <c r="P53" i="59"/>
  <c r="P63" i="59" s="1"/>
  <c r="P66" i="59" s="1"/>
  <c r="T58" i="59"/>
  <c r="O60" i="59"/>
  <c r="P80" i="59"/>
  <c r="T106" i="59"/>
  <c r="T105" i="59"/>
  <c r="S84" i="59"/>
  <c r="S85" i="59" s="1"/>
  <c r="S88" i="59" s="1"/>
  <c r="S63" i="59"/>
  <c r="S66" i="59" s="1"/>
  <c r="G49" i="59"/>
  <c r="F174" i="42" a="1"/>
  <c r="F174" i="42" s="1"/>
  <c r="E174" i="42" a="1"/>
  <c r="E174" i="42" s="1"/>
  <c r="H84" i="42" a="1"/>
  <c r="H108" i="42" a="1"/>
  <c r="F96" i="42" a="1"/>
  <c r="F108" i="42" a="1"/>
  <c r="F84" i="42" a="1"/>
  <c r="H96" i="42" a="1"/>
  <c r="E108" i="42" a="1"/>
  <c r="E96" i="42" a="1"/>
  <c r="H117" i="42" a="1"/>
  <c r="H116" i="42" a="1"/>
  <c r="H102" i="42" a="1"/>
  <c r="H172" i="42" a="1"/>
  <c r="H168" i="42" a="1"/>
  <c r="H197" i="42" a="1"/>
  <c r="H148" i="42" a="1"/>
  <c r="H31" i="42" a="1"/>
  <c r="H147" i="42" a="1"/>
  <c r="H189" i="42" a="1"/>
  <c r="H67" i="42" a="1"/>
  <c r="F133" i="42" a="1"/>
  <c r="F23" i="42" a="1"/>
  <c r="F42" i="42" a="1"/>
  <c r="F56" i="42" a="1"/>
  <c r="F88" i="42" a="1"/>
  <c r="F138" i="42" a="1"/>
  <c r="F134" i="42" a="1"/>
  <c r="F183" i="42" a="1"/>
  <c r="F14" i="42" a="1"/>
  <c r="F113" i="42" a="1"/>
  <c r="F177" i="42" a="1"/>
  <c r="E101" i="42" a="1"/>
  <c r="E56" i="42" a="1"/>
  <c r="E122" i="42" a="1"/>
  <c r="E64" i="42" a="1"/>
  <c r="E46" i="42" a="1"/>
  <c r="E15" i="42" a="1"/>
  <c r="E91" i="42" a="1"/>
  <c r="E152" i="42" a="1"/>
  <c r="E71" i="42" a="1"/>
  <c r="E151" i="42" a="1"/>
  <c r="E57" i="42" a="1"/>
  <c r="E22" i="42" a="1"/>
  <c r="F57" i="42" a="1"/>
  <c r="E186" i="42" a="1"/>
  <c r="H196" i="42" a="1"/>
  <c r="F191" i="42" a="1"/>
  <c r="E21" i="42" a="1"/>
  <c r="H166" i="42" a="1"/>
  <c r="H132" i="42" a="1"/>
  <c r="H200" i="42" a="1"/>
  <c r="H183" i="42" a="1"/>
  <c r="H12" i="42" a="1"/>
  <c r="H159" i="42" a="1"/>
  <c r="H95" i="42" a="1"/>
  <c r="H50" i="42" a="1"/>
  <c r="H129" i="42" a="1"/>
  <c r="H61" i="42" a="1"/>
  <c r="H130" i="42" a="1"/>
  <c r="F25" i="42" a="1"/>
  <c r="F21" i="42" a="1"/>
  <c r="F166" i="42" a="1"/>
  <c r="F130" i="42" a="1"/>
  <c r="F168" i="42" a="1"/>
  <c r="F141" i="42" a="1"/>
  <c r="F161" i="42" a="1"/>
  <c r="F106" i="42" a="1"/>
  <c r="F111" i="42" a="1"/>
  <c r="F142" i="42" a="1"/>
  <c r="E172" i="42" a="1"/>
  <c r="E62" i="42" a="1"/>
  <c r="E66" i="42" a="1"/>
  <c r="E199" i="42" a="1"/>
  <c r="E77" i="42" a="1"/>
  <c r="E161" i="42" a="1"/>
  <c r="E50" i="42" a="1"/>
  <c r="E103" i="42" a="1"/>
  <c r="E23" i="42" a="1"/>
  <c r="F105" i="42" a="1"/>
  <c r="E83" i="42" a="1"/>
  <c r="H70" i="42" a="1"/>
  <c r="F61" i="42" a="1"/>
  <c r="E142" i="42" a="1"/>
  <c r="H91" i="42" a="1"/>
  <c r="H140" i="42" a="1"/>
  <c r="H103" i="42" a="1"/>
  <c r="H131" i="42" a="1"/>
  <c r="H93" i="42" a="1"/>
  <c r="H179" i="42" a="1"/>
  <c r="H173" i="42" a="1"/>
  <c r="H100" i="42" a="1"/>
  <c r="H142" i="42" a="1"/>
  <c r="H88" i="42" a="1"/>
  <c r="H192" i="42" a="1"/>
  <c r="F151" i="42" a="1"/>
  <c r="F190" i="42" a="1"/>
  <c r="F116" i="42" a="1"/>
  <c r="F156" i="42" a="1"/>
  <c r="F143" i="42" a="1"/>
  <c r="F157" i="42" a="1"/>
  <c r="F89" i="42" a="1"/>
  <c r="F179" i="42" a="1"/>
  <c r="F53" i="42" a="1"/>
  <c r="F15" i="42" a="1"/>
  <c r="E137" i="42" a="1"/>
  <c r="E67" i="42" a="1"/>
  <c r="E177" i="42" a="1"/>
  <c r="E198" i="42" a="1"/>
  <c r="E70" i="42" a="1"/>
  <c r="E143" i="42" a="1"/>
  <c r="E40" i="42" a="1"/>
  <c r="E173" i="42" a="1"/>
  <c r="E158" i="42" a="1"/>
  <c r="E130" i="42" a="1"/>
  <c r="E88" i="42" a="1"/>
  <c r="H133" i="42" a="1"/>
  <c r="F175" i="42" a="1"/>
  <c r="E34" i="42" a="1"/>
  <c r="H104" i="42" a="1"/>
  <c r="F79" i="42" a="1"/>
  <c r="E72" i="42" a="1"/>
  <c r="H21" i="42" a="1"/>
  <c r="H204" i="42" a="1"/>
  <c r="H46" i="42" a="1"/>
  <c r="H13" i="42" a="1"/>
  <c r="H45" i="42" a="1"/>
  <c r="H57" i="42" a="1"/>
  <c r="H107" i="42" a="1"/>
  <c r="H178" i="42" a="1"/>
  <c r="H165" i="42" a="1"/>
  <c r="H199" i="42" a="1"/>
  <c r="H157" i="42" a="1"/>
  <c r="F131" i="42" a="1"/>
  <c r="F124" i="42" a="1"/>
  <c r="F165" i="42" a="1"/>
  <c r="F112" i="42" a="1"/>
  <c r="F82" i="42" a="1"/>
  <c r="F117" i="42" a="1"/>
  <c r="F29" i="42" a="1"/>
  <c r="F12" i="42" a="1"/>
  <c r="F149" i="42" a="1"/>
  <c r="F128" i="42" a="1"/>
  <c r="E160" i="42" a="1"/>
  <c r="E107" i="42" a="1"/>
  <c r="E37" i="42" a="1"/>
  <c r="E102" i="42" a="1"/>
  <c r="E25" i="42" a="1"/>
  <c r="E123" i="42" a="1"/>
  <c r="E185" i="42" a="1"/>
  <c r="E149" i="42" a="1"/>
  <c r="E167" i="42" a="1"/>
  <c r="E79" i="42" a="1"/>
  <c r="E113" i="42" a="1"/>
  <c r="H185" i="42" a="1"/>
  <c r="F123" i="42" a="1"/>
  <c r="E148" i="42" a="1"/>
  <c r="E63" i="42" a="1"/>
  <c r="H190" i="42" a="1"/>
  <c r="F62" i="42" a="1"/>
  <c r="E82" i="42" a="1"/>
  <c r="H81" i="42" a="1"/>
  <c r="H186" i="42" a="1"/>
  <c r="H66" i="42" a="1"/>
  <c r="H184" i="42" a="1"/>
  <c r="H65" i="42" a="1"/>
  <c r="H151" i="42" a="1"/>
  <c r="H47" i="42" a="1"/>
  <c r="H23" i="42" a="1"/>
  <c r="H29" i="42" a="1"/>
  <c r="H124" i="42" a="1"/>
  <c r="H53" i="42" a="1"/>
  <c r="F152" i="42" a="1"/>
  <c r="F81" i="42" a="1"/>
  <c r="F184" i="42" a="1"/>
  <c r="F70" i="42" a="1"/>
  <c r="F172" i="42" a="1"/>
  <c r="F127" i="42" a="1"/>
  <c r="F37" i="42" a="1"/>
  <c r="F93" i="42" a="1"/>
  <c r="F147" i="42" a="1"/>
  <c r="F63" i="42" a="1"/>
  <c r="E192" i="42" a="1"/>
  <c r="E58" i="42" a="1"/>
  <c r="E157" i="42" a="1"/>
  <c r="E112" i="42" a="1"/>
  <c r="E141" i="42" a="1"/>
  <c r="E29" i="42" a="1"/>
  <c r="E197" i="42" a="1"/>
  <c r="E47" i="42" a="1"/>
  <c r="E134" i="42" a="1"/>
  <c r="E14" i="42" a="1"/>
  <c r="E144" i="42" a="1"/>
  <c r="F169" i="42" a="1"/>
  <c r="F95" i="42" a="1"/>
  <c r="E80" i="42" a="1"/>
  <c r="E117" i="42" a="1"/>
  <c r="H164" i="42" a="1"/>
  <c r="E89" i="42" a="1"/>
  <c r="H155" i="42" a="1"/>
  <c r="H64" i="42" a="1"/>
  <c r="H34" i="42" a="1"/>
  <c r="H17" i="42" a="1"/>
  <c r="H40" i="42" a="1"/>
  <c r="H37" i="42" a="1"/>
  <c r="H105" i="42" a="1"/>
  <c r="H62" i="42" a="1"/>
  <c r="H182" i="42" a="1"/>
  <c r="H80" i="42" a="1"/>
  <c r="H177" i="42" a="1"/>
  <c r="F83" i="42" a="1"/>
  <c r="F30" i="42" a="1"/>
  <c r="F160" i="42" a="1"/>
  <c r="F58" i="42" a="1"/>
  <c r="F173" i="42" a="1"/>
  <c r="F178" i="42" a="1"/>
  <c r="F50" i="42" a="1"/>
  <c r="F122" i="42" a="1"/>
  <c r="F197" i="42" a="1"/>
  <c r="F186" i="42" a="1"/>
  <c r="E17" i="42" a="1"/>
  <c r="E127" i="42" a="1"/>
  <c r="E45" i="42" a="1"/>
  <c r="E100" i="42" a="1"/>
  <c r="E191" i="42" a="1"/>
  <c r="E178" i="42" a="1"/>
  <c r="E118" i="42" a="1"/>
  <c r="E124" i="42" a="1"/>
  <c r="E189" i="42" a="1"/>
  <c r="E184" i="42" a="1"/>
  <c r="E138" i="42" a="1"/>
  <c r="F40" i="42" a="1"/>
  <c r="F94" i="42" a="1"/>
  <c r="E92" i="42" a="1"/>
  <c r="H101" i="42" a="1"/>
  <c r="F150" i="42" a="1"/>
  <c r="E193" i="42" a="1"/>
  <c r="H106" i="42" a="1"/>
  <c r="H89" i="42" a="1"/>
  <c r="H143" i="42" a="1"/>
  <c r="H58" i="42" a="1"/>
  <c r="H138" i="42" a="1"/>
  <c r="H111" i="42" a="1"/>
  <c r="H144" i="42" a="1"/>
  <c r="H77" i="42" a="1"/>
  <c r="H203" i="42" a="1"/>
  <c r="H150" i="42" a="1"/>
  <c r="F17" i="42" a="1"/>
  <c r="F71" i="42" a="1"/>
  <c r="F164" i="42" a="1"/>
  <c r="F66" i="42" a="1"/>
  <c r="F155" i="42" a="1"/>
  <c r="F64" i="42" a="1"/>
  <c r="F31" i="42" a="1"/>
  <c r="F185" i="42" a="1"/>
  <c r="F193" i="42" a="1"/>
  <c r="F100" i="42" a="1"/>
  <c r="F16" i="42" a="1"/>
  <c r="E65" i="42" a="1"/>
  <c r="E156" i="42" a="1"/>
  <c r="E111" i="42" a="1"/>
  <c r="E196" i="42" a="1"/>
  <c r="E164" i="42" a="1"/>
  <c r="E168" i="42" a="1"/>
  <c r="E147" i="42" a="1"/>
  <c r="E106" i="42" a="1"/>
  <c r="E175" i="42" a="1"/>
  <c r="E104" i="42" a="1"/>
  <c r="H191" i="42" a="1"/>
  <c r="F140" i="42" a="1"/>
  <c r="E78" i="42" a="1"/>
  <c r="H90" i="42" a="1"/>
  <c r="F200" i="42" a="1"/>
  <c r="E13" i="42" a="1"/>
  <c r="H42" i="42" a="1"/>
  <c r="H16" i="42" a="1"/>
  <c r="H134" i="42" a="1"/>
  <c r="H41" i="42" a="1"/>
  <c r="H118" i="42" a="1"/>
  <c r="H63" i="42" a="1"/>
  <c r="H139" i="42" a="1"/>
  <c r="F137" i="42" a="1"/>
  <c r="F91" i="42" a="1"/>
  <c r="E93" i="42" a="1"/>
  <c r="H169" i="42" a="1"/>
  <c r="F65" i="42" a="1"/>
  <c r="E165" i="42" a="1"/>
  <c r="H175" i="42" a="1"/>
  <c r="H149" i="42" a="1"/>
  <c r="H137" i="42" a="1"/>
  <c r="H78" i="42" a="1"/>
  <c r="H122" i="42" a="1"/>
  <c r="H71" i="42" a="1"/>
  <c r="H167" i="42" a="1"/>
  <c r="H158" i="42" a="1"/>
  <c r="H94" i="42" a="1"/>
  <c r="H123" i="42" a="1"/>
  <c r="F22" i="42" a="1"/>
  <c r="F101" i="42" a="1"/>
  <c r="F198" i="42" a="1"/>
  <c r="F67" i="42" a="1"/>
  <c r="F102" i="42" a="1"/>
  <c r="F118" i="42" a="1"/>
  <c r="F80" i="42" a="1"/>
  <c r="F129" i="42" a="1"/>
  <c r="F203" i="42" a="1"/>
  <c r="F159" i="42" a="1"/>
  <c r="F148" i="42" a="1"/>
  <c r="E150" i="42" a="1"/>
  <c r="E24" i="42" a="1"/>
  <c r="E200" i="42" a="1"/>
  <c r="E95" i="42" a="1"/>
  <c r="E31" i="42" a="1"/>
  <c r="E182" i="42" a="1"/>
  <c r="E90" i="42" a="1"/>
  <c r="E176" i="42" a="1"/>
  <c r="E190" i="42" a="1"/>
  <c r="E128" i="42" a="1"/>
  <c r="E183" i="42" a="1"/>
  <c r="E169" i="42" a="1"/>
  <c r="H83" i="42" a="1"/>
  <c r="F45" i="42" a="1"/>
  <c r="E53" i="42" a="1"/>
  <c r="H82" i="42" a="1"/>
  <c r="H112" i="42" a="1"/>
  <c r="H56" i="42" a="1"/>
  <c r="H79" i="42" a="1"/>
  <c r="H15" i="42" a="1"/>
  <c r="H160" i="42" a="1"/>
  <c r="H127" i="42" a="1"/>
  <c r="H25" i="42" a="1"/>
  <c r="H193" i="42" a="1"/>
  <c r="H92" i="42" a="1"/>
  <c r="F199" i="42" a="1"/>
  <c r="F204" i="42" a="1"/>
  <c r="F41" i="42" a="1"/>
  <c r="F107" i="42" a="1"/>
  <c r="F196" i="42" a="1"/>
  <c r="F24" i="42" a="1"/>
  <c r="F92" i="42" a="1"/>
  <c r="F34" i="42" a="1"/>
  <c r="F144" i="42" a="1"/>
  <c r="F182" i="42" a="1"/>
  <c r="F132" i="42" a="1"/>
  <c r="E105" i="42" a="1"/>
  <c r="E203" i="42" a="1"/>
  <c r="E155" i="42" a="1"/>
  <c r="E140" i="42" a="1"/>
  <c r="E179" i="42" a="1"/>
  <c r="E139" i="42" a="1"/>
  <c r="E166" i="42" a="1"/>
  <c r="E41" i="42" a="1"/>
  <c r="E116" i="42" a="1"/>
  <c r="E204" i="42" a="1"/>
  <c r="E16" i="42" a="1"/>
  <c r="E42" i="42" a="1"/>
  <c r="E30" i="42" a="1"/>
  <c r="H22" i="42" a="1"/>
  <c r="F158" i="42" a="1"/>
  <c r="E132" i="42" a="1"/>
  <c r="H198" i="42" a="1"/>
  <c r="H30" i="42" a="1"/>
  <c r="H113" i="42" a="1"/>
  <c r="H20" i="42" a="1"/>
  <c r="H141" i="42" a="1"/>
  <c r="H176" i="42" a="1"/>
  <c r="H156" i="42" a="1"/>
  <c r="H161" i="42" a="1"/>
  <c r="H24" i="42" a="1"/>
  <c r="H72" i="42" a="1"/>
  <c r="F77" i="42" a="1"/>
  <c r="F176" i="42" a="1"/>
  <c r="F192" i="42" a="1"/>
  <c r="F78" i="42" a="1"/>
  <c r="F90" i="42" a="1"/>
  <c r="F139" i="42" a="1"/>
  <c r="F47" i="42" a="1"/>
  <c r="F167" i="42" a="1"/>
  <c r="F72" i="42" a="1"/>
  <c r="F104" i="42" a="1"/>
  <c r="F189" i="42" a="1"/>
  <c r="E94" i="42" a="1"/>
  <c r="E159" i="42" a="1"/>
  <c r="E61" i="42" a="1"/>
  <c r="E133" i="42" a="1"/>
  <c r="E81" i="42" a="1"/>
  <c r="H152" i="42" a="1"/>
  <c r="F46" i="42" a="1"/>
  <c r="F103" i="42" a="1"/>
  <c r="V84" i="9" l="1"/>
  <c r="V85" i="9" s="1"/>
  <c r="V88" i="9" s="1"/>
  <c r="AE84" i="9"/>
  <c r="AE85" i="9" s="1"/>
  <c r="AE88" i="9" s="1"/>
  <c r="U84" i="9"/>
  <c r="U85" i="9" s="1"/>
  <c r="U88" i="9" s="1"/>
  <c r="V63" i="9"/>
  <c r="V66" i="9" s="1"/>
  <c r="U63" i="9"/>
  <c r="U66" i="9" s="1"/>
  <c r="AD84" i="9"/>
  <c r="AD85" i="9" s="1"/>
  <c r="AD88" i="9" s="1"/>
  <c r="AD63" i="9"/>
  <c r="AD66" i="9" s="1"/>
  <c r="AC84" i="9"/>
  <c r="AC85" i="9" s="1"/>
  <c r="AC88" i="9" s="1"/>
  <c r="AC63" i="9"/>
  <c r="AC66" i="9" s="1"/>
  <c r="Y84" i="9"/>
  <c r="Y85" i="9" s="1"/>
  <c r="Y88" i="9" s="1"/>
  <c r="Y63" i="9"/>
  <c r="Y66" i="9" s="1"/>
  <c r="AF84" i="9"/>
  <c r="AF85" i="9" s="1"/>
  <c r="AF88" i="9" s="1"/>
  <c r="AF63" i="9"/>
  <c r="AF66" i="9" s="1"/>
  <c r="X63" i="9"/>
  <c r="X66" i="9" s="1"/>
  <c r="X84" i="9"/>
  <c r="X85" i="9" s="1"/>
  <c r="X88" i="9" s="1"/>
  <c r="T41" i="59"/>
  <c r="O81" i="59"/>
  <c r="J84" i="59"/>
  <c r="J85" i="59" s="1"/>
  <c r="J88" i="59" s="1"/>
  <c r="O80" i="59"/>
  <c r="T57" i="59"/>
  <c r="G82" i="59"/>
  <c r="T82" i="59" s="1"/>
  <c r="G53" i="59"/>
  <c r="G63" i="59" s="1"/>
  <c r="G66" i="59" s="1"/>
  <c r="G81" i="59"/>
  <c r="T81" i="59" s="1"/>
  <c r="M84" i="59"/>
  <c r="M85" i="59" s="1"/>
  <c r="M88" i="59" s="1"/>
  <c r="K84" i="59"/>
  <c r="K85" i="59" s="1"/>
  <c r="K88" i="59" s="1"/>
  <c r="G63" i="9"/>
  <c r="G78" i="59"/>
  <c r="G80" i="59"/>
  <c r="T80" i="59" s="1"/>
  <c r="T43" i="59"/>
  <c r="T62" i="59"/>
  <c r="T46" i="59"/>
  <c r="T45" i="59"/>
  <c r="L84" i="59"/>
  <c r="L85" i="59" s="1"/>
  <c r="L88" i="59" s="1"/>
  <c r="L63" i="59"/>
  <c r="L66" i="59" s="1"/>
  <c r="H63" i="59"/>
  <c r="H66" i="59" s="1"/>
  <c r="H84" i="59"/>
  <c r="H85" i="59" s="1"/>
  <c r="H88" i="59" s="1"/>
  <c r="I63" i="59"/>
  <c r="I66" i="59" s="1"/>
  <c r="I84" i="59"/>
  <c r="I85" i="59" s="1"/>
  <c r="I88" i="59" s="1"/>
  <c r="N78" i="59"/>
  <c r="N53" i="59"/>
  <c r="O78" i="59"/>
  <c r="P84" i="59"/>
  <c r="P85" i="59" s="1"/>
  <c r="P88" i="59" s="1"/>
  <c r="T60" i="59"/>
  <c r="O53" i="59"/>
  <c r="T49" i="59"/>
  <c r="G51" i="59"/>
  <c r="T51" i="59" s="1"/>
  <c r="H12" i="42"/>
  <c r="H13" i="42"/>
  <c r="I11" i="42"/>
  <c r="H15" i="42"/>
  <c r="H16" i="42"/>
  <c r="H17" i="42"/>
  <c r="E14" i="42"/>
  <c r="E22" i="42"/>
  <c r="E30" i="42"/>
  <c r="E42" i="42"/>
  <c r="E56" i="42"/>
  <c r="E64" i="42"/>
  <c r="E72" i="42"/>
  <c r="E80" i="42"/>
  <c r="E88" i="42"/>
  <c r="F93" i="42"/>
  <c r="E103" i="42"/>
  <c r="F116" i="42"/>
  <c r="F139" i="42"/>
  <c r="F14" i="42"/>
  <c r="F22" i="42"/>
  <c r="F30" i="42"/>
  <c r="F42" i="42"/>
  <c r="F56" i="42"/>
  <c r="F64" i="42"/>
  <c r="F72" i="42"/>
  <c r="F80" i="42"/>
  <c r="F88" i="42"/>
  <c r="F94" i="42"/>
  <c r="F103" i="42"/>
  <c r="F117" i="42"/>
  <c r="F140" i="42"/>
  <c r="F175" i="42"/>
  <c r="E15" i="42"/>
  <c r="E23" i="42"/>
  <c r="E31" i="42"/>
  <c r="E45" i="42"/>
  <c r="E57" i="42"/>
  <c r="E65" i="42"/>
  <c r="E81" i="42"/>
  <c r="E89" i="42"/>
  <c r="E95" i="42"/>
  <c r="F104" i="42"/>
  <c r="F118" i="42"/>
  <c r="F142" i="42"/>
  <c r="F178" i="42"/>
  <c r="F23" i="42"/>
  <c r="F31" i="42"/>
  <c r="F45" i="42"/>
  <c r="F57" i="42"/>
  <c r="F65" i="42"/>
  <c r="F81" i="42"/>
  <c r="F89" i="42"/>
  <c r="F95" i="42"/>
  <c r="F105" i="42"/>
  <c r="F143" i="42"/>
  <c r="F183" i="42"/>
  <c r="F15" i="42"/>
  <c r="E16" i="42"/>
  <c r="E24" i="42"/>
  <c r="E34" i="42"/>
  <c r="E46" i="42"/>
  <c r="E58" i="42"/>
  <c r="E66" i="42"/>
  <c r="E82" i="42"/>
  <c r="E96" i="42"/>
  <c r="E106" i="42"/>
  <c r="F123" i="42"/>
  <c r="F148" i="42"/>
  <c r="F186" i="42"/>
  <c r="F16" i="42"/>
  <c r="F24" i="42"/>
  <c r="F34" i="42"/>
  <c r="F46" i="42"/>
  <c r="F58" i="42"/>
  <c r="F66" i="42"/>
  <c r="F82" i="42"/>
  <c r="F96" i="42"/>
  <c r="F106" i="42"/>
  <c r="F124" i="42"/>
  <c r="F151" i="42"/>
  <c r="F191" i="42"/>
  <c r="E17" i="42"/>
  <c r="E25" i="42"/>
  <c r="E37" i="42"/>
  <c r="E47" i="42"/>
  <c r="E61" i="42"/>
  <c r="E67" i="42"/>
  <c r="E77" i="42"/>
  <c r="E83" i="42"/>
  <c r="E90" i="42"/>
  <c r="F107" i="42"/>
  <c r="F128" i="42"/>
  <c r="F156" i="42"/>
  <c r="F196" i="42"/>
  <c r="F37" i="42"/>
  <c r="F47" i="42"/>
  <c r="F61" i="42"/>
  <c r="F67" i="42"/>
  <c r="F77" i="42"/>
  <c r="F83" i="42"/>
  <c r="F90" i="42"/>
  <c r="F108" i="42"/>
  <c r="F129" i="42"/>
  <c r="F159" i="42"/>
  <c r="F199" i="42"/>
  <c r="E40" i="42"/>
  <c r="E50" i="42"/>
  <c r="E62" i="42"/>
  <c r="E70" i="42"/>
  <c r="E78" i="42"/>
  <c r="F91" i="42"/>
  <c r="E100" i="42"/>
  <c r="E111" i="42"/>
  <c r="F131" i="42"/>
  <c r="F164" i="42"/>
  <c r="F204" i="42"/>
  <c r="F25" i="42"/>
  <c r="F12" i="42"/>
  <c r="F40" i="42"/>
  <c r="F50" i="42"/>
  <c r="F62" i="42"/>
  <c r="F70" i="42"/>
  <c r="F78" i="42"/>
  <c r="F84" i="42"/>
  <c r="E92" i="42"/>
  <c r="F100" i="42"/>
  <c r="F111" i="42"/>
  <c r="F132" i="42"/>
  <c r="F167" i="42"/>
  <c r="E13" i="42"/>
  <c r="E21" i="42"/>
  <c r="E29" i="42"/>
  <c r="E41" i="42"/>
  <c r="E53" i="42"/>
  <c r="E63" i="42"/>
  <c r="E71" i="42"/>
  <c r="E79" i="42"/>
  <c r="F92" i="42"/>
  <c r="F101" i="42"/>
  <c r="F112" i="42"/>
  <c r="F134" i="42"/>
  <c r="F172" i="42"/>
  <c r="H25" i="42"/>
  <c r="F17" i="42"/>
  <c r="F21" i="42"/>
  <c r="F29" i="42"/>
  <c r="F41" i="42"/>
  <c r="F53" i="42"/>
  <c r="F63" i="42"/>
  <c r="F71" i="42"/>
  <c r="F79" i="42"/>
  <c r="E93" i="42"/>
  <c r="F102" i="42"/>
  <c r="F113" i="42"/>
  <c r="F137" i="42"/>
  <c r="E105" i="42"/>
  <c r="E118" i="42"/>
  <c r="E128" i="42"/>
  <c r="E134" i="42"/>
  <c r="E142" i="42"/>
  <c r="E150" i="42"/>
  <c r="E158" i="42"/>
  <c r="E161" i="42"/>
  <c r="E166" i="42"/>
  <c r="E169" i="42"/>
  <c r="E177" i="42"/>
  <c r="E185" i="42"/>
  <c r="E193" i="42"/>
  <c r="E203" i="42"/>
  <c r="H22" i="42"/>
  <c r="H42" i="42"/>
  <c r="H64" i="42"/>
  <c r="H80" i="42"/>
  <c r="H88" i="42"/>
  <c r="H93" i="42"/>
  <c r="H101" i="42"/>
  <c r="H117" i="42"/>
  <c r="H127" i="42"/>
  <c r="H133" i="42"/>
  <c r="H141" i="42"/>
  <c r="H149" i="42"/>
  <c r="H157" i="42"/>
  <c r="H165" i="42"/>
  <c r="H173" i="42"/>
  <c r="H179" i="42"/>
  <c r="H189" i="42"/>
  <c r="H197" i="42"/>
  <c r="E91" i="42"/>
  <c r="E94" i="42"/>
  <c r="E102" i="42"/>
  <c r="E108" i="42"/>
  <c r="E113" i="42"/>
  <c r="E123" i="42"/>
  <c r="E139" i="42"/>
  <c r="E147" i="42"/>
  <c r="E155" i="42"/>
  <c r="E182" i="42"/>
  <c r="E190" i="42"/>
  <c r="E198" i="42"/>
  <c r="H30" i="42"/>
  <c r="H56" i="42"/>
  <c r="H72" i="42"/>
  <c r="H107" i="42"/>
  <c r="F147" i="42"/>
  <c r="F155" i="42"/>
  <c r="F161" i="42"/>
  <c r="F166" i="42"/>
  <c r="F182" i="42"/>
  <c r="F190" i="42"/>
  <c r="F193" i="42"/>
  <c r="F203" i="42"/>
  <c r="H23" i="42"/>
  <c r="H45" i="42"/>
  <c r="H57" i="42"/>
  <c r="H65" i="42"/>
  <c r="H81" i="42"/>
  <c r="H89" i="42"/>
  <c r="H102" i="42"/>
  <c r="H118" i="42"/>
  <c r="H134" i="42"/>
  <c r="H150" i="42"/>
  <c r="H182" i="42"/>
  <c r="H190" i="42"/>
  <c r="H198" i="42"/>
  <c r="F150" i="42"/>
  <c r="F158" i="42"/>
  <c r="F169" i="42"/>
  <c r="F177" i="42"/>
  <c r="F185" i="42"/>
  <c r="F198" i="42"/>
  <c r="H31" i="42"/>
  <c r="H94" i="42"/>
  <c r="H108" i="42"/>
  <c r="H142" i="42"/>
  <c r="H158" i="42"/>
  <c r="H166" i="42"/>
  <c r="E137" i="42"/>
  <c r="E143" i="42"/>
  <c r="E151" i="42"/>
  <c r="E159" i="42"/>
  <c r="E167" i="42"/>
  <c r="E175" i="42"/>
  <c r="E183" i="42"/>
  <c r="E191" i="42"/>
  <c r="E199" i="42"/>
  <c r="E204" i="42"/>
  <c r="H24" i="42"/>
  <c r="H46" i="42"/>
  <c r="H66" i="42"/>
  <c r="H82" i="42"/>
  <c r="H95" i="42"/>
  <c r="H111" i="42"/>
  <c r="H137" i="42"/>
  <c r="H143" i="42"/>
  <c r="H151" i="42"/>
  <c r="H167" i="42"/>
  <c r="H175" i="42"/>
  <c r="H183" i="42"/>
  <c r="H191" i="42"/>
  <c r="H199" i="42"/>
  <c r="E116" i="42"/>
  <c r="E124" i="42"/>
  <c r="E132" i="42"/>
  <c r="E140" i="42"/>
  <c r="E148" i="42"/>
  <c r="E156" i="42"/>
  <c r="E164" i="42"/>
  <c r="E172" i="42"/>
  <c r="E178" i="42"/>
  <c r="E186" i="42"/>
  <c r="E196" i="42"/>
  <c r="H34" i="42"/>
  <c r="H58" i="42"/>
  <c r="H103" i="42"/>
  <c r="H129" i="42"/>
  <c r="H159" i="42"/>
  <c r="H37" i="42"/>
  <c r="H47" i="42"/>
  <c r="H61" i="42"/>
  <c r="H67" i="42"/>
  <c r="H77" i="42"/>
  <c r="H83" i="42"/>
  <c r="H90" i="42"/>
  <c r="H96" i="42"/>
  <c r="H104" i="42"/>
  <c r="H112" i="42"/>
  <c r="H122" i="42"/>
  <c r="H130" i="42"/>
  <c r="H138" i="42"/>
  <c r="H144" i="42"/>
  <c r="H152" i="42"/>
  <c r="H160" i="42"/>
  <c r="H168" i="42"/>
  <c r="H176" i="42"/>
  <c r="H184" i="42"/>
  <c r="H192" i="42"/>
  <c r="H200" i="42"/>
  <c r="E101" i="42"/>
  <c r="E107" i="42"/>
  <c r="E117" i="42"/>
  <c r="E127" i="42"/>
  <c r="E133" i="42"/>
  <c r="E141" i="42"/>
  <c r="E149" i="42"/>
  <c r="E157" i="42"/>
  <c r="E165" i="42"/>
  <c r="E173" i="42"/>
  <c r="E179" i="42"/>
  <c r="E189" i="42"/>
  <c r="E197" i="42"/>
  <c r="H40" i="42"/>
  <c r="H113" i="42"/>
  <c r="H123" i="42"/>
  <c r="H131" i="42"/>
  <c r="H139" i="42"/>
  <c r="H147" i="42"/>
  <c r="H155" i="42"/>
  <c r="H161" i="42"/>
  <c r="H169" i="42"/>
  <c r="H177" i="42"/>
  <c r="H185" i="42"/>
  <c r="H193" i="42"/>
  <c r="H203" i="42"/>
  <c r="E104" i="42"/>
  <c r="E112" i="42"/>
  <c r="E122" i="42"/>
  <c r="E130" i="42"/>
  <c r="E138" i="42"/>
  <c r="E144" i="42"/>
  <c r="E152" i="42"/>
  <c r="E160" i="42"/>
  <c r="E168" i="42"/>
  <c r="E176" i="42"/>
  <c r="E184" i="42"/>
  <c r="E192" i="42"/>
  <c r="E200" i="42"/>
  <c r="H20" i="42"/>
  <c r="H50" i="42"/>
  <c r="H62" i="42"/>
  <c r="H70" i="42"/>
  <c r="H78" i="42"/>
  <c r="H84" i="42"/>
  <c r="H91" i="42"/>
  <c r="H105" i="42"/>
  <c r="F122" i="42"/>
  <c r="F127" i="42"/>
  <c r="F133" i="42"/>
  <c r="F141" i="42"/>
  <c r="F149" i="42"/>
  <c r="F157" i="42"/>
  <c r="F165" i="42"/>
  <c r="F173" i="42"/>
  <c r="F179" i="42"/>
  <c r="F184" i="42"/>
  <c r="F192" i="42"/>
  <c r="F200" i="42"/>
  <c r="H21" i="42"/>
  <c r="H41" i="42"/>
  <c r="H100" i="42"/>
  <c r="H106" i="42"/>
  <c r="H116" i="42"/>
  <c r="H132" i="42"/>
  <c r="H140" i="42"/>
  <c r="H148" i="42"/>
  <c r="H156" i="42"/>
  <c r="H164" i="42"/>
  <c r="H172" i="42"/>
  <c r="H178" i="42"/>
  <c r="H186" i="42"/>
  <c r="H196" i="42"/>
  <c r="H204" i="42"/>
  <c r="F130" i="42"/>
  <c r="F138" i="42"/>
  <c r="F144" i="42"/>
  <c r="F152" i="42"/>
  <c r="F160" i="42"/>
  <c r="F168" i="42"/>
  <c r="F176" i="42"/>
  <c r="F189" i="42"/>
  <c r="F197" i="42"/>
  <c r="H29" i="42"/>
  <c r="H53" i="42"/>
  <c r="H63" i="42"/>
  <c r="H71" i="42"/>
  <c r="H79" i="42"/>
  <c r="H92" i="42"/>
  <c r="H124" i="42"/>
  <c r="G84" i="59" l="1"/>
  <c r="G85" i="59" s="1"/>
  <c r="G88" i="59" s="1"/>
  <c r="T78" i="59"/>
  <c r="N84" i="59"/>
  <c r="N85" i="59" s="1"/>
  <c r="N88" i="59" s="1"/>
  <c r="N63" i="59"/>
  <c r="N66" i="59" s="1"/>
  <c r="T53" i="59"/>
  <c r="O63" i="59"/>
  <c r="O66" i="59" s="1"/>
  <c r="O84" i="59"/>
  <c r="O85" i="59" s="1"/>
  <c r="O88" i="59" s="1"/>
  <c r="I204" i="42"/>
  <c r="I203" i="42"/>
  <c r="A202" i="42"/>
  <c r="T66" i="59" l="1"/>
  <c r="T84" i="59"/>
  <c r="T63" i="59"/>
  <c r="T85" i="59"/>
  <c r="T88" i="59"/>
  <c r="I202" i="42"/>
  <c r="AH76" i="9" l="1"/>
  <c r="AH73" i="9" l="1"/>
  <c r="AH71" i="9"/>
  <c r="B8" i="52" l="1" a="1"/>
  <c r="B8" i="52" s="1"/>
  <c r="B7" i="52" a="1"/>
  <c r="B7" i="52" s="1"/>
  <c r="G6" i="52"/>
  <c r="B5" i="52"/>
  <c r="D2" i="52" a="1"/>
  <c r="D2" i="52" s="1"/>
  <c r="D1" i="52"/>
  <c r="G67" i="52" l="1"/>
  <c r="G69" i="52" s="1"/>
  <c r="G104" i="52"/>
  <c r="G77" i="52"/>
  <c r="G79" i="52" s="1"/>
  <c r="G115" i="52"/>
  <c r="G116" i="52" s="1"/>
  <c r="G40" i="52"/>
  <c r="G123" i="52"/>
  <c r="G86" i="52"/>
  <c r="G88" i="52" s="1"/>
  <c r="G48" i="52"/>
  <c r="G56" i="52"/>
  <c r="G58" i="52" s="1"/>
  <c r="G94" i="52"/>
  <c r="G29" i="52"/>
  <c r="G30" i="52" s="1"/>
  <c r="G134" i="52"/>
  <c r="G136" i="52" s="1"/>
  <c r="G96" i="52" l="1"/>
  <c r="G50" i="52"/>
  <c r="G42" i="52"/>
  <c r="G106" i="52"/>
  <c r="G125" i="52"/>
  <c r="G127" i="52" s="1"/>
  <c r="G78" i="52"/>
  <c r="G80" i="52" s="1"/>
  <c r="H91" i="52"/>
  <c r="H83" i="52"/>
  <c r="G135" i="52"/>
  <c r="G137" i="52" s="1"/>
  <c r="H79" i="52"/>
  <c r="G95" i="52"/>
  <c r="G68" i="52"/>
  <c r="G70" i="52" s="1"/>
  <c r="H85" i="52"/>
  <c r="G124" i="52"/>
  <c r="G41" i="52"/>
  <c r="G43" i="52" s="1"/>
  <c r="G87" i="52"/>
  <c r="G89" i="52" s="1"/>
  <c r="G57" i="52"/>
  <c r="G59" i="52" s="1"/>
  <c r="G49" i="52"/>
  <c r="G105" i="52"/>
  <c r="G107" i="52" s="1"/>
  <c r="G51" i="52" l="1"/>
  <c r="G97" i="52"/>
  <c r="H93" i="52"/>
  <c r="H99" i="52"/>
  <c r="G126" i="52"/>
  <c r="G128" i="52" s="1"/>
  <c r="H137" i="52"/>
  <c r="H80" i="52"/>
  <c r="H50" i="52"/>
  <c r="H116" i="52"/>
  <c r="H136" i="52"/>
  <c r="H125" i="52"/>
  <c r="H127" i="52"/>
  <c r="H88" i="52"/>
  <c r="H89" i="52"/>
  <c r="H101" i="52"/>
  <c r="H97" i="52"/>
  <c r="H26" i="52"/>
  <c r="H126" i="52" l="1"/>
  <c r="H128" i="52"/>
  <c r="H51" i="52"/>
  <c r="H96" i="52"/>
  <c r="H103" i="52"/>
  <c r="H53" i="52"/>
  <c r="H28" i="52"/>
  <c r="H36" i="52"/>
  <c r="H38" i="52" l="1"/>
  <c r="H35" i="52"/>
  <c r="H39" i="52"/>
  <c r="H55" i="52"/>
  <c r="H58" i="52"/>
  <c r="H59" i="52"/>
  <c r="H62" i="52"/>
  <c r="H43" i="52" l="1"/>
  <c r="H106" i="52"/>
  <c r="H107" i="52"/>
  <c r="H42" i="52"/>
  <c r="H30" i="52"/>
  <c r="H64" i="52"/>
  <c r="H66" i="52" l="1"/>
  <c r="H70" i="52"/>
  <c r="H69" i="52"/>
  <c r="T21" i="9" l="1"/>
  <c r="T23" i="9" s="1"/>
  <c r="AH60" i="9"/>
  <c r="T90" i="9"/>
  <c r="T96" i="9" s="1"/>
  <c r="L21" i="9"/>
  <c r="L23" i="9" s="1"/>
  <c r="M21" i="9"/>
  <c r="M23" i="9" s="1"/>
  <c r="N21" i="9"/>
  <c r="N23" i="9" s="1"/>
  <c r="P21" i="9"/>
  <c r="P93" i="9" s="1"/>
  <c r="P99" i="9" s="1"/>
  <c r="Q21" i="9"/>
  <c r="Q23" i="9" s="1"/>
  <c r="R21" i="9"/>
  <c r="R23" i="9" s="1"/>
  <c r="S21" i="9"/>
  <c r="S23" i="9" s="1"/>
  <c r="T107" i="9"/>
  <c r="S107" i="9"/>
  <c r="R107" i="9"/>
  <c r="Q107" i="9"/>
  <c r="P107" i="9"/>
  <c r="O107" i="9"/>
  <c r="O21" i="9"/>
  <c r="O23" i="9" s="1"/>
  <c r="N107" i="9"/>
  <c r="M107" i="9"/>
  <c r="L107" i="9"/>
  <c r="P92" i="9" l="1"/>
  <c r="P98" i="9" s="1"/>
  <c r="N76" i="9"/>
  <c r="N75" i="9"/>
  <c r="M76" i="9"/>
  <c r="M75" i="9"/>
  <c r="L76" i="9"/>
  <c r="L75" i="9"/>
  <c r="T75" i="9"/>
  <c r="T76" i="9"/>
  <c r="S76" i="9"/>
  <c r="S75" i="9"/>
  <c r="R76" i="9"/>
  <c r="R75" i="9"/>
  <c r="G75" i="9"/>
  <c r="Q95" i="9"/>
  <c r="Q101" i="9" s="1"/>
  <c r="Q76" i="9"/>
  <c r="Q75" i="9"/>
  <c r="P35" i="9"/>
  <c r="P36" i="9" s="1"/>
  <c r="P76" i="9"/>
  <c r="P75" i="9"/>
  <c r="O76" i="9"/>
  <c r="O75" i="9"/>
  <c r="T32" i="9"/>
  <c r="T54" i="9" s="1"/>
  <c r="T114" i="9"/>
  <c r="M32" i="9"/>
  <c r="M114" i="9"/>
  <c r="R114" i="9"/>
  <c r="L114" i="9"/>
  <c r="O114" i="9"/>
  <c r="N114" i="9"/>
  <c r="Q35" i="9"/>
  <c r="Q36" i="9" s="1"/>
  <c r="Q94" i="9"/>
  <c r="Q100" i="9" s="1"/>
  <c r="L32" i="9"/>
  <c r="R32" i="9"/>
  <c r="O32" i="9"/>
  <c r="Q32" i="9"/>
  <c r="P32" i="9"/>
  <c r="S114" i="9"/>
  <c r="P23" i="9"/>
  <c r="P91" i="9"/>
  <c r="P97" i="9" s="1"/>
  <c r="O90" i="9"/>
  <c r="P94" i="9"/>
  <c r="P100" i="9" s="1"/>
  <c r="Q90" i="9"/>
  <c r="O91" i="9"/>
  <c r="O97" i="9" s="1"/>
  <c r="P37" i="9"/>
  <c r="P95" i="9"/>
  <c r="P101" i="9" s="1"/>
  <c r="Q91" i="9"/>
  <c r="Q97" i="9" s="1"/>
  <c r="Q114" i="9"/>
  <c r="Q92" i="9"/>
  <c r="Q98" i="9" s="1"/>
  <c r="O93" i="9"/>
  <c r="O99" i="9" s="1"/>
  <c r="P114" i="9"/>
  <c r="Q93" i="9"/>
  <c r="Q99" i="9" s="1"/>
  <c r="O37" i="9"/>
  <c r="O92" i="9"/>
  <c r="O98" i="9" s="1"/>
  <c r="T35" i="9"/>
  <c r="T36" i="9" s="1"/>
  <c r="O94" i="9"/>
  <c r="O100" i="9" s="1"/>
  <c r="Q37" i="9"/>
  <c r="O95" i="9"/>
  <c r="O101" i="9" s="1"/>
  <c r="O35" i="9"/>
  <c r="O36" i="9" s="1"/>
  <c r="P90" i="9"/>
  <c r="N32" i="9"/>
  <c r="T91" i="9"/>
  <c r="T97" i="9" s="1"/>
  <c r="T37" i="9"/>
  <c r="T92" i="9"/>
  <c r="T98" i="9" s="1"/>
  <c r="T93" i="9"/>
  <c r="T99" i="9" s="1"/>
  <c r="T94" i="9"/>
  <c r="T100" i="9" s="1"/>
  <c r="T95" i="9"/>
  <c r="T101" i="9" s="1"/>
  <c r="S32" i="9"/>
  <c r="S35" i="9"/>
  <c r="S36" i="9" s="1"/>
  <c r="S90" i="9"/>
  <c r="S91" i="9"/>
  <c r="S97" i="9" s="1"/>
  <c r="S37" i="9"/>
  <c r="S92" i="9"/>
  <c r="S98" i="9" s="1"/>
  <c r="S93" i="9"/>
  <c r="S99" i="9" s="1"/>
  <c r="S94" i="9"/>
  <c r="S100" i="9" s="1"/>
  <c r="S95" i="9"/>
  <c r="S101" i="9" s="1"/>
  <c r="R35" i="9"/>
  <c r="R36" i="9" s="1"/>
  <c r="R90" i="9"/>
  <c r="R91" i="9"/>
  <c r="R97" i="9" s="1"/>
  <c r="R37" i="9"/>
  <c r="R92" i="9"/>
  <c r="R98" i="9" s="1"/>
  <c r="R93" i="9"/>
  <c r="R99" i="9" s="1"/>
  <c r="R94" i="9"/>
  <c r="R100" i="9" s="1"/>
  <c r="R95" i="9"/>
  <c r="R101" i="9" s="1"/>
  <c r="N95" i="9"/>
  <c r="N101" i="9" s="1"/>
  <c r="N35" i="9"/>
  <c r="N36" i="9" s="1"/>
  <c r="N90" i="9"/>
  <c r="N91" i="9"/>
  <c r="N97" i="9" s="1"/>
  <c r="N37" i="9"/>
  <c r="N92" i="9"/>
  <c r="N98" i="9" s="1"/>
  <c r="N93" i="9"/>
  <c r="N99" i="9" s="1"/>
  <c r="N94" i="9"/>
  <c r="N100" i="9" s="1"/>
  <c r="M35" i="9"/>
  <c r="M36" i="9" s="1"/>
  <c r="M90" i="9"/>
  <c r="M91" i="9"/>
  <c r="M97" i="9" s="1"/>
  <c r="M37" i="9"/>
  <c r="M92" i="9"/>
  <c r="M98" i="9" s="1"/>
  <c r="M93" i="9"/>
  <c r="M99" i="9" s="1"/>
  <c r="M94" i="9"/>
  <c r="M100" i="9" s="1"/>
  <c r="M95" i="9"/>
  <c r="M101" i="9" s="1"/>
  <c r="L35" i="9"/>
  <c r="L36" i="9" s="1"/>
  <c r="L90" i="9"/>
  <c r="L91" i="9"/>
  <c r="L97" i="9" s="1"/>
  <c r="L37" i="9"/>
  <c r="L92" i="9"/>
  <c r="L98" i="9" s="1"/>
  <c r="L93" i="9"/>
  <c r="L99" i="9" s="1"/>
  <c r="L94" i="9"/>
  <c r="L100" i="9" s="1"/>
  <c r="L95" i="9"/>
  <c r="L101" i="9" s="1"/>
  <c r="K6" i="30"/>
  <c r="F33" i="4"/>
  <c r="I33" i="4" s="1"/>
  <c r="S73" i="9" l="1"/>
  <c r="S71" i="9"/>
  <c r="L69" i="9"/>
  <c r="L73" i="9"/>
  <c r="L71" i="9"/>
  <c r="N73" i="9"/>
  <c r="N71" i="9"/>
  <c r="M73" i="9"/>
  <c r="M71" i="9"/>
  <c r="P72" i="9"/>
  <c r="P71" i="9"/>
  <c r="P73" i="9"/>
  <c r="Q71" i="9"/>
  <c r="Q73" i="9"/>
  <c r="O73" i="9"/>
  <c r="O71" i="9"/>
  <c r="T72" i="9"/>
  <c r="T71" i="9"/>
  <c r="T73" i="9"/>
  <c r="R71" i="9"/>
  <c r="R73" i="9"/>
  <c r="L70" i="9"/>
  <c r="R54" i="9"/>
  <c r="R59" i="9" s="1"/>
  <c r="R68" i="9"/>
  <c r="R72" i="9"/>
  <c r="R33" i="9"/>
  <c r="R34" i="9" s="1"/>
  <c r="Q72" i="9"/>
  <c r="Q33" i="9"/>
  <c r="Q68" i="9"/>
  <c r="Q69" i="9"/>
  <c r="M68" i="9"/>
  <c r="M33" i="9"/>
  <c r="M34" i="9" s="1"/>
  <c r="M54" i="9" s="1"/>
  <c r="M59" i="9" s="1"/>
  <c r="M69" i="9"/>
  <c r="M70" i="9"/>
  <c r="M72" i="9"/>
  <c r="T68" i="9"/>
  <c r="L72" i="9"/>
  <c r="R69" i="9"/>
  <c r="L33" i="9"/>
  <c r="L34" i="9" s="1"/>
  <c r="L56" i="9" s="1"/>
  <c r="R70" i="9"/>
  <c r="L54" i="9"/>
  <c r="L59" i="9" s="1"/>
  <c r="L68" i="9"/>
  <c r="T33" i="9"/>
  <c r="T34" i="9" s="1"/>
  <c r="T59" i="9" s="1"/>
  <c r="P33" i="9"/>
  <c r="P34" i="9" s="1"/>
  <c r="O69" i="9"/>
  <c r="O68" i="9"/>
  <c r="O33" i="9"/>
  <c r="O34" i="9" s="1"/>
  <c r="O54" i="9" s="1"/>
  <c r="O59" i="9" s="1"/>
  <c r="P54" i="9"/>
  <c r="P59" i="9" s="1"/>
  <c r="T69" i="9"/>
  <c r="T70" i="9"/>
  <c r="P70" i="9"/>
  <c r="P69" i="9"/>
  <c r="O70" i="9"/>
  <c r="P68" i="9"/>
  <c r="O72" i="9"/>
  <c r="Q70" i="9"/>
  <c r="N33" i="9"/>
  <c r="N34" i="9" s="1"/>
  <c r="N54" i="9" s="1"/>
  <c r="N59" i="9" s="1"/>
  <c r="N72" i="9"/>
  <c r="N68" i="9"/>
  <c r="N69" i="9"/>
  <c r="N70" i="9"/>
  <c r="P102" i="9"/>
  <c r="P96" i="9"/>
  <c r="Q102" i="9"/>
  <c r="Q96" i="9"/>
  <c r="O96" i="9"/>
  <c r="O102" i="9"/>
  <c r="T102" i="9"/>
  <c r="S102" i="9"/>
  <c r="S96" i="9"/>
  <c r="S69" i="9"/>
  <c r="S70" i="9"/>
  <c r="S33" i="9"/>
  <c r="S34" i="9" s="1"/>
  <c r="S54" i="9" s="1"/>
  <c r="S59" i="9" s="1"/>
  <c r="S68" i="9"/>
  <c r="S72" i="9"/>
  <c r="R96" i="9"/>
  <c r="R102" i="9"/>
  <c r="N96" i="9"/>
  <c r="N102" i="9"/>
  <c r="M96" i="9"/>
  <c r="M102" i="9"/>
  <c r="L96" i="9"/>
  <c r="L102" i="9"/>
  <c r="Q34" i="9" l="1"/>
  <c r="Q56" i="9" s="1"/>
  <c r="P55" i="9"/>
  <c r="P39" i="9"/>
  <c r="Q39" i="9"/>
  <c r="R55" i="9"/>
  <c r="R39" i="9"/>
  <c r="T57" i="9"/>
  <c r="T61" i="9" s="1"/>
  <c r="T82" i="9" s="1"/>
  <c r="T39" i="9"/>
  <c r="R79" i="9"/>
  <c r="L79" i="9"/>
  <c r="M79" i="9"/>
  <c r="T79" i="9"/>
  <c r="P57" i="9"/>
  <c r="P61" i="9" s="1"/>
  <c r="P82" i="9" s="1"/>
  <c r="O79" i="9"/>
  <c r="P56" i="9"/>
  <c r="P79" i="9"/>
  <c r="P58" i="9"/>
  <c r="P62" i="9" s="1"/>
  <c r="P83" i="9" s="1"/>
  <c r="T58" i="9"/>
  <c r="T62" i="9" s="1"/>
  <c r="T55" i="9"/>
  <c r="T56" i="9"/>
  <c r="N79" i="9"/>
  <c r="S79" i="9"/>
  <c r="R58" i="9"/>
  <c r="R57" i="9"/>
  <c r="R56" i="9"/>
  <c r="Q58" i="9" l="1"/>
  <c r="Q62" i="9" s="1"/>
  <c r="Q83" i="9" s="1"/>
  <c r="Q54" i="9"/>
  <c r="Q57" i="9"/>
  <c r="Q61" i="9" s="1"/>
  <c r="Q81" i="9" s="1"/>
  <c r="Q55" i="9"/>
  <c r="Q60" i="9" s="1"/>
  <c r="T81" i="9"/>
  <c r="N56" i="9"/>
  <c r="N39" i="9"/>
  <c r="L55" i="9"/>
  <c r="L60" i="9" s="1"/>
  <c r="L39" i="9"/>
  <c r="M55" i="9"/>
  <c r="M39" i="9"/>
  <c r="O56" i="9"/>
  <c r="O39" i="9"/>
  <c r="T43" i="9"/>
  <c r="T46" i="9"/>
  <c r="T49" i="9" s="1"/>
  <c r="T41" i="9"/>
  <c r="Q41" i="9"/>
  <c r="Q43" i="9"/>
  <c r="Q46" i="9"/>
  <c r="Q49" i="9" s="1"/>
  <c r="R41" i="9"/>
  <c r="R43" i="9"/>
  <c r="R46" i="9"/>
  <c r="R49" i="9" s="1"/>
  <c r="P41" i="9"/>
  <c r="P43" i="9"/>
  <c r="P46" i="9"/>
  <c r="P49" i="9" s="1"/>
  <c r="S55" i="9"/>
  <c r="S39" i="9"/>
  <c r="L57" i="9"/>
  <c r="L61" i="9" s="1"/>
  <c r="M58" i="9"/>
  <c r="M62" i="9" s="1"/>
  <c r="M83" i="9" s="1"/>
  <c r="M57" i="9"/>
  <c r="M61" i="9" s="1"/>
  <c r="O57" i="9"/>
  <c r="O61" i="9" s="1"/>
  <c r="O82" i="9" s="1"/>
  <c r="O58" i="9"/>
  <c r="O62" i="9" s="1"/>
  <c r="L58" i="9"/>
  <c r="L62" i="9" s="1"/>
  <c r="L83" i="9" s="1"/>
  <c r="M56" i="9"/>
  <c r="O55" i="9"/>
  <c r="N55" i="9"/>
  <c r="N57" i="9"/>
  <c r="N61" i="9" s="1"/>
  <c r="N58" i="9"/>
  <c r="N62" i="9" s="1"/>
  <c r="N83" i="9" s="1"/>
  <c r="T60" i="9"/>
  <c r="T80" i="9" s="1"/>
  <c r="P60" i="9"/>
  <c r="P80" i="9" s="1"/>
  <c r="P81" i="9"/>
  <c r="R60" i="9"/>
  <c r="R80" i="9" s="1"/>
  <c r="Q82" i="9"/>
  <c r="T83" i="9"/>
  <c r="S56" i="9"/>
  <c r="S60" i="9" s="1"/>
  <c r="S57" i="9"/>
  <c r="S58" i="9"/>
  <c r="R61" i="9"/>
  <c r="R62" i="9"/>
  <c r="R83" i="9" s="1"/>
  <c r="B7" i="50" a="1"/>
  <c r="B7" i="50" s="1"/>
  <c r="B5" i="50"/>
  <c r="B2" i="50" a="1"/>
  <c r="B2" i="50" s="1"/>
  <c r="B1" i="50"/>
  <c r="T53" i="9" l="1"/>
  <c r="M60" i="9"/>
  <c r="M80" i="9" s="1"/>
  <c r="Q59" i="9"/>
  <c r="Q79" i="9" s="1"/>
  <c r="Q80" i="9"/>
  <c r="N81" i="9"/>
  <c r="N60" i="9"/>
  <c r="N80" i="9" s="1"/>
  <c r="L80" i="9"/>
  <c r="O60" i="9"/>
  <c r="O80" i="9" s="1"/>
  <c r="S41" i="9"/>
  <c r="S46" i="9"/>
  <c r="S49" i="9" s="1"/>
  <c r="S43" i="9"/>
  <c r="L46" i="9"/>
  <c r="L49" i="9" s="1"/>
  <c r="L41" i="9"/>
  <c r="L43" i="9"/>
  <c r="O46" i="9"/>
  <c r="O49" i="9" s="1"/>
  <c r="O43" i="9"/>
  <c r="O41" i="9"/>
  <c r="N46" i="9"/>
  <c r="N49" i="9" s="1"/>
  <c r="N43" i="9"/>
  <c r="N41" i="9"/>
  <c r="M46" i="9"/>
  <c r="M49" i="9" s="1"/>
  <c r="M41" i="9"/>
  <c r="M43" i="9"/>
  <c r="L81" i="9"/>
  <c r="M81" i="9"/>
  <c r="O81" i="9"/>
  <c r="T78" i="9"/>
  <c r="T63" i="9"/>
  <c r="P53" i="9"/>
  <c r="P78" i="9"/>
  <c r="R78" i="9"/>
  <c r="L82" i="9"/>
  <c r="M78" i="9"/>
  <c r="O83" i="9"/>
  <c r="N78" i="9"/>
  <c r="L53" i="9"/>
  <c r="L63" i="9" s="1"/>
  <c r="L78" i="9"/>
  <c r="N82" i="9"/>
  <c r="R82" i="9"/>
  <c r="S80" i="9"/>
  <c r="S62" i="9"/>
  <c r="S83" i="9" s="1"/>
  <c r="S61" i="9"/>
  <c r="S81" i="9" s="1"/>
  <c r="R81" i="9"/>
  <c r="R53" i="9"/>
  <c r="M53" i="9"/>
  <c r="M82" i="9"/>
  <c r="D13" i="32"/>
  <c r="Q78" i="9" l="1"/>
  <c r="Q53" i="9"/>
  <c r="N53" i="9"/>
  <c r="N63" i="9" s="1"/>
  <c r="O53" i="9"/>
  <c r="O63" i="9" s="1"/>
  <c r="O78" i="9"/>
  <c r="T84" i="9"/>
  <c r="T85" i="9" s="1"/>
  <c r="P63" i="9"/>
  <c r="P84" i="9"/>
  <c r="P85" i="9" s="1"/>
  <c r="L84" i="9"/>
  <c r="L85" i="9" s="1"/>
  <c r="S53" i="9"/>
  <c r="S63" i="9" s="1"/>
  <c r="S82" i="9"/>
  <c r="S78" i="9"/>
  <c r="R84" i="9"/>
  <c r="R85" i="9" s="1"/>
  <c r="R63" i="9"/>
  <c r="M84" i="9"/>
  <c r="M85" i="9" s="1"/>
  <c r="M63" i="9"/>
  <c r="B7" i="49" a="1"/>
  <c r="B7" i="49" s="1"/>
  <c r="N6" i="49"/>
  <c r="B5" i="49"/>
  <c r="B2" i="49" a="1"/>
  <c r="B2" i="49" s="1"/>
  <c r="B1" i="49"/>
  <c r="N84" i="9" l="1"/>
  <c r="N85" i="9" s="1"/>
  <c r="Q63" i="9"/>
  <c r="Q84" i="9"/>
  <c r="Q85" i="9" s="1"/>
  <c r="O84" i="9"/>
  <c r="O85" i="9" s="1"/>
  <c r="S84" i="9"/>
  <c r="S85" i="9" s="1"/>
  <c r="H10" i="32"/>
  <c r="A195" i="42" l="1"/>
  <c r="AH6" i="9"/>
  <c r="D2" i="42" l="1" a="1"/>
  <c r="D2" i="42" s="1"/>
  <c r="H6" i="32"/>
  <c r="I6" i="4"/>
  <c r="G6" i="3"/>
  <c r="M7" i="23"/>
  <c r="B2" i="32" a="1"/>
  <c r="B2" i="32" s="1"/>
  <c r="B1" i="32"/>
  <c r="B7" i="32" a="1"/>
  <c r="B7" i="32" s="1"/>
  <c r="B5" i="32"/>
  <c r="E21" i="36" l="1" a="1"/>
  <c r="E21" i="36" s="1"/>
  <c r="D21" i="36" a="1"/>
  <c r="D21" i="36" s="1"/>
  <c r="L11" i="42" l="1"/>
  <c r="L10" i="42"/>
  <c r="N12" i="4"/>
  <c r="G25" i="4" l="1"/>
  <c r="H25" i="4"/>
  <c r="H36" i="4"/>
  <c r="G36" i="4"/>
  <c r="F43" i="4"/>
  <c r="I43" i="4" s="1"/>
  <c r="F35" i="4"/>
  <c r="I35" i="4" s="1"/>
  <c r="F22" i="4"/>
  <c r="I22" i="4" s="1"/>
  <c r="B7" i="4" a="1"/>
  <c r="B7" i="4" s="1"/>
  <c r="B5" i="4"/>
  <c r="B2" i="4" a="1"/>
  <c r="B2" i="4" s="1"/>
  <c r="B1" i="4"/>
  <c r="F36" i="4" l="1"/>
  <c r="I36" i="4" s="1"/>
  <c r="F47" i="4"/>
  <c r="F24" i="4"/>
  <c r="I24" i="4" s="1"/>
  <c r="F45" i="4"/>
  <c r="I45" i="4" s="1"/>
  <c r="F25" i="4" l="1"/>
  <c r="I25" i="4" s="1"/>
  <c r="J20" i="23"/>
  <c r="K20" i="23" s="1"/>
  <c r="G20" i="23" s="1"/>
  <c r="D20" i="23"/>
  <c r="D24" i="23" s="1"/>
  <c r="C20" i="23"/>
  <c r="E20" i="23" s="1"/>
  <c r="AH33" i="9"/>
  <c r="B7" i="30" l="1" a="1"/>
  <c r="B7" i="30" s="1"/>
  <c r="B5" i="30"/>
  <c r="C2" i="30" a="1"/>
  <c r="C2" i="30" s="1"/>
  <c r="C1" i="30"/>
  <c r="C2" i="9" a="1"/>
  <c r="C2" i="9" s="1"/>
  <c r="C1" i="9"/>
  <c r="B7" i="9" a="1"/>
  <c r="B7" i="9" s="1"/>
  <c r="B5" i="9"/>
  <c r="A19" i="42"/>
  <c r="A27" i="42"/>
  <c r="A33" i="42"/>
  <c r="A36" i="42"/>
  <c r="A39" i="42"/>
  <c r="A44" i="42"/>
  <c r="A49" i="42"/>
  <c r="A52" i="42"/>
  <c r="A55" i="42"/>
  <c r="A60" i="42"/>
  <c r="A69" i="42"/>
  <c r="A74" i="42"/>
  <c r="A86" i="42"/>
  <c r="A98" i="42"/>
  <c r="A110" i="42"/>
  <c r="A115" i="42"/>
  <c r="A120" i="42"/>
  <c r="A126" i="42"/>
  <c r="A136" i="42"/>
  <c r="A146" i="42"/>
  <c r="A154" i="42"/>
  <c r="A163" i="42"/>
  <c r="A171" i="42"/>
  <c r="A181" i="42"/>
  <c r="A188" i="42"/>
  <c r="A10" i="42"/>
  <c r="E272" i="42" a="1"/>
  <c r="F272" i="42" a="1"/>
  <c r="F272" i="42" l="1"/>
  <c r="E272" i="42"/>
  <c r="B8" i="2" l="1" a="1"/>
  <c r="B8" i="2" s="1"/>
  <c r="B7" i="2" a="1"/>
  <c r="B7" i="2" s="1"/>
  <c r="B5" i="2"/>
  <c r="D2" i="2" a="1"/>
  <c r="D2" i="2" s="1"/>
  <c r="D1" i="2"/>
  <c r="B8" i="3" a="1"/>
  <c r="B8" i="3" s="1"/>
  <c r="B7" i="3" a="1"/>
  <c r="B7" i="3" s="1"/>
  <c r="B5" i="3"/>
  <c r="B9" i="23" a="1"/>
  <c r="B9" i="23" s="1"/>
  <c r="B8" i="23" a="1"/>
  <c r="B8" i="23" s="1"/>
  <c r="B6" i="23"/>
  <c r="B3" i="23" a="1"/>
  <c r="B3" i="23" s="1"/>
  <c r="B2" i="23"/>
  <c r="J13" i="60" l="1"/>
  <c r="J17" i="60"/>
  <c r="C13" i="60"/>
  <c r="C17" i="60" l="1"/>
  <c r="I200" i="42"/>
  <c r="I199" i="42"/>
  <c r="I198" i="42"/>
  <c r="I197" i="42"/>
  <c r="I196" i="42"/>
  <c r="I193" i="42"/>
  <c r="I192" i="42"/>
  <c r="I191" i="42"/>
  <c r="I190" i="42"/>
  <c r="I189" i="42"/>
  <c r="I186" i="42"/>
  <c r="I185" i="42"/>
  <c r="I184" i="42"/>
  <c r="I183" i="42"/>
  <c r="I182" i="42"/>
  <c r="I177" i="42"/>
  <c r="I176" i="42"/>
  <c r="I179" i="42"/>
  <c r="I178" i="42"/>
  <c r="I175" i="42"/>
  <c r="I173" i="42"/>
  <c r="I172" i="42"/>
  <c r="I169" i="42"/>
  <c r="I168" i="42"/>
  <c r="I167" i="42"/>
  <c r="I166" i="42"/>
  <c r="I165" i="42"/>
  <c r="I164" i="42"/>
  <c r="I161" i="42"/>
  <c r="I160" i="42"/>
  <c r="I159" i="42"/>
  <c r="I158" i="42"/>
  <c r="I157" i="42"/>
  <c r="I156" i="42"/>
  <c r="I155" i="42"/>
  <c r="I152" i="42"/>
  <c r="I151" i="42"/>
  <c r="I150" i="42"/>
  <c r="I149" i="42"/>
  <c r="I148" i="42"/>
  <c r="I147" i="42"/>
  <c r="I144" i="42"/>
  <c r="I143" i="42"/>
  <c r="I142" i="42"/>
  <c r="I141" i="42"/>
  <c r="I140" i="42"/>
  <c r="I139" i="42"/>
  <c r="I138" i="42"/>
  <c r="I137" i="42"/>
  <c r="I131" i="42"/>
  <c r="I130" i="42"/>
  <c r="I129" i="42"/>
  <c r="I128" i="42"/>
  <c r="I134" i="42"/>
  <c r="I133" i="42"/>
  <c r="I132" i="42"/>
  <c r="I127" i="42"/>
  <c r="I124" i="42"/>
  <c r="I123" i="42"/>
  <c r="I122" i="42"/>
  <c r="I121" i="42"/>
  <c r="I118" i="42"/>
  <c r="I117" i="42"/>
  <c r="I116" i="42"/>
  <c r="I113" i="42"/>
  <c r="I112" i="42"/>
  <c r="I111" i="42"/>
  <c r="I108" i="42"/>
  <c r="I107" i="42"/>
  <c r="I106" i="42"/>
  <c r="I105" i="42"/>
  <c r="I104" i="42"/>
  <c r="I103" i="42"/>
  <c r="I102" i="42"/>
  <c r="I101" i="42"/>
  <c r="I100" i="42"/>
  <c r="I126" i="42" l="1"/>
  <c r="I136" i="42"/>
  <c r="I120" i="42"/>
  <c r="I195" i="42"/>
  <c r="I188" i="42"/>
  <c r="I181" i="42"/>
  <c r="I163" i="42"/>
  <c r="I154" i="42"/>
  <c r="I146" i="42"/>
  <c r="I110" i="42"/>
  <c r="I464" i="42" s="1"/>
  <c r="I463" i="42" s="1"/>
  <c r="I115" i="42"/>
  <c r="F99" i="42" a="1"/>
  <c r="F75" i="42" a="1"/>
  <c r="E75" i="42" a="1"/>
  <c r="F87" i="42" a="1"/>
  <c r="E99" i="42" a="1"/>
  <c r="E87" i="42" a="1"/>
  <c r="H282" i="42" a="1"/>
  <c r="H282" i="42" l="1"/>
  <c r="I282" i="42" s="1"/>
  <c r="I281" i="42" s="1"/>
  <c r="F99" i="42"/>
  <c r="E99" i="42"/>
  <c r="F75" i="42"/>
  <c r="E75" i="42"/>
  <c r="E87" i="42"/>
  <c r="F87" i="42"/>
  <c r="H272" i="42" a="1"/>
  <c r="H272" i="42" s="1"/>
  <c r="I272" i="42" s="1"/>
  <c r="I271" i="42" s="1"/>
  <c r="I84" i="42"/>
  <c r="I83" i="42"/>
  <c r="I82" i="42"/>
  <c r="I81" i="42"/>
  <c r="I80" i="42"/>
  <c r="I79" i="42"/>
  <c r="I78" i="42"/>
  <c r="I77" i="42"/>
  <c r="I76" i="42"/>
  <c r="I92" i="42"/>
  <c r="I91" i="42"/>
  <c r="I90" i="42"/>
  <c r="I96" i="42"/>
  <c r="I95" i="42"/>
  <c r="I94" i="42"/>
  <c r="I93" i="42"/>
  <c r="I89" i="42"/>
  <c r="I88" i="42"/>
  <c r="I72" i="42"/>
  <c r="I71" i="42"/>
  <c r="I70" i="42"/>
  <c r="I65" i="42"/>
  <c r="I64" i="42"/>
  <c r="I63" i="42"/>
  <c r="I62" i="42"/>
  <c r="I67" i="42"/>
  <c r="I66" i="42"/>
  <c r="I61" i="42"/>
  <c r="I58" i="42"/>
  <c r="I57" i="42"/>
  <c r="I56" i="42"/>
  <c r="I53" i="42"/>
  <c r="I52" i="42" s="1"/>
  <c r="I50" i="42"/>
  <c r="I49" i="42" s="1"/>
  <c r="I47" i="42"/>
  <c r="I46" i="42"/>
  <c r="I45" i="42"/>
  <c r="H87" i="42" a="1"/>
  <c r="H99" i="42" a="1"/>
  <c r="H75" i="42" a="1"/>
  <c r="H99" i="42" l="1"/>
  <c r="H75" i="42"/>
  <c r="H87" i="42"/>
  <c r="I69" i="42"/>
  <c r="I60" i="42"/>
  <c r="I55" i="42"/>
  <c r="I44" i="42"/>
  <c r="I42" i="42"/>
  <c r="I41" i="42"/>
  <c r="I40" i="42"/>
  <c r="I37" i="42"/>
  <c r="I36" i="42" s="1"/>
  <c r="I34" i="42"/>
  <c r="I33" i="42" s="1"/>
  <c r="I31" i="42"/>
  <c r="I30" i="42"/>
  <c r="I29" i="42"/>
  <c r="I28" i="42"/>
  <c r="I25" i="42"/>
  <c r="I24" i="42"/>
  <c r="I23" i="42"/>
  <c r="I22" i="42"/>
  <c r="I21" i="42"/>
  <c r="I20" i="42"/>
  <c r="I19" i="42" l="1"/>
  <c r="I39" i="42"/>
  <c r="I27" i="42"/>
  <c r="C8" i="42" a="1"/>
  <c r="C8" i="42" s="1"/>
  <c r="D1" i="42"/>
  <c r="G8" i="42"/>
  <c r="G7" i="42"/>
  <c r="C7" i="42" a="1"/>
  <c r="C7" i="42" s="1"/>
  <c r="C5" i="42"/>
  <c r="I12" i="42"/>
  <c r="I13" i="42"/>
  <c r="I14" i="42"/>
  <c r="I15" i="42"/>
  <c r="I16" i="42"/>
  <c r="I17" i="42"/>
  <c r="B28" i="41"/>
  <c r="B29" i="41"/>
  <c r="B27" i="41"/>
  <c r="D9" i="41"/>
  <c r="D8" i="41"/>
  <c r="K11" i="42" l="1"/>
  <c r="I10" i="42"/>
  <c r="E25" i="41"/>
  <c r="B9" i="41" a="1"/>
  <c r="B9" i="41" s="1"/>
  <c r="B8" i="41" a="1"/>
  <c r="B8" i="41" s="1"/>
  <c r="B6" i="41"/>
  <c r="B3" i="41" a="1"/>
  <c r="B3" i="41" s="1"/>
  <c r="B2" i="41"/>
  <c r="H174" i="42" l="1" a="1"/>
  <c r="H174" i="42" s="1"/>
  <c r="I174" i="42" s="1"/>
  <c r="I171" i="42" s="1"/>
  <c r="C9" i="36"/>
  <c r="B6" i="64" l="1"/>
  <c r="B7" i="68"/>
  <c r="B4" i="68" a="1"/>
  <c r="B4" i="68" s="1"/>
  <c r="C7" i="60"/>
  <c r="B6" i="63"/>
  <c r="D3" i="63" a="1"/>
  <c r="D3" i="63" s="1"/>
  <c r="C3" i="59" a="1"/>
  <c r="C3" i="59" s="1"/>
  <c r="B6" i="59"/>
  <c r="B6" i="52"/>
  <c r="D3" i="52" a="1"/>
  <c r="D3" i="52" s="1"/>
  <c r="B6" i="50"/>
  <c r="B3" i="50" a="1"/>
  <c r="B3" i="50" s="1"/>
  <c r="B6" i="49"/>
  <c r="B3" i="49" a="1"/>
  <c r="B3" i="49" s="1"/>
  <c r="B6" i="32"/>
  <c r="B3" i="32" a="1"/>
  <c r="B3" i="32" s="1"/>
  <c r="B3" i="4" a="1"/>
  <c r="B3" i="4" s="1"/>
  <c r="B6" i="4"/>
  <c r="C3" i="30" a="1"/>
  <c r="C3" i="30" s="1"/>
  <c r="B6" i="30"/>
  <c r="B6" i="9"/>
  <c r="C3" i="9" a="1"/>
  <c r="C3" i="9" s="1"/>
  <c r="B6" i="2"/>
  <c r="H95" i="2" s="1"/>
  <c r="B6" i="3"/>
  <c r="D3" i="2" a="1"/>
  <c r="D3" i="2" s="1"/>
  <c r="B4" i="23" a="1"/>
  <c r="B4" i="23" s="1"/>
  <c r="B7" i="23"/>
  <c r="D3" i="42" a="1"/>
  <c r="D3" i="42" s="1"/>
  <c r="C6" i="42"/>
  <c r="B4" i="41" a="1"/>
  <c r="B4" i="41" s="1"/>
  <c r="B7" i="41"/>
  <c r="C17" i="36"/>
  <c r="K475" i="42" l="1"/>
  <c r="K463" i="42"/>
  <c r="K462" i="42"/>
  <c r="K473" i="42"/>
  <c r="K472" i="42"/>
  <c r="K413" i="42"/>
  <c r="K210" i="42"/>
  <c r="K187" i="42"/>
  <c r="K86" i="42"/>
  <c r="K74" i="42"/>
  <c r="K18" i="42"/>
  <c r="K145" i="42"/>
  <c r="K110" i="42"/>
  <c r="K412" i="42"/>
  <c r="K195" i="42"/>
  <c r="K126" i="42"/>
  <c r="K114" i="42"/>
  <c r="K98" i="42"/>
  <c r="K54" i="42"/>
  <c r="K38" i="42"/>
  <c r="K26" i="42"/>
  <c r="K32" i="42"/>
  <c r="K181" i="42"/>
  <c r="K69" i="42"/>
  <c r="K239" i="42"/>
  <c r="K369" i="42"/>
  <c r="K251" i="42"/>
  <c r="K235" i="42"/>
  <c r="K194" i="42"/>
  <c r="K146" i="42"/>
  <c r="K33" i="42"/>
  <c r="K223" i="42"/>
  <c r="K36" i="42"/>
  <c r="K325" i="42"/>
  <c r="K256" i="42"/>
  <c r="K240" i="42"/>
  <c r="K224" i="42"/>
  <c r="K125" i="42"/>
  <c r="K109" i="42"/>
  <c r="K97" i="42"/>
  <c r="K85" i="42"/>
  <c r="K73" i="42"/>
  <c r="K49" i="42"/>
  <c r="K44" i="42"/>
  <c r="K368" i="42"/>
  <c r="K250" i="42"/>
  <c r="K234" i="42"/>
  <c r="K202" i="42"/>
  <c r="K163" i="42"/>
  <c r="K154" i="42"/>
  <c r="K271" i="42"/>
  <c r="K180" i="42"/>
  <c r="K211" i="42"/>
  <c r="K255" i="42"/>
  <c r="K324" i="42"/>
  <c r="K281" i="42"/>
  <c r="K265" i="42"/>
  <c r="K171" i="42"/>
  <c r="K162" i="42"/>
  <c r="K136" i="42"/>
  <c r="K120" i="42"/>
  <c r="K68" i="42"/>
  <c r="K60" i="42"/>
  <c r="K52" i="42"/>
  <c r="K48" i="42"/>
  <c r="K270" i="42"/>
  <c r="K206" i="42"/>
  <c r="K201" i="42"/>
  <c r="K188" i="42"/>
  <c r="K153" i="42"/>
  <c r="K259" i="42"/>
  <c r="K170" i="42"/>
  <c r="K280" i="42"/>
  <c r="K205" i="42"/>
  <c r="K135" i="42"/>
  <c r="K119" i="42"/>
  <c r="K115" i="42"/>
  <c r="K59" i="42"/>
  <c r="K55" i="42"/>
  <c r="K51" i="42"/>
  <c r="K43" i="42"/>
  <c r="K39" i="42"/>
  <c r="K35" i="42"/>
  <c r="K27" i="42"/>
  <c r="K19" i="42"/>
  <c r="K10" i="42"/>
  <c r="M10" i="42" s="1"/>
  <c r="M11" i="42" s="1"/>
  <c r="M12" i="42" s="1"/>
  <c r="M13" i="42" s="1"/>
  <c r="M14" i="42" s="1"/>
  <c r="M15" i="42" s="1"/>
  <c r="M16" i="42" s="1"/>
  <c r="M17" i="42" s="1"/>
  <c r="M18" i="42" s="1"/>
  <c r="C16" i="36"/>
  <c r="M19" i="42" l="1"/>
  <c r="M20" i="42" s="1"/>
  <c r="M21" i="42" s="1"/>
  <c r="M22" i="42" s="1"/>
  <c r="M23" i="42" s="1"/>
  <c r="M24" i="42" s="1"/>
  <c r="M25" i="42" s="1"/>
  <c r="M26" i="42" s="1"/>
  <c r="M27" i="42" s="1"/>
  <c r="M28" i="42" s="1"/>
  <c r="M29" i="42" s="1"/>
  <c r="M30" i="42" s="1"/>
  <c r="M31" i="42" s="1"/>
  <c r="M32" i="42" s="1"/>
  <c r="M33" i="42" s="1"/>
  <c r="M34" i="42" s="1"/>
  <c r="M35" i="42" s="1"/>
  <c r="M36" i="42" s="1"/>
  <c r="M37" i="42" s="1"/>
  <c r="M38" i="42" s="1"/>
  <c r="M39" i="42" s="1"/>
  <c r="M40" i="42" s="1"/>
  <c r="M41" i="42" s="1"/>
  <c r="M42" i="42" s="1"/>
  <c r="M43" i="42" s="1"/>
  <c r="M44" i="42" s="1"/>
  <c r="M45" i="42" s="1"/>
  <c r="M46" i="42" s="1"/>
  <c r="M47" i="42" s="1"/>
  <c r="M48" i="42" s="1"/>
  <c r="M49" i="42" s="1"/>
  <c r="M50" i="42" s="1"/>
  <c r="M51" i="42" s="1"/>
  <c r="M52" i="42" s="1"/>
  <c r="M53" i="42" s="1"/>
  <c r="M54" i="42" s="1"/>
  <c r="M55" i="42" s="1"/>
  <c r="M56" i="42" s="1"/>
  <c r="M57" i="42" s="1"/>
  <c r="M58" i="42" s="1"/>
  <c r="M59" i="42" s="1"/>
  <c r="M60" i="42" s="1"/>
  <c r="M61" i="42" s="1"/>
  <c r="M62" i="42" s="1"/>
  <c r="M63" i="42" s="1"/>
  <c r="M64" i="42" s="1"/>
  <c r="M65" i="42" s="1"/>
  <c r="M66" i="42" s="1"/>
  <c r="M67" i="42" s="1"/>
  <c r="M68" i="42" s="1"/>
  <c r="M69" i="42" s="1"/>
  <c r="M70" i="42" s="1"/>
  <c r="M71" i="42" s="1"/>
  <c r="M72" i="42" s="1"/>
  <c r="M73" i="42" s="1"/>
  <c r="M74" i="42" s="1"/>
  <c r="M75" i="42" s="1"/>
  <c r="M76" i="42" s="1"/>
  <c r="M77" i="42" s="1"/>
  <c r="M78" i="42" s="1"/>
  <c r="M79" i="42" s="1"/>
  <c r="M80" i="42" s="1"/>
  <c r="M81" i="42" s="1"/>
  <c r="M82" i="42" s="1"/>
  <c r="M83" i="42" s="1"/>
  <c r="M84" i="42" s="1"/>
  <c r="M85" i="42" s="1"/>
  <c r="M86" i="42" s="1"/>
  <c r="M87" i="42" s="1"/>
  <c r="M88" i="42" s="1"/>
  <c r="M89" i="42" s="1"/>
  <c r="M90" i="42" s="1"/>
  <c r="M91" i="42" s="1"/>
  <c r="M92" i="42" s="1"/>
  <c r="M93" i="42" s="1"/>
  <c r="M94" i="42" s="1"/>
  <c r="M95" i="42" s="1"/>
  <c r="M96" i="42" s="1"/>
  <c r="M97" i="42" s="1"/>
  <c r="M98" i="42" s="1"/>
  <c r="M99" i="42" s="1"/>
  <c r="M100" i="42" s="1"/>
  <c r="M101" i="42" s="1"/>
  <c r="M102" i="42" s="1"/>
  <c r="M103" i="42" s="1"/>
  <c r="M104" i="42" s="1"/>
  <c r="M105" i="42" s="1"/>
  <c r="M106" i="42" s="1"/>
  <c r="M107" i="42" s="1"/>
  <c r="M108" i="42" s="1"/>
  <c r="M109" i="42" s="1"/>
  <c r="M110" i="42" s="1"/>
  <c r="M111" i="42" s="1"/>
  <c r="M112" i="42" s="1"/>
  <c r="M113" i="42" s="1"/>
  <c r="M114" i="42" s="1"/>
  <c r="M115" i="42" s="1"/>
  <c r="M116" i="42" s="1"/>
  <c r="M117" i="42" s="1"/>
  <c r="M118" i="42" s="1"/>
  <c r="M119" i="42" s="1"/>
  <c r="M120" i="42" s="1"/>
  <c r="M121" i="42" s="1"/>
  <c r="M122" i="42" s="1"/>
  <c r="M123" i="42" s="1"/>
  <c r="M124" i="42" s="1"/>
  <c r="M125" i="42" s="1"/>
  <c r="M126" i="42" s="1"/>
  <c r="M127" i="42" s="1"/>
  <c r="M128" i="42" s="1"/>
  <c r="M129" i="42" s="1"/>
  <c r="M130" i="42" s="1"/>
  <c r="M131" i="42" s="1"/>
  <c r="M132" i="42" s="1"/>
  <c r="M133" i="42" s="1"/>
  <c r="M134" i="42" s="1"/>
  <c r="M135" i="42" s="1"/>
  <c r="M136" i="42" s="1"/>
  <c r="M137" i="42" s="1"/>
  <c r="M138" i="42" s="1"/>
  <c r="M139" i="42" s="1"/>
  <c r="M140" i="42" s="1"/>
  <c r="M141" i="42" s="1"/>
  <c r="M142" i="42" s="1"/>
  <c r="M143" i="42" s="1"/>
  <c r="M144" i="42" s="1"/>
  <c r="M145" i="42" s="1"/>
  <c r="M146" i="42" s="1"/>
  <c r="M147" i="42" s="1"/>
  <c r="M148" i="42" s="1"/>
  <c r="M149" i="42" s="1"/>
  <c r="M150" i="42" s="1"/>
  <c r="M151" i="42" s="1"/>
  <c r="M152" i="42" s="1"/>
  <c r="M153" i="42" s="1"/>
  <c r="M154" i="42" s="1"/>
  <c r="M155" i="42" s="1"/>
  <c r="M156" i="42" s="1"/>
  <c r="M157" i="42" s="1"/>
  <c r="M158" i="42" s="1"/>
  <c r="M159" i="42" s="1"/>
  <c r="M160" i="42" s="1"/>
  <c r="M161" i="42" s="1"/>
  <c r="M162" i="42" s="1"/>
  <c r="M163" i="42" s="1"/>
  <c r="M164" i="42" s="1"/>
  <c r="M165" i="42" s="1"/>
  <c r="M166" i="42" s="1"/>
  <c r="M167" i="42" s="1"/>
  <c r="M168" i="42" s="1"/>
  <c r="M169" i="42" s="1"/>
  <c r="M170" i="42" s="1"/>
  <c r="M171" i="42" s="1"/>
  <c r="M172" i="42" s="1"/>
  <c r="M173" i="42" s="1"/>
  <c r="M174" i="42" s="1"/>
  <c r="M175" i="42" s="1"/>
  <c r="M176" i="42" s="1"/>
  <c r="M177" i="42" s="1"/>
  <c r="M178" i="42" s="1"/>
  <c r="M179" i="42" s="1"/>
  <c r="M180" i="42" s="1"/>
  <c r="M181" i="42" s="1"/>
  <c r="M182" i="42" s="1"/>
  <c r="M183" i="42" s="1"/>
  <c r="M184" i="42" s="1"/>
  <c r="M185" i="42" s="1"/>
  <c r="M186" i="42" s="1"/>
  <c r="M187" i="42" s="1"/>
  <c r="M188" i="42" s="1"/>
  <c r="M189" i="42" s="1"/>
  <c r="M190" i="42" s="1"/>
  <c r="M191" i="42" s="1"/>
  <c r="M192" i="42" s="1"/>
  <c r="M193" i="42" s="1"/>
  <c r="M194" i="42" s="1"/>
  <c r="M195" i="42" s="1"/>
  <c r="M196" i="42" s="1"/>
  <c r="M197" i="42" s="1"/>
  <c r="M198" i="42" s="1"/>
  <c r="M199" i="42" s="1"/>
  <c r="M200" i="42" s="1"/>
  <c r="M201" i="42" s="1"/>
  <c r="M202" i="42" s="1"/>
  <c r="M203" i="42" s="1"/>
  <c r="M204" i="42" s="1"/>
  <c r="M205" i="42" s="1"/>
  <c r="M206" i="42" s="1"/>
  <c r="M207" i="42" s="1"/>
  <c r="M208" i="42" s="1"/>
  <c r="M209" i="42" s="1"/>
  <c r="M210" i="42" s="1"/>
  <c r="M211" i="42" s="1"/>
  <c r="M212" i="42" s="1"/>
  <c r="M213" i="42" s="1"/>
  <c r="M214" i="42" s="1"/>
  <c r="M215" i="42" s="1"/>
  <c r="M216" i="42" s="1"/>
  <c r="M217" i="42" s="1"/>
  <c r="M218" i="42" s="1"/>
  <c r="M219" i="42" s="1"/>
  <c r="M220" i="42" s="1"/>
  <c r="M221" i="42" s="1"/>
  <c r="M222" i="42" s="1"/>
  <c r="M223" i="42" s="1"/>
  <c r="M224" i="42" s="1"/>
  <c r="M225" i="42" s="1"/>
  <c r="M226" i="42" s="1"/>
  <c r="M227" i="42" s="1"/>
  <c r="M228" i="42" s="1"/>
  <c r="M229" i="42" s="1"/>
  <c r="M230" i="42" s="1"/>
  <c r="M231" i="42" s="1"/>
  <c r="M232" i="42" s="1"/>
  <c r="M233" i="42" s="1"/>
  <c r="M234" i="42" s="1"/>
  <c r="M235" i="42" s="1"/>
  <c r="M236" i="42" s="1"/>
  <c r="M237" i="42" s="1"/>
  <c r="M238" i="42" s="1"/>
  <c r="M239" i="42" s="1"/>
  <c r="M240" i="42" s="1"/>
  <c r="M241" i="42" s="1"/>
  <c r="M242" i="42" s="1"/>
  <c r="M243" i="42" s="1"/>
  <c r="M244" i="42" s="1"/>
  <c r="M245" i="42" s="1"/>
  <c r="M246" i="42" s="1"/>
  <c r="M247" i="42" s="1"/>
  <c r="M248" i="42" s="1"/>
  <c r="M249" i="42" s="1"/>
  <c r="M250" i="42" s="1"/>
  <c r="M251" i="42" s="1"/>
  <c r="M252" i="42" s="1"/>
  <c r="M253" i="42" s="1"/>
  <c r="M254" i="42" s="1"/>
  <c r="M255" i="42" s="1"/>
  <c r="M256" i="42" s="1"/>
  <c r="M257" i="42" s="1"/>
  <c r="M258" i="42" s="1"/>
  <c r="M259" i="42" s="1"/>
  <c r="M260" i="42" s="1"/>
  <c r="M261" i="42" s="1"/>
  <c r="M262" i="42" s="1"/>
  <c r="M263" i="42" s="1"/>
  <c r="M264" i="42" s="1"/>
  <c r="M265" i="42" s="1"/>
  <c r="M266" i="42" s="1"/>
  <c r="M267" i="42" s="1"/>
  <c r="M268" i="42" s="1"/>
  <c r="M269" i="42" s="1"/>
  <c r="M270" i="42" s="1"/>
  <c r="M271" i="42" s="1"/>
  <c r="M272" i="42" s="1"/>
  <c r="M273" i="42" s="1"/>
  <c r="M274" i="42" s="1"/>
  <c r="M275" i="42" s="1"/>
  <c r="M276" i="42" s="1"/>
  <c r="M277" i="42" s="1"/>
  <c r="M278" i="42" s="1"/>
  <c r="M279" i="42" s="1"/>
  <c r="M280" i="42" s="1"/>
  <c r="M281" i="42" s="1"/>
  <c r="M282" i="42" s="1"/>
  <c r="M283" i="42" s="1"/>
  <c r="M284" i="42" s="1"/>
  <c r="M285" i="42" s="1"/>
  <c r="M286" i="42" s="1"/>
  <c r="M287" i="42" s="1"/>
  <c r="M288" i="42" s="1"/>
  <c r="M289" i="42" s="1"/>
  <c r="M290" i="42" s="1"/>
  <c r="M291" i="42" s="1"/>
  <c r="M292" i="42" s="1"/>
  <c r="M293" i="42" s="1"/>
  <c r="M294" i="42" s="1"/>
  <c r="M295" i="42" s="1"/>
  <c r="M296" i="42" s="1"/>
  <c r="M297" i="42" s="1"/>
  <c r="M298" i="42" s="1"/>
  <c r="M299" i="42" s="1"/>
  <c r="M300" i="42" s="1"/>
  <c r="M301" i="42" s="1"/>
  <c r="M302" i="42" s="1"/>
  <c r="M303" i="42" s="1"/>
  <c r="M304" i="42" s="1"/>
  <c r="M305" i="42" s="1"/>
  <c r="M306" i="42" s="1"/>
  <c r="M307" i="42" s="1"/>
  <c r="M308" i="42" s="1"/>
  <c r="M309" i="42" s="1"/>
  <c r="M310" i="42" s="1"/>
  <c r="M311" i="42" s="1"/>
  <c r="M312" i="42" s="1"/>
  <c r="M313" i="42" s="1"/>
  <c r="M314" i="42" s="1"/>
  <c r="M315" i="42" s="1"/>
  <c r="M316" i="42" s="1"/>
  <c r="M317" i="42" s="1"/>
  <c r="M318" i="42" s="1"/>
  <c r="M319" i="42" s="1"/>
  <c r="M320" i="42" s="1"/>
  <c r="M321" i="42" s="1"/>
  <c r="M322" i="42" s="1"/>
  <c r="M323" i="42" s="1"/>
  <c r="M324" i="42" s="1"/>
  <c r="M325" i="42" s="1"/>
  <c r="M326" i="42" s="1"/>
  <c r="M327" i="42" s="1"/>
  <c r="M328" i="42" s="1"/>
  <c r="M329" i="42" s="1"/>
  <c r="M330" i="42" s="1"/>
  <c r="M331" i="42" s="1"/>
  <c r="M332" i="42" s="1"/>
  <c r="M333" i="42" s="1"/>
  <c r="M334" i="42" s="1"/>
  <c r="M335" i="42" s="1"/>
  <c r="M336" i="42" s="1"/>
  <c r="M337" i="42" s="1"/>
  <c r="M338" i="42" s="1"/>
  <c r="M339" i="42" s="1"/>
  <c r="M340" i="42" s="1"/>
  <c r="M341" i="42" s="1"/>
  <c r="M342" i="42" s="1"/>
  <c r="M343" i="42" s="1"/>
  <c r="M344" i="42" s="1"/>
  <c r="M345" i="42" s="1"/>
  <c r="M346" i="42" s="1"/>
  <c r="M347" i="42" s="1"/>
  <c r="M348" i="42" s="1"/>
  <c r="M349" i="42" s="1"/>
  <c r="M350" i="42" s="1"/>
  <c r="M351" i="42" s="1"/>
  <c r="M352" i="42" s="1"/>
  <c r="M353" i="42" s="1"/>
  <c r="M354" i="42" s="1"/>
  <c r="M355" i="42" s="1"/>
  <c r="M356" i="42" s="1"/>
  <c r="M357" i="42" s="1"/>
  <c r="M358" i="42" s="1"/>
  <c r="M359" i="42" s="1"/>
  <c r="M360" i="42" s="1"/>
  <c r="M361" i="42" s="1"/>
  <c r="M362" i="42" s="1"/>
  <c r="M363" i="42" s="1"/>
  <c r="M364" i="42" s="1"/>
  <c r="M365" i="42" s="1"/>
  <c r="M366" i="42" s="1"/>
  <c r="M367" i="42" s="1"/>
  <c r="M368" i="42" s="1"/>
  <c r="M369" i="42" s="1"/>
  <c r="M370" i="42" s="1"/>
  <c r="M371" i="42" s="1"/>
  <c r="M372" i="42" s="1"/>
  <c r="M373" i="42" s="1"/>
  <c r="M374" i="42" s="1"/>
  <c r="M375" i="42" s="1"/>
  <c r="M376" i="42" s="1"/>
  <c r="M377" i="42" s="1"/>
  <c r="M378" i="42" s="1"/>
  <c r="M379" i="42" s="1"/>
  <c r="M380" i="42" s="1"/>
  <c r="M381" i="42" s="1"/>
  <c r="M382" i="42" s="1"/>
  <c r="M383" i="42" s="1"/>
  <c r="M384" i="42" s="1"/>
  <c r="M385" i="42" s="1"/>
  <c r="M386" i="42" s="1"/>
  <c r="M387" i="42" s="1"/>
  <c r="M388" i="42" s="1"/>
  <c r="M389" i="42" s="1"/>
  <c r="M390" i="42" s="1"/>
  <c r="M391" i="42" s="1"/>
  <c r="M392" i="42" s="1"/>
  <c r="M393" i="42" s="1"/>
  <c r="M394" i="42" s="1"/>
  <c r="M395" i="42" s="1"/>
  <c r="M396" i="42" s="1"/>
  <c r="M397" i="42" s="1"/>
  <c r="M398" i="42" s="1"/>
  <c r="M399" i="42" s="1"/>
  <c r="M400" i="42" s="1"/>
  <c r="M401" i="42" s="1"/>
  <c r="M402" i="42" s="1"/>
  <c r="M403" i="42" s="1"/>
  <c r="M404" i="42" s="1"/>
  <c r="M405" i="42" s="1"/>
  <c r="M406" i="42" s="1"/>
  <c r="M407" i="42" s="1"/>
  <c r="M408" i="42" s="1"/>
  <c r="M409" i="42" s="1"/>
  <c r="M410" i="42" s="1"/>
  <c r="M411" i="42" s="1"/>
  <c r="M412" i="42" s="1"/>
  <c r="M413" i="42" s="1"/>
  <c r="M414" i="42" s="1"/>
  <c r="M415" i="42" s="1"/>
  <c r="M416" i="42" s="1"/>
  <c r="M417" i="42" s="1"/>
  <c r="M418" i="42" s="1"/>
  <c r="M419" i="42" s="1"/>
  <c r="M420" i="42" s="1"/>
  <c r="M421" i="42" s="1"/>
  <c r="M422" i="42" s="1"/>
  <c r="M423" i="42" s="1"/>
  <c r="M424" i="42" s="1"/>
  <c r="M425" i="42" s="1"/>
  <c r="M426" i="42" s="1"/>
  <c r="M427" i="42" s="1"/>
  <c r="M428" i="42" s="1"/>
  <c r="M429" i="42" s="1"/>
  <c r="M430" i="42" s="1"/>
  <c r="M431" i="42" s="1"/>
  <c r="M432" i="42" s="1"/>
  <c r="M433" i="42" s="1"/>
  <c r="M434" i="42" s="1"/>
  <c r="M435" i="42" s="1"/>
  <c r="M436" i="42" s="1"/>
  <c r="M437" i="42" s="1"/>
  <c r="M438" i="42" s="1"/>
  <c r="M439" i="42" s="1"/>
  <c r="M440" i="42" s="1"/>
  <c r="M441" i="42" s="1"/>
  <c r="M442" i="42" s="1"/>
  <c r="M443" i="42" s="1"/>
  <c r="M444" i="42" s="1"/>
  <c r="M445" i="42" s="1"/>
  <c r="M446" i="42" s="1"/>
  <c r="M447" i="42" s="1"/>
  <c r="M448" i="42" s="1"/>
  <c r="M449" i="42" s="1"/>
  <c r="M450" i="42" s="1"/>
  <c r="M451" i="42" s="1"/>
  <c r="M452" i="42" s="1"/>
  <c r="M453" i="42" s="1"/>
  <c r="M454" i="42" s="1"/>
  <c r="M455" i="42" s="1"/>
  <c r="M456" i="42" s="1"/>
  <c r="M457" i="42" s="1"/>
  <c r="M458" i="42" s="1"/>
  <c r="M459" i="42" s="1"/>
  <c r="M460" i="42" s="1"/>
  <c r="M461" i="42" s="1"/>
  <c r="M462" i="42" s="1"/>
  <c r="M463" i="42" s="1"/>
  <c r="M464" i="42" s="1"/>
  <c r="M465" i="42" s="1"/>
  <c r="M466" i="42" s="1"/>
  <c r="M467" i="42" s="1"/>
  <c r="M468" i="42" s="1"/>
  <c r="M469" i="42" s="1"/>
  <c r="M470" i="42" s="1"/>
  <c r="M471" i="42" s="1"/>
  <c r="M472" i="42" s="1"/>
  <c r="M473" i="42" s="1"/>
  <c r="M474" i="42" s="1"/>
  <c r="M475" i="42" s="1"/>
  <c r="H19" i="32" l="1"/>
  <c r="K107" i="9" l="1"/>
  <c r="J107" i="9"/>
  <c r="I107" i="9"/>
  <c r="H107" i="9"/>
  <c r="G107" i="9"/>
  <c r="AH118" i="9"/>
  <c r="AI118" i="9" s="1"/>
  <c r="AH116" i="9" l="1"/>
  <c r="AI116" i="9" s="1"/>
  <c r="AH117" i="9"/>
  <c r="AI117" i="9" s="1"/>
  <c r="K93" i="9" l="1"/>
  <c r="J93" i="9"/>
  <c r="AH70" i="9"/>
  <c r="AH72" i="9"/>
  <c r="AH69" i="9"/>
  <c r="G94" i="9"/>
  <c r="H93" i="9"/>
  <c r="G90" i="9"/>
  <c r="AH94" i="9"/>
  <c r="I93" i="9"/>
  <c r="AH92" i="9"/>
  <c r="J94" i="9"/>
  <c r="AH95" i="9"/>
  <c r="I94" i="9"/>
  <c r="H94" i="9"/>
  <c r="AH93" i="9"/>
  <c r="K90" i="9"/>
  <c r="K95" i="9"/>
  <c r="J90" i="9"/>
  <c r="I90" i="9"/>
  <c r="H90" i="9"/>
  <c r="G95" i="9"/>
  <c r="G100" i="9" l="1"/>
  <c r="B1" i="34" l="1"/>
  <c r="C1" i="34" s="1"/>
  <c r="D1" i="34" s="1"/>
  <c r="E1" i="34" s="1"/>
  <c r="F1" i="34" s="1"/>
  <c r="G1" i="34" s="1"/>
  <c r="H1" i="34" s="1"/>
  <c r="I1" i="34" s="1"/>
  <c r="J1" i="34" s="1"/>
  <c r="K1" i="34" s="1"/>
  <c r="L1" i="34" s="1"/>
  <c r="M1" i="34" s="1"/>
  <c r="N1" i="34" s="1"/>
  <c r="O1" i="34" s="1"/>
  <c r="P1" i="34" s="1"/>
  <c r="Q1" i="34" s="1"/>
  <c r="G3" i="27"/>
  <c r="S23" i="33"/>
  <c r="Q23" i="33" s="1"/>
  <c r="N23" i="33"/>
  <c r="V23" i="33" s="1"/>
  <c r="Y23" i="33" s="1"/>
  <c r="Z23" i="33" s="1"/>
  <c r="H24" i="33" s="1"/>
  <c r="F23" i="33"/>
  <c r="G23" i="33" s="1"/>
  <c r="E23" i="33"/>
  <c r="B7" i="33"/>
  <c r="B5" i="33"/>
  <c r="N33" i="33"/>
  <c r="E33" i="33"/>
  <c r="N32" i="33"/>
  <c r="E32" i="33"/>
  <c r="N31" i="33"/>
  <c r="E31" i="33"/>
  <c r="N30" i="33"/>
  <c r="E30" i="33"/>
  <c r="N29" i="33"/>
  <c r="E29" i="33"/>
  <c r="N28" i="33"/>
  <c r="E28" i="33"/>
  <c r="N27" i="33"/>
  <c r="E27" i="33"/>
  <c r="N26" i="33"/>
  <c r="E26" i="33"/>
  <c r="N25" i="33"/>
  <c r="E25" i="33"/>
  <c r="N24" i="33"/>
  <c r="E24" i="33"/>
  <c r="R23" i="33" l="1"/>
  <c r="T23" i="33" s="1"/>
  <c r="U23" i="33"/>
  <c r="H25" i="33"/>
  <c r="H26" i="33" l="1"/>
  <c r="H27" i="33" l="1"/>
  <c r="F3" i="27"/>
  <c r="B2" i="33"/>
  <c r="C2" i="3"/>
  <c r="B2" i="21"/>
  <c r="C2" i="14"/>
  <c r="D12" i="32"/>
  <c r="D11" i="32"/>
  <c r="H12" i="32"/>
  <c r="H11" i="32"/>
  <c r="B6" i="33" l="1"/>
  <c r="Z14" i="33"/>
  <c r="X9" i="33"/>
  <c r="Z13" i="33"/>
  <c r="Z12" i="33"/>
  <c r="Z11" i="33"/>
  <c r="H28" i="33"/>
  <c r="C16" i="21"/>
  <c r="C35" i="21"/>
  <c r="J23" i="33" l="1"/>
  <c r="K23" i="33" s="1"/>
  <c r="J24" i="33"/>
  <c r="K24" i="33" s="1"/>
  <c r="J25" i="33"/>
  <c r="K25" i="33" s="1"/>
  <c r="J26" i="33"/>
  <c r="K26" i="33" s="1"/>
  <c r="J27" i="33"/>
  <c r="K27" i="33" s="1"/>
  <c r="H29" i="33"/>
  <c r="J28" i="33"/>
  <c r="K28" i="33" s="1"/>
  <c r="G50" i="9" l="1"/>
  <c r="G44" i="9"/>
  <c r="G65" i="9"/>
  <c r="G66" i="9" s="1"/>
  <c r="S50" i="9"/>
  <c r="S51" i="9" s="1"/>
  <c r="K44" i="9"/>
  <c r="N50" i="9"/>
  <c r="N51" i="9" s="1"/>
  <c r="R50" i="9"/>
  <c r="R51" i="9" s="1"/>
  <c r="J44" i="9"/>
  <c r="AH50" i="9"/>
  <c r="Q50" i="9"/>
  <c r="Q51" i="9" s="1"/>
  <c r="I44" i="9"/>
  <c r="P50" i="9"/>
  <c r="P51" i="9" s="1"/>
  <c r="T44" i="9"/>
  <c r="T45" i="9" s="1"/>
  <c r="H44" i="9"/>
  <c r="O50" i="9"/>
  <c r="O51" i="9" s="1"/>
  <c r="S44" i="9"/>
  <c r="S45" i="9" s="1"/>
  <c r="M50" i="9"/>
  <c r="M51" i="9" s="1"/>
  <c r="Q44" i="9"/>
  <c r="Q45" i="9" s="1"/>
  <c r="L50" i="9"/>
  <c r="L51" i="9" s="1"/>
  <c r="P44" i="9"/>
  <c r="P45" i="9" s="1"/>
  <c r="K50" i="9"/>
  <c r="O44" i="9"/>
  <c r="O45" i="9" s="1"/>
  <c r="J50" i="9"/>
  <c r="N44" i="9"/>
  <c r="N45" i="9" s="1"/>
  <c r="AH44" i="9"/>
  <c r="I50" i="9"/>
  <c r="M44" i="9"/>
  <c r="M45" i="9" s="1"/>
  <c r="R44" i="9"/>
  <c r="R45" i="9" s="1"/>
  <c r="T50" i="9"/>
  <c r="T51" i="9" s="1"/>
  <c r="H50" i="9"/>
  <c r="L44" i="9"/>
  <c r="L45" i="9" s="1"/>
  <c r="R88" i="9"/>
  <c r="R65" i="9"/>
  <c r="R66" i="9" s="1"/>
  <c r="Q88" i="9"/>
  <c r="S88" i="9"/>
  <c r="Q65" i="9"/>
  <c r="Q66" i="9" s="1"/>
  <c r="S65" i="9"/>
  <c r="S66" i="9" s="1"/>
  <c r="N88" i="9"/>
  <c r="M88" i="9"/>
  <c r="L88" i="9"/>
  <c r="T88" i="9"/>
  <c r="P88" i="9"/>
  <c r="O88" i="9"/>
  <c r="N65" i="9"/>
  <c r="N66" i="9" s="1"/>
  <c r="M65" i="9"/>
  <c r="M66" i="9" s="1"/>
  <c r="L65" i="9"/>
  <c r="L66" i="9" s="1"/>
  <c r="T65" i="9"/>
  <c r="T66" i="9" s="1"/>
  <c r="P65" i="9"/>
  <c r="P66" i="9" s="1"/>
  <c r="O65" i="9"/>
  <c r="O66" i="9" s="1"/>
  <c r="R104" i="9"/>
  <c r="R106" i="9" s="1"/>
  <c r="Q104" i="9"/>
  <c r="Q106" i="9" s="1"/>
  <c r="R103" i="9"/>
  <c r="R105" i="9" s="1"/>
  <c r="Q103" i="9"/>
  <c r="Q105" i="9" s="1"/>
  <c r="S104" i="9"/>
  <c r="S106" i="9" s="1"/>
  <c r="P104" i="9"/>
  <c r="P106" i="9" s="1"/>
  <c r="T104" i="9"/>
  <c r="T106" i="9" s="1"/>
  <c r="L104" i="9"/>
  <c r="L106" i="9" s="1"/>
  <c r="S103" i="9"/>
  <c r="S105" i="9" s="1"/>
  <c r="P103" i="9"/>
  <c r="P105" i="9" s="1"/>
  <c r="N104" i="9"/>
  <c r="N106" i="9" s="1"/>
  <c r="M104" i="9"/>
  <c r="M106" i="9" s="1"/>
  <c r="T103" i="9"/>
  <c r="T105" i="9" s="1"/>
  <c r="O104" i="9"/>
  <c r="O106" i="9" s="1"/>
  <c r="N103" i="9"/>
  <c r="N105" i="9" s="1"/>
  <c r="M103" i="9"/>
  <c r="M105" i="9" s="1"/>
  <c r="L103" i="9"/>
  <c r="L105" i="9" s="1"/>
  <c r="O103" i="9"/>
  <c r="O105" i="9" s="1"/>
  <c r="F38" i="4"/>
  <c r="F40" i="4" s="1"/>
  <c r="I40" i="4" s="1"/>
  <c r="F27" i="4"/>
  <c r="F48" i="4"/>
  <c r="F49" i="4"/>
  <c r="L23" i="33"/>
  <c r="W23" i="33"/>
  <c r="H30" i="33"/>
  <c r="J29" i="33"/>
  <c r="K29" i="33" s="1"/>
  <c r="J65" i="9"/>
  <c r="K65" i="9"/>
  <c r="G104" i="9"/>
  <c r="G103" i="9"/>
  <c r="H65" i="9"/>
  <c r="I65" i="9"/>
  <c r="AH65" i="9"/>
  <c r="H103" i="9"/>
  <c r="I103" i="9"/>
  <c r="AH103" i="9"/>
  <c r="K103" i="9"/>
  <c r="K104" i="9"/>
  <c r="AH104" i="9"/>
  <c r="J103" i="9"/>
  <c r="H104" i="9"/>
  <c r="I104" i="9"/>
  <c r="J104" i="9"/>
  <c r="G45" i="9" l="1"/>
  <c r="AI44" i="9"/>
  <c r="G51" i="9"/>
  <c r="F51" i="4"/>
  <c r="I51" i="4" s="1"/>
  <c r="F50" i="4"/>
  <c r="I50" i="4" s="1"/>
  <c r="F29" i="4"/>
  <c r="I29" i="4" s="1"/>
  <c r="F28" i="4"/>
  <c r="F39" i="4"/>
  <c r="F41" i="4" s="1"/>
  <c r="I41" i="4" s="1"/>
  <c r="J30" i="33"/>
  <c r="K30" i="33" s="1"/>
  <c r="H31" i="33"/>
  <c r="F30" i="4" l="1"/>
  <c r="I30" i="4" s="1"/>
  <c r="H32" i="33"/>
  <c r="J31" i="33"/>
  <c r="K31" i="33" s="1"/>
  <c r="F14" i="3"/>
  <c r="C14" i="3"/>
  <c r="H33" i="33" l="1"/>
  <c r="J33" i="33" s="1"/>
  <c r="K33" i="33" s="1"/>
  <c r="J32" i="33"/>
  <c r="K32" i="33" s="1"/>
  <c r="H114" i="9" l="1"/>
  <c r="G114" i="9"/>
  <c r="I114" i="9"/>
  <c r="J18" i="60" l="1"/>
  <c r="C18" i="60" l="1"/>
  <c r="AH98" i="9"/>
  <c r="AH99" i="9"/>
  <c r="AH100" i="9"/>
  <c r="AH101" i="9"/>
  <c r="AH21" i="9" l="1"/>
  <c r="AH75" i="9" s="1"/>
  <c r="K37" i="9"/>
  <c r="K35" i="9"/>
  <c r="K21" i="9"/>
  <c r="K75" i="9" s="1"/>
  <c r="J100" i="9"/>
  <c r="J37" i="9"/>
  <c r="J35" i="9"/>
  <c r="J114" i="9"/>
  <c r="J21" i="9"/>
  <c r="J75" i="9" s="1"/>
  <c r="I100" i="9"/>
  <c r="I99" i="9"/>
  <c r="I37" i="9"/>
  <c r="I35" i="9"/>
  <c r="I21" i="9"/>
  <c r="I75" i="9" s="1"/>
  <c r="K36" i="9" l="1"/>
  <c r="I36" i="9"/>
  <c r="J36" i="9"/>
  <c r="I76" i="9"/>
  <c r="I95" i="9"/>
  <c r="I101" i="9" s="1"/>
  <c r="J76" i="9"/>
  <c r="J95" i="9"/>
  <c r="J101" i="9" s="1"/>
  <c r="K76" i="9"/>
  <c r="K94" i="9"/>
  <c r="AI94" i="9" s="1"/>
  <c r="AH91" i="9"/>
  <c r="AH97" i="9" s="1"/>
  <c r="I91" i="9"/>
  <c r="I97" i="9" s="1"/>
  <c r="J92" i="9"/>
  <c r="J98" i="9" s="1"/>
  <c r="K92" i="9"/>
  <c r="K98" i="9" s="1"/>
  <c r="AH90" i="9"/>
  <c r="K91" i="9"/>
  <c r="K97" i="9" s="1"/>
  <c r="J91" i="9"/>
  <c r="I92" i="9"/>
  <c r="I98" i="9" s="1"/>
  <c r="K99" i="9"/>
  <c r="J99" i="9"/>
  <c r="I96" i="9"/>
  <c r="K96" i="9"/>
  <c r="J96" i="9"/>
  <c r="K32" i="9"/>
  <c r="K114" i="9"/>
  <c r="AI114" i="9" s="1"/>
  <c r="AH23" i="9"/>
  <c r="I23" i="9"/>
  <c r="J23" i="9"/>
  <c r="K23" i="9"/>
  <c r="AH68" i="9"/>
  <c r="K101" i="9"/>
  <c r="J32" i="9"/>
  <c r="I32" i="9"/>
  <c r="J54" i="9" l="1"/>
  <c r="AI90" i="9"/>
  <c r="K73" i="9"/>
  <c r="K71" i="9"/>
  <c r="J73" i="9"/>
  <c r="J71" i="9"/>
  <c r="I73" i="9"/>
  <c r="I71" i="9"/>
  <c r="K100" i="9"/>
  <c r="J97" i="9"/>
  <c r="I72" i="9"/>
  <c r="J72" i="9"/>
  <c r="K72" i="9"/>
  <c r="K70" i="9"/>
  <c r="I70" i="9"/>
  <c r="J70" i="9"/>
  <c r="K69" i="9"/>
  <c r="K33" i="9"/>
  <c r="K34" i="9" s="1"/>
  <c r="K54" i="9" s="1"/>
  <c r="I69" i="9"/>
  <c r="I33" i="9"/>
  <c r="I34" i="9" s="1"/>
  <c r="I54" i="9" s="1"/>
  <c r="J69" i="9"/>
  <c r="J33" i="9"/>
  <c r="J34" i="9" s="1"/>
  <c r="J56" i="9" s="1"/>
  <c r="I102" i="9"/>
  <c r="I106" i="9" s="1"/>
  <c r="K102" i="9"/>
  <c r="K106" i="9" s="1"/>
  <c r="J102" i="9"/>
  <c r="J106" i="9" s="1"/>
  <c r="K68" i="9"/>
  <c r="J68" i="9"/>
  <c r="I68" i="9"/>
  <c r="K56" i="9" l="1"/>
  <c r="I59" i="9"/>
  <c r="I79" i="9" s="1"/>
  <c r="J59" i="9"/>
  <c r="J79" i="9" s="1"/>
  <c r="K59" i="9"/>
  <c r="K79" i="9" s="1"/>
  <c r="I105" i="9"/>
  <c r="J105" i="9"/>
  <c r="K105" i="9"/>
  <c r="I55" i="9" l="1"/>
  <c r="I39" i="9"/>
  <c r="K55" i="9"/>
  <c r="K39" i="9"/>
  <c r="J55" i="9"/>
  <c r="J39" i="9"/>
  <c r="J58" i="9"/>
  <c r="J57" i="9"/>
  <c r="I58" i="9"/>
  <c r="I57" i="9"/>
  <c r="I56" i="9"/>
  <c r="K57" i="9"/>
  <c r="K58" i="9"/>
  <c r="K41" i="9" l="1"/>
  <c r="K46" i="9"/>
  <c r="K49" i="9" s="1"/>
  <c r="K51" i="9" s="1"/>
  <c r="K43" i="9"/>
  <c r="K45" i="9" s="1"/>
  <c r="I43" i="9"/>
  <c r="I45" i="9" s="1"/>
  <c r="I41" i="9"/>
  <c r="I46" i="9"/>
  <c r="I49" i="9" s="1"/>
  <c r="I51" i="9" s="1"/>
  <c r="J41" i="9"/>
  <c r="J46" i="9"/>
  <c r="J49" i="9" s="1"/>
  <c r="J51" i="9" s="1"/>
  <c r="J43" i="9"/>
  <c r="J45" i="9" s="1"/>
  <c r="J62" i="9"/>
  <c r="J83" i="9" s="1"/>
  <c r="I62" i="9"/>
  <c r="I83" i="9" s="1"/>
  <c r="I61" i="9"/>
  <c r="I81" i="9" s="1"/>
  <c r="J61" i="9"/>
  <c r="J82" i="9" s="1"/>
  <c r="K62" i="9"/>
  <c r="K83" i="9" s="1"/>
  <c r="K61" i="9"/>
  <c r="K82" i="9" s="1"/>
  <c r="K60" i="9"/>
  <c r="K80" i="9" s="1"/>
  <c r="I60" i="9"/>
  <c r="J60" i="9"/>
  <c r="J80" i="9" s="1"/>
  <c r="I53" i="9" l="1"/>
  <c r="I63" i="9" s="1"/>
  <c r="I66" i="9" s="1"/>
  <c r="I82" i="9"/>
  <c r="K78" i="9"/>
  <c r="I80" i="9"/>
  <c r="J81" i="9"/>
  <c r="J53" i="9"/>
  <c r="J63" i="9" s="1"/>
  <c r="J66" i="9" s="1"/>
  <c r="K81" i="9"/>
  <c r="J78" i="9"/>
  <c r="I78" i="9"/>
  <c r="K53" i="9"/>
  <c r="K63" i="9" s="1"/>
  <c r="K66" i="9" s="1"/>
  <c r="I84" i="9" l="1"/>
  <c r="I85" i="9" s="1"/>
  <c r="I88" i="9" s="1"/>
  <c r="J84" i="9"/>
  <c r="J85" i="9" s="1"/>
  <c r="J88" i="9" s="1"/>
  <c r="K84" i="9"/>
  <c r="K85" i="9" s="1"/>
  <c r="K88" i="9" s="1"/>
  <c r="H75" i="2" l="1"/>
  <c r="H73" i="2"/>
  <c r="H79" i="2" l="1"/>
  <c r="H76" i="2"/>
  <c r="H21" i="9" l="1"/>
  <c r="AI21" i="9" l="1"/>
  <c r="H75" i="9"/>
  <c r="AI75" i="9" s="1"/>
  <c r="H76" i="9"/>
  <c r="H95" i="9"/>
  <c r="AI95" i="9" s="1"/>
  <c r="H91" i="9"/>
  <c r="H92" i="9"/>
  <c r="H23" i="9"/>
  <c r="AI23" i="9" s="1"/>
  <c r="H17" i="32" l="1"/>
  <c r="H14" i="32"/>
  <c r="H101" i="9"/>
  <c r="G101" i="9" l="1"/>
  <c r="AI101" i="9" s="1"/>
  <c r="G76" i="9" l="1"/>
  <c r="AI76" i="9" s="1"/>
  <c r="G93" i="9"/>
  <c r="AI93" i="9" s="1"/>
  <c r="G91" i="9"/>
  <c r="AI91" i="9" s="1"/>
  <c r="H16" i="32"/>
  <c r="G96" i="9"/>
  <c r="G92" i="9"/>
  <c r="AI92" i="9" s="1"/>
  <c r="G99" i="9" l="1"/>
  <c r="G98" i="9"/>
  <c r="H18" i="32"/>
  <c r="G97" i="9"/>
  <c r="G102" i="9"/>
  <c r="B2" i="20" l="1"/>
  <c r="B3" i="21"/>
  <c r="C3" i="14" l="1"/>
  <c r="AI115" i="9" l="1"/>
  <c r="I14" i="20" l="1"/>
  <c r="Q10" i="20" s="1"/>
  <c r="J24" i="20" l="1"/>
  <c r="J31" i="20"/>
  <c r="J30" i="20"/>
  <c r="J23" i="20"/>
  <c r="J29" i="20"/>
  <c r="J28" i="20"/>
  <c r="M22" i="20"/>
  <c r="J22" i="20"/>
  <c r="J27" i="20"/>
  <c r="J26" i="20"/>
  <c r="J25" i="20"/>
  <c r="M23" i="20"/>
  <c r="M37" i="20" s="1"/>
  <c r="M25" i="20"/>
  <c r="M39" i="20" s="1"/>
  <c r="M24" i="20"/>
  <c r="M38" i="20" s="1"/>
  <c r="M26" i="20"/>
  <c r="M40" i="20" s="1"/>
  <c r="M27" i="20"/>
  <c r="M41" i="20" s="1"/>
  <c r="M28" i="20"/>
  <c r="M42" i="20" s="1"/>
  <c r="M29" i="20"/>
  <c r="M43" i="20" s="1"/>
  <c r="M30" i="20"/>
  <c r="M44" i="20" s="1"/>
  <c r="M31" i="20"/>
  <c r="M45" i="20" s="1"/>
  <c r="M36" i="20"/>
  <c r="P27" i="20" l="1"/>
  <c r="R27" i="20"/>
  <c r="R31" i="20"/>
  <c r="P31" i="20"/>
  <c r="R26" i="20"/>
  <c r="P26" i="20"/>
  <c r="R29" i="20"/>
  <c r="P29" i="20"/>
  <c r="R23" i="20"/>
  <c r="P23" i="20"/>
  <c r="P30" i="20"/>
  <c r="R30" i="20"/>
  <c r="R28" i="20"/>
  <c r="P28" i="20"/>
  <c r="R24" i="20"/>
  <c r="P24" i="20"/>
  <c r="R25" i="20"/>
  <c r="P25" i="20"/>
  <c r="R22" i="20"/>
  <c r="N22" i="20"/>
  <c r="P22" i="20"/>
  <c r="H18" i="14"/>
  <c r="K18" i="14" s="1"/>
  <c r="N18" i="14" s="1"/>
  <c r="L23" i="20" l="1"/>
  <c r="N23" i="20" s="1"/>
  <c r="I36" i="20"/>
  <c r="L24" i="20"/>
  <c r="N24" i="20" s="1"/>
  <c r="I37" i="20"/>
  <c r="J37" i="20" l="1"/>
  <c r="C37" i="20" s="1"/>
  <c r="L25" i="20"/>
  <c r="N25" i="20" s="1"/>
  <c r="I38" i="20"/>
  <c r="B37" i="20" l="1"/>
  <c r="D37" i="20" s="1"/>
  <c r="E37" i="20" s="1"/>
  <c r="K37" i="20" s="1"/>
  <c r="J38" i="20"/>
  <c r="B38" i="20" s="1"/>
  <c r="L26" i="20"/>
  <c r="N26" i="20" s="1"/>
  <c r="I39" i="20"/>
  <c r="H32" i="9"/>
  <c r="C38" i="20" l="1"/>
  <c r="D38" i="20" s="1"/>
  <c r="E38" i="20" s="1"/>
  <c r="K38" i="20" s="1"/>
  <c r="J39" i="20"/>
  <c r="B39" i="20" s="1"/>
  <c r="L27" i="20"/>
  <c r="N27" i="20" s="1"/>
  <c r="I40" i="20"/>
  <c r="H73" i="9"/>
  <c r="H71" i="9"/>
  <c r="H72" i="9"/>
  <c r="H70" i="9"/>
  <c r="H69" i="9"/>
  <c r="H33" i="9"/>
  <c r="H35" i="9"/>
  <c r="H36" i="9" s="1"/>
  <c r="H37" i="9"/>
  <c r="H97" i="9"/>
  <c r="H98" i="9"/>
  <c r="AI98" i="9" s="1"/>
  <c r="H99" i="9"/>
  <c r="AI99" i="9" s="1"/>
  <c r="H100" i="9"/>
  <c r="AI100" i="9" s="1"/>
  <c r="C39" i="20" l="1"/>
  <c r="D39" i="20" s="1"/>
  <c r="E39" i="20" s="1"/>
  <c r="K39" i="20" s="1"/>
  <c r="L28" i="20"/>
  <c r="N28" i="20" s="1"/>
  <c r="I41" i="20"/>
  <c r="J40" i="20"/>
  <c r="B40" i="20" s="1"/>
  <c r="H34" i="9"/>
  <c r="H54" i="9" s="1"/>
  <c r="AI97" i="9"/>
  <c r="H102" i="9"/>
  <c r="H96" i="9"/>
  <c r="H68" i="9"/>
  <c r="C40" i="20" l="1"/>
  <c r="K17" i="60"/>
  <c r="J41" i="20"/>
  <c r="B41" i="20" s="1"/>
  <c r="D40" i="20"/>
  <c r="E40" i="20" s="1"/>
  <c r="K40" i="20" s="1"/>
  <c r="L29" i="20"/>
  <c r="N29" i="20" s="1"/>
  <c r="I42" i="20"/>
  <c r="H55" i="9"/>
  <c r="H39" i="9"/>
  <c r="H106" i="9"/>
  <c r="H57" i="9"/>
  <c r="H58" i="9"/>
  <c r="H56" i="9"/>
  <c r="H59" i="9"/>
  <c r="H105" i="9"/>
  <c r="C41" i="20" l="1"/>
  <c r="D41" i="20" s="1"/>
  <c r="E41" i="20" s="1"/>
  <c r="K41" i="20" s="1"/>
  <c r="L30" i="20"/>
  <c r="N30" i="20" s="1"/>
  <c r="I43" i="20"/>
  <c r="J42" i="20"/>
  <c r="B42" i="20" s="1"/>
  <c r="H79" i="9"/>
  <c r="H43" i="9"/>
  <c r="H46" i="9"/>
  <c r="H41" i="9"/>
  <c r="H62" i="9"/>
  <c r="H61" i="9"/>
  <c r="H60" i="9"/>
  <c r="C42" i="20" l="1"/>
  <c r="D42" i="20" s="1"/>
  <c r="E42" i="20" s="1"/>
  <c r="K42" i="20" s="1"/>
  <c r="J43" i="20"/>
  <c r="B43" i="20" s="1"/>
  <c r="L31" i="20"/>
  <c r="N31" i="20" s="1"/>
  <c r="I45" i="20" s="1"/>
  <c r="I44" i="20"/>
  <c r="H81" i="9"/>
  <c r="H80" i="9"/>
  <c r="AI60" i="9"/>
  <c r="H83" i="9"/>
  <c r="H45" i="9"/>
  <c r="H49" i="9"/>
  <c r="H82" i="9"/>
  <c r="H78" i="9"/>
  <c r="H53" i="9"/>
  <c r="C43" i="20" l="1"/>
  <c r="D43" i="20" s="1"/>
  <c r="E43" i="20" s="1"/>
  <c r="K43" i="20" s="1"/>
  <c r="J45" i="20"/>
  <c r="B45" i="20" s="1"/>
  <c r="J44" i="20"/>
  <c r="B44" i="20" s="1"/>
  <c r="H51" i="9"/>
  <c r="H84" i="9"/>
  <c r="H85" i="9" s="1"/>
  <c r="H88" i="9" s="1"/>
  <c r="H63" i="9"/>
  <c r="C44" i="20" l="1"/>
  <c r="D44" i="20" s="1"/>
  <c r="E44" i="20" s="1"/>
  <c r="K44" i="20" s="1"/>
  <c r="C45" i="20"/>
  <c r="D45" i="20" s="1"/>
  <c r="E45" i="20" s="1"/>
  <c r="K45" i="20" s="1"/>
  <c r="H10" i="14"/>
  <c r="K10" i="14" s="1"/>
  <c r="N10" i="14" s="1"/>
  <c r="H25" i="14" s="1"/>
  <c r="K25" i="14" s="1"/>
  <c r="N25" i="14" s="1"/>
  <c r="H11" i="14"/>
  <c r="K11" i="14" s="1"/>
  <c r="N11" i="14" s="1"/>
  <c r="H26" i="14" s="1"/>
  <c r="K26" i="14" s="1"/>
  <c r="N26" i="14" s="1"/>
  <c r="H12" i="14"/>
  <c r="K12" i="14" s="1"/>
  <c r="N12" i="14" s="1"/>
  <c r="H27" i="14" s="1"/>
  <c r="K27" i="14" s="1"/>
  <c r="N27" i="14" s="1"/>
  <c r="H13" i="14"/>
  <c r="K13" i="14" s="1"/>
  <c r="N13" i="14" s="1"/>
  <c r="H14" i="14"/>
  <c r="K14" i="14" s="1"/>
  <c r="N14" i="14" s="1"/>
  <c r="H29" i="14" s="1"/>
  <c r="H15" i="14"/>
  <c r="K15" i="14" s="1"/>
  <c r="N15" i="14" s="1"/>
  <c r="H16" i="14"/>
  <c r="K16" i="14" s="1"/>
  <c r="N16" i="14" s="1"/>
  <c r="H31" i="14" s="1"/>
  <c r="H17" i="14"/>
  <c r="K17" i="14" s="1"/>
  <c r="N17" i="14" s="1"/>
  <c r="H32" i="14" s="1"/>
  <c r="H30" i="14" l="1"/>
  <c r="K30" i="14" s="1"/>
  <c r="N30" i="14" s="1"/>
  <c r="K32" i="14"/>
  <c r="N32" i="14" s="1"/>
  <c r="K31" i="14"/>
  <c r="N31" i="14" s="1"/>
  <c r="H28" i="14"/>
  <c r="K28" i="14" s="1"/>
  <c r="N28" i="14" s="1"/>
  <c r="K29" i="14"/>
  <c r="N29" i="14" s="1"/>
  <c r="C29" i="23" l="1"/>
  <c r="F29" i="23" s="1"/>
  <c r="C24" i="23"/>
  <c r="F24" i="23" s="1"/>
  <c r="O11" i="23"/>
  <c r="K18" i="60" l="1"/>
  <c r="E45" i="21" l="1"/>
  <c r="E26" i="21"/>
  <c r="A5" i="21" l="1"/>
  <c r="L36" i="20" l="1"/>
  <c r="G36" i="20" l="1"/>
  <c r="H36" i="20" s="1"/>
  <c r="F36" i="20"/>
  <c r="E14" i="14" l="1"/>
  <c r="E16" i="14"/>
  <c r="J36" i="20"/>
  <c r="B36" i="20" l="1"/>
  <c r="C36" i="20" l="1"/>
  <c r="D36" i="20" s="1"/>
  <c r="E36" i="20" s="1"/>
  <c r="K36" i="20" s="1"/>
  <c r="A5" i="14" l="1"/>
  <c r="B6" i="14" l="1"/>
  <c r="B5" i="21"/>
  <c r="B7" i="21"/>
  <c r="B6" i="21"/>
  <c r="B7" i="14"/>
  <c r="B5" i="14"/>
  <c r="X14" i="14" l="1"/>
  <c r="X15" i="14"/>
  <c r="X16" i="14"/>
  <c r="X17" i="14"/>
  <c r="X13" i="14"/>
  <c r="X12" i="14"/>
  <c r="X11" i="14"/>
  <c r="X10" i="14"/>
  <c r="V11" i="14" l="1"/>
  <c r="V12" i="14"/>
  <c r="V13" i="14"/>
  <c r="V14" i="14"/>
  <c r="V15" i="14"/>
  <c r="V16" i="14"/>
  <c r="V17" i="14"/>
  <c r="V10" i="14"/>
  <c r="H66" i="9" l="1"/>
  <c r="AI20" i="9"/>
  <c r="G106" i="9" l="1"/>
  <c r="G105" i="9"/>
  <c r="AH35" i="9"/>
  <c r="AH36" i="9" s="1"/>
  <c r="AH37" i="9"/>
  <c r="AH34" i="9" l="1"/>
  <c r="AI36" i="9"/>
  <c r="AH96" i="9" l="1"/>
  <c r="AI96" i="9" s="1"/>
  <c r="AH102" i="9"/>
  <c r="AI102" i="9" l="1"/>
  <c r="AH106" i="9"/>
  <c r="AI106" i="9" s="1"/>
  <c r="AH105" i="9"/>
  <c r="AI105" i="9" l="1"/>
  <c r="AH54" i="9"/>
  <c r="AH59" i="9" l="1"/>
  <c r="AI59" i="9" s="1"/>
  <c r="AI54" i="9"/>
  <c r="AH39" i="9"/>
  <c r="AI39" i="9" s="1"/>
  <c r="AH57" i="9"/>
  <c r="AH58" i="9"/>
  <c r="AH56" i="9"/>
  <c r="AI56" i="9" s="1"/>
  <c r="AH55" i="9"/>
  <c r="AH79" i="9"/>
  <c r="AH61" i="9" l="1"/>
  <c r="AI61" i="9" s="1"/>
  <c r="AI57" i="9"/>
  <c r="AH62" i="9"/>
  <c r="AI62" i="9" s="1"/>
  <c r="AI58" i="9"/>
  <c r="AH80" i="9"/>
  <c r="AI55" i="9"/>
  <c r="AH43" i="9"/>
  <c r="AI43" i="9" s="1"/>
  <c r="AH41" i="9"/>
  <c r="AI41" i="9" s="1"/>
  <c r="AH46" i="9"/>
  <c r="AI46" i="9" s="1"/>
  <c r="AH83" i="9"/>
  <c r="AH82" i="9"/>
  <c r="AH81" i="9" l="1"/>
  <c r="AH78" i="9"/>
  <c r="AH53" i="9"/>
  <c r="AH49" i="9"/>
  <c r="AI49" i="9" s="1"/>
  <c r="AH45" i="9"/>
  <c r="AI45" i="9" s="1"/>
  <c r="AH84" i="9"/>
  <c r="AH85" i="9" s="1"/>
  <c r="AH88" i="9" s="1"/>
  <c r="E13" i="14"/>
  <c r="AH63" i="9" l="1"/>
  <c r="AI53" i="9"/>
  <c r="AH51" i="9"/>
  <c r="AI51" i="9" s="1"/>
  <c r="AH66" i="9" l="1"/>
  <c r="AI66" i="9" s="1"/>
  <c r="AI63" i="9"/>
  <c r="E18" i="14" l="1"/>
  <c r="I18" i="14" s="1"/>
  <c r="F18" i="14" l="1"/>
  <c r="L18" i="14"/>
  <c r="E33" i="14"/>
  <c r="E17" i="14" l="1"/>
  <c r="I17" i="14" s="1"/>
  <c r="L33" i="14"/>
  <c r="F33" i="14"/>
  <c r="I33" i="14"/>
  <c r="L17" i="14" l="1"/>
  <c r="F17" i="14"/>
  <c r="E32" i="14"/>
  <c r="F32" i="14" l="1"/>
  <c r="I32" i="14"/>
  <c r="L32" i="14"/>
  <c r="O32" i="14" l="1"/>
  <c r="E10" i="14" l="1"/>
  <c r="F10" i="14" l="1"/>
  <c r="E25" i="14" l="1"/>
  <c r="O25" i="14" l="1"/>
  <c r="E15" i="14" l="1"/>
  <c r="L16" i="14" l="1"/>
  <c r="F16" i="14"/>
  <c r="E31" i="14"/>
  <c r="I16" i="14"/>
  <c r="L31" i="14" l="1"/>
  <c r="I31" i="14"/>
  <c r="F31" i="14"/>
  <c r="F15" i="14" l="1"/>
  <c r="O31" i="14"/>
  <c r="L15" i="14" l="1"/>
  <c r="E30" i="14"/>
  <c r="F30" i="14" s="1"/>
  <c r="F13" i="14"/>
  <c r="I13" i="14"/>
  <c r="E28" i="14"/>
  <c r="L13" i="14"/>
  <c r="L30" i="14" l="1"/>
  <c r="I30" i="14"/>
  <c r="F28" i="14"/>
  <c r="I28" i="14"/>
  <c r="L28" i="14"/>
  <c r="O30" i="14" l="1"/>
  <c r="O28" i="14"/>
  <c r="F14" i="14" l="1"/>
  <c r="G73" i="9" l="1"/>
  <c r="G71" i="9"/>
  <c r="AI71" i="9" s="1"/>
  <c r="G72" i="9"/>
  <c r="AI72" i="9" s="1"/>
  <c r="G70" i="9"/>
  <c r="AI70" i="9" s="1"/>
  <c r="G69" i="9"/>
  <c r="AI69" i="9" s="1"/>
  <c r="G68" i="9"/>
  <c r="AI68" i="9" s="1"/>
  <c r="E29" i="14"/>
  <c r="F29" i="14" s="1"/>
  <c r="L14" i="14"/>
  <c r="AI73" i="9" l="1"/>
  <c r="G79" i="9"/>
  <c r="L29" i="14"/>
  <c r="I29" i="14"/>
  <c r="AI79" i="9" l="1"/>
  <c r="K13" i="60"/>
  <c r="O29" i="14"/>
  <c r="G83" i="9" l="1"/>
  <c r="AI83" i="9" s="1"/>
  <c r="G82" i="9"/>
  <c r="AI82" i="9" s="1"/>
  <c r="G78" i="9" l="1"/>
  <c r="AI78" i="9" s="1"/>
  <c r="G81" i="9"/>
  <c r="G80" i="9"/>
  <c r="E12" i="14"/>
  <c r="F12" i="14" s="1"/>
  <c r="AI80" i="9" l="1"/>
  <c r="AI81" i="9"/>
  <c r="G84" i="9"/>
  <c r="AI84" i="9" s="1"/>
  <c r="E27" i="14"/>
  <c r="L27" i="14" s="1"/>
  <c r="I12" i="14"/>
  <c r="L12" i="14"/>
  <c r="G85" i="9" l="1"/>
  <c r="AI85" i="9" s="1"/>
  <c r="F27" i="14"/>
  <c r="I27" i="14"/>
  <c r="G88" i="9" l="1"/>
  <c r="O27" i="14"/>
  <c r="AI88" i="9" l="1"/>
  <c r="E11" i="14" l="1"/>
  <c r="L11" i="14" s="1"/>
  <c r="F11" i="14" l="1"/>
  <c r="F20" i="14" s="1"/>
  <c r="E26" i="14"/>
  <c r="I26" i="14" s="1"/>
  <c r="I11" i="14"/>
  <c r="I20" i="14" s="1"/>
  <c r="E19" i="14"/>
  <c r="D11" i="14" s="1"/>
  <c r="D26" i="14" s="1"/>
  <c r="L20" i="14"/>
  <c r="L26" i="14" l="1"/>
  <c r="E34" i="14"/>
  <c r="F26" i="14"/>
  <c r="D16" i="14"/>
  <c r="D31" i="14" s="1"/>
  <c r="M21" i="14"/>
  <c r="J21" i="14"/>
  <c r="D12" i="14"/>
  <c r="D27" i="14" s="1"/>
  <c r="D17" i="14"/>
  <c r="D32" i="14" s="1"/>
  <c r="D10" i="14"/>
  <c r="D25" i="14" s="1"/>
  <c r="D14" i="14"/>
  <c r="D29" i="14" s="1"/>
  <c r="D15" i="14"/>
  <c r="D30" i="14" s="1"/>
  <c r="D13" i="14"/>
  <c r="D28" i="14" s="1"/>
  <c r="D18" i="14"/>
  <c r="D33" i="14" s="1"/>
  <c r="H33" i="14"/>
  <c r="F21" i="14"/>
  <c r="I21" i="14" s="1"/>
  <c r="O26" i="14" l="1"/>
  <c r="F35" i="14"/>
  <c r="I35" i="14"/>
  <c r="G21" i="14"/>
  <c r="H21" i="14" s="1"/>
  <c r="K21" i="14" s="1"/>
  <c r="N21" i="14" s="1"/>
  <c r="L21" i="14" l="1"/>
  <c r="J36" i="14" l="1"/>
  <c r="K33" i="14"/>
  <c r="X18" i="14"/>
  <c r="O33" i="14" l="1"/>
  <c r="F36" i="14"/>
  <c r="I36" i="14" s="1"/>
  <c r="G36" i="14"/>
  <c r="H36" i="14" s="1"/>
  <c r="K36" i="14" s="1"/>
  <c r="N33" i="14" l="1"/>
  <c r="L35" i="14"/>
  <c r="M36" i="14" s="1"/>
  <c r="N36" i="14" s="1"/>
  <c r="V18" i="14"/>
  <c r="L36" i="14" l="1"/>
  <c r="I99" i="42" l="1"/>
  <c r="I98" i="42" s="1"/>
  <c r="I87" i="42"/>
  <c r="I86" i="42" s="1"/>
  <c r="I75" i="42" l="1"/>
  <c r="I74" i="42" l="1"/>
  <c r="I13" i="60" l="1"/>
  <c r="I18" i="60"/>
  <c r="I17" i="60" l="1"/>
  <c r="C6" i="55"/>
  <c r="D3" i="55" a="1"/>
  <c r="D3" i="55" s="1"/>
  <c r="E9" i="60" l="1"/>
  <c r="D4" i="60" a="1"/>
  <c r="D4" i="60" s="1"/>
  <c r="C9" i="60" l="1"/>
  <c r="B6" i="20" l="1"/>
</calcChain>
</file>

<file path=xl/comments1.xml><?xml version="1.0" encoding="utf-8"?>
<comments xmlns="http://schemas.openxmlformats.org/spreadsheetml/2006/main">
  <authors>
    <author>tc={7E15A317-EE5C-46AD-8AE5-4857E9CC304F}</author>
    <author>tc={437AD2BD-F0AC-43D4-8C2A-6C2FF97FCD42}</author>
  </authors>
  <commentList>
    <comment ref="C10" authorId="0" shapeId="0">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As coordenadas devem ser em formato: Graus, Minutos e Segundos</t>
        </r>
      </text>
    </comment>
    <comment ref="C19" authorId="1" shapeId="0">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Exemplo de preenchimento: (JANEIRO/2024)</t>
        </r>
      </text>
    </comment>
  </commentList>
</comments>
</file>

<file path=xl/comments2.xml><?xml version="1.0" encoding="utf-8"?>
<comments xmlns="http://schemas.openxmlformats.org/spreadsheetml/2006/main">
  <authors>
    <author>tc={0FD57EE8-FBCF-4141-8123-72E00AB96D2D}</author>
  </authors>
  <commentList>
    <comment ref="S2" authorId="0" shapeId="0">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PREENCHIMENTO MANUAL, CASO FOR IMPLANTAÇÃO COLOQUE I se for reconstrução R se não for existente E</t>
        </r>
      </text>
    </comment>
  </commentList>
</comments>
</file>

<file path=xl/comments3.xml><?xml version="1.0" encoding="utf-8"?>
<comments xmlns="http://schemas.openxmlformats.org/spreadsheetml/2006/main">
  <authors>
    <author>tc={1B37A732-A62B-43C9-B748-EDE08AE96E0D}</author>
  </authors>
  <commentList>
    <comment ref="D46" authorId="0" shapeId="0">
      <text>
        <r>
          <rPr>
            <sz val="11"/>
            <color theme="1"/>
            <rFont val="Calibri"/>
            <family val="2"/>
            <scheme val="minor"/>
          </rPr>
          <t xml:space="preserve">[Comentário encadeado]
Sua versão do Excel permite que você leia este comentário encadeado, no entanto, as edições serão removidas se o arquivo for aberto em uma versão mais recente do Excel. Saiba mais: https://go.microsoft.com/fwlink/?linkid=870924
Comentário:
    V=0,40×0,40×0,025=0,004m3 
Densidade mediana do concreto :2,4 t/m³
Peso da peça 
P=0,004m3×2,4t/m3=0,0096t=9,6kg 
Peso linear (por metro linear) 
2,5×9,6kg=24kg=0,024t/m 
</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<sst xmlns="http://schemas.openxmlformats.org/spreadsheetml/2006/main" count="4200" uniqueCount="1531">
  <si>
    <t>Pedreira</t>
  </si>
  <si>
    <t>Bota Fora</t>
  </si>
  <si>
    <t>TRECHO</t>
  </si>
  <si>
    <t>TOTAL</t>
  </si>
  <si>
    <t>N° DE LINHAS</t>
  </si>
  <si>
    <t>RECORTE DE PAVIMENTO</t>
  </si>
  <si>
    <t>TERRAPLENAGEM</t>
  </si>
  <si>
    <t>DISPOSITIVOS ESTRUTURAIS</t>
  </si>
  <si>
    <t>NOME DA RUA</t>
  </si>
  <si>
    <t>RAIOS</t>
  </si>
  <si>
    <t>CARGA DO SUBLEITO</t>
  </si>
  <si>
    <t>BASE</t>
  </si>
  <si>
    <t>CONSUMO</t>
  </si>
  <si>
    <t>CBUQ</t>
  </si>
  <si>
    <t>LOCAL</t>
  </si>
  <si>
    <t>VOLUMES</t>
  </si>
  <si>
    <t>CORTE (m³)</t>
  </si>
  <si>
    <t>ATERRO (m³)</t>
  </si>
  <si>
    <t>VOLUME TOTAL</t>
  </si>
  <si>
    <t>Transporte DMT (Km)</t>
  </si>
  <si>
    <t>EXTENSÃO (m)</t>
  </si>
  <si>
    <t>LARGURA (m)</t>
  </si>
  <si>
    <t>ÁREA (m²)</t>
  </si>
  <si>
    <t>VOLUME (m³)</t>
  </si>
  <si>
    <t>EMPOLAMENTO (%)</t>
  </si>
  <si>
    <t>DMT (km)</t>
  </si>
  <si>
    <t>TOTAL (m³ x km)</t>
  </si>
  <si>
    <t>DENSIDADE (t/m³)</t>
  </si>
  <si>
    <t>TOTAL (t x km)</t>
  </si>
  <si>
    <t>SEÇÃO DO TENTO (m²)</t>
  </si>
  <si>
    <t>DIÂMETRO (m)</t>
  </si>
  <si>
    <t>PROFUNDIDADE MONTANTE (PV) (m)</t>
  </si>
  <si>
    <t>PROFUNDIDADE MONTANTE DE ESCAVAÇÃO (m)</t>
  </si>
  <si>
    <t>PROFUNDIDADE JUSANTE (PV) (m)</t>
  </si>
  <si>
    <t>PROFUNDIDADE JUSANTE DE ESCAVAÇÃO (m)</t>
  </si>
  <si>
    <t>PROFUNDIDADE MÉDIA DE ESCAVAÇÃO (m)</t>
  </si>
  <si>
    <t>TALUDE (m/m)</t>
  </si>
  <si>
    <t>BASE SUPERIOR (m)</t>
  </si>
  <si>
    <t>BASE INFERIOR (m)</t>
  </si>
  <si>
    <t>ARÉA DO TUBO (m²)</t>
  </si>
  <si>
    <t>ESCAVAÇÃO TOTAL (m³)</t>
  </si>
  <si>
    <t>CARGA E DESCARGA (BOTA FORA) (m³)</t>
  </si>
  <si>
    <t>TRANSPORTE (BOTA FORA)</t>
  </si>
  <si>
    <t>PESO DOS TUBOS (t)</t>
  </si>
  <si>
    <t>TRANSPORTE (TUBOS)</t>
  </si>
  <si>
    <t>CHAMINÉ (PESCOÇO) (m)</t>
  </si>
  <si>
    <t>TAMPÃO (m)</t>
  </si>
  <si>
    <t>BOCA DE LOBO SIMPLES (un.)</t>
  </si>
  <si>
    <t>BOCA DE LOBO DUPLA (un.)</t>
  </si>
  <si>
    <t>BOCA DE LOBO TRIPLA (un.)</t>
  </si>
  <si>
    <t xml:space="preserve">PISO TÁTIL </t>
  </si>
  <si>
    <t>ESCAVAÇÃO MECÂNICA ATÉ 4,50m (m³)</t>
  </si>
  <si>
    <t>ESCAVAÇÃO MECÂNICA  ATÉ 6,00m (m³)</t>
  </si>
  <si>
    <t>ESCAVAÇÃO MANUAL  ATÉ 1,50m (m³)</t>
  </si>
  <si>
    <t>ESCAVAÇÃO MANUAL ATÉ 3,00m (m³)</t>
  </si>
  <si>
    <t>ESCAVAÇÃO MANUAL ATÉ 4,50m (m³)</t>
  </si>
  <si>
    <t>ESCAVAÇÃO MANUAL  ATÉ 6,00m (m³)</t>
  </si>
  <si>
    <t>REATERRO TOTAL (m³)</t>
  </si>
  <si>
    <t>REATERRO MECÂNICA ATÉ 4,50m (m³)</t>
  </si>
  <si>
    <t>REATERRO MECÂNICA  ATÉ 6,00m (m³)</t>
  </si>
  <si>
    <t>LIMPA RODAS</t>
  </si>
  <si>
    <t>LARGURA DO MEIO - FIO COM SARJETA (m)</t>
  </si>
  <si>
    <t>TRANSPORTE DE BRITA PARA MEIO FIO E TENTO</t>
  </si>
  <si>
    <t>%</t>
  </si>
  <si>
    <t>SEÇÃO DO MEIO FIO COM SARJETA (m²)</t>
  </si>
  <si>
    <t>SEÇÃO DO MEIO FIO (GUIA) (m²)</t>
  </si>
  <si>
    <t>ESCORAMENTO PARA VALA H DE 0 ATÉ 1,5 m, LARGURA &lt;1,5 m (m³)</t>
  </si>
  <si>
    <t>ESCORAMENTO PARA VALA H DE 1,5  A 3,0 m, LARGURA &lt;1,5 m (m³)</t>
  </si>
  <si>
    <t>ESCORAMENTO PARA VALA H DE 1,5  A 3,0 m, LARGURA maior ou igual a 1,5m e Menor que 2,5m (m³)</t>
  </si>
  <si>
    <t>Emulsão/Cim.</t>
  </si>
  <si>
    <t>LARGURA DA PISTA (capa de rolamento)  (m)</t>
  </si>
  <si>
    <t>LARGURA DO MEIO - FIO, (GUIA) SEM SARJETA (m)</t>
  </si>
  <si>
    <t xml:space="preserve">Consumo de brita para calçadas = </t>
  </si>
  <si>
    <t>Consumo de cimento para calçada =</t>
  </si>
  <si>
    <t>Consumo de piso tátil =</t>
  </si>
  <si>
    <t>TOTAL (m3 x km)</t>
  </si>
  <si>
    <t>Objeto:</t>
  </si>
  <si>
    <t>Município:</t>
  </si>
  <si>
    <t>Local:</t>
  </si>
  <si>
    <t>DMT</t>
  </si>
  <si>
    <t>m</t>
  </si>
  <si>
    <t>IMPLANTAÇÃO ASFÁLTICA - TERRAPLENAGEM</t>
  </si>
  <si>
    <t>IMPLANTAÇÃO ASFÁLTICA - PAVIMENTAÇÃO</t>
  </si>
  <si>
    <t>PASSEIO COM ACESSIBILIDADE</t>
  </si>
  <si>
    <t>SINALIZAÇÃO VIÁRIA PERMANENTE</t>
  </si>
  <si>
    <t>ADMINISTRAÇÃO LOCAL</t>
  </si>
  <si>
    <t>IT EM</t>
  </si>
  <si>
    <t>DESCRIÇÃO  DOS SERVIÇOS</t>
  </si>
  <si>
    <t>MÊS 1</t>
  </si>
  <si>
    <t>MÊS 2</t>
  </si>
  <si>
    <t>MÊS 3</t>
  </si>
  <si>
    <t>PROPONENT E</t>
  </si>
  <si>
    <t>SERVIÇOS  PRELIMINARES</t>
  </si>
  <si>
    <t>MICRO E MACRO DRENAGEM - TERRAPLENAGEM</t>
  </si>
  <si>
    <t>MICRO E MACRO DRENAGEM - DISPOSITIVOS AUXILIARES</t>
  </si>
  <si>
    <t>SERVIÇOS  COMPLEMENTARES</t>
  </si>
  <si>
    <t>T OT AL MENSAL=</t>
  </si>
  <si>
    <t>T OT AL  ACUMULADO=</t>
  </si>
  <si>
    <t>MÊS 4</t>
  </si>
  <si>
    <t>Areeiro</t>
  </si>
  <si>
    <t>MEIO FIOS GUIA (SEM SARJETA) (m)</t>
  </si>
  <si>
    <t>ESCAVAÇÃO MECÂNICA ATÉ 3,00m (m³) largura &gt;1,5 até 2,5 m</t>
  </si>
  <si>
    <t>ESCAVAÇÃO MECÂNICA ATÉ 1,50m (m³) largura até 0,80m</t>
  </si>
  <si>
    <t>ESCAVAÇÃO MECÂNICA ATÉ 3,00m (m³) largura &gt;0,80 até 1,5 m</t>
  </si>
  <si>
    <t>REATERRO MECÂNICA ATÉ 1,50m (m³) largura até 0,80</t>
  </si>
  <si>
    <t>REATERRO MECÂNICA ATÉ 3,00m (m³) largura &gt; 0,8 até 1,5 m</t>
  </si>
  <si>
    <t>REATERRO MECÂNICA ATÉ 3,00m (m³) largura &gt; 1,5 até 2,5 m</t>
  </si>
  <si>
    <t>Transporte comercial de brita para calçada=</t>
  </si>
  <si>
    <t>0,005 t.m</t>
  </si>
  <si>
    <t xml:space="preserve">Solo </t>
  </si>
  <si>
    <t>EXTENSÃO (m) SEM PAVIMENTO</t>
  </si>
  <si>
    <t>EXTENSÃO (m) PAVIMENTADA</t>
  </si>
  <si>
    <t>DADOS</t>
  </si>
  <si>
    <t>EXTENSÃO PARA CALCULO DE ESCAVAÇÃO</t>
  </si>
  <si>
    <t>MEMÓRIA DE CALCULO PAVIMENTAÇÃO</t>
  </si>
  <si>
    <t>Bica corrida</t>
  </si>
  <si>
    <t>BC</t>
  </si>
  <si>
    <t xml:space="preserve">TENTO (m) </t>
  </si>
  <si>
    <t>MEMÓRIA DE CALCULO CORTE E ATERRO</t>
  </si>
  <si>
    <t>MEMÓRIA DE CALCULO CALÇADAS E RAMPAS</t>
  </si>
  <si>
    <t>____________________________________________</t>
  </si>
  <si>
    <t>CRONOGRAMA FÍSICO FINANCEIRO - DESONERADO</t>
  </si>
  <si>
    <t>VALOR ÍTEM</t>
  </si>
  <si>
    <t>PROPONENTE</t>
  </si>
  <si>
    <t>DESCRIÇÃO</t>
  </si>
  <si>
    <t>QUANTIDADE</t>
  </si>
  <si>
    <t>R-1</t>
  </si>
  <si>
    <t>PARE</t>
  </si>
  <si>
    <t>R-19</t>
  </si>
  <si>
    <t>MEMÓRIA DE SINALIZAÇÃO</t>
  </si>
  <si>
    <t>Intensidade Média da Chuva</t>
  </si>
  <si>
    <t>Tr</t>
  </si>
  <si>
    <t>Coeficiente de Tipo Superf. (n)=</t>
  </si>
  <si>
    <t>t</t>
  </si>
  <si>
    <t>Coef. de Esc. Superficial C=</t>
  </si>
  <si>
    <t>Capac. Boca de Lobo Simples (l/s) =</t>
  </si>
  <si>
    <t>Capac. Boca de Lobo Dupla (l/s) =</t>
  </si>
  <si>
    <t>Capac. Boca de Lobo Tripla (l/s) =</t>
  </si>
  <si>
    <t>it=</t>
  </si>
  <si>
    <t>L=</t>
  </si>
  <si>
    <t>Ymax=</t>
  </si>
  <si>
    <t>Qsarjeta</t>
  </si>
  <si>
    <t>REDE</t>
  </si>
  <si>
    <t>Ext (m)</t>
  </si>
  <si>
    <t>Cota Montante</t>
  </si>
  <si>
    <t>Cota Jusante</t>
  </si>
  <si>
    <t>Decliv. m/m</t>
  </si>
  <si>
    <t>Im       (mm/h)</t>
  </si>
  <si>
    <t>Tipo de Via</t>
  </si>
  <si>
    <t>Q. Montante (m³/s)</t>
  </si>
  <si>
    <t>Q. Trecho  (m³/s)</t>
  </si>
  <si>
    <t>Q. Jusante (m³/s)</t>
  </si>
  <si>
    <t>Altura da Lamina d'água  (m)</t>
  </si>
  <si>
    <t>Largura da Lamina d'água  (m)</t>
  </si>
  <si>
    <t>Velocidade Real na Sarjeta V(m/s)</t>
  </si>
  <si>
    <t>Capacidade Sarjeta  Plena Q (m³/s)</t>
  </si>
  <si>
    <t>Bocas de Lobo</t>
  </si>
  <si>
    <t>Área  da Sarjeta</t>
  </si>
  <si>
    <t>Perimetro Molhado</t>
  </si>
  <si>
    <t>Raio Hidraulico</t>
  </si>
  <si>
    <t>Coeficiente C</t>
  </si>
  <si>
    <t>LP</t>
  </si>
  <si>
    <t>ALTURA MAXIMA</t>
  </si>
  <si>
    <t>Z</t>
  </si>
  <si>
    <t>Área Contr. (há)</t>
  </si>
  <si>
    <t>MEMÓRIA DE CALCULO CHUVA</t>
  </si>
  <si>
    <t>DEMONSTRAÇÃO DE BDI - DESONERADO - Acórdão 2622/2013</t>
  </si>
  <si>
    <t>TIPO DE OBRA:</t>
  </si>
  <si>
    <t>IMPOSTOS:</t>
  </si>
  <si>
    <t>TRIBUTOS:</t>
  </si>
  <si>
    <t>ISS BRUTO:</t>
  </si>
  <si>
    <t>INCIDENCIA SOBRE MO:</t>
  </si>
  <si>
    <t>TOTAL TRIBUSTOS:</t>
  </si>
  <si>
    <t>ADOTADO</t>
  </si>
  <si>
    <t>BDI DESONERADO ADOTADO</t>
  </si>
  <si>
    <t>CONSTRUÇÃO DE RODOVIAS - SERVIÇOS</t>
  </si>
  <si>
    <t>FORNECIMENTO DE MATERIAIS E EQUIPAMENTOS</t>
  </si>
  <si>
    <t>CPRB</t>
  </si>
  <si>
    <t>SUBLEITO</t>
  </si>
  <si>
    <t>COEFICIENTE DE EQUIVALÊNCIA ESTRUTURAL</t>
  </si>
  <si>
    <t>ESPESSURA EQUIVALENTE</t>
  </si>
  <si>
    <t>BRITA GRADUADA</t>
  </si>
  <si>
    <t>LEVE</t>
  </si>
  <si>
    <t>REVESTIMENTO</t>
  </si>
  <si>
    <r>
      <t>N</t>
    </r>
    <r>
      <rPr>
        <b/>
        <sz val="12"/>
        <rFont val="Calibri"/>
        <family val="2"/>
      </rPr>
      <t/>
    </r>
  </si>
  <si>
    <t>TRAFEGO</t>
  </si>
  <si>
    <t>TIPO DE REVESTIMENTO</t>
  </si>
  <si>
    <t>ESPESSURA ADOTADA</t>
  </si>
  <si>
    <t>CONCRETO ASFÁLTICO USINADO A QUENTE</t>
  </si>
  <si>
    <t>cm</t>
  </si>
  <si>
    <t>DIMENSIONAMENTO DA BASE</t>
  </si>
  <si>
    <t>CBR</t>
  </si>
  <si>
    <t>ESP.EQ</t>
  </si>
  <si>
    <t>E MIN</t>
  </si>
  <si>
    <t>E ADOTADO</t>
  </si>
  <si>
    <t>PARÂMETRO DE TRÁFEGO</t>
  </si>
  <si>
    <t>DIMENSIONAMENTO DO SUBLEITO</t>
  </si>
  <si>
    <t>H</t>
  </si>
  <si>
    <t>ESP. MINIMA</t>
  </si>
  <si>
    <t>ESP. ADOTADA</t>
  </si>
  <si>
    <t>OBSERVAÇÃO</t>
  </si>
  <si>
    <t>EST.INIC.</t>
  </si>
  <si>
    <t>EST.FINAL</t>
  </si>
  <si>
    <t>ISC=5,5%</t>
  </si>
  <si>
    <t>ISC=7,2%,7,2%;20,3%</t>
  </si>
  <si>
    <t>ISC=19,4%;30,8%;32%;36,7%</t>
  </si>
  <si>
    <t>REFORÇO</t>
  </si>
  <si>
    <t>Coeficiente de Equivalência Estrutural dos Materiais</t>
  </si>
  <si>
    <t>Espessura Mínima de Revestimentos Betuminoso</t>
  </si>
  <si>
    <t>Tipo de Material</t>
  </si>
  <si>
    <t>Coeficiente Estrutural (K)</t>
  </si>
  <si>
    <t>n</t>
  </si>
  <si>
    <t>tipo</t>
  </si>
  <si>
    <t>Base ou revestimento de concreto asfáltico</t>
  </si>
  <si>
    <t>TSD-1,5 a 3,0 cm</t>
  </si>
  <si>
    <t>Base ou revestimento pré-misturado a quente de graduação densa</t>
  </si>
  <si>
    <t>BETUMINOSO 5,00 cm</t>
  </si>
  <si>
    <t>Base ou revestimento pré-misturado a frio de graduação densa</t>
  </si>
  <si>
    <t>BETUMINOSO 7,50 cm</t>
  </si>
  <si>
    <t>Base ou revestimento asfáltico por penetração</t>
  </si>
  <si>
    <t>BETUMINOSO 10,00 cm</t>
  </si>
  <si>
    <t>Base Granulares</t>
  </si>
  <si>
    <t>BETUMINOSO 12,50 cm</t>
  </si>
  <si>
    <t>Sub-base granulares</t>
  </si>
  <si>
    <t>Reforço do subleito</t>
  </si>
  <si>
    <t>Solo-cimento com resistência aos 7 dias superior a 4,5MPa (compressão)</t>
  </si>
  <si>
    <t>Solo-cimento com resistência aos 7 dias entre 2,8 a 4,5MPa (compressão)</t>
  </si>
  <si>
    <t>Solo-cimento com resistência aos 7 dias entre 2,1 a 4,5MPa (compressão)</t>
  </si>
  <si>
    <t>Bases de solo-cal</t>
  </si>
  <si>
    <t>MEMÓRIA DE CALCULO CAMADAS PAVIMENTAÇÃO</t>
  </si>
  <si>
    <t>VMD 1ºANO</t>
  </si>
  <si>
    <t>FV</t>
  </si>
  <si>
    <t>V1</t>
  </si>
  <si>
    <t>TAXA %</t>
  </si>
  <si>
    <t>PERIODO ANOS</t>
  </si>
  <si>
    <t>VT</t>
  </si>
  <si>
    <t>NUMERO N</t>
  </si>
  <si>
    <t>N=</t>
  </si>
  <si>
    <t>QUANTIDADE DE RAIOS DE 5,00 m (un)</t>
  </si>
  <si>
    <t>ÁREA UNITÁRIA DO RAIO DE 5,00 m (m²)</t>
  </si>
  <si>
    <t>BOCA DE BUEIRO SIMPLES</t>
  </si>
  <si>
    <t>MÊS 5</t>
  </si>
  <si>
    <t>MÊS 6</t>
  </si>
  <si>
    <t>% ACUMULADA</t>
  </si>
  <si>
    <t>ESCAVAÇÃO</t>
  </si>
  <si>
    <t xml:space="preserve">CARGA </t>
  </si>
  <si>
    <t xml:space="preserve">TRANSPORTE </t>
  </si>
  <si>
    <t>CORTE</t>
  </si>
  <si>
    <t>ATERRO</t>
  </si>
  <si>
    <t>ESPESSURA (m)</t>
  </si>
  <si>
    <t>QUANTIDADE DE LIMPA RODAS TP-1 (un)</t>
  </si>
  <si>
    <t>ÁREA UNITÁRIA DOS LIMPA RODAS TP-1 (m²)</t>
  </si>
  <si>
    <t>ÁREA TP-1 (m²)</t>
  </si>
  <si>
    <t>CALÇADA</t>
  </si>
  <si>
    <t>ESTADO DO MATO GROSSO DO SUL</t>
  </si>
  <si>
    <t>SECRETARIA DE PLANEJAMENTO</t>
  </si>
  <si>
    <t>UN</t>
  </si>
  <si>
    <t>LIMPEZA</t>
  </si>
  <si>
    <t>CANTEIRO</t>
  </si>
  <si>
    <t>PERIMETRO (m)</t>
  </si>
  <si>
    <t>ESTRUTURA PAVIMENTO</t>
  </si>
  <si>
    <t>IMPRIMAÇÃO</t>
  </si>
  <si>
    <t>PINTURA DE LIGAÇÃO</t>
  </si>
  <si>
    <t>CONSUMO (t/m²)</t>
  </si>
  <si>
    <t>TIPO</t>
  </si>
  <si>
    <t xml:space="preserve">DECLIVIDADE TRANSVERSAL DA PISTA </t>
  </si>
  <si>
    <t>TRANSPORTE</t>
  </si>
  <si>
    <t>SERVIÇOS COMPLEMETARES</t>
  </si>
  <si>
    <t xml:space="preserve">MEIO FIOS COM SARJETA (m) </t>
  </si>
  <si>
    <t xml:space="preserve">MEIO-FIOS </t>
  </si>
  <si>
    <t>TENTO</t>
  </si>
  <si>
    <t>COTA TERRENO (m)</t>
  </si>
  <si>
    <t>COTA FUNDO PV (m)</t>
  </si>
  <si>
    <t xml:space="preserve">TUBOS DE Ø0,40 (m) </t>
  </si>
  <si>
    <t xml:space="preserve">TUBOS DE Ø0,60 (m) </t>
  </si>
  <si>
    <t xml:space="preserve">TUBOS DE Ø0,80 (m) </t>
  </si>
  <si>
    <t xml:space="preserve">TUBOS DE Ø1,00 (m) </t>
  </si>
  <si>
    <t>TUBOS DE Ø1,20 (m)</t>
  </si>
  <si>
    <t>TUBOS DE Ø1,50 (m)</t>
  </si>
  <si>
    <t>TUBOS</t>
  </si>
  <si>
    <t>BRITA</t>
  </si>
  <si>
    <t>PESO TUBOS</t>
  </si>
  <si>
    <t>T</t>
  </si>
  <si>
    <t>TRANSPORTE DMT (Km)</t>
  </si>
  <si>
    <t>DMT PISO TATIL</t>
  </si>
  <si>
    <t>DMT SOLO</t>
  </si>
  <si>
    <t>DMT BRITA</t>
  </si>
  <si>
    <t>ANOS</t>
  </si>
  <si>
    <t>l=</t>
  </si>
  <si>
    <t>Km</t>
  </si>
  <si>
    <t>Dh=</t>
  </si>
  <si>
    <t>mm/h</t>
  </si>
  <si>
    <t xml:space="preserve">     (mm / h)</t>
  </si>
  <si>
    <t>FÓRMULA VAZÃO</t>
  </si>
  <si>
    <t>V                    (m³/s)</t>
  </si>
  <si>
    <t>Ø                           (m)</t>
  </si>
  <si>
    <t>ÁREA (m)</t>
  </si>
  <si>
    <t>DMT ( KM)</t>
  </si>
  <si>
    <t>d                                                              (m)</t>
  </si>
  <si>
    <t>TRECHO INICIAL</t>
  </si>
  <si>
    <t>TRECHO      FINAL</t>
  </si>
  <si>
    <t>Nº DA BACIA</t>
  </si>
  <si>
    <t xml:space="preserve">DADOS VIA </t>
  </si>
  <si>
    <t>FÓRMULA DIMENSIONAMENTO TUBO</t>
  </si>
  <si>
    <t>FÓRMULA VELOCIDADE DE ESCOAMENTO</t>
  </si>
  <si>
    <t>RESPONSÁVEL ORÇAMENTO</t>
  </si>
  <si>
    <t>CÓDIGO</t>
  </si>
  <si>
    <t>M2</t>
  </si>
  <si>
    <t>UNIDADE</t>
  </si>
  <si>
    <t>SINAPI</t>
  </si>
  <si>
    <t>COMPOSIÇÃO</t>
  </si>
  <si>
    <t xml:space="preserve">                                                             TSD                                                                                                                            CBUQ                                                                                                                                                                                             PMF                                                                                                                                                                         MICRO</t>
  </si>
  <si>
    <t>BOCA DE BUEIRO DUPLA</t>
  </si>
  <si>
    <t>BOCA DE BUEIRO TRIPLA</t>
  </si>
  <si>
    <t>DISSIPADOR</t>
  </si>
  <si>
    <t>SERVIÇOS TOPOGRAFICOS PARA PAVIMENTAÇÃO, INCLUSIVE NOTA DE SERVIÇOS, ACOMPANHAMENTO E GREIDE (REFER. SINAPI CÓD. 78472)</t>
  </si>
  <si>
    <t>ESTACA INICIAL</t>
  </si>
  <si>
    <t>ESTACA FINAL</t>
  </si>
  <si>
    <t>DMT EXCEDENTE (km)</t>
  </si>
  <si>
    <t>TOTAL EXCEDENTE (m³ x km)</t>
  </si>
  <si>
    <t>TOTAL EXCEDENTE (t x km)</t>
  </si>
  <si>
    <t>BOCA DE DRAGÃO</t>
  </si>
  <si>
    <t>COMPOSIÇÃO DE CUSTO UNITÁRIO</t>
  </si>
  <si>
    <t>TAMPAO FOFO ARTICULADO, CLASSE D400 CARGA MAX 40 T, REDONDO TAMPA *600 MM, REDE PLUVIAL</t>
  </si>
  <si>
    <t>CARGA, MANOBRA E DESCARGA DE AREIA, BRITA, PEDRA DE MÃO E SOLOS COM CAMINHÃO BASCULANTE 6M3 (DESCARGA LIVRE) (REFER. SINAPI CÓD. 72844)</t>
  </si>
  <si>
    <t>TXKM</t>
  </si>
  <si>
    <t>ESCAVAÇÃO MECANICA, A CEU ABERTO, EM MATERIAL DE 1A CATEGORIA, COM ESCAVADEIRA HIDRAULICA, CAPACIDADE DE 0,78 M3 (REFER. SINAPI CÓD. 83338)</t>
  </si>
  <si>
    <t>M3</t>
  </si>
  <si>
    <t>CARGA E DESCARGA MECANICA DE SOLO UTILIZANDO CAMINHAO BASCULANTE 6,0 M3/16 T E PA CARREGADEIRA SOBRE PNEUS 128 HP, CAPACIDADE DA CAÇAMBA 1,7 A 2,8 M3, PESO OPERACIONAL 11632 KG (REFER. SINAPI CÓD. 74010/1)</t>
  </si>
  <si>
    <t>TRANSPORTE COMERCIAL DE BRITA (REFER. SINAPI CÓD. 83356)</t>
  </si>
  <si>
    <t>M3XKM</t>
  </si>
  <si>
    <t>PREPARO MANUAL DE TERRENO S/ RASPAGEM SUPERFICIAL (REFER. SINAPI CÓD. 85422)</t>
  </si>
  <si>
    <t>ESCAVAÇÃO MECANIZADA DE VALA COM PROF. MAIOR QUE 1,5 M ATÉ 3,0 M (MÉDIA ENTRE MONTANTE E JUSANTE / UMA COMPOSIÇÃO POR TRECHO), COM ESCAVADEIRA HIDRÁULICA (0,8 M3/111 HP), LARG. DE 1,5 M A 2,5 M, EM SOLO DE 1A CATEGORIA, EM LOCAIS COM ALTO NÍVEL DE INTERFERRÊNCI. AF_01/2015</t>
  </si>
  <si>
    <t>REPARO EM RAMAL DE LIGAÇÃO PREDIAL DE ÁGUA</t>
  </si>
  <si>
    <t>SONDAGEM DE INVESTIGAÇÃO DE INTERFERÊNCIAS SUBTERRÂNEAS, INCLUINDO ESCAVAÇÕES MECÂNICA E MANUAL E REATERRO</t>
  </si>
  <si>
    <t>BLD - BOCA DE LOBO DUPLA, EM CONCRETO SIMPLES FCK 20 MPA, INCLUINDO FORMA, ESCAVAÇÃO, CALÇAMENTO AO REDOR E GRELHAS EM FOFO TIPO PESADA, CONFORME PROJETO</t>
  </si>
  <si>
    <t>M</t>
  </si>
  <si>
    <t>FORNECIMENTO E INSTALAÇÃO DE PLACA DE SINALIZAÇÃO VERTICAL (ATÉ 0,36 M²), INCLUINDO SUPORTE METÁLICO E FIXADO EM BASE DE CONCRETO NÃO ESTRUTURAL.</t>
  </si>
  <si>
    <t>EXECUÇÃO DE DRENO PROFUNDO, CORTE EM SOLO, COM TUBO POROSO D=0,20M</t>
  </si>
  <si>
    <t>SINALIZAÇÃO HORIZONTAL COM TINTA RETRORREFLETIVA A BASE DE RESINA ACRILICA COM MICROESFERAS DE VIDRO</t>
  </si>
  <si>
    <t>ESCAVAÇÃO MANUAL DE VALA EM ROCHA - 3ª CATEGORIA, PROFUNDIDADE DE 2,0 A 4,0M, COM USO DE EXPLOSIVOS E PERFURAÇÃO MECÂNICA.</t>
  </si>
  <si>
    <t>COTAÇÃO</t>
  </si>
  <si>
    <t>EMULSÃO ASFÁLTICA PARA IMPRIMAÇÃO</t>
  </si>
  <si>
    <t>MOBILIZAÇÃO E DESMOBILIZAÇÃO</t>
  </si>
  <si>
    <t>TRANSP RODOV</t>
  </si>
  <si>
    <t>VELOCIDADE PAVIMENTADA</t>
  </si>
  <si>
    <t>VELOCIDADE NÃO PAVIMENTADA</t>
  </si>
  <si>
    <t>TEMPO DE VIAGEM</t>
  </si>
  <si>
    <t>S/DESONERAÇÃO</t>
  </si>
  <si>
    <t>CÓD</t>
  </si>
  <si>
    <t>FU</t>
  </si>
  <si>
    <t>PAVIMENTADA</t>
  </si>
  <si>
    <t>NÃO PAVIMENTADA</t>
  </si>
  <si>
    <t>CUSTO HORÁRIO EQUIPAMENTO</t>
  </si>
  <si>
    <t>CUSTO HORÁRIO MOTORISTA</t>
  </si>
  <si>
    <t>VALOR TOTAL</t>
  </si>
  <si>
    <t>E9665</t>
  </si>
  <si>
    <t>E9571</t>
  </si>
  <si>
    <t>E9687</t>
  </si>
  <si>
    <t>E9667</t>
  </si>
  <si>
    <t>OBS:</t>
  </si>
  <si>
    <t>KM</t>
  </si>
  <si>
    <t>QUANTIDADE DE LIMPA RODAS TP-2 (un)</t>
  </si>
  <si>
    <t>ÁREA UNITÁRIA DOS LIMPA RODAS TP-2 (m²)</t>
  </si>
  <si>
    <t>ÁREA TP-2 (m²)</t>
  </si>
  <si>
    <t>QUANTIDADE DE LIMPA RODAS TP-3 (un)</t>
  </si>
  <si>
    <t>ÁREA UNITÁRIA DOS LIMPA RODAS TP-3 (m²)</t>
  </si>
  <si>
    <t>ÁREA TP-3 (m²)</t>
  </si>
  <si>
    <t>FABIO MARQUES RIBEIRO                                                       ENGENHEIRO CIVIL                                                                                      CREA: 15.276/MS</t>
  </si>
  <si>
    <t>TRANSPORTE (BOTA-FORA) ÁREA DA TUBULAÇÃO</t>
  </si>
  <si>
    <t>TELA PLASTICA*30%</t>
  </si>
  <si>
    <t>PREFEITURA MUNICIPAL DE ELDORADO</t>
  </si>
  <si>
    <t>DMT EXCEDENTE( KM)</t>
  </si>
  <si>
    <t>SELECIONAR PREFEITURA</t>
  </si>
  <si>
    <t>PREFEITURA MUNICIPAL DE ÁGUA CLARA</t>
  </si>
  <si>
    <t>PREFEITURA MUNICIPAL DE BANDEIRANTES</t>
  </si>
  <si>
    <t>PREFEITURA MUNICIPAL DE BODOQUENA</t>
  </si>
  <si>
    <t>PREFEITURA MUNICIPAL DE CAARAPÓ</t>
  </si>
  <si>
    <t>PREFEITURA MUNICIPAL DE JARDIM</t>
  </si>
  <si>
    <t>PREFEITURA MUNICIPAL DE NAVIRAÍ</t>
  </si>
  <si>
    <t>PREFEITURA MUNICIPAL DE NOVA ALVORADA DO SUL</t>
  </si>
  <si>
    <t>PREFEITURA MUNICIPAL DE PORTO MURTINHO</t>
  </si>
  <si>
    <t>NOME PREFEITURA</t>
  </si>
  <si>
    <t>LOGO</t>
  </si>
  <si>
    <t>CNPJ</t>
  </si>
  <si>
    <t>03.184.066/0001-77</t>
  </si>
  <si>
    <t>03.501.491/0001-42</t>
  </si>
  <si>
    <t>15.465.016/0001-47</t>
  </si>
  <si>
    <t>03.155.900/0001-04</t>
  </si>
  <si>
    <t>03.741.675/0001-80</t>
  </si>
  <si>
    <t>03.501.533/0001-45</t>
  </si>
  <si>
    <t>03.162.047/0001-40</t>
  </si>
  <si>
    <t>03.155.934/0001-90</t>
  </si>
  <si>
    <t>37.212.719/0001-04</t>
  </si>
  <si>
    <t>03.107.539/0001-32</t>
  </si>
  <si>
    <t>TRANSPORTE DMT (KM)</t>
  </si>
  <si>
    <t>PEDREIRA</t>
  </si>
  <si>
    <t>EMULSÃO/CIM.</t>
  </si>
  <si>
    <t>AREEIRO</t>
  </si>
  <si>
    <t>DMT'S</t>
  </si>
  <si>
    <t>BRITA (BICA CORRIDA)</t>
  </si>
  <si>
    <t>PISO TATIL</t>
  </si>
  <si>
    <t>BOTA FORA (SOLO)</t>
  </si>
  <si>
    <t xml:space="preserve">PESO TUBOS DE Ø0,40 (t) </t>
  </si>
  <si>
    <t xml:space="preserve">PESO TUBOS DE Ø0,60 (t) </t>
  </si>
  <si>
    <t xml:space="preserve">PESO TUBOS DE Ø0,80 (t) </t>
  </si>
  <si>
    <t xml:space="preserve">PESO TUBOS DE Ø1,00 (t) </t>
  </si>
  <si>
    <t xml:space="preserve">PESO TUBOS DE Ø1,50 (t) </t>
  </si>
  <si>
    <t xml:space="preserve">PESO TUBOS DE Ø1,20 (t) </t>
  </si>
  <si>
    <t>MEMÓRIA DE SERVIÇOS PRELIMINARES</t>
  </si>
  <si>
    <t>SINALIZAÇÃO DE ADVERTÊNCIA DE OBRA COM PLACA (FUNDO LARANJA) SOBRE CAVALETE, CONFORME ABNT-NBR-7678</t>
  </si>
  <si>
    <t>INSTALAÇÃO DE SINALIZADOR NOTURNO LED. AF_11/2017</t>
  </si>
  <si>
    <t>15.410.665/0001-40</t>
  </si>
  <si>
    <t>PREFEITURA MUNICIPAL DE SELVIRIA</t>
  </si>
  <si>
    <t>PREFEITURA MUNICIPAL DE IVINHEMA</t>
  </si>
  <si>
    <t>03.575.875/0001-00</t>
  </si>
  <si>
    <t>VOLUME (m³) - CIVIL 3D</t>
  </si>
  <si>
    <t>PREFEITURA MUNICIPAL DE LADÁRIO</t>
  </si>
  <si>
    <t>PREFEITURA MUNICIPAL DE MIRANDA</t>
  </si>
  <si>
    <t>PREFEITURA MUNICIPAL DE CARACOL</t>
  </si>
  <si>
    <t>PREFEITURA MUNICIPAL DE CAMAPUÃ</t>
  </si>
  <si>
    <t>PREFEITURA MUNICIPAL DE COSTA RICA</t>
  </si>
  <si>
    <t>PREFEITURA MUNICIPAL DE ITAPORÃ</t>
  </si>
  <si>
    <t>PREFEITURA MUNICIPAL DE IGUATEMI</t>
  </si>
  <si>
    <t>03.217.924/0001.32</t>
  </si>
  <si>
    <t>03.501.517/0001.52</t>
  </si>
  <si>
    <t>15.389.596/0001.30</t>
  </si>
  <si>
    <t>PREFEITURA MUNICIPAL DE  JARAGUARI</t>
  </si>
  <si>
    <t>03.568.318/0001.61</t>
  </si>
  <si>
    <t>03.156.999/0001.50</t>
  </si>
  <si>
    <t>03.330.453/0001.74</t>
  </si>
  <si>
    <t>03.452.315/0001.68</t>
  </si>
  <si>
    <t>PREFEITURA MUNICIPAL DE SÃO GABRIEL DO OESTE</t>
  </si>
  <si>
    <t>15.389.588/0001-94</t>
  </si>
  <si>
    <t>Trecho</t>
  </si>
  <si>
    <t>Extensão (m)</t>
  </si>
  <si>
    <t>Área</t>
  </si>
  <si>
    <t>tempo de concentração
trecho
(min)</t>
  </si>
  <si>
    <t>Coeficiente
escoamento
C</t>
  </si>
  <si>
    <t>itensidade
da chuva
(mm/h)</t>
  </si>
  <si>
    <t>Q 
(m³/s)</t>
  </si>
  <si>
    <t>Diâmetro
DN
(m)</t>
  </si>
  <si>
    <t>Diâmetro
Adotado (DN)
(m)</t>
  </si>
  <si>
    <t>I
Declividade (m/m)</t>
  </si>
  <si>
    <t>Cota do terreno</t>
  </si>
  <si>
    <t>Cota do coletor</t>
  </si>
  <si>
    <t>Profundiade do coletor</t>
  </si>
  <si>
    <t>Qp 
(m³/s)</t>
  </si>
  <si>
    <t>vp
(m/s)</t>
  </si>
  <si>
    <t>Q/Qp</t>
  </si>
  <si>
    <t>v/vp</t>
  </si>
  <si>
    <t>Velocidade
v
(m/s)</t>
  </si>
  <si>
    <t>Tempo
escoamento
(min)</t>
  </si>
  <si>
    <t>Observação</t>
  </si>
  <si>
    <t xml:space="preserve"> trecho (ha)</t>
  </si>
  <si>
    <t xml:space="preserve"> trecho (km²)</t>
  </si>
  <si>
    <t xml:space="preserve"> total (ha)</t>
  </si>
  <si>
    <t xml:space="preserve"> total (km²)</t>
  </si>
  <si>
    <t>Montante (m)</t>
  </si>
  <si>
    <t>Jusante (m)</t>
  </si>
  <si>
    <t>1-2</t>
  </si>
  <si>
    <t>Parâmetros IDF</t>
  </si>
  <si>
    <t>Os diâmetros estão em metros para facilitar os cálculos. 1m = 1000 mm</t>
  </si>
  <si>
    <t>K</t>
  </si>
  <si>
    <t>a</t>
  </si>
  <si>
    <t>b</t>
  </si>
  <si>
    <t>c</t>
  </si>
  <si>
    <r>
      <rPr>
        <b/>
        <sz val="8"/>
        <rFont val="Swis721 Cn BT"/>
        <family val="2"/>
      </rPr>
      <t>N° da Estação</t>
    </r>
  </si>
  <si>
    <r>
      <rPr>
        <b/>
        <sz val="8"/>
        <rFont val="Swis721 Cn BT"/>
        <family val="2"/>
      </rPr>
      <t>Município</t>
    </r>
  </si>
  <si>
    <r>
      <rPr>
        <b/>
        <sz val="8"/>
        <rFont val="Swis721 Cn BT"/>
        <family val="2"/>
      </rPr>
      <t>Latitude</t>
    </r>
  </si>
  <si>
    <r>
      <rPr>
        <b/>
        <sz val="8"/>
        <rFont val="Swis721 Cn BT"/>
        <family val="2"/>
      </rPr>
      <t>Longitude</t>
    </r>
  </si>
  <si>
    <r>
      <rPr>
        <b/>
        <sz val="8"/>
        <rFont val="Swis721 Cn BT"/>
        <family val="2"/>
      </rPr>
      <t>K</t>
    </r>
  </si>
  <si>
    <r>
      <rPr>
        <b/>
        <sz val="8"/>
        <rFont val="Swis721 Cn BT"/>
        <family val="2"/>
      </rPr>
      <t>a</t>
    </r>
  </si>
  <si>
    <r>
      <rPr>
        <b/>
        <sz val="8"/>
        <rFont val="Swis721 Cn BT"/>
        <family val="2"/>
      </rPr>
      <t>b</t>
    </r>
  </si>
  <si>
    <r>
      <rPr>
        <b/>
        <sz val="8"/>
        <rFont val="Swis721 Cn BT"/>
        <family val="2"/>
      </rPr>
      <t>c</t>
    </r>
  </si>
  <si>
    <r>
      <rPr>
        <b/>
        <sz val="8"/>
        <rFont val="Swis721 Cn BT"/>
        <family val="2"/>
      </rPr>
      <t>r²</t>
    </r>
  </si>
  <si>
    <r>
      <rPr>
        <sz val="8"/>
        <rFont val="Swis721 Cn BT"/>
        <family val="2"/>
      </rPr>
      <t>Água Clara</t>
    </r>
  </si>
  <si>
    <r>
      <rPr>
        <sz val="8"/>
        <rFont val="Swis721 Cn BT"/>
        <family val="2"/>
      </rPr>
      <t>52° 54' 05"</t>
    </r>
  </si>
  <si>
    <r>
      <rPr>
        <sz val="8"/>
        <rFont val="Swis721 Cn BT"/>
        <family val="2"/>
      </rPr>
      <t>52° 50' 00"</t>
    </r>
  </si>
  <si>
    <r>
      <rPr>
        <sz val="8"/>
        <rFont val="Swis721 Cn BT"/>
        <family val="2"/>
      </rPr>
      <t>19° 40' 41"</t>
    </r>
  </si>
  <si>
    <r>
      <rPr>
        <sz val="8"/>
        <rFont val="Swis721 Cn BT"/>
        <family val="2"/>
      </rPr>
      <t>52° 53' 47"</t>
    </r>
  </si>
  <si>
    <r>
      <rPr>
        <sz val="8"/>
        <rFont val="Swis721 Cn BT"/>
        <family val="2"/>
      </rPr>
      <t>19° 22' 36"</t>
    </r>
  </si>
  <si>
    <r>
      <rPr>
        <sz val="8"/>
        <rFont val="Swis721 Cn BT"/>
        <family val="2"/>
      </rPr>
      <t>53° 34' 08"</t>
    </r>
  </si>
  <si>
    <r>
      <rPr>
        <sz val="8"/>
        <rFont val="Swis721 Cn BT"/>
        <family val="2"/>
      </rPr>
      <t>Amambai</t>
    </r>
  </si>
  <si>
    <r>
      <rPr>
        <sz val="8"/>
        <rFont val="Swis721 Cn BT"/>
        <family val="2"/>
      </rPr>
      <t>23° 15' 54"</t>
    </r>
  </si>
  <si>
    <r>
      <rPr>
        <sz val="8"/>
        <rFont val="Swis721 Cn BT"/>
        <family val="2"/>
      </rPr>
      <t>55° 31' 33"</t>
    </r>
  </si>
  <si>
    <r>
      <rPr>
        <sz val="8"/>
        <rFont val="Swis721 Cn BT"/>
        <family val="2"/>
      </rPr>
      <t>23° 38' 56"</t>
    </r>
  </si>
  <si>
    <r>
      <rPr>
        <sz val="8"/>
        <rFont val="Swis721 Cn BT"/>
        <family val="2"/>
      </rPr>
      <t>55° 23' 29"</t>
    </r>
  </si>
  <si>
    <r>
      <rPr>
        <sz val="8"/>
        <rFont val="Swis721 Cn BT"/>
        <family val="2"/>
      </rPr>
      <t>23° 05' 58"</t>
    </r>
  </si>
  <si>
    <r>
      <rPr>
        <sz val="8"/>
        <rFont val="Swis721 Cn BT"/>
        <family val="2"/>
      </rPr>
      <t>55° 14' 27"</t>
    </r>
  </si>
  <si>
    <r>
      <rPr>
        <sz val="8"/>
        <rFont val="Swis721 Cn BT"/>
        <family val="2"/>
      </rPr>
      <t>Anastácio</t>
    </r>
  </si>
  <si>
    <r>
      <rPr>
        <sz val="8"/>
        <rFont val="Swis721 Cn BT"/>
        <family val="2"/>
      </rPr>
      <t>20° 26' 53"</t>
    </r>
  </si>
  <si>
    <r>
      <rPr>
        <sz val="8"/>
        <rFont val="Swis721 Cn BT"/>
        <family val="2"/>
      </rPr>
      <t>55° 25' 39"</t>
    </r>
  </si>
  <si>
    <r>
      <rPr>
        <sz val="8"/>
        <rFont val="Swis721 Cn BT"/>
        <family val="2"/>
      </rPr>
      <t>Anaurilândia</t>
    </r>
  </si>
  <si>
    <r>
      <rPr>
        <sz val="8"/>
        <rFont val="Swis721 Cn BT"/>
        <family val="2"/>
      </rPr>
      <t>22° 10' 54"</t>
    </r>
  </si>
  <si>
    <r>
      <rPr>
        <sz val="8"/>
        <rFont val="Swis721 Cn BT"/>
        <family val="2"/>
      </rPr>
      <t>52° 43' 01"</t>
    </r>
  </si>
  <si>
    <r>
      <rPr>
        <sz val="8"/>
        <rFont val="Swis721 Cn BT"/>
        <family val="2"/>
      </rPr>
      <t>Antônio João</t>
    </r>
  </si>
  <si>
    <r>
      <rPr>
        <sz val="8"/>
        <rFont val="Swis721 Cn BT"/>
        <family val="2"/>
      </rPr>
      <t>22° 11' 08"</t>
    </r>
  </si>
  <si>
    <r>
      <rPr>
        <sz val="8"/>
        <rFont val="Swis721 Cn BT"/>
        <family val="2"/>
      </rPr>
      <t>55° 56' 31"</t>
    </r>
  </si>
  <si>
    <r>
      <rPr>
        <sz val="8"/>
        <rFont val="Swis721 Cn BT"/>
        <family val="2"/>
      </rPr>
      <t>Aparecida Taboado</t>
    </r>
  </si>
  <si>
    <r>
      <rPr>
        <sz val="8"/>
        <rFont val="Swis721 Cn BT"/>
        <family val="2"/>
      </rPr>
      <t>20° 04' 04"</t>
    </r>
  </si>
  <si>
    <r>
      <rPr>
        <sz val="8"/>
        <rFont val="Swis721 Cn BT"/>
        <family val="2"/>
      </rPr>
      <t>51° 06' 11"</t>
    </r>
  </si>
  <si>
    <r>
      <rPr>
        <sz val="8"/>
        <rFont val="Swis721 Cn BT"/>
        <family val="2"/>
      </rPr>
      <t>Aquidauana</t>
    </r>
  </si>
  <si>
    <r>
      <rPr>
        <sz val="8"/>
        <rFont val="Swis721 Cn BT"/>
        <family val="2"/>
      </rPr>
      <t>20° 17' 29"</t>
    </r>
  </si>
  <si>
    <r>
      <rPr>
        <sz val="8"/>
        <rFont val="Swis721 Cn BT"/>
        <family val="2"/>
      </rPr>
      <t>55° 26' 41"</t>
    </r>
  </si>
  <si>
    <r>
      <rPr>
        <sz val="8"/>
        <rFont val="Swis721 Cn BT"/>
        <family val="2"/>
      </rPr>
      <t>20° 07' 37"</t>
    </r>
  </si>
  <si>
    <r>
      <rPr>
        <sz val="8"/>
        <rFont val="Swis721 Cn BT"/>
        <family val="2"/>
      </rPr>
      <t>55° 23' 34"</t>
    </r>
  </si>
  <si>
    <r>
      <rPr>
        <sz val="8"/>
        <rFont val="Swis721 Cn BT"/>
        <family val="2"/>
      </rPr>
      <t>20° 04' 13"</t>
    </r>
  </si>
  <si>
    <r>
      <rPr>
        <sz val="8"/>
        <rFont val="Swis721 Cn BT"/>
        <family val="2"/>
      </rPr>
      <t>55° 38' 39"</t>
    </r>
  </si>
  <si>
    <r>
      <rPr>
        <sz val="8"/>
        <rFont val="Swis721 Cn BT"/>
        <family val="2"/>
      </rPr>
      <t>17° 10' 00"</t>
    </r>
  </si>
  <si>
    <r>
      <rPr>
        <sz val="8"/>
        <rFont val="Swis721 Cn BT"/>
        <family val="2"/>
      </rPr>
      <t>55° 59' 00"</t>
    </r>
  </si>
  <si>
    <r>
      <rPr>
        <sz val="8"/>
        <rFont val="Swis721 Cn BT"/>
        <family val="2"/>
      </rPr>
      <t>19° 56' 35"</t>
    </r>
  </si>
  <si>
    <r>
      <rPr>
        <sz val="8"/>
        <rFont val="Swis721 Cn BT"/>
        <family val="2"/>
      </rPr>
      <t>55° 47' 32"</t>
    </r>
  </si>
  <si>
    <r>
      <rPr>
        <sz val="8"/>
        <rFont val="Swis721 Cn BT"/>
        <family val="2"/>
      </rPr>
      <t>56° 12' 15"</t>
    </r>
  </si>
  <si>
    <r>
      <rPr>
        <sz val="8"/>
        <rFont val="Swis721 Cn BT"/>
        <family val="2"/>
      </rPr>
      <t>19° 21' 33"</t>
    </r>
  </si>
  <si>
    <r>
      <rPr>
        <sz val="8"/>
        <rFont val="Swis721 Cn BT"/>
        <family val="2"/>
      </rPr>
      <t>56° 24' 23"</t>
    </r>
  </si>
  <si>
    <r>
      <rPr>
        <sz val="8"/>
        <rFont val="Swis721 Cn BT"/>
        <family val="2"/>
      </rPr>
      <t>Bandeirantes</t>
    </r>
  </si>
  <si>
    <r>
      <rPr>
        <sz val="8"/>
        <rFont val="Swis721 Cn BT"/>
        <family val="2"/>
      </rPr>
      <t>19° 55' 04"</t>
    </r>
  </si>
  <si>
    <r>
      <rPr>
        <sz val="8"/>
        <rFont val="Swis721 Cn BT"/>
        <family val="2"/>
      </rPr>
      <t>54° 21' 31"</t>
    </r>
  </si>
  <si>
    <r>
      <rPr>
        <sz val="8"/>
        <rFont val="Swis721 Cn BT"/>
        <family val="2"/>
      </rPr>
      <t>Bataguassu</t>
    </r>
  </si>
  <si>
    <r>
      <rPr>
        <sz val="8"/>
        <rFont val="Swis721 Cn BT"/>
        <family val="2"/>
      </rPr>
      <t>21° 42' 57"</t>
    </r>
  </si>
  <si>
    <r>
      <rPr>
        <sz val="8"/>
        <rFont val="Swis721 Cn BT"/>
        <family val="2"/>
      </rPr>
      <t>52° 26' 14"</t>
    </r>
  </si>
  <si>
    <r>
      <rPr>
        <sz val="8"/>
        <rFont val="Swis721 Cn BT"/>
        <family val="2"/>
      </rPr>
      <t>Bela Vista</t>
    </r>
  </si>
  <si>
    <r>
      <rPr>
        <sz val="8"/>
        <rFont val="Swis721 Cn BT"/>
        <family val="2"/>
      </rPr>
      <t>22° 06' 32"</t>
    </r>
  </si>
  <si>
    <r>
      <rPr>
        <sz val="8"/>
        <rFont val="Swis721 Cn BT"/>
        <family val="2"/>
      </rPr>
      <t>56° 31' 35"</t>
    </r>
  </si>
  <si>
    <r>
      <rPr>
        <sz val="8"/>
        <rFont val="Swis721 Cn BT"/>
        <family val="2"/>
      </rPr>
      <t>Bonito</t>
    </r>
  </si>
  <si>
    <r>
      <rPr>
        <sz val="8"/>
        <rFont val="Swis721 Cn BT"/>
        <family val="2"/>
      </rPr>
      <t>20° 45' 43"</t>
    </r>
  </si>
  <si>
    <r>
      <rPr>
        <sz val="8"/>
        <rFont val="Swis721 Cn BT"/>
        <family val="2"/>
      </rPr>
      <t>56° 05' 28"</t>
    </r>
  </si>
  <si>
    <r>
      <rPr>
        <sz val="8"/>
        <rFont val="Swis721 Cn BT"/>
        <family val="2"/>
      </rPr>
      <t>Brasilândia</t>
    </r>
  </si>
  <si>
    <r>
      <rPr>
        <sz val="8"/>
        <rFont val="Swis721 Cn BT"/>
        <family val="2"/>
      </rPr>
      <t>21° 01' 00"</t>
    </r>
  </si>
  <si>
    <r>
      <rPr>
        <sz val="8"/>
        <rFont val="Swis721 Cn BT"/>
        <family val="2"/>
      </rPr>
      <t>52° 11' 00"</t>
    </r>
  </si>
  <si>
    <r>
      <rPr>
        <sz val="8"/>
        <rFont val="Swis721 Cn BT"/>
        <family val="2"/>
      </rPr>
      <t>20° 57' 39"</t>
    </r>
  </si>
  <si>
    <r>
      <rPr>
        <sz val="8"/>
        <rFont val="Swis721 Cn BT"/>
        <family val="2"/>
      </rPr>
      <t>53° 17' 16"</t>
    </r>
  </si>
  <si>
    <r>
      <rPr>
        <sz val="8"/>
        <rFont val="Swis721 Cn BT"/>
        <family val="2"/>
      </rPr>
      <t>21° 06' 00"</t>
    </r>
  </si>
  <si>
    <r>
      <rPr>
        <sz val="8"/>
        <rFont val="Swis721 Cn BT"/>
        <family val="2"/>
      </rPr>
      <t>52° 59' 00"</t>
    </r>
  </si>
  <si>
    <r>
      <rPr>
        <sz val="8"/>
        <rFont val="Swis721 Cn BT"/>
        <family val="2"/>
      </rPr>
      <t>21° 17' 42"</t>
    </r>
  </si>
  <si>
    <r>
      <rPr>
        <sz val="8"/>
        <rFont val="Swis721 Cn BT"/>
        <family val="2"/>
      </rPr>
      <t>52° 48' 37"</t>
    </r>
  </si>
  <si>
    <r>
      <rPr>
        <sz val="8"/>
        <rFont val="Swis721 Cn BT"/>
        <family val="2"/>
      </rPr>
      <t>21° 14' 54"</t>
    </r>
  </si>
  <si>
    <r>
      <rPr>
        <sz val="8"/>
        <rFont val="Swis721 Cn BT"/>
        <family val="2"/>
      </rPr>
      <t>52° 17' 17"</t>
    </r>
  </si>
  <si>
    <r>
      <rPr>
        <sz val="8"/>
        <rFont val="Swis721 Cn BT"/>
        <family val="2"/>
      </rPr>
      <t>Caarapó</t>
    </r>
  </si>
  <si>
    <r>
      <rPr>
        <sz val="8"/>
        <rFont val="Swis721 Cn BT"/>
        <family val="2"/>
      </rPr>
      <t>22° 37' 27"</t>
    </r>
  </si>
  <si>
    <r>
      <rPr>
        <sz val="8"/>
        <rFont val="Swis721 Cn BT"/>
        <family val="2"/>
      </rPr>
      <t>54° 49' 28"</t>
    </r>
  </si>
  <si>
    <r>
      <rPr>
        <sz val="8"/>
        <rFont val="Swis721 Cn BT"/>
        <family val="2"/>
      </rPr>
      <t>22° 58' 13"</t>
    </r>
  </si>
  <si>
    <r>
      <rPr>
        <sz val="8"/>
        <rFont val="Swis721 Cn BT"/>
        <family val="2"/>
      </rPr>
      <t>54° 33' 48"</t>
    </r>
  </si>
  <si>
    <r>
      <rPr>
        <sz val="8"/>
        <rFont val="Swis721 Cn BT"/>
        <family val="2"/>
      </rPr>
      <t>Camapuã</t>
    </r>
  </si>
  <si>
    <r>
      <rPr>
        <sz val="8"/>
        <rFont val="Swis721 Cn BT"/>
        <family val="2"/>
      </rPr>
      <t>18° 40' 25"</t>
    </r>
  </si>
  <si>
    <r>
      <rPr>
        <sz val="8"/>
        <rFont val="Swis721 Cn BT"/>
        <family val="2"/>
      </rPr>
      <t>53° 38' 29"</t>
    </r>
  </si>
  <si>
    <r>
      <rPr>
        <sz val="8"/>
        <rFont val="Swis721 Cn BT"/>
        <family val="2"/>
      </rPr>
      <t>19° 32' 01"</t>
    </r>
  </si>
  <si>
    <r>
      <rPr>
        <sz val="8"/>
        <rFont val="Swis721 Cn BT"/>
        <family val="2"/>
      </rPr>
      <t>54° 02' 08"</t>
    </r>
  </si>
  <si>
    <r>
      <rPr>
        <sz val="8"/>
        <rFont val="Swis721 Cn BT"/>
        <family val="2"/>
      </rPr>
      <t>19° 18' 09"</t>
    </r>
  </si>
  <si>
    <r>
      <rPr>
        <sz val="8"/>
        <rFont val="Swis721 Cn BT"/>
        <family val="2"/>
      </rPr>
      <t>54° 10' 22"</t>
    </r>
  </si>
  <si>
    <r>
      <rPr>
        <sz val="8"/>
        <rFont val="Swis721 Cn BT"/>
        <family val="2"/>
      </rPr>
      <t>Campo Grande</t>
    </r>
  </si>
  <si>
    <r>
      <rPr>
        <sz val="8"/>
        <rFont val="Swis721 Cn BT"/>
        <family val="2"/>
      </rPr>
      <t>20° 27' 30"</t>
    </r>
  </si>
  <si>
    <r>
      <rPr>
        <sz val="8"/>
        <rFont val="Swis721 Cn BT"/>
        <family val="2"/>
      </rPr>
      <t>54° 36' 17"</t>
    </r>
  </si>
  <si>
    <r>
      <rPr>
        <sz val="8"/>
        <rFont val="Swis721 Cn BT"/>
        <family val="2"/>
      </rPr>
      <t>20° 27' 00"</t>
    </r>
  </si>
  <si>
    <r>
      <rPr>
        <sz val="8"/>
        <rFont val="Swis721 Cn BT"/>
        <family val="2"/>
      </rPr>
      <t>54° 38' 00"</t>
    </r>
  </si>
  <si>
    <r>
      <rPr>
        <sz val="8"/>
        <rFont val="Swis721 Cn BT"/>
        <family val="2"/>
      </rPr>
      <t>20° 28' 00"</t>
    </r>
  </si>
  <si>
    <r>
      <rPr>
        <sz val="8"/>
        <rFont val="Swis721 Cn BT"/>
        <family val="2"/>
      </rPr>
      <t>54° 40' 00"</t>
    </r>
  </si>
  <si>
    <r>
      <rPr>
        <sz val="8"/>
        <rFont val="Swis721 Cn BT"/>
        <family val="2"/>
      </rPr>
      <t>20° 40' 36"</t>
    </r>
  </si>
  <si>
    <r>
      <rPr>
        <sz val="8"/>
        <rFont val="Swis721 Cn BT"/>
        <family val="2"/>
      </rPr>
      <t>53° 34' 14"</t>
    </r>
  </si>
  <si>
    <r>
      <rPr>
        <sz val="8"/>
        <rFont val="Swis721 Cn BT"/>
        <family val="2"/>
      </rPr>
      <t>Caracol</t>
    </r>
  </si>
  <si>
    <r>
      <rPr>
        <sz val="8"/>
        <rFont val="Swis721 Cn BT"/>
        <family val="2"/>
      </rPr>
      <t>22° 01' 51"</t>
    </r>
  </si>
  <si>
    <r>
      <rPr>
        <sz val="8"/>
        <rFont val="Swis721 Cn BT"/>
        <family val="2"/>
      </rPr>
      <t>57° 01' 45"</t>
    </r>
  </si>
  <si>
    <r>
      <rPr>
        <sz val="8"/>
        <rFont val="Swis721 Cn BT"/>
        <family val="2"/>
      </rPr>
      <t>Cassilândia</t>
    </r>
  </si>
  <si>
    <r>
      <rPr>
        <sz val="8"/>
        <rFont val="Swis721 Cn BT"/>
        <family val="2"/>
      </rPr>
      <t>18° 41' 20"</t>
    </r>
  </si>
  <si>
    <r>
      <rPr>
        <sz val="8"/>
        <rFont val="Swis721 Cn BT"/>
        <family val="2"/>
      </rPr>
      <t>52° 35' 41"</t>
    </r>
  </si>
  <si>
    <r>
      <rPr>
        <sz val="8"/>
        <rFont val="Swis721 Cn BT"/>
        <family val="2"/>
      </rPr>
      <t>19° 13' 45"</t>
    </r>
  </si>
  <si>
    <r>
      <rPr>
        <sz val="8"/>
        <rFont val="Swis721 Cn BT"/>
        <family val="2"/>
      </rPr>
      <t>51° 52' 30"</t>
    </r>
  </si>
  <si>
    <r>
      <rPr>
        <sz val="8"/>
        <rFont val="Swis721 Cn BT"/>
        <family val="2"/>
      </rPr>
      <t>Chapadão do Sul</t>
    </r>
  </si>
  <si>
    <r>
      <rPr>
        <sz val="8"/>
        <rFont val="Swis721 Cn BT"/>
        <family val="2"/>
      </rPr>
      <t>19° 26' 39"</t>
    </r>
  </si>
  <si>
    <r>
      <rPr>
        <sz val="8"/>
        <rFont val="Swis721 Cn BT"/>
        <family val="2"/>
      </rPr>
      <t>52° 33' 28"</t>
    </r>
  </si>
  <si>
    <r>
      <rPr>
        <sz val="8"/>
        <rFont val="Swis721 Cn BT"/>
        <family val="2"/>
      </rPr>
      <t>Corumbá</t>
    </r>
  </si>
  <si>
    <r>
      <rPr>
        <sz val="8"/>
        <rFont val="Swis721 Cn BT"/>
        <family val="2"/>
      </rPr>
      <t>19° 36' 20"</t>
    </r>
  </si>
  <si>
    <r>
      <rPr>
        <sz val="8"/>
        <rFont val="Swis721 Cn BT"/>
        <family val="2"/>
      </rPr>
      <t>57° 26' 14"</t>
    </r>
  </si>
  <si>
    <r>
      <rPr>
        <sz val="8"/>
        <rFont val="Swis721 Cn BT"/>
        <family val="2"/>
      </rPr>
      <t>19° 00' 21"</t>
    </r>
  </si>
  <si>
    <r>
      <rPr>
        <sz val="8"/>
        <rFont val="Swis721 Cn BT"/>
        <family val="2"/>
      </rPr>
      <t>57° 36' 07"</t>
    </r>
  </si>
  <si>
    <r>
      <rPr>
        <sz val="8"/>
        <rFont val="Swis721 Cn BT"/>
        <family val="2"/>
      </rPr>
      <t>19° 55' 07"</t>
    </r>
  </si>
  <si>
    <r>
      <rPr>
        <sz val="8"/>
        <rFont val="Swis721 Cn BT"/>
        <family val="2"/>
      </rPr>
      <t>57° 47' 22"</t>
    </r>
  </si>
  <si>
    <r>
      <rPr>
        <sz val="8"/>
        <rFont val="Swis721 Cn BT"/>
        <family val="2"/>
      </rPr>
      <t>20° 17' 27"</t>
    </r>
  </si>
  <si>
    <r>
      <rPr>
        <sz val="8"/>
        <rFont val="Swis721 Cn BT"/>
        <family val="2"/>
      </rPr>
      <t>57° 38' 52"</t>
    </r>
  </si>
  <si>
    <r>
      <rPr>
        <sz val="8"/>
        <rFont val="Swis721 Cn BT"/>
        <family val="2"/>
      </rPr>
      <t>19° 18' 19"</t>
    </r>
  </si>
  <si>
    <r>
      <rPr>
        <sz val="8"/>
        <rFont val="Swis721 Cn BT"/>
        <family val="2"/>
      </rPr>
      <t>57° 35' 36"</t>
    </r>
  </si>
  <si>
    <r>
      <rPr>
        <sz val="8"/>
        <rFont val="Swis721 Cn BT"/>
        <family val="2"/>
      </rPr>
      <t>17° 47' 05"</t>
    </r>
  </si>
  <si>
    <r>
      <rPr>
        <sz val="8"/>
        <rFont val="Swis721 Cn BT"/>
        <family val="2"/>
      </rPr>
      <t>55° 47' 22"</t>
    </r>
  </si>
  <si>
    <r>
      <rPr>
        <sz val="8"/>
        <rFont val="Swis721 Cn BT"/>
        <family val="2"/>
      </rPr>
      <t>18° 03' 09"</t>
    </r>
  </si>
  <si>
    <r>
      <rPr>
        <sz val="8"/>
        <rFont val="Swis721 Cn BT"/>
        <family val="2"/>
      </rPr>
      <t>56° 42' 10"</t>
    </r>
  </si>
  <si>
    <r>
      <rPr>
        <sz val="8"/>
        <rFont val="Swis721 Cn BT"/>
        <family val="2"/>
      </rPr>
      <t>17° 37' 23"</t>
    </r>
  </si>
  <si>
    <r>
      <rPr>
        <sz val="8"/>
        <rFont val="Swis721 Cn BT"/>
        <family val="2"/>
      </rPr>
      <t>56° 57' 55"</t>
    </r>
  </si>
  <si>
    <r>
      <rPr>
        <sz val="8"/>
        <rFont val="Swis721 Cn BT"/>
        <family val="2"/>
      </rPr>
      <t>18° 02' 19"</t>
    </r>
  </si>
  <si>
    <r>
      <rPr>
        <sz val="8"/>
        <rFont val="Swis721 Cn BT"/>
        <family val="2"/>
      </rPr>
      <t>57° 29' 19"</t>
    </r>
  </si>
  <si>
    <r>
      <rPr>
        <sz val="8"/>
        <rFont val="Swis721 Cn BT"/>
        <family val="2"/>
      </rPr>
      <t>18° 14' 11"</t>
    </r>
  </si>
  <si>
    <r>
      <rPr>
        <sz val="8"/>
        <rFont val="Swis721 Cn BT"/>
        <family val="2"/>
      </rPr>
      <t>56° 58' 23"</t>
    </r>
  </si>
  <si>
    <r>
      <rPr>
        <sz val="8"/>
        <rFont val="Swis721 Cn BT"/>
        <family val="2"/>
      </rPr>
      <t>19° 10' 24"</t>
    </r>
  </si>
  <si>
    <r>
      <rPr>
        <sz val="8"/>
        <rFont val="Swis721 Cn BT"/>
        <family val="2"/>
      </rPr>
      <t>56° 42' 44"</t>
    </r>
  </si>
  <si>
    <r>
      <rPr>
        <sz val="8"/>
        <rFont val="Swis721 Cn BT"/>
        <family val="2"/>
      </rPr>
      <t>19° 00' 12"</t>
    </r>
  </si>
  <si>
    <r>
      <rPr>
        <sz val="8"/>
        <rFont val="Swis721 Cn BT"/>
        <family val="2"/>
      </rPr>
      <t>56° 05' 20"</t>
    </r>
  </si>
  <si>
    <r>
      <rPr>
        <sz val="8"/>
        <rFont val="Swis721 Cn BT"/>
        <family val="2"/>
      </rPr>
      <t>19° 51' 42"</t>
    </r>
  </si>
  <si>
    <r>
      <rPr>
        <sz val="8"/>
        <rFont val="Swis721 Cn BT"/>
        <family val="2"/>
      </rPr>
      <t>56° 59' 05"</t>
    </r>
  </si>
  <si>
    <r>
      <rPr>
        <sz val="8"/>
        <rFont val="Swis721 Cn BT"/>
        <family val="2"/>
      </rPr>
      <t>Costa Rica</t>
    </r>
  </si>
  <si>
    <r>
      <rPr>
        <sz val="8"/>
        <rFont val="Swis721 Cn BT"/>
        <family val="2"/>
      </rPr>
      <t>18° 32' 48"</t>
    </r>
  </si>
  <si>
    <r>
      <rPr>
        <sz val="8"/>
        <rFont val="Swis721 Cn BT"/>
        <family val="2"/>
      </rPr>
      <t>53° 08' 02"</t>
    </r>
  </si>
  <si>
    <r>
      <rPr>
        <sz val="8"/>
        <rFont val="Swis721 Cn BT"/>
        <family val="2"/>
      </rPr>
      <t>Coxim</t>
    </r>
  </si>
  <si>
    <r>
      <rPr>
        <sz val="8"/>
        <rFont val="Swis721 Cn BT"/>
        <family val="2"/>
      </rPr>
      <t>18° 11' 54"</t>
    </r>
  </si>
  <si>
    <r>
      <rPr>
        <sz val="8"/>
        <rFont val="Swis721 Cn BT"/>
        <family val="2"/>
      </rPr>
      <t>54° 16' 41"</t>
    </r>
  </si>
  <si>
    <r>
      <rPr>
        <sz val="8"/>
        <rFont val="Swis721 Cn BT"/>
        <family val="2"/>
      </rPr>
      <t>18° 38' 57"</t>
    </r>
  </si>
  <si>
    <r>
      <rPr>
        <sz val="8"/>
        <rFont val="Swis721 Cn BT"/>
        <family val="2"/>
      </rPr>
      <t>54° 21' 26"</t>
    </r>
  </si>
  <si>
    <r>
      <rPr>
        <sz val="8"/>
        <rFont val="Swis721 Cn BT"/>
        <family val="2"/>
      </rPr>
      <t>18° 21' 00"</t>
    </r>
  </si>
  <si>
    <r>
      <rPr>
        <sz val="8"/>
        <rFont val="Swis721 Cn BT"/>
        <family val="2"/>
      </rPr>
      <t>55° 51' 00"</t>
    </r>
  </si>
  <si>
    <r>
      <rPr>
        <sz val="8"/>
        <rFont val="Swis721 Cn BT"/>
        <family val="2"/>
      </rPr>
      <t>Deodápolis</t>
    </r>
  </si>
  <si>
    <r>
      <rPr>
        <sz val="8"/>
        <rFont val="Swis721 Cn BT"/>
        <family val="2"/>
      </rPr>
      <t>22° 04' 29"</t>
    </r>
  </si>
  <si>
    <r>
      <rPr>
        <sz val="8"/>
        <rFont val="Swis721 Cn BT"/>
        <family val="2"/>
      </rPr>
      <t>54° 11' 19"</t>
    </r>
  </si>
  <si>
    <r>
      <rPr>
        <sz val="8"/>
        <rFont val="Swis721 Cn BT"/>
        <family val="2"/>
      </rPr>
      <t>Dourados</t>
    </r>
  </si>
  <si>
    <r>
      <rPr>
        <sz val="8"/>
        <rFont val="Swis721 Cn BT"/>
        <family val="2"/>
      </rPr>
      <t>22° 23' 50"</t>
    </r>
  </si>
  <si>
    <r>
      <rPr>
        <sz val="8"/>
        <rFont val="Swis721 Cn BT"/>
        <family val="2"/>
      </rPr>
      <t>54° 47' 31"</t>
    </r>
  </si>
  <si>
    <r>
      <rPr>
        <sz val="8"/>
        <rFont val="Swis721 Cn BT"/>
        <family val="2"/>
      </rPr>
      <t>22° 05' 18"</t>
    </r>
  </si>
  <si>
    <r>
      <rPr>
        <sz val="8"/>
        <rFont val="Swis721 Cn BT"/>
        <family val="2"/>
      </rPr>
      <t>55° 21' 07"</t>
    </r>
  </si>
  <si>
    <r>
      <rPr>
        <sz val="8"/>
        <rFont val="Swis721 Cn BT"/>
        <family val="2"/>
      </rPr>
      <t>Glória de Dourados</t>
    </r>
  </si>
  <si>
    <r>
      <rPr>
        <sz val="8"/>
        <rFont val="Swis721 Cn BT"/>
        <family val="2"/>
      </rPr>
      <t>22° 24' 18"</t>
    </r>
  </si>
  <si>
    <r>
      <rPr>
        <sz val="8"/>
        <rFont val="Swis721 Cn BT"/>
        <family val="2"/>
      </rPr>
      <t>54° 14' 06"</t>
    </r>
  </si>
  <si>
    <r>
      <rPr>
        <sz val="8"/>
        <rFont val="Swis721 Cn BT"/>
        <family val="2"/>
      </rPr>
      <t>Iguatemi</t>
    </r>
  </si>
  <si>
    <r>
      <rPr>
        <sz val="8"/>
        <rFont val="Swis721 Cn BT"/>
        <family val="2"/>
      </rPr>
      <t>23° 40' 55"</t>
    </r>
  </si>
  <si>
    <r>
      <rPr>
        <sz val="8"/>
        <rFont val="Swis721 Cn BT"/>
        <family val="2"/>
      </rPr>
      <t>54° 33' 46"</t>
    </r>
  </si>
  <si>
    <r>
      <rPr>
        <sz val="8"/>
        <rFont val="Swis721 Cn BT"/>
        <family val="2"/>
      </rPr>
      <t>23° 27' 02"</t>
    </r>
  </si>
  <si>
    <r>
      <rPr>
        <sz val="8"/>
        <rFont val="Swis721 Cn BT"/>
        <family val="2"/>
      </rPr>
      <t>54° 23' 22"</t>
    </r>
  </si>
  <si>
    <r>
      <rPr>
        <sz val="8"/>
        <rFont val="Swis721 Cn BT"/>
        <family val="2"/>
      </rPr>
      <t>Inocência</t>
    </r>
  </si>
  <si>
    <r>
      <rPr>
        <sz val="8"/>
        <rFont val="Swis721 Cn BT"/>
        <family val="2"/>
      </rPr>
      <t>19° 44' 11"</t>
    </r>
  </si>
  <si>
    <r>
      <rPr>
        <sz val="8"/>
        <rFont val="Swis721 Cn BT"/>
        <family val="2"/>
      </rPr>
      <t>51° 55' 57"</t>
    </r>
  </si>
  <si>
    <r>
      <rPr>
        <sz val="8"/>
        <rFont val="Swis721 Cn BT"/>
        <family val="2"/>
      </rPr>
      <t>19° 33' 11"</t>
    </r>
  </si>
  <si>
    <r>
      <rPr>
        <sz val="8"/>
        <rFont val="Swis721 Cn BT"/>
        <family val="2"/>
      </rPr>
      <t>52° 09' 59"</t>
    </r>
  </si>
  <si>
    <r>
      <rPr>
        <sz val="8"/>
        <rFont val="Swis721 Cn BT"/>
        <family val="2"/>
      </rPr>
      <t>Itaporã</t>
    </r>
  </si>
  <si>
    <r>
      <rPr>
        <sz val="8"/>
        <rFont val="Swis721 Cn BT"/>
        <family val="2"/>
      </rPr>
      <t>22° 04' 32"</t>
    </r>
  </si>
  <si>
    <r>
      <rPr>
        <sz val="8"/>
        <rFont val="Swis721 Cn BT"/>
        <family val="2"/>
      </rPr>
      <t>54° 47' 01"</t>
    </r>
  </si>
  <si>
    <r>
      <rPr>
        <sz val="8"/>
        <rFont val="Swis721 Cn BT"/>
        <family val="2"/>
      </rPr>
      <t>Ivinhema</t>
    </r>
  </si>
  <si>
    <r>
      <rPr>
        <sz val="8"/>
        <rFont val="Swis721 Cn BT"/>
        <family val="2"/>
      </rPr>
      <t>22° 22' 59"</t>
    </r>
  </si>
  <si>
    <r>
      <rPr>
        <sz val="8"/>
        <rFont val="Swis721 Cn BT"/>
        <family val="2"/>
      </rPr>
      <t>53° 31' 51"</t>
    </r>
  </si>
  <si>
    <r>
      <rPr>
        <sz val="8"/>
        <rFont val="Swis721 Cn BT"/>
        <family val="2"/>
      </rPr>
      <t>Jaraguari</t>
    </r>
  </si>
  <si>
    <r>
      <rPr>
        <sz val="8"/>
        <rFont val="Swis721 Cn BT"/>
        <family val="2"/>
      </rPr>
      <t>20° 06' 06"</t>
    </r>
  </si>
  <si>
    <r>
      <rPr>
        <sz val="8"/>
        <rFont val="Swis721 Cn BT"/>
        <family val="2"/>
      </rPr>
      <t>54° 26' 01"</t>
    </r>
  </si>
  <si>
    <r>
      <rPr>
        <sz val="8"/>
        <rFont val="Swis721 Cn BT"/>
        <family val="2"/>
      </rPr>
      <t>Jatei</t>
    </r>
  </si>
  <si>
    <r>
      <rPr>
        <sz val="8"/>
        <rFont val="Swis721 Cn BT"/>
        <family val="2"/>
      </rPr>
      <t>22° 32' 42"</t>
    </r>
  </si>
  <si>
    <r>
      <rPr>
        <sz val="8"/>
        <rFont val="Swis721 Cn BT"/>
        <family val="2"/>
      </rPr>
      <t>54° 01' 40"</t>
    </r>
  </si>
  <si>
    <r>
      <rPr>
        <sz val="8"/>
        <rFont val="Swis721 Cn BT"/>
        <family val="2"/>
      </rPr>
      <t>Landário</t>
    </r>
  </si>
  <si>
    <r>
      <rPr>
        <sz val="8"/>
        <rFont val="Swis721 Cn BT"/>
        <family val="2"/>
      </rPr>
      <t>19° 15' 30"</t>
    </r>
  </si>
  <si>
    <r>
      <rPr>
        <sz val="8"/>
        <rFont val="Swis721 Cn BT"/>
        <family val="2"/>
      </rPr>
      <t>57° 14' 07"</t>
    </r>
  </si>
  <si>
    <r>
      <rPr>
        <sz val="8"/>
        <rFont val="Swis721 Cn BT"/>
        <family val="2"/>
      </rPr>
      <t>Miranda</t>
    </r>
  </si>
  <si>
    <r>
      <rPr>
        <sz val="8"/>
        <rFont val="Swis721 Cn BT"/>
        <family val="2"/>
      </rPr>
      <t>20° 14' 29"</t>
    </r>
  </si>
  <si>
    <r>
      <rPr>
        <sz val="8"/>
        <rFont val="Swis721 Cn BT"/>
        <family val="2"/>
      </rPr>
      <t>56° 22' 06"</t>
    </r>
  </si>
  <si>
    <r>
      <rPr>
        <sz val="8"/>
        <rFont val="Swis721 Cn BT"/>
        <family val="2"/>
      </rPr>
      <t>20° 14' 00"</t>
    </r>
  </si>
  <si>
    <r>
      <rPr>
        <sz val="8"/>
        <rFont val="Swis721 Cn BT"/>
        <family val="2"/>
      </rPr>
      <t>56° 23' 00"</t>
    </r>
  </si>
  <si>
    <r>
      <rPr>
        <sz val="8"/>
        <rFont val="Swis721 Cn BT"/>
        <family val="2"/>
      </rPr>
      <t>20° 55' 36"</t>
    </r>
  </si>
  <si>
    <r>
      <rPr>
        <sz val="8"/>
        <rFont val="Swis721 Cn BT"/>
        <family val="2"/>
      </rPr>
      <t>56° 59' 02"</t>
    </r>
  </si>
  <si>
    <r>
      <rPr>
        <sz val="8"/>
        <rFont val="Swis721 Cn BT"/>
        <family val="2"/>
      </rPr>
      <t>20° 06' 07"</t>
    </r>
  </si>
  <si>
    <r>
      <rPr>
        <sz val="8"/>
        <rFont val="Swis721 Cn BT"/>
        <family val="2"/>
      </rPr>
      <t>56° 47' 43"</t>
    </r>
  </si>
  <si>
    <r>
      <rPr>
        <sz val="8"/>
        <rFont val="Swis721 Cn BT"/>
        <family val="2"/>
      </rPr>
      <t>Navirai</t>
    </r>
  </si>
  <si>
    <r>
      <rPr>
        <sz val="8"/>
        <rFont val="Swis721 Cn BT"/>
        <family val="2"/>
      </rPr>
      <t>23° 04' 24"</t>
    </r>
  </si>
  <si>
    <r>
      <rPr>
        <sz val="8"/>
        <rFont val="Swis721 Cn BT"/>
        <family val="2"/>
      </rPr>
      <t>53° 49' 11"</t>
    </r>
  </si>
  <si>
    <r>
      <rPr>
        <sz val="8"/>
        <rFont val="Swis721 Cn BT"/>
        <family val="2"/>
      </rPr>
      <t>23° 03' 48"</t>
    </r>
  </si>
  <si>
    <r>
      <rPr>
        <sz val="8"/>
        <rFont val="Swis721 Cn BT"/>
        <family val="2"/>
      </rPr>
      <t>54° 12' 01"</t>
    </r>
  </si>
  <si>
    <r>
      <rPr>
        <sz val="8"/>
        <rFont val="Swis721 Cn BT"/>
        <family val="2"/>
      </rPr>
      <t>Nova Andradina</t>
    </r>
  </si>
  <si>
    <r>
      <rPr>
        <sz val="8"/>
        <rFont val="Swis721 Cn BT"/>
        <family val="2"/>
      </rPr>
      <t>21° 58' 55"</t>
    </r>
  </si>
  <si>
    <r>
      <rPr>
        <sz val="8"/>
        <rFont val="Swis721 Cn BT"/>
        <family val="2"/>
      </rPr>
      <t>53° 26' 23"</t>
    </r>
  </si>
  <si>
    <r>
      <rPr>
        <sz val="8"/>
        <rFont val="Swis721 Cn BT"/>
        <family val="2"/>
      </rPr>
      <t>21° 36' 52"</t>
    </r>
  </si>
  <si>
    <r>
      <rPr>
        <sz val="8"/>
        <rFont val="Swis721 Cn BT"/>
        <family val="2"/>
      </rPr>
      <t>Paranaíba</t>
    </r>
  </si>
  <si>
    <r>
      <rPr>
        <sz val="8"/>
        <rFont val="Swis721 Cn BT"/>
        <family val="2"/>
      </rPr>
      <t>18° 59' 48"</t>
    </r>
  </si>
  <si>
    <r>
      <rPr>
        <sz val="8"/>
        <rFont val="Swis721 Cn BT"/>
        <family val="2"/>
      </rPr>
      <t>52° 35' 14"</t>
    </r>
  </si>
  <si>
    <r>
      <rPr>
        <sz val="8"/>
        <rFont val="Swis721 Cn BT"/>
        <family val="2"/>
      </rPr>
      <t>19° 23' 26"</t>
    </r>
  </si>
  <si>
    <r>
      <rPr>
        <sz val="8"/>
        <rFont val="Swis721 Cn BT"/>
        <family val="2"/>
      </rPr>
      <t>51° 36' 31"</t>
    </r>
  </si>
  <si>
    <r>
      <rPr>
        <sz val="8"/>
        <rFont val="Swis721 Cn BT"/>
        <family val="2"/>
      </rPr>
      <t>Pedro Gomes</t>
    </r>
  </si>
  <si>
    <r>
      <rPr>
        <sz val="8"/>
        <rFont val="Swis721 Cn BT"/>
        <family val="2"/>
      </rPr>
      <t>18° 06' 59"</t>
    </r>
  </si>
  <si>
    <r>
      <rPr>
        <sz val="8"/>
        <rFont val="Swis721 Cn BT"/>
        <family val="2"/>
      </rPr>
      <t>54° 33' 37"</t>
    </r>
  </si>
  <si>
    <r>
      <rPr>
        <sz val="8"/>
        <rFont val="Swis721 Cn BT"/>
        <family val="2"/>
      </rPr>
      <t>Ponta Porá</t>
    </r>
  </si>
  <si>
    <r>
      <rPr>
        <sz val="8"/>
        <rFont val="Swis721 Cn BT"/>
        <family val="2"/>
      </rPr>
      <t>22° 32' 00"</t>
    </r>
  </si>
  <si>
    <r>
      <rPr>
        <sz val="8"/>
        <rFont val="Swis721 Cn BT"/>
        <family val="2"/>
      </rPr>
      <t>55° 42' 00"</t>
    </r>
  </si>
  <si>
    <r>
      <rPr>
        <sz val="8"/>
        <rFont val="Swis721 Cn BT"/>
        <family val="2"/>
      </rPr>
      <t>22° 43' 50"</t>
    </r>
  </si>
  <si>
    <r>
      <rPr>
        <sz val="8"/>
        <rFont val="Swis721 Cn BT"/>
        <family val="2"/>
      </rPr>
      <t>Porto Murtinho</t>
    </r>
  </si>
  <si>
    <r>
      <rPr>
        <sz val="8"/>
        <rFont val="Swis721 Cn BT"/>
        <family val="2"/>
      </rPr>
      <t>21° 41' 18"</t>
    </r>
  </si>
  <si>
    <r>
      <rPr>
        <sz val="8"/>
        <rFont val="Swis721 Cn BT"/>
        <family val="2"/>
      </rPr>
      <t>57° 21' 28"</t>
    </r>
  </si>
  <si>
    <r>
      <rPr>
        <sz val="8"/>
        <rFont val="Swis721 Cn BT"/>
        <family val="2"/>
      </rPr>
      <t>Ribas do Rio Pardo</t>
    </r>
  </si>
  <si>
    <r>
      <rPr>
        <sz val="8"/>
        <rFont val="Swis721 Cn BT"/>
        <family val="2"/>
      </rPr>
      <t>20° 40' 35"</t>
    </r>
  </si>
  <si>
    <r>
      <rPr>
        <sz val="8"/>
        <rFont val="Swis721 Cn BT"/>
        <family val="2"/>
      </rPr>
      <t>20° 58' 55"</t>
    </r>
  </si>
  <si>
    <r>
      <rPr>
        <sz val="8"/>
        <rFont val="Swis721 Cn BT"/>
        <family val="2"/>
      </rPr>
      <t>53° 38' 30"</t>
    </r>
  </si>
  <si>
    <r>
      <rPr>
        <sz val="8"/>
        <rFont val="Swis721 Cn BT"/>
        <family val="2"/>
      </rPr>
      <t>21° 24' 30"</t>
    </r>
  </si>
  <si>
    <r>
      <rPr>
        <sz val="8"/>
        <rFont val="Swis721 Cn BT"/>
        <family val="2"/>
      </rPr>
      <t>53° 36' 46"</t>
    </r>
  </si>
  <si>
    <r>
      <rPr>
        <sz val="8"/>
        <rFont val="Swis721 Cn BT"/>
        <family val="2"/>
      </rPr>
      <t>20° 26' 36"</t>
    </r>
  </si>
  <si>
    <r>
      <rPr>
        <sz val="8"/>
        <rFont val="Swis721 Cn BT"/>
        <family val="2"/>
      </rPr>
      <t>53° 45' 27"</t>
    </r>
  </si>
  <si>
    <r>
      <rPr>
        <sz val="8"/>
        <rFont val="Swis721 Cn BT"/>
        <family val="2"/>
      </rPr>
      <t>19° 46' 41"</t>
    </r>
  </si>
  <si>
    <r>
      <rPr>
        <sz val="8"/>
        <rFont val="Swis721 Cn BT"/>
        <family val="2"/>
      </rPr>
      <t>53° 58' 18"</t>
    </r>
  </si>
  <si>
    <r>
      <rPr>
        <sz val="8"/>
        <rFont val="Swis721 Cn BT"/>
        <family val="2"/>
      </rPr>
      <t>Rio Brilhante</t>
    </r>
  </si>
  <si>
    <r>
      <rPr>
        <sz val="8"/>
        <rFont val="Swis721 Cn BT"/>
        <family val="2"/>
      </rPr>
      <t>21° 38' 47"</t>
    </r>
  </si>
  <si>
    <r>
      <rPr>
        <sz val="8"/>
        <rFont val="Swis721 Cn BT"/>
        <family val="2"/>
      </rPr>
      <t>54° 25' 28"</t>
    </r>
  </si>
  <si>
    <r>
      <rPr>
        <sz val="8"/>
        <rFont val="Swis721 Cn BT"/>
        <family val="2"/>
      </rPr>
      <t>21° 47' 47"</t>
    </r>
  </si>
  <si>
    <r>
      <rPr>
        <sz val="8"/>
        <rFont val="Swis721 Cn BT"/>
        <family val="2"/>
      </rPr>
      <t>54° 37' 21"</t>
    </r>
  </si>
  <si>
    <r>
      <rPr>
        <sz val="8"/>
        <rFont val="Swis721 Cn BT"/>
        <family val="2"/>
      </rPr>
      <t>Rio Negro</t>
    </r>
  </si>
  <si>
    <r>
      <rPr>
        <sz val="8"/>
        <rFont val="Swis721 Cn BT"/>
        <family val="2"/>
      </rPr>
      <t>19° 26' 22"</t>
    </r>
  </si>
  <si>
    <r>
      <rPr>
        <sz val="8"/>
        <rFont val="Swis721 Cn BT"/>
        <family val="2"/>
      </rPr>
      <t>54° 59' 00"</t>
    </r>
  </si>
  <si>
    <r>
      <rPr>
        <sz val="8"/>
        <rFont val="Swis721 Cn BT"/>
        <family val="2"/>
      </rPr>
      <t>Rio Verde</t>
    </r>
  </si>
  <si>
    <r>
      <rPr>
        <sz val="8"/>
        <rFont val="Swis721 Cn BT"/>
        <family val="2"/>
      </rPr>
      <t>18° 54' 36"</t>
    </r>
  </si>
  <si>
    <r>
      <rPr>
        <sz val="8"/>
        <rFont val="Swis721 Cn BT"/>
        <family val="2"/>
      </rPr>
      <t>54° 49' 56"</t>
    </r>
  </si>
  <si>
    <r>
      <rPr>
        <sz val="8"/>
        <rFont val="Swis721 Cn BT"/>
        <family val="2"/>
      </rPr>
      <t>18° 43' 27"</t>
    </r>
  </si>
  <si>
    <r>
      <rPr>
        <sz val="8"/>
        <rFont val="Swis721 Cn BT"/>
        <family val="2"/>
      </rPr>
      <t>54° 35' 56"</t>
    </r>
  </si>
  <si>
    <r>
      <rPr>
        <sz val="8"/>
        <rFont val="Swis721 Cn BT"/>
        <family val="2"/>
      </rPr>
      <t>Rochedo</t>
    </r>
  </si>
  <si>
    <r>
      <rPr>
        <sz val="8"/>
        <rFont val="Swis721 Cn BT"/>
        <family val="2"/>
      </rPr>
      <t>19° 57' 06"</t>
    </r>
  </si>
  <si>
    <r>
      <rPr>
        <sz val="8"/>
        <rFont val="Swis721 Cn BT"/>
        <family val="2"/>
      </rPr>
      <t>54° 53' 31"</t>
    </r>
  </si>
  <si>
    <r>
      <rPr>
        <sz val="8"/>
        <rFont val="Swis721 Cn BT"/>
        <family val="2"/>
      </rPr>
      <t>Sidrolândia</t>
    </r>
  </si>
  <si>
    <r>
      <rPr>
        <sz val="8"/>
        <rFont val="Swis721 Cn BT"/>
        <family val="2"/>
      </rPr>
      <t>20° 57' 07"</t>
    </r>
  </si>
  <si>
    <r>
      <rPr>
        <sz val="8"/>
        <rFont val="Swis721 Cn BT"/>
        <family val="2"/>
      </rPr>
      <t>54° 58' 44"</t>
    </r>
  </si>
  <si>
    <r>
      <rPr>
        <sz val="8"/>
        <rFont val="Swis721 Cn BT"/>
        <family val="2"/>
      </rPr>
      <t>Sonora</t>
    </r>
  </si>
  <si>
    <r>
      <rPr>
        <sz val="8"/>
        <rFont val="Swis721 Cn BT"/>
        <family val="2"/>
      </rPr>
      <t>17° 49' 51"</t>
    </r>
  </si>
  <si>
    <r>
      <rPr>
        <sz val="8"/>
        <rFont val="Swis721 Cn BT"/>
        <family val="2"/>
      </rPr>
      <t>54° 18' 47"</t>
    </r>
  </si>
  <si>
    <r>
      <rPr>
        <sz val="8"/>
        <rFont val="Swis721 Cn BT"/>
        <family val="2"/>
      </rPr>
      <t>Tacuru</t>
    </r>
  </si>
  <si>
    <r>
      <rPr>
        <sz val="8"/>
        <rFont val="Swis721 Cn BT"/>
        <family val="2"/>
      </rPr>
      <t>23° 38' 23"</t>
    </r>
  </si>
  <si>
    <r>
      <rPr>
        <sz val="8"/>
        <rFont val="Swis721 Cn BT"/>
        <family val="2"/>
      </rPr>
      <t>55° 01' 11"</t>
    </r>
  </si>
  <si>
    <r>
      <rPr>
        <sz val="8"/>
        <rFont val="Swis721 Cn BT"/>
        <family val="2"/>
      </rPr>
      <t>Terenos</t>
    </r>
  </si>
  <si>
    <r>
      <rPr>
        <sz val="8"/>
        <rFont val="Swis721 Cn BT"/>
        <family val="2"/>
      </rPr>
      <t>20° 29' 42"</t>
    </r>
  </si>
  <si>
    <r>
      <rPr>
        <sz val="8"/>
        <rFont val="Swis721 Cn BT"/>
        <family val="2"/>
      </rPr>
      <t>54° 52' 18"</t>
    </r>
  </si>
  <si>
    <r>
      <rPr>
        <sz val="8"/>
        <rFont val="Swis721 Cn BT"/>
        <family val="2"/>
      </rPr>
      <t>20° 29' 37"</t>
    </r>
  </si>
  <si>
    <r>
      <rPr>
        <sz val="8"/>
        <rFont val="Swis721 Cn BT"/>
        <family val="2"/>
      </rPr>
      <t>54° 48' 42"</t>
    </r>
  </si>
  <si>
    <r>
      <rPr>
        <sz val="8"/>
        <rFont val="Swis721 Cn BT"/>
        <family val="2"/>
      </rPr>
      <t>Três Lagoas</t>
    </r>
  </si>
  <si>
    <r>
      <rPr>
        <sz val="8"/>
        <rFont val="Swis721 Cn BT"/>
        <family val="2"/>
      </rPr>
      <t>20° 48' 00"</t>
    </r>
  </si>
  <si>
    <r>
      <rPr>
        <sz val="8"/>
        <rFont val="Swis721 Cn BT"/>
        <family val="2"/>
      </rPr>
      <t>51° 43' 00"</t>
    </r>
  </si>
  <si>
    <r>
      <rPr>
        <sz val="8"/>
        <rFont val="Swis721 Cn BT"/>
        <family val="2"/>
      </rPr>
      <t>20° 35' 54"</t>
    </r>
  </si>
  <si>
    <r>
      <rPr>
        <sz val="8"/>
        <rFont val="Swis721 Cn BT"/>
        <family val="2"/>
      </rPr>
      <t>52° 13' 10"</t>
    </r>
  </si>
  <si>
    <r>
      <rPr>
        <sz val="8"/>
        <rFont val="Swis721 Cn BT"/>
        <family val="2"/>
      </rPr>
      <t>20° 47' 00"</t>
    </r>
  </si>
  <si>
    <r>
      <rPr>
        <sz val="8"/>
        <rFont val="Swis721 Cn BT"/>
        <family val="2"/>
      </rPr>
      <t>20° 05' 37"</t>
    </r>
  </si>
  <si>
    <r>
      <rPr>
        <sz val="8"/>
        <rFont val="Swis721 Cn BT"/>
        <family val="2"/>
      </rPr>
      <t>52° 09' 35"</t>
    </r>
  </si>
  <si>
    <r>
      <rPr>
        <sz val="8"/>
        <rFont val="Swis721 Cn BT"/>
        <family val="2"/>
      </rPr>
      <t>51° 25' 39"</t>
    </r>
  </si>
  <si>
    <r>
      <rPr>
        <sz val="8"/>
        <rFont val="Swis721 Cn BT"/>
        <family val="2"/>
      </rPr>
      <t>51° 37' 00"</t>
    </r>
  </si>
  <si>
    <r>
      <rPr>
        <sz val="8"/>
        <rFont val="Swis721 Cn BT"/>
        <family val="2"/>
      </rPr>
      <t>51° 38' 00"</t>
    </r>
  </si>
  <si>
    <r>
      <rPr>
        <sz val="8"/>
        <rFont val="Swis721 Cn BT"/>
        <family val="2"/>
      </rPr>
      <t>19° 57' 48"</t>
    </r>
  </si>
  <si>
    <r>
      <rPr>
        <sz val="8"/>
        <rFont val="Swis721 Cn BT"/>
        <family val="2"/>
      </rPr>
      <t>52° 13' 34"</t>
    </r>
  </si>
  <si>
    <t xml:space="preserve">O coeficiente de escoamento foi adotado </t>
  </si>
  <si>
    <t>MÚNICIPIO REFERENCIA</t>
  </si>
  <si>
    <t>20° 26' 42"</t>
  </si>
  <si>
    <t>20° 01' 00"</t>
  </si>
  <si>
    <t>Ivinhema</t>
  </si>
  <si>
    <t>ok</t>
  </si>
  <si>
    <t>Costa Rica</t>
  </si>
  <si>
    <t>Itaporã</t>
  </si>
  <si>
    <t>Jaraguari</t>
  </si>
  <si>
    <t>Miranda</t>
  </si>
  <si>
    <t>Navirai</t>
  </si>
  <si>
    <t>Porto Murtinho</t>
  </si>
  <si>
    <t>Sidrolandia</t>
  </si>
  <si>
    <t>Ladario</t>
  </si>
  <si>
    <t>Caracol</t>
  </si>
  <si>
    <t>Camapuã</t>
  </si>
  <si>
    <t>Bandeirantes</t>
  </si>
  <si>
    <t>Jardim</t>
  </si>
  <si>
    <t>Bodoquena</t>
  </si>
  <si>
    <t>Caarapó</t>
  </si>
  <si>
    <t>Campo Grande</t>
  </si>
  <si>
    <t>Eldorado</t>
  </si>
  <si>
    <t>Iguatemi</t>
  </si>
  <si>
    <t>Nova Alvorada do Sul</t>
  </si>
  <si>
    <t>São Gabriel</t>
  </si>
  <si>
    <t>20° 48' 00"</t>
  </si>
  <si>
    <t>20° 21' 45"</t>
  </si>
  <si>
    <t>Selviria</t>
  </si>
  <si>
    <t>53° 03' 04"</t>
  </si>
  <si>
    <t>Agua Clara</t>
  </si>
  <si>
    <t>PREFEITURA MUNICIPAL DE SIDROLÃNDIA</t>
  </si>
  <si>
    <t>03.501.574/0001-31</t>
  </si>
  <si>
    <t>MEMÓRIA DE CALCULO DE GALERIAS DE AGUAS PLUVIAIS</t>
  </si>
  <si>
    <t>Rede</t>
  </si>
  <si>
    <t>1</t>
  </si>
  <si>
    <t>DISSIPADOR EM CONCRETO ARMADO - TIPO 01 - VAZÃO ATÉ 2M³/S</t>
  </si>
  <si>
    <t>PESO LINEAR(t/m)</t>
  </si>
  <si>
    <t>PESO TOTAL(t)</t>
  </si>
  <si>
    <t>TRANSPORTE (t.km)</t>
  </si>
  <si>
    <t>TRANSPORTE EXCEDENTE (t.km)</t>
  </si>
  <si>
    <t>EXECUÇÃO DE IMPRIMAÇÃO (EMULSÃO ASFÁLTICA PARA IMPRIMAÇÃO)</t>
  </si>
  <si>
    <t>CIDADE</t>
  </si>
  <si>
    <t>NOME</t>
  </si>
  <si>
    <t>COTA_x000D_
TERRENO</t>
  </si>
  <si>
    <t>COTA _x000D_
FUNDO</t>
  </si>
  <si>
    <t>PROFUNDIDADE_x000D_
(m)</t>
  </si>
  <si>
    <t>MATERIAL</t>
  </si>
  <si>
    <t>TUBO</t>
  </si>
  <si>
    <t>DN_x000D_
(m)</t>
  </si>
  <si>
    <t>COMPRIMENTO_x000D_
(m)</t>
  </si>
  <si>
    <t>DECLIVIDADE_x000D_
(%)</t>
  </si>
  <si>
    <t>COTA DE_x000D_
INICIO</t>
  </si>
  <si>
    <t>COTA_x000D_
FINAL</t>
  </si>
  <si>
    <t>ESTRUTURA</t>
  </si>
  <si>
    <t>VERIFICAÇÃO</t>
  </si>
  <si>
    <t>MONTANTE</t>
  </si>
  <si>
    <t>JUSANTE</t>
  </si>
  <si>
    <t>MONTANTE - COTA</t>
  </si>
  <si>
    <t>JUSANTE - COTA</t>
  </si>
  <si>
    <t>PROFUNDIDADE - JUSANTE</t>
  </si>
  <si>
    <t>PROFUNDIDADE - MONTANTE</t>
  </si>
  <si>
    <t>Preencher</t>
  </si>
  <si>
    <t xml:space="preserve">TIPO  DE ESTRUTURA </t>
  </si>
  <si>
    <t>RECORTE MECÂNICO DE PAVIMENTO ASFÁLTICO OU PISO DE CONCRETO, COM SERRA DE DISCO DIAMANTADO PARA PISO/ASFALTO</t>
  </si>
  <si>
    <t>RECOMPOSIÇÃO MANUAL DE BASE PARA PAVIMENTAÇÃO COM BRITA GRADUADA SIMPLES, INCLUSIVE COMPACTAÇÃO E FORNECIMENTO DE MATERIAIS. EXCLUSIVE TRANSPORTE.</t>
  </si>
  <si>
    <t>CORTE DE PAVIMENTO - REDE  (m²)</t>
  </si>
  <si>
    <t>CAMPO GRANDE</t>
  </si>
  <si>
    <t>PREFEITURA:</t>
  </si>
  <si>
    <t>LOCAL:</t>
  </si>
  <si>
    <t>MUNÍCIPIO:</t>
  </si>
  <si>
    <t>DESCRIÇÃO DA OBRA:</t>
  </si>
  <si>
    <t>BDI-SERVIÇO:</t>
  </si>
  <si>
    <t>BDI-MATERIAL:</t>
  </si>
  <si>
    <t>ENCARGOS</t>
  </si>
  <si>
    <t>SINAPI:</t>
  </si>
  <si>
    <t>AGESUL:</t>
  </si>
  <si>
    <t>DADOS DO ORÇAMENTISTA</t>
  </si>
  <si>
    <t>DADOS DO EMPREENDIMENTO E OBRA</t>
  </si>
  <si>
    <t>ENGENHEIRO CIVIL</t>
  </si>
  <si>
    <t>CREA</t>
  </si>
  <si>
    <t>DADOS DA OBRA</t>
  </si>
  <si>
    <t>OBJETO:</t>
  </si>
  <si>
    <t>L</t>
  </si>
  <si>
    <t>SIST./REF.:</t>
  </si>
  <si>
    <t>-</t>
  </si>
  <si>
    <t>SICRO</t>
  </si>
  <si>
    <t>FÁBIO MARQUES RIBEIRO</t>
  </si>
  <si>
    <t>BDI S/DES:</t>
  </si>
  <si>
    <t>SEM DESONERAÇÃO 106,76%(HORA) 64,39%(MÊS)</t>
  </si>
  <si>
    <t>ITEM</t>
  </si>
  <si>
    <t>QTDE.</t>
  </si>
  <si>
    <t>PREÇO TOTAL</t>
  </si>
  <si>
    <t>3.1.1</t>
  </si>
  <si>
    <t>COTAÇÕES</t>
  </si>
  <si>
    <t xml:space="preserve">CNPJ </t>
  </si>
  <si>
    <t xml:space="preserve">EMPRESA </t>
  </si>
  <si>
    <t xml:space="preserve">NOME </t>
  </si>
  <si>
    <t>FONE</t>
  </si>
  <si>
    <t>CONTATO</t>
  </si>
  <si>
    <t>E01</t>
  </si>
  <si>
    <t>E02</t>
  </si>
  <si>
    <t>E03</t>
  </si>
  <si>
    <t>E04</t>
  </si>
  <si>
    <t>E05</t>
  </si>
  <si>
    <t>28.026.481/0001-23</t>
  </si>
  <si>
    <t>GRECA DISTRIBUIDORA DE ASFALTOS LTDA</t>
  </si>
  <si>
    <t>(67)3391-1932</t>
  </si>
  <si>
    <t>BENEDITO SILVA</t>
  </si>
  <si>
    <t> 01.438.784/0048-60</t>
  </si>
  <si>
    <t>BETUNEL INDUSTRIA E CMÉRCIO LTDA</t>
  </si>
  <si>
    <t>(67)3363-2552</t>
  </si>
  <si>
    <t>ALEXANDRE SILVA</t>
  </si>
  <si>
    <t>03.037.291/0001-80</t>
  </si>
  <si>
    <t>NOVAS TECNICAS DE ASFALTO LTDA</t>
  </si>
  <si>
    <t>(11) 97624-6832</t>
  </si>
  <si>
    <t>JORGE</t>
  </si>
  <si>
    <t xml:space="preserve">CÓDIGO </t>
  </si>
  <si>
    <t xml:space="preserve">DESCRIÇÃO </t>
  </si>
  <si>
    <t>DATA COTAÇÃO</t>
  </si>
  <si>
    <t>MEDIANA</t>
  </si>
  <si>
    <t>EMPRESA</t>
  </si>
  <si>
    <t>CT01</t>
  </si>
  <si>
    <t>KG</t>
  </si>
  <si>
    <t>______________________________</t>
  </si>
  <si>
    <t>PLACA DE OBRA EM CHAPA DE ACO GALVANIZADO (REFER. SINAPI CÓD. 74209/001)</t>
  </si>
  <si>
    <t>__________________________________________</t>
  </si>
  <si>
    <t>TRANSPORTE COMERCIAL COM CAMINHÃO CARROCERIA 9T, RODOVIA PAVIMENTADA (REFER. SINAPI CÓD. 72840)844)</t>
  </si>
  <si>
    <t>CODIGO</t>
  </si>
  <si>
    <t>FONTE</t>
  </si>
  <si>
    <t>COEFICIENTE</t>
  </si>
  <si>
    <t>PREÇO UNITARIO</t>
  </si>
  <si>
    <t>COMPOSIÇÃO AUXILIAR</t>
  </si>
  <si>
    <t>CPU-CAT 01</t>
  </si>
  <si>
    <t>CPU-CAT 02</t>
  </si>
  <si>
    <t>CPU-DRED 01</t>
  </si>
  <si>
    <t>CPU-PAVT 01</t>
  </si>
  <si>
    <t>CPU-PAVT 02</t>
  </si>
  <si>
    <t>CPU-PAVT 03</t>
  </si>
  <si>
    <t>CPU-PAVT 04</t>
  </si>
  <si>
    <t>CPU-PAVT 05</t>
  </si>
  <si>
    <t>CPU-PAVT 06</t>
  </si>
  <si>
    <t>CPU-DRED 02</t>
  </si>
  <si>
    <t>CPU-CAT 03</t>
  </si>
  <si>
    <t>CPU-CAT 04</t>
  </si>
  <si>
    <t>CPU-DRET 01</t>
  </si>
  <si>
    <t>CPU-DRED 03</t>
  </si>
  <si>
    <t>BLS - BOCA-DE-LOBO SIMPLES EM CONCRETO SIMPLES FCK 20 MPA, INCLUINDO FORMA, ESCAVAÇÃO, SARJETA DE CONTORNO (CHAMA) EM CONCRETO E GRELHAS EM F°F° TIPO PESADA, CONFORME PROJETO</t>
  </si>
  <si>
    <t>BLT - BOCA-DE-LOBO TRIPLA EM CONCRETO SIMPLES FCK 20 MPA, INCLUINDO FORMA, ESCAVAÇÃO, SARJETA DE CONTORNO (CHAMA) EM CONCRETO E GRELHAS EM F°F° TIPO PESADA, CONFORME PROJETO</t>
  </si>
  <si>
    <t>CPU-DRED 04</t>
  </si>
  <si>
    <t>CPU-PAVI 01</t>
  </si>
  <si>
    <t>TENTO (ACABAMENTO DE LIMPA-RODAS), CONCRETO FCK = 15 MPA, SEÇÃO 330 CM2, MOLDADO NO LOCAL, INCLUSIVE ESCAVAÇÃO.</t>
  </si>
  <si>
    <t>CPU-SERC 01</t>
  </si>
  <si>
    <t>CPU-PA.ACS 01</t>
  </si>
  <si>
    <t>CPU-SINL 01</t>
  </si>
  <si>
    <t>CPU-SINL 02</t>
  </si>
  <si>
    <t>CPU-DRED 05</t>
  </si>
  <si>
    <t>CPU-SINL 03</t>
  </si>
  <si>
    <t>CPU-DRET 02</t>
  </si>
  <si>
    <t>CPU-PAVI 02</t>
  </si>
  <si>
    <t>CPU-DRED 06</t>
  </si>
  <si>
    <t>CPU-CAT 05</t>
  </si>
  <si>
    <t>CPU-PAVI 03</t>
  </si>
  <si>
    <r>
      <t>N≤ 10</t>
    </r>
    <r>
      <rPr>
        <vertAlign val="superscript"/>
        <sz val="8"/>
        <rFont val="Arial Narrow"/>
        <family val="2"/>
      </rPr>
      <t>6</t>
    </r>
  </si>
  <si>
    <r>
      <t>10</t>
    </r>
    <r>
      <rPr>
        <vertAlign val="superscript"/>
        <sz val="8"/>
        <rFont val="Arial Narrow"/>
        <family val="2"/>
      </rPr>
      <t>6</t>
    </r>
    <r>
      <rPr>
        <sz val="8"/>
        <rFont val="Arial Narrow"/>
        <family val="2"/>
      </rPr>
      <t xml:space="preserve"> &lt;  N ≤ 5 x 10</t>
    </r>
    <r>
      <rPr>
        <vertAlign val="superscript"/>
        <sz val="8"/>
        <rFont val="Arial Narrow"/>
        <family val="2"/>
      </rPr>
      <t>6</t>
    </r>
  </si>
  <si>
    <r>
      <t>5x10</t>
    </r>
    <r>
      <rPr>
        <vertAlign val="superscript"/>
        <sz val="8"/>
        <rFont val="Arial Narrow"/>
        <family val="2"/>
      </rPr>
      <t>6</t>
    </r>
    <r>
      <rPr>
        <sz val="8"/>
        <rFont val="Arial Narrow"/>
        <family val="2"/>
      </rPr>
      <t xml:space="preserve"> &lt;  N ≤ 10</t>
    </r>
    <r>
      <rPr>
        <vertAlign val="superscript"/>
        <sz val="8"/>
        <rFont val="Arial Narrow"/>
        <family val="2"/>
      </rPr>
      <t>7</t>
    </r>
  </si>
  <si>
    <r>
      <t>10</t>
    </r>
    <r>
      <rPr>
        <vertAlign val="superscript"/>
        <sz val="8"/>
        <rFont val="Arial Narrow"/>
        <family val="2"/>
      </rPr>
      <t>7</t>
    </r>
    <r>
      <rPr>
        <sz val="8"/>
        <rFont val="Arial Narrow"/>
        <family val="2"/>
      </rPr>
      <t xml:space="preserve"> &lt;  N ≤ 5 x 10</t>
    </r>
    <r>
      <rPr>
        <vertAlign val="superscript"/>
        <sz val="8"/>
        <rFont val="Arial Narrow"/>
        <family val="2"/>
      </rPr>
      <t>7</t>
    </r>
  </si>
  <si>
    <r>
      <t>N&gt; 5 x 10</t>
    </r>
    <r>
      <rPr>
        <vertAlign val="superscript"/>
        <sz val="8"/>
        <rFont val="Arial Narrow"/>
        <family val="2"/>
      </rPr>
      <t>7</t>
    </r>
  </si>
  <si>
    <r>
      <t>CBR</t>
    </r>
    <r>
      <rPr>
        <vertAlign val="subscript"/>
        <sz val="8"/>
        <rFont val="Arial Narrow"/>
        <family val="2"/>
      </rPr>
      <t>p</t>
    </r>
  </si>
  <si>
    <r>
      <t>CBR</t>
    </r>
    <r>
      <rPr>
        <vertAlign val="subscript"/>
        <sz val="8"/>
        <rFont val="Arial Narrow"/>
        <family val="2"/>
      </rPr>
      <t>B</t>
    </r>
  </si>
  <si>
    <r>
      <t>CBR</t>
    </r>
    <r>
      <rPr>
        <vertAlign val="subscript"/>
        <sz val="8"/>
        <rFont val="Arial Narrow"/>
        <family val="2"/>
      </rPr>
      <t>S</t>
    </r>
  </si>
  <si>
    <r>
      <t>CBR</t>
    </r>
    <r>
      <rPr>
        <vertAlign val="subscript"/>
        <sz val="8"/>
        <rFont val="Arial Narrow"/>
        <family val="2"/>
      </rPr>
      <t>R</t>
    </r>
  </si>
  <si>
    <r>
      <t>N≥X10</t>
    </r>
    <r>
      <rPr>
        <vertAlign val="superscript"/>
        <sz val="8"/>
        <rFont val="Arial Narrow"/>
        <family val="2"/>
      </rPr>
      <t>5</t>
    </r>
  </si>
  <si>
    <r>
      <t>VOLUME (m</t>
    </r>
    <r>
      <rPr>
        <b/>
        <vertAlign val="superscript"/>
        <sz val="8"/>
        <rFont val="Arial Narrow"/>
        <family val="2"/>
      </rPr>
      <t>3</t>
    </r>
    <r>
      <rPr>
        <b/>
        <sz val="8"/>
        <rFont val="Arial Narrow"/>
        <family val="2"/>
      </rPr>
      <t>)</t>
    </r>
  </si>
  <si>
    <r>
      <t>C=</t>
    </r>
    <r>
      <rPr>
        <sz val="8"/>
        <rFont val="Arial Narrow"/>
        <family val="2"/>
      </rPr>
      <t xml:space="preserve">CASCALHO </t>
    </r>
    <r>
      <rPr>
        <b/>
        <sz val="8"/>
        <rFont val="Arial Narrow"/>
        <family val="2"/>
      </rPr>
      <t xml:space="preserve">                                                                                       SB=</t>
    </r>
    <r>
      <rPr>
        <sz val="8"/>
        <rFont val="Arial Narrow"/>
        <family val="2"/>
      </rPr>
      <t>SOLO BRITA</t>
    </r>
    <r>
      <rPr>
        <b/>
        <sz val="8"/>
        <rFont val="Arial Narrow"/>
        <family val="2"/>
      </rPr>
      <t xml:space="preserve">                                                                                            BC=</t>
    </r>
    <r>
      <rPr>
        <sz val="8"/>
        <rFont val="Arial Narrow"/>
        <family val="2"/>
      </rPr>
      <t>BICA CORRIDA</t>
    </r>
    <r>
      <rPr>
        <b/>
        <sz val="8"/>
        <rFont val="Arial Narrow"/>
        <family val="2"/>
      </rPr>
      <t xml:space="preserve">                                                                                      SC=</t>
    </r>
    <r>
      <rPr>
        <sz val="8"/>
        <rFont val="Arial Narrow"/>
        <family val="2"/>
      </rPr>
      <t>SOLO</t>
    </r>
    <r>
      <rPr>
        <b/>
        <sz val="8"/>
        <rFont val="Arial Narrow"/>
        <family val="2"/>
      </rPr>
      <t xml:space="preserve"> </t>
    </r>
    <r>
      <rPr>
        <sz val="8"/>
        <rFont val="Arial Narrow"/>
        <family val="2"/>
      </rPr>
      <t>MELHORADO COM CIMENTO (4%)</t>
    </r>
  </si>
  <si>
    <r>
      <t>TRANSPORTE DO MATERIAL DA BASE (SOLO</t>
    </r>
    <r>
      <rPr>
        <b/>
        <sz val="8"/>
        <rFont val="Arial Narrow"/>
        <family val="2"/>
      </rPr>
      <t>/</t>
    </r>
    <r>
      <rPr>
        <sz val="8"/>
        <color theme="1"/>
        <rFont val="Arial Narrow"/>
        <family val="2"/>
      </rPr>
      <t>CASCALHO</t>
    </r>
    <r>
      <rPr>
        <b/>
        <sz val="8"/>
        <rFont val="Arial Narrow"/>
        <family val="2"/>
      </rPr>
      <t>/BRITA</t>
    </r>
    <r>
      <rPr>
        <sz val="8"/>
        <rFont val="Arial Narrow"/>
        <family val="2"/>
      </rPr>
      <t>)</t>
    </r>
  </si>
  <si>
    <t>Ø 40</t>
  </si>
  <si>
    <t>Ø 60</t>
  </si>
  <si>
    <t>Ø 80</t>
  </si>
  <si>
    <t>Ø 100</t>
  </si>
  <si>
    <t>Ø 120</t>
  </si>
  <si>
    <t>Ø 150</t>
  </si>
  <si>
    <r>
      <t>LASTRO DE BRITA (m</t>
    </r>
    <r>
      <rPr>
        <b/>
        <vertAlign val="superscript"/>
        <sz val="8"/>
        <rFont val="Arial Narrow"/>
        <family val="2"/>
      </rPr>
      <t>3</t>
    </r>
    <r>
      <rPr>
        <b/>
        <sz val="8"/>
        <rFont val="Arial Narrow"/>
        <family val="2"/>
      </rPr>
      <t>)</t>
    </r>
  </si>
  <si>
    <r>
      <t xml:space="preserve">PV - </t>
    </r>
    <r>
      <rPr>
        <b/>
        <sz val="8"/>
        <color rgb="FFFF0000"/>
        <rFont val="Arial Narrow"/>
        <family val="2"/>
      </rPr>
      <t>TIPO 1</t>
    </r>
    <r>
      <rPr>
        <b/>
        <sz val="8"/>
        <rFont val="Arial Narrow"/>
        <family val="2"/>
      </rPr>
      <t xml:space="preserve">  (un.)</t>
    </r>
  </si>
  <si>
    <r>
      <t xml:space="preserve">CAIXA - </t>
    </r>
    <r>
      <rPr>
        <b/>
        <sz val="8"/>
        <color rgb="FFFF0000"/>
        <rFont val="Arial Narrow"/>
        <family val="2"/>
      </rPr>
      <t>TIPO 1</t>
    </r>
    <r>
      <rPr>
        <b/>
        <sz val="8"/>
        <rFont val="Arial Narrow"/>
        <family val="2"/>
      </rPr>
      <t xml:space="preserve">  (un.)</t>
    </r>
  </si>
  <si>
    <t>TOTAL EXCEDENTE (m3 x km)</t>
  </si>
  <si>
    <t>PAVIMENTAÇÃO ASFÁLTICA</t>
  </si>
  <si>
    <t>ESCORAMENTO PARA VALA H DE 0 ATÉ 1,5 m, LARGURA maior ou igual a 1,5m e Menor que 2,5m (m³)</t>
  </si>
  <si>
    <t>ESCORAMENTO PARA VALA H DE 3,0  A 4,5 m, LARGURA Menor que 1,5m (m³)</t>
  </si>
  <si>
    <t>ESCORAMENTO PARA VALA H DE 3,0  A 4,5 m, LARGURA maior ou igual a 1,5m e Menor que 2,5m (m³)</t>
  </si>
  <si>
    <t>PREPARO DE FUNDO DE VALA COM LARGURA MENOR QUE 1,5 M</t>
  </si>
  <si>
    <t>PREPARO DE FUNDO DE VALA COM LARGURA MAIOR OU IGUAL A 1,5 M, ATE 2,5M</t>
  </si>
  <si>
    <r>
      <t>0,585 m</t>
    </r>
    <r>
      <rPr>
        <vertAlign val="superscript"/>
        <sz val="8"/>
        <color theme="1"/>
        <rFont val="Arial Narrow"/>
        <family val="2"/>
      </rPr>
      <t>3</t>
    </r>
    <r>
      <rPr>
        <sz val="8"/>
        <color theme="1"/>
        <rFont val="Arial Narrow"/>
        <family val="2"/>
      </rPr>
      <t>.m</t>
    </r>
    <r>
      <rPr>
        <vertAlign val="superscript"/>
        <sz val="8"/>
        <color theme="1"/>
        <rFont val="Arial Narrow"/>
        <family val="2"/>
      </rPr>
      <t>3</t>
    </r>
  </si>
  <si>
    <r>
      <t>0,32180 t.m</t>
    </r>
    <r>
      <rPr>
        <vertAlign val="superscript"/>
        <sz val="8"/>
        <color theme="1"/>
        <rFont val="Arial Narrow"/>
        <family val="2"/>
      </rPr>
      <t>3</t>
    </r>
  </si>
  <si>
    <t>VOLUME CONCRETO (m³)</t>
  </si>
  <si>
    <t>BRITA EMPOLADA C/PERDA (m³)</t>
  </si>
  <si>
    <t xml:space="preserve">RAMPAS </t>
  </si>
  <si>
    <t>ÁREA UNITÁRIA (m²) - RAMPA</t>
  </si>
  <si>
    <t>Linha composição</t>
  </si>
  <si>
    <t>Filtro Geral</t>
  </si>
  <si>
    <t>PREFEITURA MUNICIPAL DE SANTA RITA DO PARDO</t>
  </si>
  <si>
    <t>01.561.372/0001-50</t>
  </si>
  <si>
    <t xml:space="preserve">DESCRIÇÃO  </t>
  </si>
  <si>
    <t>DESCRIÇÃO SERVIÇOS</t>
  </si>
  <si>
    <t>UND.</t>
  </si>
  <si>
    <t>FÓRMULA</t>
  </si>
  <si>
    <t xml:space="preserve">LARGURA </t>
  </si>
  <si>
    <t>ALTURA</t>
  </si>
  <si>
    <t>PADRÃO GOV (LARGXALTURA)</t>
  </si>
  <si>
    <t xml:space="preserve">LOCACAO DE CONTAINER 2,30 X 6,00 M, ALT. 2,50 M, COM 1 SANITARIO, PARA ESCRITORIO, COMPLETO, SEM DIVISORIAS INTERNAS (NAO INCLUI MOBILIZACAO/DESMOBILIZACAO)                                                                                                                                                                                                                                                                                                                                              </t>
  </si>
  <si>
    <t xml:space="preserve">LOCACAO DE CONTAINER 2,30 X 4,30 M, ALT. 2,50 M, P/ SANITARIO, C/ 5 BACIAS, 1 LAVATORIO E 4 MICTORIOS (NAO INCLUI MOBILIZACAO/DESMOBILIZACAO)                                                                                                                                                                                                                                                                                                                                                             </t>
  </si>
  <si>
    <t xml:space="preserve">LOCACAO DE CONTAINER 2,30 X 6,00 M, ALT. 2,50 M, PARA ESCRITORIO, SEM DIVISORIAS INTERNAS E SEM SANITARIO (NAO INCLUI MOBILIZACAO/DESMOBILIZACAO)                                                                                                                                                                                                                                                                                                                                                         </t>
  </si>
  <si>
    <t>ENTRADA DE ENERGIA ELÉTRICA, AÉREA, TRIFÁSICA, COM CAIXA DE EMBUTIR, CABO DE 35 MM2 E DISJUNTOR DIN 50A (NÃO INCLUSO O POSTE DE CONCRETO). AF_07/2020_PS</t>
  </si>
  <si>
    <t xml:space="preserve">CONE DE SINALIZACAO EM PVC RIGIDO COM FAIXA REFLETIVA, H = 70 / 76 CM                                                                                                                                                                                                                                                                                                                                                                                                                                     </t>
  </si>
  <si>
    <t xml:space="preserve">TELA PLASTICA LARANJA, TIPO TAPUME PARA SINALIZACAO, MALHA RETANGULAR, ROLO 1.20 X 50 M (L X C)                                                                                                                                                                                                                                                                                                                                                                                                           </t>
  </si>
  <si>
    <t>VOLUME EMPOLADO(m³)</t>
  </si>
  <si>
    <t>VOLUME EMPOLADO (m³)</t>
  </si>
  <si>
    <t>VOLUME EMPOLAMENTO (m³)</t>
  </si>
  <si>
    <r>
      <t>VOLUME EMPOLAMENTO (m</t>
    </r>
    <r>
      <rPr>
        <b/>
        <vertAlign val="superscript"/>
        <sz val="8"/>
        <rFont val="Arial Narrow"/>
        <family val="2"/>
      </rPr>
      <t>3</t>
    </r>
    <r>
      <rPr>
        <b/>
        <sz val="8"/>
        <rFont val="Arial Narrow"/>
        <family val="2"/>
      </rPr>
      <t>)</t>
    </r>
  </si>
  <si>
    <r>
      <t>VOLUME EMPOLADO (m</t>
    </r>
    <r>
      <rPr>
        <b/>
        <vertAlign val="superscript"/>
        <sz val="8"/>
        <rFont val="Arial Narrow"/>
        <family val="2"/>
      </rPr>
      <t>3</t>
    </r>
    <r>
      <rPr>
        <b/>
        <sz val="8"/>
        <rFont val="Arial Narrow"/>
        <family val="2"/>
      </rPr>
      <t>)</t>
    </r>
  </si>
  <si>
    <t>ESPESSURA (cm)</t>
  </si>
  <si>
    <t>Imagem</t>
  </si>
  <si>
    <t>Código</t>
  </si>
  <si>
    <t>Quantidade (un)</t>
  </si>
  <si>
    <t>Tipo</t>
  </si>
  <si>
    <t>Área Pintura (m²)</t>
  </si>
  <si>
    <t>A-32b</t>
  </si>
  <si>
    <t>Coluna Simples</t>
  </si>
  <si>
    <t>85</t>
  </si>
  <si>
    <t>LBO</t>
  </si>
  <si>
    <t>FTP</t>
  </si>
  <si>
    <t>LCO-B</t>
  </si>
  <si>
    <t>LRE</t>
  </si>
  <si>
    <t>PEM 1</t>
  </si>
  <si>
    <t>LFO-2</t>
  </si>
  <si>
    <t>ZPA</t>
  </si>
  <si>
    <t>R-24a</t>
  </si>
  <si>
    <t>LFO-3</t>
  </si>
  <si>
    <t xml:space="preserve"> 1m PARA POR EXTENSÃO DE TAPUME DA DRENAGEM</t>
  </si>
  <si>
    <t>1 UND PARA OBRA</t>
  </si>
  <si>
    <t>01 un DE INVESTIGAÇÃO A CADA TRECHO DE 100m DE DRENAGEM</t>
  </si>
  <si>
    <t>1un PARA CADA 75m DE EXTENSÃO DAS OBRAS</t>
  </si>
  <si>
    <t>EXTENSÕES PREVISTAS PARA OS SERVIÇOS PRELIMINARES DA DRENAGEM, NO DRENO PROFUNDO, PASSEIO E CICLOVIA; PAVIMENTAÇÃO E RECAPEAMENTO (20%)</t>
  </si>
  <si>
    <t>1 PLACA DE 1m² PARA CADA 150m DE EXTENSÃO DA OBRA</t>
  </si>
  <si>
    <t xml:space="preserve">UN    </t>
  </si>
  <si>
    <t xml:space="preserve">M     </t>
  </si>
  <si>
    <t xml:space="preserve">MES   </t>
  </si>
  <si>
    <t>VOLUME EMPOLADO (%)</t>
  </si>
  <si>
    <t>LMS-1</t>
  </si>
  <si>
    <t>LMS-2</t>
  </si>
  <si>
    <t>VOLUME GEOMETRICO (m³)</t>
  </si>
  <si>
    <t>AGESUL</t>
  </si>
  <si>
    <t>TRANSPORTE TOTAL (m3 x km)</t>
  </si>
  <si>
    <t>TRANSPORTE TOTAL  EXCEDENTE  (m3 x km)</t>
  </si>
  <si>
    <t>TRANSPORTE TOTAL  (m3 x km)</t>
  </si>
  <si>
    <t>COORDENADAS</t>
  </si>
  <si>
    <t>CARGA (t)</t>
  </si>
  <si>
    <t>TOTAL EXCEDENTE(t x km)</t>
  </si>
  <si>
    <t>VOLUME ( M³)</t>
  </si>
  <si>
    <t>VOLUME EMPOLADO( M³)</t>
  </si>
  <si>
    <t>0+00</t>
  </si>
  <si>
    <t>QUANTIDADE DE LIMPA RODAS TP-4 (un)</t>
  </si>
  <si>
    <t>ÁREA UNITÁRIA DOS LIMPA RODAS TP-4 (m²)</t>
  </si>
  <si>
    <t>ÁREA TP-4 (m²)</t>
  </si>
  <si>
    <t>QUANTIDADE DE LIMPA RODAS TP-5 (un)</t>
  </si>
  <si>
    <t>ÁREA UNITÁRIA DOS LIMPA RODAS TP-5 (m²)</t>
  </si>
  <si>
    <t>ÁREA TP-5 (m²)</t>
  </si>
  <si>
    <t>QUANTIDADE DE LIMPA RODAS TP-6 (un)</t>
  </si>
  <si>
    <t>ÁREA UNITÁRIA DOS LIMPA RODAS TP-6 (m²)</t>
  </si>
  <si>
    <t>ÁREA TP-6 (m²)</t>
  </si>
  <si>
    <t>QUANTIDADE DE LIMPA RODAS TP-7 (un)</t>
  </si>
  <si>
    <t>ÁREA UNITÁRIA DOS LIMPA RODAS TP-7 (m²)</t>
  </si>
  <si>
    <t>ÁREA TP-7 (m²)</t>
  </si>
  <si>
    <t>QUANTIDADE DE LIMPA RODAS TP-8 (un)</t>
  </si>
  <si>
    <t>ÁREA UNITÁRIA DOS LIMPA RODAS TP-8 (m²)</t>
  </si>
  <si>
    <t>ÁREA TP-8 (m²)</t>
  </si>
  <si>
    <t>QUANTIDADE DE LIMPA RODAS TP-9 (un)</t>
  </si>
  <si>
    <t>ÁREA UNITÁRIA DOS LIMPA RODAS TP-9 (m²)</t>
  </si>
  <si>
    <t>ÁREA TP-9 (m²)</t>
  </si>
  <si>
    <t>QUANTIDADE DE LIMPA RODAS TP-10 (un)</t>
  </si>
  <si>
    <t>ÁREA UNITÁRIA DOS LIMPA RODAS TP-10 (m²)</t>
  </si>
  <si>
    <t>ÁREA TP-10 (m²)</t>
  </si>
  <si>
    <t>QUANTIDADE DE LIMPA RODAS TP-11 (un)</t>
  </si>
  <si>
    <t>ÁREA UNITÁRIA DOS LIMPA RODAS TP-11 (m²)</t>
  </si>
  <si>
    <t>ÁREA TP-11 (m²)</t>
  </si>
  <si>
    <t>QUANTIDADE DE LIMPA RODAS TP-12 (un)</t>
  </si>
  <si>
    <t>ÁREA UNITÁRIA DOS LIMPA RODAS TP-12 (m²)</t>
  </si>
  <si>
    <t>ÁREA TP-12 (m²)</t>
  </si>
  <si>
    <t>QUANTIDADE DE LIMPA RODAS TP-13 (un)</t>
  </si>
  <si>
    <t>ÁREA UNITÁRIA DOS LIMPA RODAS TP-13 (m²)</t>
  </si>
  <si>
    <t>ÁREA TP-13 (m²)</t>
  </si>
  <si>
    <t>TRECHO - 01</t>
  </si>
  <si>
    <t>TRECHO - 02</t>
  </si>
  <si>
    <t>TRECHO - 03</t>
  </si>
  <si>
    <t>TRECHO - 04</t>
  </si>
  <si>
    <t>TRECHO - 05</t>
  </si>
  <si>
    <t>TRECHO - 06</t>
  </si>
  <si>
    <t>TRECHO - 07</t>
  </si>
  <si>
    <t>TRECHO - 08</t>
  </si>
  <si>
    <t>TRECHO - 09</t>
  </si>
  <si>
    <t>TRECHO - 10</t>
  </si>
  <si>
    <t>TRECHO - 11</t>
  </si>
  <si>
    <t>TRECHO - 12</t>
  </si>
  <si>
    <t>TRECHO - 13</t>
  </si>
  <si>
    <t>MEMÓRIA DE CALCULO RECAPE</t>
  </si>
  <si>
    <t>Dupla 3% cada lado</t>
  </si>
  <si>
    <t>REMENDO PROFUNDO</t>
  </si>
  <si>
    <t>VOLUME DEMOLIÇÃO EMPOLADO (m³)</t>
  </si>
  <si>
    <t>VOLUME RACHÃO (m³)</t>
  </si>
  <si>
    <t>VOLUME BASE (m³)</t>
  </si>
  <si>
    <t>DMT DEMOLIÇÃO (km)</t>
  </si>
  <si>
    <t>TRANSPORTE DEMOLIÇÃO (m³ x km)</t>
  </si>
  <si>
    <t>TRANSPORTE (t x km)</t>
  </si>
  <si>
    <t>ESPESSURA DEMOLIÇÃO (m)</t>
  </si>
  <si>
    <t>ESPESSURA RACHÃO (m)</t>
  </si>
  <si>
    <t>ESPESSURA BASE (m)</t>
  </si>
  <si>
    <t>PESO ESPECIFICO (t/m3)</t>
  </si>
  <si>
    <t>VOLUME (t)</t>
  </si>
  <si>
    <t>TRANSPORTE EXCEDENTE (t x km)</t>
  </si>
  <si>
    <t>VOLUME DEMOLIÇÃO (m³)</t>
  </si>
  <si>
    <t>DEMOLIÇÃO</t>
  </si>
  <si>
    <t>VOLUME RACHÃO EMPOLADO (m³)</t>
  </si>
  <si>
    <t>VOLUME BASE EMPOLADO(m³)</t>
  </si>
  <si>
    <t>CARGA</t>
  </si>
  <si>
    <t>RECOMPOSIÇÃO DE BASE</t>
  </si>
  <si>
    <t>VOLUME EMPOLADO (t/m²)</t>
  </si>
  <si>
    <t>QUAL TIPO DE PAVIMENTO - TSD  -  CBUQ - MICROREVESTIMENTO</t>
  </si>
  <si>
    <t>FRESAGEM</t>
  </si>
  <si>
    <t>TRANSPORTE RACHÃO/BASE (m³ x km)</t>
  </si>
  <si>
    <t>TRANSPORTE EXCEDENTE RACHÃO/BASE (m³ x km)</t>
  </si>
  <si>
    <t>RECAPEAMENTO</t>
  </si>
  <si>
    <t>CPU-PAVI 04</t>
  </si>
  <si>
    <t>LIMPEZA SUPERFICIAL DE PAVIMENTO ASFALTICO COM MINICARREGADEIRA ACOPLADA COM VASSOURA MECÂNICA</t>
  </si>
  <si>
    <t>NAVIRAÍ</t>
  </si>
  <si>
    <t>IVINHEMA</t>
  </si>
  <si>
    <t>DOURADOS</t>
  </si>
  <si>
    <t>CPU-DRED 10</t>
  </si>
  <si>
    <t>CPU-DRED 21</t>
  </si>
  <si>
    <t>PLANTIO DE GRAMA</t>
  </si>
  <si>
    <t>MEIO FIO</t>
  </si>
  <si>
    <t>RECONSTRUÇÃO</t>
  </si>
  <si>
    <t>PLANTIO</t>
  </si>
  <si>
    <t>DENSIDADE (kg)</t>
  </si>
  <si>
    <t>BIGODE 40</t>
  </si>
  <si>
    <t>ESPESURA DA CAPA - REDE  (cm)</t>
  </si>
  <si>
    <t>RECOMPOSIÇÃO DE BASE - REDE  (m³)</t>
  </si>
  <si>
    <t>ESPESURA DA BASE - REDE  (cm)</t>
  </si>
  <si>
    <t>CPU-CAT 06</t>
  </si>
  <si>
    <t>FATOR RETORNO (K)</t>
  </si>
  <si>
    <t>MODELO COMPOSIÇÃO OU CAIXA</t>
  </si>
  <si>
    <t>COD. TRANSPORT. RODOV.</t>
  </si>
  <si>
    <t>SOMATORIA TOTAL</t>
  </si>
  <si>
    <t>CUSTO UNITARIO</t>
  </si>
  <si>
    <t>REPRESENTATIVIDADE NA SOMATORIA TOTAL</t>
  </si>
  <si>
    <t>CAMPO GRANDE - NAVIRAI</t>
  </si>
  <si>
    <t>BIGODE - 01</t>
  </si>
  <si>
    <t>BIGODE - 02</t>
  </si>
  <si>
    <t>BIGODE - 03</t>
  </si>
  <si>
    <t>BIGODE - 04</t>
  </si>
  <si>
    <t>BIGODE - 05</t>
  </si>
  <si>
    <t>BIGODE - 06</t>
  </si>
  <si>
    <t>BIGODE - 07</t>
  </si>
  <si>
    <t>BIGODE - 09</t>
  </si>
  <si>
    <t>BIGODE - 10</t>
  </si>
  <si>
    <t>RTRECHO -  01</t>
  </si>
  <si>
    <t>RTRECHO -  02</t>
  </si>
  <si>
    <t>NOME DA REDE</t>
  </si>
  <si>
    <t>REMOÇÃO DE BOCA DE LOBO - CONCRETO (un.)</t>
  </si>
  <si>
    <t>I</t>
  </si>
  <si>
    <t>REMOÇÃO DE PV (un.)</t>
  </si>
  <si>
    <t>RBIGODE 40</t>
  </si>
  <si>
    <t>RBIGODE 60</t>
  </si>
  <si>
    <t>CARGA, MANOBRA E DESCARGA DE TUBOS DE CONCRETO, DN 1500 MM, EM CAMINHÃO CARROCERIA COM GUINDAUTO (MUNCK) 11,7 TM. AF_07/2020</t>
  </si>
  <si>
    <t>CAIXA DE PASSAGEM CLP - 4X4X4 - (REFER. SICRO CÓD. 2003674)</t>
  </si>
  <si>
    <t>CPU-DRED 16</t>
  </si>
  <si>
    <t>DEMOLIÇÃO DE BOCA DE LOBO.</t>
  </si>
  <si>
    <t>CPU-DRED 23</t>
  </si>
  <si>
    <t>E9526</t>
  </si>
  <si>
    <t>REMOÇÃO DE TUBOS DE CONCRETO COM DIÂMETRO DE 0,40 M A 1,00 M EM VALAS E BUEIROS- SICRO03</t>
  </si>
  <si>
    <t xml:space="preserve">DEMOLIÇÃO DE POÇO DE VISITA </t>
  </si>
  <si>
    <t>CPU-DRED 24</t>
  </si>
  <si>
    <t>CPU-DRED 25</t>
  </si>
  <si>
    <t>DEMOLIÇÃO DE DISSIPADOR</t>
  </si>
  <si>
    <t>,</t>
  </si>
  <si>
    <t>6.2.1</t>
  </si>
  <si>
    <t>6.3.1</t>
  </si>
  <si>
    <t>REDE 02 - EXISTENTE</t>
  </si>
  <si>
    <t>REDE 03 - EXISTENTE</t>
  </si>
  <si>
    <t>REDE 04 - EXISTENTE</t>
  </si>
  <si>
    <t>RTRECHO -  03</t>
  </si>
  <si>
    <t>RTRECHO -  04</t>
  </si>
  <si>
    <t>RTRECHO -  05</t>
  </si>
  <si>
    <t>RTRECHO -  07</t>
  </si>
  <si>
    <t>RTRECHO -  06</t>
  </si>
  <si>
    <t>RUA PÉRSIO ANTUNES DE OLIVEIRA</t>
  </si>
  <si>
    <t>ANA PAULA LANZIANI</t>
  </si>
  <si>
    <t>RUA JOSÉ DAMÁSIO DE SOUZA</t>
  </si>
  <si>
    <t>RUA JOÃO ALVES SOUZA</t>
  </si>
  <si>
    <t>MEMÓRIA DE CALCULO DRENAGEM PLUVIAL-IMPLANTAÇÃO</t>
  </si>
  <si>
    <t>MEMÓRIA DE CALCULO DRENAGEM PLUVIAL-REMOÇÃO</t>
  </si>
  <si>
    <t xml:space="preserve">GUINDAUTO HIDRAULICO, CAPACIDADE MAXIMA DE CARGA 6200 KG, MOMENTO MAXIMO DE CARGA 11,7 TM, ALCANCE MAXIMO HORIZONTAL 9,70 M, PARA MONTAGEM SOBRE CHASSI DE CAMINHAO PBT MINIMO 13000 KG (INCLUI MONTAGEM, NAO INCLUI CAMINHAO)                                                                                                                                                                                                                                                                            </t>
  </si>
  <si>
    <t xml:space="preserve">MOTONIVELADORA POTENCIA BASICA LIQUIDA (PRIMEIRA MARCHA) 125 HP, PESO BRUTO 13843 KG, LARGURA DA LAMINA DE 3,7 M                                                                                                                                                                                                                                                                                                                                                                                          </t>
  </si>
  <si>
    <t xml:space="preserve">PA CARREGADEIRA SOBRE RODAS, POTENCIA LIQUIDA 128 HP, CAPACIDADE DA CACAMBA DE 1,7 A 2,8 M3, PESO OPERACIONAL MAXIMO DE 11632 KG                                                                                                                                                                                                                                                                                                                                                                          </t>
  </si>
  <si>
    <t xml:space="preserve">TRATOR DE ESTEIRAS, POTENCIA DE 100 HP, PESO OPERACIONAL DE 9,4 T, COM LAMINA COM CAPACIDADE DE 2,19 M3                                                                                                                                                                                                                                                                                                                                                                                                   </t>
  </si>
  <si>
    <t xml:space="preserve">TRATOR DE PNEUS COM POTENCIA DE 85 CV, TRACAO 4 X 4, PESO COM LASTRO DE 4675 KG                                                                                                                                                                                                                                                                                                                                                                                                                           </t>
  </si>
  <si>
    <t xml:space="preserve">BETONEIRA CAPACIDADE NOMINAL 400 L, CAPACIDADE DE MISTURA 280 L, MOTOR ELETRICO TRIFASICO 220/380 V POTENCIA 2 CV, SEM CARREGADOR                                                                                                                                                                                                                                                                                                                                                                         </t>
  </si>
  <si>
    <t xml:space="preserve">ROLO COMPACTADOR VIBRATORIO DE UM CILINDRO, ACO LISO, POTENCIA 80 HP, PESO OPERACIONAL MAXIMO 8,1 T, IMPACTO DINAMICO 16,15/9,5 T, LARGURA TRABALHO 1,68 M                                                                                                                                                                                                                                                                                                                                                </t>
  </si>
  <si>
    <t xml:space="preserve">ESCAVADEIRA HIDRAULICA SOBRE ESTEIRAS, CACAMBA 0,80M3, PESO OPERACIONAL 17T, POTENCIA BRUTA 111HP                                                                                                                                                                                                                                                                                                                                                                                                         </t>
  </si>
  <si>
    <t xml:space="preserve">COMPACTADOR DE SOLOS DE PERCURSAO (SOQUETE) COM MOTOR A GASOLINA 4 TEMPOS DE 4 HP (4 CV)                                                                                                                                                                                                                                                                                                                                                                                                                  </t>
  </si>
  <si>
    <t xml:space="preserve">VASSOURA MECANICA REBOCAVEL COM ESCOVA CILINDRICA LARGURA UTIL DE VARRIMENTO = 2,44M                                                                                                                                                                                                                                                                                                                                                                                                                      </t>
  </si>
  <si>
    <t xml:space="preserve">MAQUINA EXTRUSORA DE CONCRETO PARA GUIAS E SARJETAS, COM MOTOR A DIESEL E POTENCIA DE 14 CV                                                                                                                                                                                                                                                                                                                                                                                                               </t>
  </si>
  <si>
    <t xml:space="preserve">ROLO COMPACTADOR DE PNEUS, ESTATICO, PRESSAO VARIAVEL, POTENCIA 110 HP, PESO SEM/COM LASTRO 10,8/27 T, LARGURA DE ROLAGEM 2,30 M                                                                                                                                                                                                                                                                                                                                                                          </t>
  </si>
  <si>
    <t xml:space="preserve">ESCAVADEIRA HIDRAULICA SOBRE ESTEIRAS COM CACAMBA DE 1,20 M3, PESO OPERACIONAL 21 T, POTENCIA BRUTA 155 HP                                                                                                                                                                                                                                                                                                                                                                                                </t>
  </si>
  <si>
    <t xml:space="preserve">ROLO COMPACTADOR VIBRATORIO TANDEM, ACO LISO, POTENCIA 125 HP, PESO SEM/COM LASTRO 10,20/11,65 T, LARGURA DE TRABALHO 1,73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</si>
  <si>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</si>
  <si>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VIBROACABADORA DE ASFALTO SOBRE ESTEIRAS, LARG. PAVIMENT. 1,90 A 5,3 M, POT. 78 KW/105 HP, CAP. 450 T/H                                                                                                                                                                                                                                                                                                                                                                                                   </t>
  </si>
  <si>
    <t xml:space="preserve">ESPARGIDOR DE ASFALTO PRESSURIZADO, TANQUE 6 M3 COM ISOLACAO TERMICA, AQUECIDO COM 2 MACARICOS, COM BARRA ESPARGIDORA 3,60 M, A SER MONTADO SOBRE CAMINHAO                                                                                                                                                                                                                                                                                                                                                </t>
  </si>
  <si>
    <t>CAVALO MECÂNICO COM SEMIRREBOQUE COM CAPACIDADE DE 22 T - 240 KW</t>
  </si>
  <si>
    <t>CAMINHÃO TANQUE COM CAPACIDADE DE 10.000 L - 188 KW</t>
  </si>
  <si>
    <t>CAMINHÃO CARROCERIA COM CAPACIDADE DE 5 T - 115 KW</t>
  </si>
  <si>
    <t>CAMINHÃO BASCULANTE COM CAPACIDADE DE 14 M³ - 210 KW</t>
  </si>
  <si>
    <t>258,89</t>
  </si>
  <si>
    <t>CPU-DRED 26</t>
  </si>
  <si>
    <t>PISO TÁTIL DIRECIONAL E DE ALERTA COM LADRILHO HIDRÁULICO DE 40X40X2,5 CM, EM CONCRETO SIMPLES FCK = 35MPA (NBR 9050 E COM O DECRETO 5296), INCLUINDO FORNECIMENTO E ASSENTAMENTO COM ARGAMASSA OU CIMENTO COLANTE SOBRE COXIM PREPARADO NO PISO RÚSTICO.</t>
  </si>
  <si>
    <t>PESO ESPECÍFICO (t)</t>
  </si>
  <si>
    <t>CPU-SINL 05</t>
  </si>
  <si>
    <t>LOMBADA DE CONCRETO MOLDADA IN LOCO</t>
  </si>
  <si>
    <t>PREFEITURA MUNICIPAL DE BELA VISTA</t>
  </si>
  <si>
    <t>PREFEITURA MUNICIPAL DE GLÓRIA DE DOURADOS</t>
  </si>
  <si>
    <t>ENGENHEIRO CIVIL - 15.276 D/MS</t>
  </si>
  <si>
    <t>FORNECIMENTO E INSTALAÇÃO DE 02 PLACAS ESMALTADA PARA IDENTIFICAÇÃO DE RUA, DIMENSÕES 45X20CM EM CHAPA DE AÇO.INCLUINDO SUPORTE METÁLICO E FIXADO EM BASE DE CONCRETO NÃO ESTRUTURAL.</t>
  </si>
  <si>
    <t>JUNTA DE DILATAÇÃO</t>
  </si>
  <si>
    <t>CERCAMENTO DE CANTEIRO</t>
  </si>
  <si>
    <t>Metragem do canteiro de obras</t>
  </si>
  <si>
    <t>TABELA RESUMO DE SINALIZAÇÃO</t>
  </si>
  <si>
    <t>29.712.461/0001-79</t>
  </si>
  <si>
    <t>FUNDIÇÃO SOUZA</t>
  </si>
  <si>
    <t>(67) 3424-1794</t>
  </si>
  <si>
    <t>CASSIANO</t>
  </si>
  <si>
    <t>CT02</t>
  </si>
  <si>
    <t>GRELHA FOFO ARTICULADA, CLASSE D400, CARGA MÁXIMA 40T, 50 x 100 CM, PARA BOCA DE LOBO</t>
  </si>
  <si>
    <t>43.247.526/0001-83</t>
  </si>
  <si>
    <t>ATN METAIS LTDA</t>
  </si>
  <si>
    <t>CLÁUCIA</t>
  </si>
  <si>
    <t>E06</t>
  </si>
  <si>
    <t>E07</t>
  </si>
  <si>
    <t>(67) 98112-8773</t>
  </si>
  <si>
    <t>CÁUCIA</t>
  </si>
  <si>
    <t>55.331.847/0001-40</t>
  </si>
  <si>
    <t>FUNDICÃO OLIVETTI EM FERRO INDUSTRIA E COMERCIO LTDA</t>
  </si>
  <si>
    <t>(67) 98112-8774</t>
  </si>
  <si>
    <t>03.992.516/0001-58</t>
  </si>
  <si>
    <t>AFER INDUSTRIAL LTDA TAMPÕES E GRELHAS</t>
  </si>
  <si>
    <t>(11) 3646-5190</t>
  </si>
  <si>
    <t>BARBARA</t>
  </si>
  <si>
    <t>SUGESTÃO DE ITENS DE RELEVÂNCIA</t>
  </si>
  <si>
    <t>ITENS DE RELEVÂNCIA (SUPERIORES A 4%)</t>
  </si>
  <si>
    <t>Apesar de não representarem 4% ou mais do orçamento, os itens abaixo foram incluídos como relevantes devido à sua importância técnica. Embora o valor individual não ultrapasse esse percentual, a quantidade expressiva desses itens na planilha e a complexidade de sua execução tornam fundamental a experiência prévia na realização desse volume de serviço, garantindo a qualidade e a segurança da edificação. Sendo necessário a apresentação de atestado de capacidade técnica conforme previsto na Lei 14.133/21 Artigo 6º, inciso XLIV e Artigo 67, §1º.</t>
  </si>
  <si>
    <t>ITENS DE RELEVÂNCIA (INFERIOR A 4%)</t>
  </si>
  <si>
    <t>Serviços</t>
  </si>
  <si>
    <t>Cidade_insumo</t>
  </si>
  <si>
    <t>Latitude</t>
  </si>
  <si>
    <t>Longitude</t>
  </si>
  <si>
    <t>Latitude_GD</t>
  </si>
  <si>
    <t>Longitude_GD</t>
  </si>
  <si>
    <t>20°27'27.26"S</t>
  </si>
  <si>
    <t>54°27'55.59"O</t>
  </si>
  <si>
    <t>JARAGUARI</t>
  </si>
  <si>
    <t>BANDEIRANTES</t>
  </si>
  <si>
    <t>AQUIDAUANA</t>
  </si>
  <si>
    <t>ANASTÁCIO</t>
  </si>
  <si>
    <t xml:space="preserve"> 23° 7'53.12"S</t>
  </si>
  <si>
    <t>54°11'45.95"O</t>
  </si>
  <si>
    <t>JARDIM</t>
  </si>
  <si>
    <t>BELA VISTA</t>
  </si>
  <si>
    <t>20° 6'10.98"S</t>
  </si>
  <si>
    <t>54°25'53.73"O</t>
  </si>
  <si>
    <t>BODOQUENA</t>
  </si>
  <si>
    <t>GUIA LOPES DA LAGUNA</t>
  </si>
  <si>
    <t xml:space="preserve"> 21°27'11.30"S</t>
  </si>
  <si>
    <t xml:space="preserve"> 56° 9'19.40"O</t>
  </si>
  <si>
    <t>MARACAJÚ</t>
  </si>
  <si>
    <t xml:space="preserve"> 23° 2'28.27"S</t>
  </si>
  <si>
    <t>54°12'49.61"O</t>
  </si>
  <si>
    <t xml:space="preserve"> 19°52'45.00"S</t>
  </si>
  <si>
    <t xml:space="preserve"> 54°26'30.17"O</t>
  </si>
  <si>
    <t xml:space="preserve"> 22° 5'56.05"S</t>
  </si>
  <si>
    <t xml:space="preserve"> 56°44'47.41"O</t>
  </si>
  <si>
    <t>20°26'37.24"S</t>
  </si>
  <si>
    <t>54°46'36.65"O</t>
  </si>
  <si>
    <t>RIBAS DO RIO PARDO</t>
  </si>
  <si>
    <t xml:space="preserve"> 21°33'59.05"S</t>
  </si>
  <si>
    <t xml:space="preserve"> 56°35'48.62"O</t>
  </si>
  <si>
    <t>TRÊS LAGOAS</t>
  </si>
  <si>
    <t xml:space="preserve"> 22°57'59.75"S </t>
  </si>
  <si>
    <t>54° 5'26.75"O</t>
  </si>
  <si>
    <t>20°26'54.18"S</t>
  </si>
  <si>
    <t>54°46'4.04"O</t>
  </si>
  <si>
    <t xml:space="preserve"> 21°26'38.90"S</t>
  </si>
  <si>
    <t xml:space="preserve"> 56° 5'53.06"O</t>
  </si>
  <si>
    <t>21°40'3.11"S</t>
  </si>
  <si>
    <t xml:space="preserve"> 55°10'40.48"O</t>
  </si>
  <si>
    <t xml:space="preserve"> 23° 3'23.37"S</t>
  </si>
  <si>
    <t>54°13'49.12"O</t>
  </si>
  <si>
    <t xml:space="preserve"> 20°27'12.40"S </t>
  </si>
  <si>
    <t xml:space="preserve"> 54°41'58.70"O</t>
  </si>
  <si>
    <t>22°57'59.75"S</t>
  </si>
  <si>
    <t xml:space="preserve"> 20°27'45.05"S</t>
  </si>
  <si>
    <t xml:space="preserve"> 55°46'46.56"O</t>
  </si>
  <si>
    <t xml:space="preserve"> 22° 4'49.84"S</t>
  </si>
  <si>
    <t xml:space="preserve"> 56°31'10.85"O</t>
  </si>
  <si>
    <t>20°23'50.87"S</t>
  </si>
  <si>
    <t>54°33'45.07"O</t>
  </si>
  <si>
    <t xml:space="preserve"> 20°23'50.79"S</t>
  </si>
  <si>
    <t xml:space="preserve"> 54°33'45.10"O</t>
  </si>
  <si>
    <t xml:space="preserve"> 23° 13'13.90"S</t>
  </si>
  <si>
    <t>54°50'18.30"O</t>
  </si>
  <si>
    <t xml:space="preserve"> 20°29'48.61"S</t>
  </si>
  <si>
    <t xml:space="preserve"> 55°46'25.62"O</t>
  </si>
  <si>
    <t xml:space="preserve"> 20°25'45.36"S</t>
  </si>
  <si>
    <t xml:space="preserve"> 54°32'38.55"O</t>
  </si>
  <si>
    <t xml:space="preserve"> 21°27'21.09"S</t>
  </si>
  <si>
    <t xml:space="preserve"> 56° 6'54.61"O</t>
  </si>
  <si>
    <t xml:space="preserve"> 23° 3'8.14"S </t>
  </si>
  <si>
    <t>54°13'34.67"O</t>
  </si>
  <si>
    <t>20°15'24.78"S</t>
  </si>
  <si>
    <t>54°29'1.45"O</t>
  </si>
  <si>
    <t xml:space="preserve"> 21°29'45.67"S</t>
  </si>
  <si>
    <t xml:space="preserve"> 56° 9'31.18"O</t>
  </si>
  <si>
    <t xml:space="preserve"> 20°27'4.09"S</t>
  </si>
  <si>
    <t xml:space="preserve"> 53°43'4.56"O</t>
  </si>
  <si>
    <t xml:space="preserve"> 20°53'52.56"S</t>
  </si>
  <si>
    <t xml:space="preserve"> 51°39'37.72"O</t>
  </si>
  <si>
    <t xml:space="preserve"> 22° 6'46.97"S</t>
  </si>
  <si>
    <t xml:space="preserve"> 54°47'49.87"O</t>
  </si>
  <si>
    <t xml:space="preserve"> 20°35'28.14"S</t>
  </si>
  <si>
    <t xml:space="preserve"> 56°41'21.58"O</t>
  </si>
  <si>
    <r>
      <t xml:space="preserve">PV - </t>
    </r>
    <r>
      <rPr>
        <b/>
        <sz val="8"/>
        <color rgb="FFFF0000"/>
        <rFont val="Arial Narrow"/>
        <family val="2"/>
      </rPr>
      <t>TIPO 2</t>
    </r>
    <r>
      <rPr>
        <b/>
        <sz val="8"/>
        <rFont val="Arial Narrow"/>
        <family val="2"/>
      </rPr>
      <t xml:space="preserve">  (un.)</t>
    </r>
  </si>
  <si>
    <r>
      <t xml:space="preserve">PV - </t>
    </r>
    <r>
      <rPr>
        <b/>
        <sz val="8"/>
        <color rgb="FFFF0000"/>
        <rFont val="Arial Narrow"/>
        <family val="2"/>
      </rPr>
      <t>TIPO 3</t>
    </r>
    <r>
      <rPr>
        <b/>
        <sz val="8"/>
        <rFont val="Arial Narrow"/>
        <family val="2"/>
      </rPr>
      <t xml:space="preserve">  (un.)</t>
    </r>
  </si>
  <si>
    <r>
      <t xml:space="preserve">PV - </t>
    </r>
    <r>
      <rPr>
        <b/>
        <sz val="8"/>
        <color rgb="FFFF0000"/>
        <rFont val="Arial Narrow"/>
        <family val="2"/>
      </rPr>
      <t>TIPO 4</t>
    </r>
    <r>
      <rPr>
        <b/>
        <sz val="8"/>
        <rFont val="Arial Narrow"/>
        <family val="2"/>
      </rPr>
      <t xml:space="preserve">  (un.)</t>
    </r>
  </si>
  <si>
    <t>CPU-DRED 29</t>
  </si>
  <si>
    <t>VIGA BALDRAME</t>
  </si>
  <si>
    <t>RADIER</t>
  </si>
  <si>
    <t>PILARES</t>
  </si>
  <si>
    <t>VIGA SUPERIOR (FECHAMENTO)</t>
  </si>
  <si>
    <t xml:space="preserve">LAJE </t>
  </si>
  <si>
    <t>VEDAÇÃO - PAREDES</t>
  </si>
  <si>
    <t>CPU-DRED 30</t>
  </si>
  <si>
    <t>CPU-DRED 31</t>
  </si>
  <si>
    <t>CPU-DRED 32</t>
  </si>
  <si>
    <t>VIGA INTERMEDIÁRIA</t>
  </si>
  <si>
    <t>LATITUDE</t>
  </si>
  <si>
    <t>LONGITUDE</t>
  </si>
  <si>
    <t>MIRANDA</t>
  </si>
  <si>
    <t>20°13'26.9"S</t>
  </si>
  <si>
    <t>56°19'5.6"O</t>
  </si>
  <si>
    <t>GLÓRIA DE DOURADOS</t>
  </si>
  <si>
    <t xml:space="preserve">22°25'52.32"S </t>
  </si>
  <si>
    <t>54°14'15.39"O</t>
  </si>
  <si>
    <t xml:space="preserve">22°21'15.22"S </t>
  </si>
  <si>
    <t>54°26'55.10"O</t>
  </si>
  <si>
    <t>SOLO</t>
  </si>
  <si>
    <t>BOTA-FORA</t>
  </si>
  <si>
    <t>BOTA FORA</t>
  </si>
  <si>
    <t>ELDORADO</t>
  </si>
  <si>
    <t>23°47'00.6"S</t>
  </si>
  <si>
    <t>54°17'57.7"W</t>
  </si>
  <si>
    <t>DURAÇÃO DA OBRA</t>
  </si>
  <si>
    <t>SEÇÃO DO MEIO FIO REBAIXADO COM SARJETA (m²)</t>
  </si>
  <si>
    <t xml:space="preserve">MEIO FIOS REBAIXADO COM SARJETA (m) </t>
  </si>
  <si>
    <t>GUIA (MEIO-FIO) REBAIXADA E SARJETA CONJUGADOS DE CONCRETO, MOLDADA IN LOCO EM TRECHO RETO COM EXTRUSORA, 45 CM BASE (15 CM BASE DA GUIA + 30 CM BASE DA SARJETA) X 14 CM ALTURA. (SINAPI - 94267)</t>
  </si>
  <si>
    <t>CPU-SERC 04</t>
  </si>
  <si>
    <t xml:space="preserve">JUNTA DE DILATAÇÃO - 
GUIA (MEIO FIO) </t>
  </si>
  <si>
    <t>JUNTA DE DILATAÇÃO - 
GUIA (MEIO FIO)</t>
  </si>
  <si>
    <t>JUNTA DE DILATAÇÃO (m)</t>
  </si>
  <si>
    <t>AVENIDA JOÃO RIGONATO</t>
  </si>
  <si>
    <t xml:space="preserve"> 54°12'46.67"O</t>
  </si>
  <si>
    <t>23° 2'28.11"S</t>
  </si>
  <si>
    <t>36+9,22</t>
  </si>
  <si>
    <t>GRAMA</t>
  </si>
  <si>
    <t xml:space="preserve"> 22°58'2.62"S
 54° 5'27.21"O</t>
  </si>
  <si>
    <t xml:space="preserve"> 23° 5'06.00"S
 54°11'28.5"O</t>
  </si>
  <si>
    <t xml:space="preserve"> 22° 59'22.7"S
 54°11'13.8"O</t>
  </si>
  <si>
    <t xml:space="preserve"> 23° 3'55.55"S
 54°13'49.35"O</t>
  </si>
  <si>
    <t xml:space="preserve"> 20°27'12.85"S
 54°41'58.78"O</t>
  </si>
  <si>
    <t xml:space="preserve"> 22°19'8.25"S
 53°48'35.31"O</t>
  </si>
  <si>
    <t xml:space="preserve"> 22°19'8.58"S
 53°48'34.10"O</t>
  </si>
  <si>
    <t xml:space="preserve"> 23° 3'23.52"S
 54°10'49.68"O</t>
  </si>
  <si>
    <t>PESO ESPECIFICO (kg)</t>
  </si>
  <si>
    <t>VOLUME EMPOLADO(t)</t>
  </si>
  <si>
    <r>
      <t>I</t>
    </r>
    <r>
      <rPr>
        <b/>
        <i/>
        <vertAlign val="subscript"/>
        <sz val="10"/>
        <color theme="0"/>
        <rFont val="Arial Narrow"/>
        <family val="2"/>
      </rPr>
      <t>chuva</t>
    </r>
  </si>
  <si>
    <t>REDE-01</t>
  </si>
  <si>
    <t>01;02</t>
  </si>
  <si>
    <t>01;02;03;04</t>
  </si>
  <si>
    <t>01;02;03;04;05;06</t>
  </si>
  <si>
    <t>01;02;03;04;05;06;07;08</t>
  </si>
  <si>
    <t>01;02;03;04;05;06;07;08;09;10</t>
  </si>
  <si>
    <t>PV -03</t>
  </si>
  <si>
    <t>PV -04</t>
  </si>
  <si>
    <t>PV -01</t>
  </si>
  <si>
    <t>PV -02</t>
  </si>
  <si>
    <t>PV -05</t>
  </si>
  <si>
    <t>PV -06</t>
  </si>
  <si>
    <t>PV -07</t>
  </si>
  <si>
    <t>PV -08</t>
  </si>
  <si>
    <t>PV -09</t>
  </si>
  <si>
    <t>DISSIPADOR DE ENERGIA</t>
  </si>
  <si>
    <t>BIGODE - 08</t>
  </si>
  <si>
    <t>TRECHO - 14</t>
  </si>
  <si>
    <t>REDE 01</t>
  </si>
  <si>
    <t>A-21c</t>
  </si>
  <si>
    <t>A-42a</t>
  </si>
  <si>
    <t>TACHA:MONO</t>
  </si>
  <si>
    <t>TACHA:BI</t>
  </si>
  <si>
    <t>LFO-1</t>
  </si>
  <si>
    <t>ZPA:BRANCA</t>
  </si>
  <si>
    <t>ZPA:AMARELA</t>
  </si>
  <si>
    <t>LCA:BRANCA</t>
  </si>
  <si>
    <t>LCA:AMARELA</t>
  </si>
  <si>
    <t>PEM 2</t>
  </si>
  <si>
    <t>CPU-DRED 27</t>
  </si>
  <si>
    <t>CPU-DRED 28</t>
  </si>
  <si>
    <t>DISPOSITIVOS ESTRUTURAIS - VALETAS</t>
  </si>
  <si>
    <t>VOLUME ESCAVAÇÃO (m³)</t>
  </si>
  <si>
    <t>DISPOSITIVOS ESTRUTURAIS - SARGETAS</t>
  </si>
  <si>
    <t>INFRAESTRUTURA URBANA – PAVIMENTAÇÃO ASFÁLTICA, DRENAGEM, E SINALIZAÇÃO VIÁRIA NO ACESSO AO CEMITERIO MUNICIPAL DE NAVIRAÍ/ MS</t>
  </si>
  <si>
    <t>PEDRA RACHÃO (m3)</t>
  </si>
  <si>
    <t>CPU-DRED 35</t>
  </si>
  <si>
    <t>GOVERNO DO ESTADO DE MATO GROSSO DO SUL</t>
  </si>
  <si>
    <t>SERVENTE COM ENCARGOS COMPLEMENTARES</t>
  </si>
  <si>
    <t>CHP</t>
  </si>
  <si>
    <t>CONCRETO FCK = 20MPA, TRAÇO 1:2,7:3 (EM MASSA SECA DE CIMENTO/ AREIA MÉDIA/ BRITA 1) - PREPARO MECÂNICO COM BETONEIRA 400 L. AF_05/2021</t>
  </si>
  <si>
    <t>PEDREIRO COM ENCARGOS COMPLEMENTARES</t>
  </si>
  <si>
    <t>ESCAVADEIRA HIDRÁULICA SOBRE ESTEIRAS, CAÇAMBA 0,80 M3, PESO OPERACIONAL 17 T, POTENCIA BRUTA 111 HP - CHI DIURNO. AF_06/2014</t>
  </si>
  <si>
    <t>CHI</t>
  </si>
  <si>
    <t>ESCAVADEIRA HIDRÁULICA SOBRE ESTEIRAS, CAÇAMBA 0,80 M3, PESO OPERACIONAL 17 T, POTENCIA BRUTA 111 HP - CHP DIURNO. AF_06/2014</t>
  </si>
  <si>
    <t>DEMOLIÇÃO PARCIAL DE PAVIMENTO ASFÁLTICO, DE FORMA MECANIZADA, SEM REAPROVEITAMENTO. AF_09/2023</t>
  </si>
  <si>
    <t>ESCAVAÇÃO MANUAL DE VALA. AF_09/2024</t>
  </si>
  <si>
    <t>PREPARO DE FUNDO DE VALA COM LARGURA MENOR QUE 1,5 M (ACERTO DO SOLO NATURAL). AF_08/2020</t>
  </si>
  <si>
    <t>MONTAGEM E DESMONTAGEM DE FÔRMA DE VIGA, ESCORAMENTO COM GARFO DE MADEIRA, PÉ-DIREITO SIMPLES, EM CHAPA DE MADEIRA PLASTIFICADA, 14 UTILIZAÇÕES. AF_09/2020</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</si>
  <si>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</si>
  <si>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</si>
  <si>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LANÇAMENTO COM USO DE BALDES, ADENSAMENTO E ACABAMENTO DE CONCRETO EM ESTRUTURAS. AF_02/2022</t>
  </si>
  <si>
    <t>GUINDAUTO HIDRÁULICO, CAPACIDADE MÁXIMA DE CARGA 6200 KG, MOMENTO MÁXIMO DE CARGA 11,7 TM, ALCANCE MÁXIMO HORIZONTAL 9,70 M, INCLUSIVE CAMINHÃO TOCO PBT 16.000 KG, POTÊNCIA DE 189 CV - CHP DIURNO. AF_06/2014</t>
  </si>
  <si>
    <t>GRELHA FOFO ARTICULADA, CLASSE D400, CARGA MÁXIMA 40T, 50 X 100 CM, PARA BOCA DE LOBO</t>
  </si>
  <si>
    <t>707,75</t>
  </si>
  <si>
    <t>CONCRETO FCK = 15MPA, TRAÇO 1:3,4:3,5 (EM MASSA SECA DE CIMENTO/ AREIA MÉDIA/ BRITA 1) - PREPARO MECÂNICO COM BETONEIRA 400 L. AF_05/2021</t>
  </si>
  <si>
    <t>CONCRETO MAGRO PARA LASTRO, TRAÇO 1:4,5:4,5 (EM MASSA SECA DE CIMENTO/ AREIA MÉDIA/ BRITA 1) - PREPARO MECÂNICO COM BETONEIRA 400 L. AF_05/2021</t>
  </si>
  <si>
    <t>PLACA DE SINALIZACAO EM CHAPA DE ACO NUM 16 COM PINTURA REFLETIVA</t>
  </si>
  <si>
    <t>924</t>
  </si>
  <si>
    <t>PELICULA REFLETIVA, GT 7 ANOS PARA SINALIZACAO VERTICAL</t>
  </si>
  <si>
    <t>37,2</t>
  </si>
  <si>
    <t>TUBO ACO GALVANIZADO COM COSTURA, CLASSE LEVE, DN 50 MM (2"), E = 3,00 MM, *4,40* KG/M (NBR 5580)</t>
  </si>
  <si>
    <t>67,19</t>
  </si>
  <si>
    <t>DILUENTE AGUARRAS</t>
  </si>
  <si>
    <t>CAMINHÃO TOCO, PBT 16.000 KG, CARGA ÚTIL MÁX. 10.685 KG, DIST. ENTRE EIXOS 4,8 M, POTÊNCIA 189 CV, INCLUSIVE CARROCERIA FIXA ABERTA DE MADEIRA P/ TRANSPORTE GERAL DE CARGA SECA, DIMEN. APROX. 2,5 X 7,00 X 0,50 M - CHP DIURNO. AF_06/2014</t>
  </si>
  <si>
    <t>TINTA ACRILICA A BASE DE SOLVENTE, PARA SINALIZACAO HORIZONTAL VIARIA (NBR 11862)</t>
  </si>
  <si>
    <t>TINTA ACRILICA PREMIUM PARA PISO</t>
  </si>
  <si>
    <t>18,74</t>
  </si>
  <si>
    <t>MICROESFERAS DE VIDRO PARA SINALIZACAO HORIZONTAL VIARIA, TIPO I-B (PREMIX) - NBR 16184</t>
  </si>
  <si>
    <t>13,36</t>
  </si>
  <si>
    <t>MÁQUINA DEMARCADORA DE FAIXA DE TRÁFEGO À FRIO, AUTOPROPELIDA, POTÊNCIA 38 HP - CHP DIURNO. AF_07/2016</t>
  </si>
  <si>
    <t>CAIBRO NAO APARELHADO *6 X 6* CM, EM MACARANDUBA/MASSARANDUBA, ANGELIM OU EQUIVALENTE DA REGIAO - BRUTA</t>
  </si>
  <si>
    <t>PLACA DE OBRA (PARA CONSTRUCAO CIVIL) EM CHAPA GALVANIZADA *N. 22*, ADESIVADA, DE *2,4 X 1,2* M (SEM POSTES PARA FIXACAO)</t>
  </si>
  <si>
    <t>400</t>
  </si>
  <si>
    <t>CAMINHÃO TOCO, PBT 14.300 KG, CARGA ÚTIL MÁX. 9.710 KG, DIST. ENTRE EIXOS 3,56 M, POTÊNCIA 185 CV, INCLUSIVE CARROCERIA FIXA ABERTA DE MADEIRA P/ TRANSPORTE GERAL DE CARGA SECA, DIMEN. APROX. 2,50 X 6,50 X 0,50 M - CHP DIURNO. AF_06/2014</t>
  </si>
  <si>
    <t>CARPINTEIRO DE FORMAS COM ENCARGOS COMPLEMENTARES</t>
  </si>
  <si>
    <t>VOLUME LIQUIDO</t>
  </si>
  <si>
    <t>RUA JOÃO ALVES DE SOUZA</t>
  </si>
  <si>
    <t>RUA SHINKISHI URANO</t>
  </si>
  <si>
    <t>RUA MARIA DE SOUZA DA CONCEIÇÃO</t>
  </si>
  <si>
    <t>8+11,558</t>
  </si>
  <si>
    <t>12+14,506</t>
  </si>
  <si>
    <t>7+18,799</t>
  </si>
  <si>
    <t>(SETEMBRO/2025)</t>
  </si>
  <si>
    <t>NOME DE RUA</t>
  </si>
  <si>
    <t>A-45</t>
  </si>
  <si>
    <t>AGESUL(SETEMBRO/2025)/SINAPI(SETEMBRO/2025)</t>
  </si>
  <si>
    <t>9,7</t>
  </si>
  <si>
    <t>14,74</t>
  </si>
  <si>
    <t>18,28</t>
  </si>
  <si>
    <t>21,72</t>
  </si>
  <si>
    <t>20,27</t>
  </si>
  <si>
    <t>77,74</t>
  </si>
  <si>
    <t>683,86</t>
  </si>
  <si>
    <t>493,42</t>
  </si>
  <si>
    <t>27,11</t>
  </si>
  <si>
    <t>90,5</t>
  </si>
  <si>
    <t>213,54</t>
  </si>
  <si>
    <t>22,21</t>
  </si>
  <si>
    <t>85,91</t>
  </si>
  <si>
    <t>6,31</t>
  </si>
  <si>
    <t>79,62</t>
  </si>
  <si>
    <t>13,62</t>
  </si>
  <si>
    <t>16,5</t>
  </si>
  <si>
    <t>294,84</t>
  </si>
  <si>
    <t>274,89</t>
  </si>
  <si>
    <t>446,84</t>
  </si>
  <si>
    <t>PLACA DE ACO ESMALTADA PARA IDENTIFICACAO DE RUA, *45 CM X 20* CM</t>
  </si>
  <si>
    <t>132</t>
  </si>
  <si>
    <t>BUCHA DE NYLON SEM ABA S6, COM PARAFUSO DE 4,20 X 40 MM EM ACO ZINCADO COM ROSCA SOBERBA, CABECA CHATA E FENDA PHILLIPS</t>
  </si>
  <si>
    <t>0,12</t>
  </si>
  <si>
    <t>398,05</t>
  </si>
  <si>
    <t>17,39</t>
  </si>
  <si>
    <t>215,26</t>
  </si>
  <si>
    <t>27,29</t>
  </si>
  <si>
    <t>208,35</t>
  </si>
  <si>
    <t>26,89</t>
  </si>
  <si>
    <t>247,5</t>
  </si>
  <si>
    <t>26,69</t>
  </si>
  <si>
    <t>ARGAMASSA COLANTE AC I PARA CERAMICAS</t>
  </si>
  <si>
    <t>0,9</t>
  </si>
  <si>
    <t>PISO TATIL / PODOTATIL, LADRILHO HIDRAULICO/CONCRETO, *40 X 40* CM, E= 2,5* CM, PADRAO TATIL ALERTA OU DIRECIONAL, COR NATURAL</t>
  </si>
  <si>
    <t>16,68</t>
  </si>
  <si>
    <t>BIGODE-100</t>
  </si>
  <si>
    <t>REDE 02 - IMPLANTAÇÃO</t>
  </si>
  <si>
    <t>BIGODE-101</t>
  </si>
  <si>
    <t>BIGODE-102</t>
  </si>
  <si>
    <t>BIGODE-103</t>
  </si>
  <si>
    <t>BIGODE-104</t>
  </si>
  <si>
    <t>BIGODE-105</t>
  </si>
  <si>
    <t>BIGODE-106</t>
  </si>
  <si>
    <t>BIGODE-107</t>
  </si>
  <si>
    <t>BIGODE-108</t>
  </si>
  <si>
    <t>BIGODE-109</t>
  </si>
  <si>
    <t>BIGODE-110</t>
  </si>
  <si>
    <t>BIGODE-111</t>
  </si>
  <si>
    <t>TRECHO - 100</t>
  </si>
  <si>
    <t>TRECHO - 101</t>
  </si>
  <si>
    <t>TRECHO - 102</t>
  </si>
  <si>
    <t>TRECHO - 103</t>
  </si>
  <si>
    <t>TRECHO - 104</t>
  </si>
  <si>
    <t>TRECHO - 105</t>
  </si>
  <si>
    <t>TRECHO - 106</t>
  </si>
  <si>
    <t>TRECHO - 107</t>
  </si>
  <si>
    <t>TRECHO - 108</t>
  </si>
  <si>
    <t>TRECHO - 109</t>
  </si>
  <si>
    <t>TRECHO - 110</t>
  </si>
  <si>
    <t>TRECHO - 111</t>
  </si>
  <si>
    <t>TRECHO - 112</t>
  </si>
  <si>
    <t>BLT-01</t>
  </si>
  <si>
    <t>BLT-02</t>
  </si>
  <si>
    <t>BLD-02</t>
  </si>
  <si>
    <t>BLD-01</t>
  </si>
  <si>
    <t>BLT-03</t>
  </si>
  <si>
    <t>BLT-04</t>
  </si>
  <si>
    <t>BLD-03</t>
  </si>
  <si>
    <t>BLD-04</t>
  </si>
  <si>
    <t>BLD-05</t>
  </si>
  <si>
    <t>BLD-06</t>
  </si>
  <si>
    <t>BLD-07</t>
  </si>
  <si>
    <t>BLD-08</t>
  </si>
  <si>
    <t>DIS-1</t>
  </si>
  <si>
    <t>PV -100</t>
  </si>
  <si>
    <t>PV -101</t>
  </si>
  <si>
    <t>PV -102</t>
  </si>
  <si>
    <t>PV -103</t>
  </si>
  <si>
    <t>PV -104</t>
  </si>
  <si>
    <t>PV -105</t>
  </si>
  <si>
    <t>PV -107</t>
  </si>
  <si>
    <t>PV -108</t>
  </si>
  <si>
    <t>PV -106</t>
  </si>
  <si>
    <t>PV -109</t>
  </si>
  <si>
    <t>PV -110</t>
  </si>
  <si>
    <t>PV -111</t>
  </si>
  <si>
    <t>PV -112</t>
  </si>
  <si>
    <t>RUA MARIA DE SOUZA CONCEIÇÃO</t>
  </si>
  <si>
    <t xml:space="preserve"> RUA JOÃO ALVES</t>
  </si>
  <si>
    <t>SARJETAS TRAPEZOIDAIS DE GRAMA - 01</t>
  </si>
  <si>
    <t>VALETA EM GRAMA - 02</t>
  </si>
  <si>
    <t>VALETA EM GRAMA - 03</t>
  </si>
  <si>
    <t>VALETA EM GRAMA- 01</t>
  </si>
  <si>
    <t>nula2</t>
  </si>
  <si>
    <t>BLD - 01</t>
  </si>
  <si>
    <t>BLD - 02</t>
  </si>
  <si>
    <t>BLD - 07</t>
  </si>
  <si>
    <t>BLD - 08</t>
  </si>
  <si>
    <t>BLD - 09</t>
  </si>
  <si>
    <t>BLD - 10</t>
  </si>
  <si>
    <t>PV - 10</t>
  </si>
  <si>
    <t>ALA - 01</t>
  </si>
  <si>
    <t>ALA - 02</t>
  </si>
  <si>
    <t>nula</t>
  </si>
  <si>
    <t>??? - 46</t>
  </si>
  <si>
    <t>BLD - 03</t>
  </si>
  <si>
    <t>BLD - 04</t>
  </si>
  <si>
    <t>BLD - 05</t>
  </si>
  <si>
    <t>BLD - 06</t>
  </si>
  <si>
    <t>PV-1 - POÇO DE VISITA, COM DIMENSÕES INTERNAS DE 2,00M X 2,00M X 1,50M (BXBXH), EM ALVENARIA DE BLOCO DE CONCRETO ESTRUTURAL FCK 8 MPA. EXCLUSIVE PESCOÇO E TAMPÃO.</t>
  </si>
  <si>
    <t>PV-2 - POÇO DE VISITA, COM DIMENSÕES INTERNAS DE 2,00M X 2,00M X 2,00M (BXBXH), EM ALVENARIA DE BLOCO DE CONCRETO ESTRUTURAL FCK 8 MPA. EXCLUSIVE PESCOÇO E TAMPÃO.</t>
  </si>
  <si>
    <t>PV-3 - POÇO DE VISITA, COM DIMENSÕES INTERNAS DE 2,00M X 2,00M X 2,50M (BXBXH), EM ALVENARIA DE BLOCO DE CONCRETO ESTRUTURAL FCK 8 MPA. EXCLUSIVE PESCOÇO E TAMPÃO.</t>
  </si>
  <si>
    <t>PV-4 - POÇO DE VISITA, COM DIMENSÕES INTERNAS DE 2,00M X 2,00M X 3,00M (BXBXH), EM ALVENARIA DE BLOCO DE CONCRETO ESTRUTURAL FCK 8 MPA. EXCLUSIVE PESCOÇO E TAMPÃO.</t>
  </si>
  <si>
    <t>ACRÉSCIMO PARA POÇO DE VISITA (m)</t>
  </si>
  <si>
    <t>CX COLETORA - 02</t>
  </si>
  <si>
    <t>CX COLETORA - 03</t>
  </si>
  <si>
    <t>CX COLETORA - 01</t>
  </si>
  <si>
    <r>
      <t>C=</t>
    </r>
    <r>
      <rPr>
        <sz val="8"/>
        <rFont val="Arial Narrow"/>
        <family val="2"/>
      </rPr>
      <t xml:space="preserve">CASCALHO </t>
    </r>
    <r>
      <rPr>
        <b/>
        <sz val="8"/>
        <rFont val="Arial Narrow"/>
        <family val="2"/>
      </rPr>
      <t xml:space="preserve">                                                                                                       SB=</t>
    </r>
    <r>
      <rPr>
        <sz val="8"/>
        <rFont val="Arial Narrow"/>
        <family val="2"/>
      </rPr>
      <t>SOLO BRITA</t>
    </r>
    <r>
      <rPr>
        <b/>
        <sz val="8"/>
        <rFont val="Arial Narrow"/>
        <family val="2"/>
      </rPr>
      <t xml:space="preserve">                                                                                                            BC=</t>
    </r>
    <r>
      <rPr>
        <sz val="8"/>
        <rFont val="Arial Narrow"/>
        <family val="2"/>
      </rPr>
      <t>BICA CORRIDA</t>
    </r>
    <r>
      <rPr>
        <b/>
        <sz val="8"/>
        <rFont val="Arial Narrow"/>
        <family val="2"/>
      </rPr>
      <t xml:space="preserve">                                                                                      SC=</t>
    </r>
    <r>
      <rPr>
        <sz val="8"/>
        <rFont val="Arial Narrow"/>
        <family val="2"/>
      </rPr>
      <t>SOLO</t>
    </r>
    <r>
      <rPr>
        <b/>
        <sz val="8"/>
        <rFont val="Arial Narrow"/>
        <family val="2"/>
      </rPr>
      <t xml:space="preserve"> </t>
    </r>
    <r>
      <rPr>
        <sz val="8"/>
        <rFont val="Arial Narrow"/>
        <family val="2"/>
      </rPr>
      <t>MELHORADO COM CIMENTO (4%)</t>
    </r>
  </si>
  <si>
    <t>MÉDIO</t>
  </si>
  <si>
    <t>2,5X105</t>
  </si>
  <si>
    <t>2,5X104</t>
  </si>
  <si>
    <r>
      <t>N≥X10</t>
    </r>
    <r>
      <rPr>
        <vertAlign val="superscript"/>
        <sz val="8"/>
        <rFont val="Arial Narrow"/>
        <family val="2"/>
      </rPr>
      <t>4</t>
    </r>
  </si>
  <si>
    <t>PLACA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</si>
</sst>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0">
    <numFmt numFmtId="7" formatCode="&quot;R$&quot;\ #,##0.00;\-&quot;R$&quot;\ #,##0.00"/>
    <numFmt numFmtId="8" formatCode="&quot;R$&quot;\ #,##0.00;[Red]\-&quot;R$&quot;\ #,##0.00"/>
    <numFmt numFmtId="44" formatCode="_-&quot;R$&quot;\ * #,##0.00_-;\-&quot;R$&quot;\ * #,##0.00_-;_-&quot;R$&quot;\ * &quot;-&quot;??_-;_-@_-"/>
    <numFmt numFmtId="43" formatCode="_-* #,##0.00_-;\-* #,##0.00_-;_-* &quot;-&quot;??_-;_-@_-"/>
    <numFmt numFmtId="164" formatCode="#,##0.0000"/>
    <numFmt numFmtId="165" formatCode="#,##0.000"/>
    <numFmt numFmtId="166" formatCode="#,##0.000_);\(#,##0.000\)"/>
    <numFmt numFmtId="167" formatCode="&quot;R$&quot;\ #,##0.00"/>
    <numFmt numFmtId="168" formatCode="_(* #,##0.00_);_(* \(#,##0.00\);_(* &quot;-&quot;??_);_(@_)"/>
    <numFmt numFmtId="169" formatCode="0.000"/>
    <numFmt numFmtId="170" formatCode="0.0000"/>
    <numFmt numFmtId="171" formatCode="0.000000"/>
    <numFmt numFmtId="172" formatCode="#,##0.00000"/>
    <numFmt numFmtId="173" formatCode="0.00000"/>
    <numFmt numFmtId="174" formatCode="_-* #,##0.000_-;\-* #,##0.000_-;_-* &quot;-&quot;??_-;_-@_-"/>
    <numFmt numFmtId="175" formatCode="0.0"/>
    <numFmt numFmtId="176" formatCode="_-* #,##0.0000_-;\-* #,##0.0000_-;_-* &quot;-&quot;??_-;_-@_-"/>
    <numFmt numFmtId="177" formatCode="_(&quot;R$ &quot;* #,##0.00_);_(&quot;R$ &quot;* \(#,##0.00\);_(&quot;R$ &quot;* \-??_);_(@_)"/>
    <numFmt numFmtId="179" formatCode="#,##0.000_);[Red]\(#,##0.000\)"/>
    <numFmt numFmtId="180" formatCode="&quot;R$ &quot;#,##0.00_);[Red]\(&quot;R$ &quot;#,##0.00\)"/>
    <numFmt numFmtId="181" formatCode="[$-416]mmm\-yy;@"/>
    <numFmt numFmtId="182" formatCode="#,##0.0000_);\(#,##0.0000\)"/>
    <numFmt numFmtId="183" formatCode="[$€]#,##0.00_);[Red]\([$€]#,##0.00\)"/>
    <numFmt numFmtId="184" formatCode="_([$€-2]* #,##0.00_);_([$€-2]* \(#,##0.00\);_([$€-2]* &quot;-&quot;??_)"/>
    <numFmt numFmtId="185" formatCode="#,#00"/>
    <numFmt numFmtId="186" formatCode="_(&quot;$&quot;* #,##0.00_);_(&quot;$&quot;* \(#,##0.00\);_(&quot;$&quot;* &quot;-&quot;??_);_(@_)"/>
    <numFmt numFmtId="187" formatCode="d/m"/>
    <numFmt numFmtId="188" formatCode="%#,#00"/>
    <numFmt numFmtId="189" formatCode="#.##000"/>
    <numFmt numFmtId="190" formatCode="#,"/>
  </numFmts>
  <fonts count="126" x14ac:knownFonts="1">
    <font>
      <sz val="11"/>
      <color theme="1"/>
      <name val="Calibri"/>
      <family val="2"/>
      <scheme val="minor"/>
    </font>
    <font>
      <sz val="10"/>
      <name val="Courier"/>
      <family val="3"/>
    </font>
    <font>
      <b/>
      <sz val="11"/>
      <color theme="1"/>
      <name val="Calibri"/>
      <family val="2"/>
      <scheme val="minor"/>
    </font>
    <font>
      <sz val="8"/>
      <name val="Calibri"/>
      <family val="2"/>
      <scheme val="minor"/>
    </font>
    <font>
      <sz val="11"/>
      <color theme="1"/>
      <name val="Calibri"/>
      <family val="2"/>
      <scheme val="minor"/>
    </font>
    <font>
      <sz val="11"/>
      <color indexed="8"/>
      <name val="Calibri"/>
      <family val="2"/>
      <scheme val="minor"/>
    </font>
    <font>
      <sz val="8"/>
      <color rgb="FF000000"/>
      <name val="Arial"/>
      <family val="2"/>
    </font>
    <font>
      <b/>
      <sz val="8"/>
      <color rgb="FF000000"/>
      <name val="Arial"/>
      <family val="2"/>
    </font>
    <font>
      <sz val="10"/>
      <name val="Arial"/>
      <family val="2"/>
    </font>
    <font>
      <b/>
      <sz val="10"/>
      <name val="Cambria"/>
      <family val="1"/>
    </font>
    <font>
      <sz val="11"/>
      <color theme="1"/>
      <name val="Cambria"/>
      <family val="1"/>
    </font>
    <font>
      <sz val="10"/>
      <name val="Cambria"/>
      <family val="1"/>
    </font>
    <font>
      <sz val="8"/>
      <name val="Cambria"/>
      <family val="1"/>
    </font>
    <font>
      <b/>
      <sz val="12"/>
      <name val="Cambria"/>
      <family val="1"/>
    </font>
    <font>
      <b/>
      <sz val="16"/>
      <name val="Cambria"/>
      <family val="1"/>
    </font>
    <font>
      <sz val="9"/>
      <name val="Cambria"/>
      <family val="1"/>
    </font>
    <font>
      <b/>
      <sz val="8"/>
      <color rgb="FF000000"/>
      <name val="Cambria"/>
      <family val="1"/>
    </font>
    <font>
      <b/>
      <sz val="10"/>
      <color rgb="FF000000"/>
      <name val="Cambria"/>
      <family val="1"/>
    </font>
    <font>
      <sz val="8"/>
      <color rgb="FF000000"/>
      <name val="Cambria"/>
      <family val="1"/>
    </font>
    <font>
      <sz val="10"/>
      <name val="Arial Narrow"/>
      <family val="2"/>
    </font>
    <font>
      <sz val="8"/>
      <name val="Arial Narrow"/>
      <family val="2"/>
    </font>
    <font>
      <b/>
      <sz val="10"/>
      <color theme="1"/>
      <name val="Arial"/>
      <family val="2"/>
    </font>
    <font>
      <sz val="10"/>
      <color theme="1"/>
      <name val="Arial"/>
      <family val="2"/>
    </font>
    <font>
      <sz val="10"/>
      <color theme="1"/>
      <name val="Calibri"/>
      <family val="2"/>
      <scheme val="minor"/>
    </font>
    <font>
      <b/>
      <i/>
      <sz val="10"/>
      <color theme="1"/>
      <name val="Arial"/>
      <family val="2"/>
    </font>
    <font>
      <sz val="9"/>
      <name val="Arial"/>
      <family val="2"/>
    </font>
    <font>
      <b/>
      <sz val="12"/>
      <name val="Calibri"/>
      <family val="2"/>
    </font>
    <font>
      <sz val="6"/>
      <color rgb="FF000000"/>
      <name val="Cambria"/>
      <family val="1"/>
    </font>
    <font>
      <sz val="11"/>
      <color theme="1"/>
      <name val="Times New Roman"/>
      <family val="1"/>
    </font>
    <font>
      <sz val="11"/>
      <color rgb="FFFF0000"/>
      <name val="Times New Roman"/>
      <family val="1"/>
    </font>
    <font>
      <sz val="11"/>
      <name val="Times New Roman"/>
      <family val="1"/>
    </font>
    <font>
      <b/>
      <sz val="11"/>
      <color theme="1"/>
      <name val="Times New Roman"/>
      <family val="1"/>
    </font>
    <font>
      <b/>
      <sz val="8"/>
      <name val="Swis721 Cn BT"/>
      <family val="2"/>
    </font>
    <font>
      <sz val="8"/>
      <color rgb="FF000000"/>
      <name val="Swis721 Cn BT"/>
      <family val="2"/>
    </font>
    <font>
      <sz val="8"/>
      <name val="Swis721 Cn BT"/>
      <family val="2"/>
    </font>
    <font>
      <sz val="8"/>
      <name val="Swis721 Cn BT"/>
      <family val="2"/>
    </font>
    <font>
      <b/>
      <sz val="12"/>
      <color theme="1"/>
      <name val="Arial"/>
      <family val="2"/>
    </font>
    <font>
      <b/>
      <sz val="14"/>
      <color theme="1"/>
      <name val="Calibri"/>
      <family val="2"/>
      <scheme val="minor"/>
    </font>
    <font>
      <b/>
      <sz val="16"/>
      <color theme="1"/>
      <name val="Times New Roman"/>
      <family val="1"/>
    </font>
    <font>
      <b/>
      <sz val="10.5"/>
      <name val="Times New Roman"/>
      <family val="1"/>
    </font>
    <font>
      <b/>
      <sz val="10"/>
      <name val="Times New Roman"/>
      <family val="1"/>
    </font>
    <font>
      <sz val="8"/>
      <color theme="1"/>
      <name val="Microsoft Sans Serif"/>
      <family val="2"/>
    </font>
    <font>
      <b/>
      <sz val="8"/>
      <color theme="1"/>
      <name val="Microsoft Sans Serif"/>
      <family val="2"/>
    </font>
    <font>
      <b/>
      <sz val="12"/>
      <color theme="1"/>
      <name val="Calibri"/>
      <family val="2"/>
      <scheme val="minor"/>
    </font>
    <font>
      <b/>
      <sz val="16"/>
      <color theme="1"/>
      <name val="Calibri"/>
      <family val="2"/>
      <scheme val="minor"/>
    </font>
    <font>
      <sz val="11"/>
      <color theme="1"/>
      <name val="Arial Narrow"/>
      <family val="2"/>
    </font>
    <font>
      <sz val="11"/>
      <name val="Arial Narrow"/>
      <family val="2"/>
    </font>
    <font>
      <b/>
      <sz val="12"/>
      <name val="Arial Narrow"/>
      <family val="2"/>
    </font>
    <font>
      <b/>
      <sz val="10"/>
      <name val="Arial Narrow"/>
      <family val="2"/>
    </font>
    <font>
      <sz val="9"/>
      <name val="Arial Narrow"/>
      <family val="2"/>
    </font>
    <font>
      <b/>
      <sz val="11"/>
      <name val="Arial Narrow"/>
      <family val="2"/>
    </font>
    <font>
      <b/>
      <sz val="10"/>
      <color theme="0"/>
      <name val="Arial Narrow"/>
      <family val="2"/>
    </font>
    <font>
      <b/>
      <sz val="8"/>
      <name val="Arial Narrow"/>
      <family val="2"/>
    </font>
    <font>
      <b/>
      <sz val="9"/>
      <name val="Arial Narrow"/>
      <family val="2"/>
    </font>
    <font>
      <sz val="12"/>
      <color theme="1"/>
      <name val="Arial Narrow"/>
      <family val="2"/>
    </font>
    <font>
      <b/>
      <sz val="12"/>
      <color theme="1"/>
      <name val="Arial Narrow"/>
      <family val="2"/>
    </font>
    <font>
      <b/>
      <sz val="12"/>
      <color theme="0"/>
      <name val="Arial Narrow"/>
      <family val="2"/>
    </font>
    <font>
      <b/>
      <sz val="6"/>
      <name val="Arial Narrow"/>
      <family val="2"/>
    </font>
    <font>
      <b/>
      <sz val="9"/>
      <color theme="1"/>
      <name val="Arial Narrow"/>
      <family val="2"/>
    </font>
    <font>
      <b/>
      <sz val="8"/>
      <color theme="1"/>
      <name val="Arial Narrow"/>
      <family val="2"/>
    </font>
    <font>
      <sz val="8"/>
      <color theme="1"/>
      <name val="Arial Narrow"/>
      <family val="2"/>
    </font>
    <font>
      <sz val="10"/>
      <color theme="1"/>
      <name val="Arial Narrow"/>
      <family val="2"/>
    </font>
    <font>
      <b/>
      <sz val="10"/>
      <color theme="1"/>
      <name val="Arial Narrow"/>
      <family val="2"/>
    </font>
    <font>
      <sz val="10"/>
      <color rgb="FF000000"/>
      <name val="Arial"/>
      <family val="2"/>
    </font>
    <font>
      <b/>
      <sz val="8"/>
      <color rgb="FF000000"/>
      <name val="Arial Narrow"/>
      <family val="2"/>
    </font>
    <font>
      <b/>
      <sz val="10"/>
      <color rgb="FF000000"/>
      <name val="Arial Narrow"/>
      <family val="2"/>
    </font>
    <font>
      <sz val="10"/>
      <color rgb="FF000000"/>
      <name val="Arial Narrow"/>
      <family val="2"/>
    </font>
    <font>
      <b/>
      <sz val="8"/>
      <color theme="0"/>
      <name val="Arial Narrow"/>
      <family val="2"/>
    </font>
    <font>
      <vertAlign val="superscript"/>
      <sz val="8"/>
      <name val="Arial Narrow"/>
      <family val="2"/>
    </font>
    <font>
      <vertAlign val="subscript"/>
      <sz val="8"/>
      <name val="Arial Narrow"/>
      <family val="2"/>
    </font>
    <font>
      <sz val="7"/>
      <name val="Arial Narrow"/>
      <family val="2"/>
    </font>
    <font>
      <sz val="9"/>
      <color theme="1"/>
      <name val="Arial Narrow"/>
      <family val="2"/>
    </font>
    <font>
      <b/>
      <vertAlign val="superscript"/>
      <sz val="8"/>
      <name val="Arial Narrow"/>
      <family val="2"/>
    </font>
    <font>
      <b/>
      <sz val="16"/>
      <color theme="0"/>
      <name val="Arial Narrow"/>
      <family val="2"/>
    </font>
    <font>
      <b/>
      <sz val="11"/>
      <color theme="1"/>
      <name val="Arial Narrow"/>
      <family val="2"/>
    </font>
    <font>
      <sz val="8"/>
      <color theme="0"/>
      <name val="Arial Narrow"/>
      <family val="2"/>
    </font>
    <font>
      <b/>
      <sz val="8"/>
      <color rgb="FFFF0000"/>
      <name val="Arial Narrow"/>
      <family val="2"/>
    </font>
    <font>
      <sz val="12"/>
      <name val="Arial Narrow"/>
      <family val="2"/>
    </font>
    <font>
      <sz val="16"/>
      <color theme="1"/>
      <name val="Arial Narrow"/>
      <family val="2"/>
    </font>
    <font>
      <b/>
      <sz val="20"/>
      <color theme="1"/>
      <name val="Arial Narrow"/>
      <family val="2"/>
    </font>
    <font>
      <vertAlign val="superscript"/>
      <sz val="8"/>
      <color theme="1"/>
      <name val="Arial Narrow"/>
      <family val="2"/>
    </font>
    <font>
      <sz val="11"/>
      <color theme="0"/>
      <name val="Arial Narrow"/>
      <family val="2"/>
    </font>
    <font>
      <sz val="13"/>
      <color rgb="FF000000"/>
      <name val="Arial Narrow"/>
      <family val="2"/>
    </font>
    <font>
      <sz val="11"/>
      <name val="Calibri"/>
      <family val="2"/>
    </font>
    <font>
      <sz val="10"/>
      <color theme="0"/>
      <name val="Arial Narrow"/>
      <family val="2"/>
    </font>
    <font>
      <sz val="11"/>
      <color theme="0"/>
      <name val="Calibri"/>
      <family val="2"/>
      <scheme val="minor"/>
    </font>
    <font>
      <b/>
      <sz val="9"/>
      <color rgb="FF000000"/>
      <name val="Arial Narrow"/>
      <family val="2"/>
    </font>
    <font>
      <b/>
      <sz val="7"/>
      <color rgb="FF000000"/>
      <name val="Arial Narrow"/>
      <family val="2"/>
    </font>
    <font>
      <sz val="9"/>
      <color rgb="FF000000"/>
      <name val="Arial Narrow"/>
      <family val="2"/>
    </font>
    <font>
      <b/>
      <sz val="12"/>
      <color rgb="FFFF0000"/>
      <name val="Arial Narrow"/>
      <family val="2"/>
    </font>
    <font>
      <sz val="11"/>
      <color rgb="FFFF0000"/>
      <name val="Arial Narrow"/>
      <family val="2"/>
    </font>
    <font>
      <b/>
      <i/>
      <sz val="10"/>
      <color theme="0"/>
      <name val="Arial Narrow"/>
      <family val="2"/>
    </font>
    <font>
      <b/>
      <i/>
      <vertAlign val="subscript"/>
      <sz val="10"/>
      <color theme="0"/>
      <name val="Arial Narrow"/>
      <family val="2"/>
    </font>
    <font>
      <b/>
      <i/>
      <sz val="10"/>
      <color theme="1"/>
      <name val="Arial Narrow"/>
      <family val="2"/>
    </font>
    <font>
      <sz val="10"/>
      <color indexed="10"/>
      <name val="Arial"/>
      <family val="2"/>
    </font>
    <font>
      <sz val="10"/>
      <name val="MS Sans Serif"/>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1"/>
      <color indexed="10"/>
      <name val="Calibri"/>
      <family val="2"/>
    </font>
    <font>
      <sz val="1"/>
      <color indexed="8"/>
      <name val="Courier"/>
      <family val="3"/>
    </font>
    <font>
      <sz val="11"/>
      <color indexed="62"/>
      <name val="Calibri"/>
      <family val="2"/>
    </font>
    <font>
      <u/>
      <sz val="7.5"/>
      <color indexed="12"/>
      <name val="Courier"/>
      <family val="3"/>
    </font>
    <font>
      <sz val="11"/>
      <color indexed="20"/>
      <name val="Calibri"/>
      <family val="2"/>
    </font>
    <font>
      <sz val="11"/>
      <color indexed="60"/>
      <name val="Calibri"/>
      <family val="2"/>
    </font>
    <font>
      <sz val="11"/>
      <color indexed="19"/>
      <name val="Calibri"/>
      <family val="2"/>
    </font>
    <font>
      <b/>
      <sz val="11"/>
      <color indexed="63"/>
      <name val="Calibri"/>
      <family val="2"/>
    </font>
    <font>
      <i/>
      <sz val="11"/>
      <color indexed="23"/>
      <name val="Calibri"/>
      <family val="2"/>
    </font>
    <font>
      <b/>
      <sz val="15"/>
      <color indexed="56"/>
      <name val="Calibri"/>
      <family val="2"/>
    </font>
    <font>
      <b/>
      <sz val="15"/>
      <color indexed="62"/>
      <name val="Calibri"/>
      <family val="2"/>
    </font>
    <font>
      <b/>
      <sz val="18"/>
      <color indexed="56"/>
      <name val="Cambria"/>
      <family val="2"/>
    </font>
    <font>
      <b/>
      <sz val="13"/>
      <color indexed="56"/>
      <name val="Calibri"/>
      <family val="2"/>
    </font>
    <font>
      <b/>
      <sz val="13"/>
      <color indexed="62"/>
      <name val="Calibri"/>
      <family val="2"/>
    </font>
    <font>
      <b/>
      <sz val="18"/>
      <color indexed="62"/>
      <name val="Cambria"/>
      <family val="2"/>
    </font>
    <font>
      <b/>
      <sz val="11"/>
      <color indexed="56"/>
      <name val="Calibri"/>
      <family val="2"/>
    </font>
    <font>
      <b/>
      <sz val="11"/>
      <color indexed="62"/>
      <name val="Calibri"/>
      <family val="2"/>
    </font>
    <font>
      <b/>
      <sz val="1"/>
      <color indexed="8"/>
      <name val="Courier"/>
      <family val="3"/>
    </font>
    <font>
      <b/>
      <sz val="11"/>
      <color indexed="8"/>
      <name val="Calibri"/>
      <family val="2"/>
    </font>
    <font>
      <sz val="10"/>
      <color indexed="8"/>
      <name val="Arial"/>
      <family val="2"/>
    </font>
    <font>
      <sz val="10"/>
      <color indexed="8"/>
      <name val="MS Sans Serif"/>
    </font>
    <font>
      <b/>
      <sz val="18"/>
      <color indexed="56"/>
      <name val="Cambria"/>
      <family val="1"/>
    </font>
    <font>
      <sz val="11"/>
      <color rgb="FF000000"/>
      <name val="Calibri"/>
      <family val="2"/>
    </font>
  </fonts>
  <fills count="4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9" tint="0.79998168889431442"/>
        <bgColor indexed="64"/>
      </patternFill>
    </fill>
    <fill>
      <patternFill patternType="gray0625"/>
    </fill>
    <fill>
      <patternFill patternType="solid">
        <fgColor indexed="9"/>
        <bgColor indexed="64"/>
      </patternFill>
    </fill>
    <fill>
      <patternFill patternType="solid">
        <fgColor theme="7"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rgb="FFD8D8D8"/>
      </patternFill>
    </fill>
    <fill>
      <patternFill patternType="solid">
        <fgColor rgb="FF008080"/>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E7E6E6"/>
      </patternFill>
    </fill>
    <fill>
      <patternFill patternType="solid">
        <fgColor theme="1" tint="0.34998626667073579"/>
        <bgColor indexed="64"/>
      </patternFill>
    </fill>
    <fill>
      <patternFill patternType="solid">
        <fgColor rgb="FF006F71"/>
        <bgColor indexed="64"/>
      </patternFill>
    </fill>
    <fill>
      <patternFill patternType="solid">
        <fgColor indexed="52"/>
      </patternFill>
    </fill>
    <fill>
      <patternFill patternType="solid">
        <fgColor indexed="36"/>
      </patternFill>
    </fill>
    <fill>
      <patternFill patternType="solid">
        <fgColor indexed="43"/>
      </patternFill>
    </fill>
    <fill>
      <patternFill patternType="solid">
        <fgColor indexed="51"/>
      </patternFill>
    </fill>
    <fill>
      <patternFill patternType="solid">
        <fgColor indexed="11"/>
      </patternFill>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30"/>
      </patternFill>
    </fill>
    <fill>
      <patternFill patternType="solid">
        <fgColor indexed="53"/>
      </patternFill>
    </fill>
    <fill>
      <patternFill patternType="solid">
        <fgColor indexed="49"/>
      </patternFill>
    </fill>
    <fill>
      <patternFill patternType="solid">
        <fgColor indexed="22"/>
      </patternFill>
    </fill>
    <fill>
      <patternFill patternType="solid">
        <fgColor indexed="9"/>
      </patternFill>
    </fill>
    <fill>
      <patternFill patternType="solid">
        <fgColor indexed="55"/>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20"/>
      </patternFill>
    </fill>
  </fills>
  <borders count="222">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style="thin">
        <color rgb="FF000000"/>
      </left>
      <right style="thin">
        <color rgb="FF000000"/>
      </right>
      <top/>
      <bottom style="thin">
        <color rgb="FF000000"/>
      </bottom>
      <diagonal/>
    </border>
    <border>
      <left style="thin">
        <color rgb="FF000000"/>
      </left>
      <right/>
      <top style="thin">
        <color indexed="64"/>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indexed="64"/>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bottom style="thin">
        <color rgb="FF000000"/>
      </bottom>
      <diagonal/>
    </border>
    <border>
      <left/>
      <right/>
      <top style="thin">
        <color rgb="FF000000"/>
      </top>
      <bottom/>
      <diagonal/>
    </border>
    <border>
      <left/>
      <right style="thin">
        <color indexed="64"/>
      </right>
      <top style="thin">
        <color rgb="FF000000"/>
      </top>
      <bottom style="thin">
        <color rgb="FF000000"/>
      </bottom>
      <diagonal/>
    </border>
    <border>
      <left style="thin">
        <color rgb="FF000000"/>
      </left>
      <right/>
      <top style="thin">
        <color rgb="FF000000"/>
      </top>
      <bottom style="thin">
        <color auto="1"/>
      </bottom>
      <diagonal/>
    </border>
    <border>
      <left/>
      <right style="thin">
        <color indexed="64"/>
      </right>
      <top style="thin">
        <color rgb="FF000000"/>
      </top>
      <bottom style="thin">
        <color auto="1"/>
      </bottom>
      <diagonal/>
    </border>
    <border>
      <left/>
      <right style="thin">
        <color indexed="64"/>
      </right>
      <top/>
      <bottom style="thin">
        <color rgb="FF000000"/>
      </bottom>
      <diagonal/>
    </border>
    <border>
      <left/>
      <right style="thin">
        <color indexed="64"/>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auto="1"/>
      </top>
      <bottom style="thin">
        <color indexed="64"/>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auto="1"/>
      </left>
      <right style="thin">
        <color auto="1"/>
      </right>
      <top style="thin">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indexed="64"/>
      </top>
      <bottom style="medium">
        <color indexed="64"/>
      </bottom>
      <diagonal/>
    </border>
    <border>
      <left/>
      <right style="thin">
        <color auto="1"/>
      </right>
      <top style="medium">
        <color indexed="64"/>
      </top>
      <bottom style="medium">
        <color indexed="64"/>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24994659260841701"/>
      </right>
      <top/>
      <bottom/>
      <diagonal/>
    </border>
    <border>
      <left style="thin">
        <color theme="0" tint="-0.24994659260841701"/>
      </left>
      <right style="thin">
        <color theme="0" tint="-0.24994659260841701"/>
      </right>
      <top/>
      <bottom style="thin">
        <color theme="0" tint="-0.24994659260841701"/>
      </bottom>
      <diagonal/>
    </border>
    <border>
      <left/>
      <right style="thin">
        <color theme="0" tint="-0.24994659260841701"/>
      </right>
      <top style="thin">
        <color theme="0" tint="-0.24994659260841701"/>
      </top>
      <bottom/>
      <diagonal/>
    </border>
    <border>
      <left/>
      <right style="thin">
        <color theme="0" tint="-0.24994659260841701"/>
      </right>
      <top/>
      <bottom/>
      <diagonal/>
    </border>
    <border>
      <left/>
      <right style="thin">
        <color theme="0" tint="-0.24994659260841701"/>
      </right>
      <top/>
      <bottom style="thin">
        <color theme="0" tint="-0.24994659260841701"/>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24994659260841701"/>
      </left>
      <right/>
      <top style="thin">
        <color theme="0" tint="-0.24994659260841701"/>
      </top>
      <bottom/>
      <diagonal/>
    </border>
    <border>
      <left style="thin">
        <color theme="0" tint="-0.24994659260841701"/>
      </left>
      <right/>
      <top/>
      <bottom/>
      <diagonal/>
    </border>
    <border>
      <left style="thin">
        <color theme="0" tint="-0.24994659260841701"/>
      </left>
      <right/>
      <top/>
      <bottom style="thin">
        <color theme="0" tint="-0.24994659260841701"/>
      </bottom>
      <diagonal/>
    </border>
    <border>
      <left style="thin">
        <color auto="1"/>
      </left>
      <right style="thin">
        <color auto="1"/>
      </right>
      <top style="thin">
        <color auto="1"/>
      </top>
      <bottom style="thin">
        <color auto="1"/>
      </bottom>
      <diagonal/>
    </border>
    <border>
      <left/>
      <right/>
      <top/>
      <bottom style="thin">
        <color theme="0" tint="-0.24994659260841701"/>
      </bottom>
      <diagonal/>
    </border>
    <border>
      <left/>
      <right/>
      <top style="thin">
        <color indexed="64"/>
      </top>
      <bottom style="thin">
        <color theme="0" tint="-0.24994659260841701"/>
      </bottom>
      <diagonal/>
    </border>
    <border>
      <left/>
      <right/>
      <top style="thin">
        <color theme="0" tint="-0.24994659260841701"/>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style="thin">
        <color theme="0" tint="-0.14996795556505021"/>
      </left>
      <right/>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3743705557422"/>
      </top>
      <bottom style="thin">
        <color theme="0" tint="-0.14993743705557422"/>
      </bottom>
      <diagonal/>
    </border>
    <border>
      <left/>
      <right style="thin">
        <color theme="0" tint="-0.14996795556505021"/>
      </right>
      <top/>
      <bottom style="thin">
        <color theme="0" tint="-0.14993743705557422"/>
      </bottom>
      <diagonal/>
    </border>
    <border>
      <left/>
      <right style="thin">
        <color theme="0" tint="-0.14996795556505021"/>
      </right>
      <top style="thin">
        <color theme="0" tint="-0.14993743705557422"/>
      </top>
      <bottom style="thin">
        <color theme="0" tint="-0.14993743705557422"/>
      </bottom>
      <diagonal/>
    </border>
    <border>
      <left/>
      <right style="thin">
        <color theme="0" tint="-0.14996795556505021"/>
      </right>
      <top style="thin">
        <color theme="0" tint="-0.14993743705557422"/>
      </top>
      <bottom style="thin">
        <color theme="0" tint="-0.14996795556505021"/>
      </bottom>
      <diagonal/>
    </border>
    <border>
      <left/>
      <right/>
      <top style="thin">
        <color theme="0" tint="-0.14996795556505021"/>
      </top>
      <bottom style="thin">
        <color theme="0" tint="-0.14993743705557422"/>
      </bottom>
      <diagonal/>
    </border>
    <border>
      <left/>
      <right/>
      <top/>
      <bottom style="thin">
        <color theme="0" tint="-0.14996795556505021"/>
      </bottom>
      <diagonal/>
    </border>
    <border>
      <left/>
      <right style="thin">
        <color theme="0" tint="-0.24994659260841701"/>
      </right>
      <top style="thin">
        <color theme="0" tint="-0.14996795556505021"/>
      </top>
      <bottom/>
      <diagonal/>
    </border>
    <border>
      <left/>
      <right style="thin">
        <color theme="0" tint="-0.24994659260841701"/>
      </right>
      <top/>
      <bottom style="thin">
        <color theme="0" tint="-0.14996795556505021"/>
      </bottom>
      <diagonal/>
    </border>
    <border>
      <left style="thin">
        <color theme="0" tint="-0.24994659260841701"/>
      </left>
      <right/>
      <top/>
      <bottom style="thin">
        <color indexed="64"/>
      </bottom>
      <diagonal/>
    </border>
    <border>
      <left/>
      <right style="thin">
        <color auto="1"/>
      </right>
      <top style="thin">
        <color theme="0" tint="-0.24994659260841701"/>
      </top>
      <bottom/>
      <diagonal/>
    </border>
    <border>
      <left style="thin">
        <color theme="0" tint="-0.24994659260841701"/>
      </left>
      <right/>
      <top style="thin">
        <color theme="0" tint="-0.14996795556505021"/>
      </top>
      <bottom style="thin">
        <color theme="0" tint="-0.14996795556505021"/>
      </bottom>
      <diagonal/>
    </border>
    <border>
      <left style="thin">
        <color auto="1"/>
      </left>
      <right/>
      <top/>
      <bottom style="thin">
        <color theme="0" tint="-0.24994659260841701"/>
      </bottom>
      <diagonal/>
    </border>
    <border>
      <left style="thin">
        <color theme="0" tint="-0.14990691854609822"/>
      </left>
      <right/>
      <top/>
      <bottom/>
      <diagonal/>
    </border>
    <border>
      <left/>
      <right style="thin">
        <color theme="0" tint="-0.14990691854609822"/>
      </right>
      <top/>
      <bottom/>
      <diagonal/>
    </border>
    <border>
      <left style="thin">
        <color theme="0" tint="-0.14990691854609822"/>
      </left>
      <right/>
      <top/>
      <bottom style="thin">
        <color theme="0" tint="-0.14996795556505021"/>
      </bottom>
      <diagonal/>
    </border>
    <border>
      <left/>
      <right style="thin">
        <color theme="0" tint="-0.14990691854609822"/>
      </right>
      <top/>
      <bottom style="thin">
        <color theme="0" tint="-0.14996795556505021"/>
      </bottom>
      <diagonal/>
    </border>
    <border>
      <left style="thin">
        <color theme="0" tint="-0.14990691854609822"/>
      </left>
      <right/>
      <top style="thin">
        <color theme="0" tint="-0.14996795556505021"/>
      </top>
      <bottom style="thin">
        <color theme="0" tint="-0.14996795556505021"/>
      </bottom>
      <diagonal/>
    </border>
    <border>
      <left style="thin">
        <color theme="0" tint="-0.14996795556505021"/>
      </left>
      <right style="thin">
        <color theme="0" tint="-0.14990691854609822"/>
      </right>
      <top style="thin">
        <color theme="0" tint="-0.14996795556505021"/>
      </top>
      <bottom/>
      <diagonal/>
    </border>
    <border>
      <left style="thin">
        <color theme="0" tint="-0.14996795556505021"/>
      </left>
      <right style="thin">
        <color theme="0" tint="-0.14990691854609822"/>
      </right>
      <top/>
      <bottom/>
      <diagonal/>
    </border>
    <border>
      <left style="thin">
        <color theme="0" tint="-0.14990691854609822"/>
      </left>
      <right/>
      <top style="thin">
        <color theme="0" tint="-0.14996795556505021"/>
      </top>
      <bottom style="thin">
        <color theme="0" tint="-0.14993743705557422"/>
      </bottom>
      <diagonal/>
    </border>
    <border>
      <left style="thin">
        <color theme="0" tint="-0.14996795556505021"/>
      </left>
      <right style="thin">
        <color theme="0" tint="-0.14990691854609822"/>
      </right>
      <top/>
      <bottom style="thin">
        <color theme="0" tint="-0.14993743705557422"/>
      </bottom>
      <diagonal/>
    </border>
    <border>
      <left style="thin">
        <color theme="0" tint="-0.14990691854609822"/>
      </left>
      <right/>
      <top style="thin">
        <color theme="0" tint="-0.14996795556505021"/>
      </top>
      <bottom/>
      <diagonal/>
    </border>
    <border>
      <left style="thin">
        <color theme="0" tint="-0.14990691854609822"/>
      </left>
      <right/>
      <top/>
      <bottom style="thin">
        <color theme="0" tint="-0.14993743705557422"/>
      </bottom>
      <diagonal/>
    </border>
    <border>
      <left style="thin">
        <color theme="0" tint="-0.14990691854609822"/>
      </left>
      <right/>
      <top style="thin">
        <color theme="0" tint="-0.14993743705557422"/>
      </top>
      <bottom style="thin">
        <color theme="0" tint="-0.14993743705557422"/>
      </bottom>
      <diagonal/>
    </border>
    <border>
      <left style="thin">
        <color theme="0" tint="-0.14990691854609822"/>
      </left>
      <right/>
      <top style="thin">
        <color theme="0" tint="-0.14993743705557422"/>
      </top>
      <bottom style="thin">
        <color theme="0" tint="-0.14996795556505021"/>
      </bottom>
      <diagonal/>
    </border>
    <border>
      <left style="thin">
        <color theme="0" tint="-0.1499069185460982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14990691854609822"/>
      </right>
      <top style="thin">
        <color theme="0" tint="-0.24994659260841701"/>
      </top>
      <bottom style="thin">
        <color theme="0" tint="-0.24994659260841701"/>
      </bottom>
      <diagonal/>
    </border>
    <border>
      <left style="thin">
        <color theme="0" tint="-0.14990691854609822"/>
      </left>
      <right/>
      <top style="thin">
        <color theme="0" tint="-0.24994659260841701"/>
      </top>
      <bottom/>
      <diagonal/>
    </border>
    <border>
      <left style="thin">
        <color theme="0" tint="-0.14990691854609822"/>
      </left>
      <right/>
      <top/>
      <bottom style="thin">
        <color theme="0" tint="-0.24994659260841701"/>
      </bottom>
      <diagonal/>
    </border>
    <border>
      <left style="thin">
        <color theme="0" tint="-0.14990691854609822"/>
      </left>
      <right style="thin">
        <color theme="0" tint="-0.24994659260841701"/>
      </right>
      <top style="thin">
        <color theme="0" tint="-0.24994659260841701"/>
      </top>
      <bottom style="thin">
        <color theme="0" tint="-0.14990691854609822"/>
      </bottom>
      <diagonal/>
    </border>
    <border>
      <left style="thin">
        <color theme="0" tint="-0.24994659260841701"/>
      </left>
      <right style="thin">
        <color theme="0" tint="-0.24994659260841701"/>
      </right>
      <top style="thin">
        <color theme="0" tint="-0.24994659260841701"/>
      </top>
      <bottom style="thin">
        <color theme="0" tint="-0.14990691854609822"/>
      </bottom>
      <diagonal/>
    </border>
    <border>
      <left style="thin">
        <color theme="0" tint="-0.1498764000366222"/>
      </left>
      <right/>
      <top style="thin">
        <color theme="0" tint="-0.1498764000366222"/>
      </top>
      <bottom/>
      <diagonal/>
    </border>
    <border>
      <left/>
      <right/>
      <top style="thin">
        <color theme="0" tint="-0.1498764000366222"/>
      </top>
      <bottom/>
      <diagonal/>
    </border>
    <border>
      <left/>
      <right style="thin">
        <color theme="0" tint="-0.1498764000366222"/>
      </right>
      <top style="thin">
        <color theme="0" tint="-0.1498764000366222"/>
      </top>
      <bottom/>
      <diagonal/>
    </border>
    <border>
      <left style="thin">
        <color theme="0" tint="-0.1498764000366222"/>
      </left>
      <right/>
      <top/>
      <bottom/>
      <diagonal/>
    </border>
    <border>
      <left/>
      <right style="thin">
        <color theme="0" tint="-0.1498764000366222"/>
      </right>
      <top/>
      <bottom/>
      <diagonal/>
    </border>
    <border>
      <left style="thin">
        <color theme="0" tint="-0.1498764000366222"/>
      </left>
      <right/>
      <top/>
      <bottom style="thin">
        <color theme="0" tint="-0.1498764000366222"/>
      </bottom>
      <diagonal/>
    </border>
    <border>
      <left/>
      <right/>
      <top/>
      <bottom style="thin">
        <color theme="0" tint="-0.1498764000366222"/>
      </bottom>
      <diagonal/>
    </border>
    <border>
      <left/>
      <right style="thin">
        <color theme="0" tint="-0.1498764000366222"/>
      </right>
      <top/>
      <bottom style="thin">
        <color theme="0" tint="-0.1498764000366222"/>
      </bottom>
      <diagonal/>
    </border>
    <border>
      <left style="thin">
        <color auto="1"/>
      </left>
      <right/>
      <top style="thin">
        <color theme="0" tint="-0.24994659260841701"/>
      </top>
      <bottom style="thin">
        <color theme="0" tint="-0.24994659260841701"/>
      </bottom>
      <diagonal/>
    </border>
    <border>
      <left/>
      <right style="thin">
        <color auto="1"/>
      </right>
      <top style="thin">
        <color theme="0" tint="-0.24994659260841701"/>
      </top>
      <bottom style="thin">
        <color theme="0" tint="-0.24994659260841701"/>
      </bottom>
      <diagonal/>
    </border>
    <border>
      <left style="thin">
        <color theme="0" tint="-0.14996795556505021"/>
      </left>
      <right/>
      <top style="thin">
        <color theme="0" tint="-0.24994659260841701"/>
      </top>
      <bottom/>
      <diagonal/>
    </border>
    <border>
      <left/>
      <right style="thin">
        <color theme="0" tint="-0.14993743705557422"/>
      </right>
      <top style="thin">
        <color theme="0" tint="-0.24994659260841701"/>
      </top>
      <bottom/>
      <diagonal/>
    </border>
    <border>
      <left/>
      <right style="thin">
        <color theme="0" tint="-0.14993743705557422"/>
      </right>
      <top/>
      <bottom/>
      <diagonal/>
    </border>
    <border>
      <left style="thin">
        <color theme="0" tint="-0.14996795556505021"/>
      </left>
      <right/>
      <top/>
      <bottom style="thin">
        <color theme="0" tint="-0.24994659260841701"/>
      </bottom>
      <diagonal/>
    </border>
    <border>
      <left/>
      <right style="thin">
        <color theme="0" tint="-0.14993743705557422"/>
      </right>
      <top/>
      <bottom style="thin">
        <color theme="0" tint="-0.24994659260841701"/>
      </bottom>
      <diagonal/>
    </border>
    <border>
      <left style="thin">
        <color rgb="FF008080"/>
      </left>
      <right/>
      <top style="thin">
        <color rgb="FF008080"/>
      </top>
      <bottom style="thin">
        <color rgb="FF008080"/>
      </bottom>
      <diagonal/>
    </border>
    <border>
      <left/>
      <right style="thin">
        <color rgb="FF008080"/>
      </right>
      <top style="thin">
        <color rgb="FF008080"/>
      </top>
      <bottom style="thin">
        <color rgb="FF008080"/>
      </bottom>
      <diagonal/>
    </border>
    <border>
      <left/>
      <right/>
      <top style="thin">
        <color rgb="FF008080"/>
      </top>
      <bottom style="thin">
        <color rgb="FF008080"/>
      </bottom>
      <diagonal/>
    </border>
    <border>
      <left style="thin">
        <color theme="0" tint="-0.24994659260841701"/>
      </left>
      <right/>
      <top style="thin">
        <color theme="0" tint="-0.34998626667073579"/>
      </top>
      <bottom style="thin">
        <color theme="0" tint="-0.34998626667073579"/>
      </bottom>
      <diagonal/>
    </border>
    <border>
      <left style="thin">
        <color theme="0" tint="-0.34998626667073579"/>
      </left>
      <right style="thin">
        <color theme="0" tint="-0.24994659260841701"/>
      </right>
      <top style="thin">
        <color theme="0" tint="-0.34998626667073579"/>
      </top>
      <bottom/>
      <diagonal/>
    </border>
    <border>
      <left style="thin">
        <color theme="0" tint="-0.34998626667073579"/>
      </left>
      <right style="thin">
        <color theme="0" tint="-0.24994659260841701"/>
      </right>
      <top/>
      <bottom/>
      <diagonal/>
    </border>
    <border>
      <left style="thin">
        <color theme="0" tint="-0.24994659260841701"/>
      </left>
      <right/>
      <top style="thin">
        <color theme="0" tint="-0.34998626667073579"/>
      </top>
      <bottom style="thin">
        <color theme="0" tint="-0.24994659260841701"/>
      </bottom>
      <diagonal/>
    </border>
    <border>
      <left/>
      <right/>
      <top style="thin">
        <color theme="0" tint="-0.34998626667073579"/>
      </top>
      <bottom style="thin">
        <color theme="0" tint="-0.24994659260841701"/>
      </bottom>
      <diagonal/>
    </border>
    <border>
      <left style="thin">
        <color theme="0" tint="-0.34998626667073579"/>
      </left>
      <right style="thin">
        <color theme="0" tint="-0.24994659260841701"/>
      </right>
      <top/>
      <bottom style="thin">
        <color theme="0" tint="-0.24994659260841701"/>
      </bottom>
      <diagonal/>
    </border>
    <border>
      <left style="thin">
        <color theme="0" tint="-0.24994659260841701"/>
      </left>
      <right/>
      <top style="thin">
        <color theme="0" tint="-0.14993743705557422"/>
      </top>
      <bottom style="thin">
        <color theme="0" tint="-0.14993743705557422"/>
      </bottom>
      <diagonal/>
    </border>
    <border>
      <left style="thin">
        <color theme="0" tint="-0.14990691854609822"/>
      </left>
      <right style="thin">
        <color theme="0" tint="-0.24994659260841701"/>
      </right>
      <top style="thin">
        <color theme="0" tint="-0.14990691854609822"/>
      </top>
      <bottom/>
      <diagonal/>
    </border>
    <border>
      <left style="thin">
        <color theme="0" tint="-0.14990691854609822"/>
      </left>
      <right style="thin">
        <color theme="0" tint="-0.24994659260841701"/>
      </right>
      <top/>
      <bottom/>
      <diagonal/>
    </border>
    <border>
      <left style="thin">
        <color theme="0" tint="-0.14990691854609822"/>
      </left>
      <right style="thin">
        <color theme="0" tint="-0.24994659260841701"/>
      </right>
      <top/>
      <bottom style="thin">
        <color theme="0" tint="-0.14990691854609822"/>
      </bottom>
      <diagonal/>
    </border>
    <border>
      <left style="thin">
        <color theme="0" tint="-0.24994659260841701"/>
      </left>
      <right/>
      <top style="thin">
        <color theme="0" tint="-0.14993743705557422"/>
      </top>
      <bottom style="thin">
        <color theme="0" tint="-0.24994659260841701"/>
      </bottom>
      <diagonal/>
    </border>
    <border>
      <left style="thin">
        <color theme="0" tint="-0.1498764000366222"/>
      </left>
      <right/>
      <top style="thin">
        <color theme="0" tint="-0.1498764000366222"/>
      </top>
      <bottom style="thin">
        <color theme="0" tint="-0.1498764000366222"/>
      </bottom>
      <diagonal/>
    </border>
    <border>
      <left/>
      <right/>
      <top style="thin">
        <color theme="0" tint="-0.1498764000366222"/>
      </top>
      <bottom style="thin">
        <color theme="0" tint="-0.1498764000366222"/>
      </bottom>
      <diagonal/>
    </border>
    <border>
      <left/>
      <right style="thin">
        <color theme="0" tint="-0.1498764000366222"/>
      </right>
      <top style="thin">
        <color theme="0" tint="-0.1498764000366222"/>
      </top>
      <bottom style="thin">
        <color theme="0" tint="-0.1498764000366222"/>
      </bottom>
      <diagonal/>
    </border>
    <border>
      <left style="medium">
        <color indexed="64"/>
      </left>
      <right/>
      <top style="thin">
        <color theme="0" tint="-0.24994659260841701"/>
      </top>
      <bottom style="thin">
        <color theme="0" tint="-0.24994659260841701"/>
      </bottom>
      <diagonal/>
    </border>
    <border>
      <left style="hair">
        <color indexed="64"/>
      </left>
      <right style="medium">
        <color indexed="64"/>
      </right>
      <top style="thin">
        <color theme="0" tint="-0.24994659260841701"/>
      </top>
      <bottom style="thin">
        <color theme="0" tint="-0.24994659260841701"/>
      </bottom>
      <diagonal/>
    </border>
    <border>
      <left style="medium">
        <color indexed="64"/>
      </left>
      <right/>
      <top style="thin">
        <color theme="0" tint="-0.24994659260841701"/>
      </top>
      <bottom style="medium">
        <color indexed="64"/>
      </bottom>
      <diagonal/>
    </border>
    <border>
      <left style="medium">
        <color indexed="64"/>
      </left>
      <right/>
      <top style="medium">
        <color indexed="64"/>
      </top>
      <bottom style="thin">
        <color theme="0" tint="-0.24994659260841701"/>
      </bottom>
      <diagonal/>
    </border>
    <border>
      <left style="hair">
        <color indexed="64"/>
      </left>
      <right style="medium">
        <color indexed="64"/>
      </right>
      <top style="medium">
        <color indexed="64"/>
      </top>
      <bottom style="thin">
        <color theme="0" tint="-0.24994659260841701"/>
      </bottom>
      <diagonal/>
    </border>
    <border>
      <left/>
      <right style="thin">
        <color theme="0" tint="-0.14996795556505021"/>
      </right>
      <top/>
      <bottom/>
      <diagonal/>
    </border>
    <border>
      <left/>
      <right/>
      <top style="thin">
        <color theme="0" tint="-0.14993743705557422"/>
      </top>
      <bottom style="thin">
        <color theme="0" tint="-0.14990691854609822"/>
      </bottom>
      <diagonal/>
    </border>
    <border>
      <left/>
      <right style="thin">
        <color theme="0" tint="-0.14990691854609822"/>
      </right>
      <top style="thin">
        <color theme="0" tint="-0.14993743705557422"/>
      </top>
      <bottom style="thin">
        <color theme="0" tint="-0.14990691854609822"/>
      </bottom>
      <diagonal/>
    </border>
    <border>
      <left style="thin">
        <color theme="0" tint="-0.14990691854609822"/>
      </left>
      <right style="thin">
        <color theme="0" tint="-0.14990691854609822"/>
      </right>
      <top style="thin">
        <color theme="0" tint="-0.14993743705557422"/>
      </top>
      <bottom style="thin">
        <color theme="0" tint="-0.14990691854609822"/>
      </bottom>
      <diagonal/>
    </border>
    <border>
      <left style="thin">
        <color theme="0" tint="-0.14990691854609822"/>
      </left>
      <right style="thin">
        <color theme="0" tint="-0.14996795556505021"/>
      </right>
      <top style="thin">
        <color theme="0" tint="-0.149937437055574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0691854609822"/>
      </left>
      <right style="thin">
        <color theme="0" tint="-0.14996795556505021"/>
      </right>
      <top style="thin">
        <color theme="0" tint="-0.14990691854609822"/>
      </top>
      <bottom style="thin">
        <color theme="0" tint="-0.14990691854609822"/>
      </bottom>
      <diagonal/>
    </border>
    <border>
      <left/>
      <right/>
      <top style="thin">
        <color theme="0" tint="-0.14990691854609822"/>
      </top>
      <bottom style="thin">
        <color theme="0" tint="-0.14993743705557422"/>
      </bottom>
      <diagonal/>
    </border>
    <border>
      <left/>
      <right style="thin">
        <color theme="0" tint="-0.14990691854609822"/>
      </right>
      <top style="thin">
        <color theme="0" tint="-0.14990691854609822"/>
      </top>
      <bottom style="thin">
        <color theme="0" tint="-0.14993743705557422"/>
      </bottom>
      <diagonal/>
    </border>
    <border>
      <left style="thin">
        <color theme="0" tint="-0.14990691854609822"/>
      </left>
      <right style="thin">
        <color theme="0" tint="-0.14990691854609822"/>
      </right>
      <top style="thin">
        <color theme="0" tint="-0.14990691854609822"/>
      </top>
      <bottom style="thin">
        <color theme="0" tint="-0.14993743705557422"/>
      </bottom>
      <diagonal/>
    </border>
    <border>
      <left style="thin">
        <color theme="0" tint="-0.14990691854609822"/>
      </left>
      <right style="thin">
        <color theme="0" tint="-0.14996795556505021"/>
      </right>
      <top style="thin">
        <color theme="0" tint="-0.14990691854609822"/>
      </top>
      <bottom style="thin">
        <color theme="0" tint="-0.14993743705557422"/>
      </bottom>
      <diagonal/>
    </border>
    <border>
      <left style="thin">
        <color theme="0" tint="-0.14996795556505021"/>
      </left>
      <right style="thin">
        <color theme="0" tint="-0.14993743705557422"/>
      </right>
      <top style="thin">
        <color theme="0" tint="-0.14996795556505021"/>
      </top>
      <bottom style="thin">
        <color theme="0" tint="-0.14993743705557422"/>
      </bottom>
      <diagonal/>
    </border>
    <border>
      <left style="thin">
        <color theme="0" tint="-0.14993743705557422"/>
      </left>
      <right style="thin">
        <color theme="0" tint="-0.14993743705557422"/>
      </right>
      <top style="thin">
        <color theme="0" tint="-0.14996795556505021"/>
      </top>
      <bottom style="thin">
        <color theme="0" tint="-0.14993743705557422"/>
      </bottom>
      <diagonal/>
    </border>
    <border>
      <left style="thin">
        <color theme="0" tint="-0.14996795556505021"/>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right style="thin">
        <color theme="0" tint="-0.14993743705557422"/>
      </right>
      <top style="thin">
        <color theme="0" tint="-0.14996795556505021"/>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6795556505021"/>
      </bottom>
      <diagonal/>
    </border>
    <border>
      <left style="thin">
        <color theme="0" tint="-0.14993743705557422"/>
      </left>
      <right style="thin">
        <color theme="0" tint="-0.14993743705557422"/>
      </right>
      <top style="thin">
        <color theme="0" tint="-0.14993743705557422"/>
      </top>
      <bottom style="thin">
        <color theme="0" tint="-0.14996795556505021"/>
      </bottom>
      <diagonal/>
    </border>
    <border>
      <left style="thin">
        <color theme="0" tint="-0.14996795556505021"/>
      </left>
      <right/>
      <top style="thin">
        <color theme="0" tint="-0.14996795556505021"/>
      </top>
      <bottom style="thin">
        <color theme="0" tint="-0.14993743705557422"/>
      </bottom>
      <diagonal/>
    </border>
    <border>
      <left style="thin">
        <color theme="0" tint="-0.14996795556505021"/>
      </left>
      <right/>
      <top style="thin">
        <color theme="0" tint="-0.14993743705557422"/>
      </top>
      <bottom style="thin">
        <color theme="0" tint="-0.14993743705557422"/>
      </bottom>
      <diagonal/>
    </border>
    <border>
      <left style="thin">
        <color theme="0" tint="-0.14996795556505021"/>
      </left>
      <right/>
      <top style="thin">
        <color theme="0" tint="-0.14993743705557422"/>
      </top>
      <bottom style="thin">
        <color theme="0" tint="-0.14996795556505021"/>
      </bottom>
      <diagonal/>
    </border>
    <border>
      <left/>
      <right/>
      <top style="thin">
        <color theme="0" tint="-0.14993743705557422"/>
      </top>
      <bottom style="thin">
        <color theme="0" tint="-0.14996795556505021"/>
      </bottom>
      <diagonal/>
    </border>
    <border>
      <left style="thin">
        <color theme="0" tint="-0.14993743705557422"/>
      </left>
      <right/>
      <top style="thin">
        <color theme="0" tint="-0.14993743705557422"/>
      </top>
      <bottom style="thin">
        <color theme="0" tint="-0.14993743705557422"/>
      </bottom>
      <diagonal/>
    </border>
    <border>
      <left/>
      <right/>
      <top style="thin">
        <color theme="0" tint="-0.14990691854609822"/>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theme="0" tint="-0.14996795556505021"/>
      </right>
      <top style="thin">
        <color auto="1"/>
      </top>
      <bottom/>
      <diagonal/>
    </border>
    <border>
      <left style="thin">
        <color auto="1"/>
      </left>
      <right style="thin">
        <color theme="0" tint="-0.14996795556505021"/>
      </right>
      <top/>
      <bottom/>
      <diagonal/>
    </border>
    <border>
      <left style="thin">
        <color auto="1"/>
      </left>
      <right style="thin">
        <color theme="0" tint="-0.14996795556505021"/>
      </right>
      <top/>
      <bottom style="thin">
        <color auto="1"/>
      </bottom>
      <diagonal/>
    </border>
    <border>
      <left style="thin">
        <color auto="1"/>
      </left>
      <right style="thin">
        <color theme="0" tint="-0.14996795556505021"/>
      </right>
      <top style="thin">
        <color auto="1"/>
      </top>
      <bottom style="thin">
        <color auto="1"/>
      </bottom>
      <diagonal/>
    </border>
    <border>
      <left style="thin">
        <color theme="0" tint="-0.14996795556505021"/>
      </left>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
      <left style="thin">
        <color rgb="FF008080"/>
      </left>
      <right style="thin">
        <color rgb="FF008080"/>
      </right>
      <top style="thin">
        <color rgb="FF008080"/>
      </top>
      <bottom style="thin">
        <color rgb="FF00808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theme="0" tint="-0.24994659260841701"/>
      </bottom>
      <diagonal/>
    </border>
    <border>
      <left style="thin">
        <color auto="1"/>
      </left>
      <right/>
      <top style="thin">
        <color auto="1"/>
      </top>
      <bottom style="thin">
        <color auto="1"/>
      </bottom>
      <diagonal/>
    </border>
    <border>
      <left/>
      <right/>
      <top style="thin">
        <color auto="1"/>
      </top>
      <bottom style="thin">
        <color indexed="64"/>
      </bottom>
      <diagonal/>
    </border>
    <border>
      <left/>
      <right style="thin">
        <color auto="1"/>
      </right>
      <top style="thin">
        <color auto="1"/>
      </top>
      <bottom style="thin">
        <color auto="1"/>
      </bottom>
      <diagonal/>
    </border>
  </borders>
  <cellStyleXfs count="41139">
    <xf numFmtId="0" fontId="0" fillId="0" borderId="0"/>
    <xf numFmtId="166" fontId="1" fillId="0" borderId="0"/>
    <xf numFmtId="166" fontId="1" fillId="0" borderId="0"/>
    <xf numFmtId="9" fontId="4" fillId="0" borderId="0" applyFont="0" applyFill="0" applyBorder="0" applyAlignment="0" applyProtection="0"/>
    <xf numFmtId="0" fontId="5" fillId="0" borderId="0"/>
    <xf numFmtId="0" fontId="4" fillId="0" borderId="0"/>
    <xf numFmtId="0" fontId="8" fillId="0" borderId="0"/>
    <xf numFmtId="0" fontId="8" fillId="0" borderId="0"/>
    <xf numFmtId="168" fontId="8" fillId="0" borderId="0" applyFont="0" applyFill="0" applyBorder="0" applyAlignment="0" applyProtection="0"/>
    <xf numFmtId="168" fontId="8" fillId="0" borderId="0" applyFont="0" applyFill="0" applyBorder="0" applyAlignment="0" applyProtection="0"/>
    <xf numFmtId="43" fontId="4" fillId="0" borderId="0" applyFont="0" applyFill="0" applyBorder="0" applyAlignment="0" applyProtection="0"/>
    <xf numFmtId="0" fontId="8" fillId="0" borderId="0"/>
    <xf numFmtId="43" fontId="4" fillId="0" borderId="0" applyFont="0" applyFill="0" applyBorder="0" applyAlignment="0" applyProtection="0"/>
    <xf numFmtId="44"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63" fillId="0" borderId="0"/>
    <xf numFmtId="44" fontId="63" fillId="0" borderId="0" applyFont="0" applyFill="0" applyBorder="0" applyAlignment="0" applyProtection="0"/>
    <xf numFmtId="0" fontId="83" fillId="0" borderId="0"/>
    <xf numFmtId="43" fontId="4" fillId="0" borderId="0" applyFont="0" applyFill="0" applyBorder="0" applyAlignment="0" applyProtection="0"/>
    <xf numFmtId="43" fontId="4"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166" fontId="1" fillId="0" borderId="0"/>
    <xf numFmtId="0" fontId="1" fillId="12" borderId="199" applyNumberFormat="0" applyAlignment="0" applyProtection="0"/>
    <xf numFmtId="0" fontId="94" fillId="0" borderId="0" applyNumberFormat="0" applyFill="0" applyAlignment="0" applyProtection="0"/>
    <xf numFmtId="0" fontId="1" fillId="0"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0" borderId="0" applyNumberFormat="0" applyBorder="0" applyAlignment="0" applyProtection="0"/>
    <xf numFmtId="0" fontId="1" fillId="20" borderId="0" applyNumberFormat="0" applyBorder="0" applyAlignment="0" applyProtection="0"/>
    <xf numFmtId="0" fontId="1" fillId="21" borderId="199" applyNumberFormat="0" applyAlignment="0" applyProtection="0"/>
    <xf numFmtId="0" fontId="1" fillId="21" borderId="0" applyNumberFormat="0" applyBorder="0" applyAlignment="0" applyProtection="0"/>
    <xf numFmtId="0" fontId="1" fillId="20"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0" borderId="0" applyNumberFormat="0" applyFill="0" applyAlignment="0" applyProtection="0"/>
    <xf numFmtId="0" fontId="1" fillId="22" borderId="0" applyNumberFormat="0" applyBorder="0" applyAlignment="0" applyProtection="0"/>
    <xf numFmtId="181" fontId="1" fillId="0" borderId="0"/>
    <xf numFmtId="0" fontId="4" fillId="0" borderId="0"/>
    <xf numFmtId="9" fontId="1" fillId="0" borderId="0" applyFont="0" applyFill="0" applyBorder="0" applyAlignment="0" applyProtection="0"/>
    <xf numFmtId="9" fontId="95" fillId="0" borderId="0" applyFont="0" applyFill="0" applyBorder="0" applyAlignment="0" applyProtection="0"/>
    <xf numFmtId="40" fontId="95" fillId="0" borderId="0" applyFont="0" applyFill="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0" borderId="0" applyNumberFormat="0" applyBorder="0" applyAlignment="0" applyProtection="0"/>
    <xf numFmtId="0" fontId="96" fillId="20"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8" borderId="0" applyNumberFormat="0" applyBorder="0" applyAlignment="0" applyProtection="0"/>
    <xf numFmtId="0" fontId="96" fillId="28"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25" borderId="0" applyNumberFormat="0" applyBorder="0" applyAlignment="0" applyProtection="0"/>
    <xf numFmtId="0" fontId="97" fillId="25"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3" fillId="0" borderId="202" applyNumberFormat="0" applyFill="0" applyAlignment="0" applyProtection="0"/>
    <xf numFmtId="0" fontId="103" fillId="0" borderId="202"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4" fillId="0" borderId="0">
      <protection locked="0"/>
    </xf>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21" borderId="0" applyNumberFormat="0" applyBorder="0" applyAlignment="0" applyProtection="0"/>
    <xf numFmtId="0" fontId="97" fillId="2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42" borderId="0" applyNumberFormat="0" applyBorder="0" applyAlignment="0" applyProtection="0"/>
    <xf numFmtId="0" fontId="97" fillId="4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4" fontId="8"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4" fontId="8"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85" fontId="104" fillId="0" borderId="0">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9" borderId="0" applyNumberFormat="0" applyBorder="0" applyAlignment="0" applyProtection="0"/>
    <xf numFmtId="0" fontId="107" fillId="29"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 fillId="0" borderId="0"/>
    <xf numFmtId="179" fontId="8" fillId="0" borderId="0" applyFont="0" applyFill="0" applyBorder="0" applyAlignment="0" applyProtection="0"/>
    <xf numFmtId="44" fontId="96" fillId="0" borderId="0" applyFont="0" applyFill="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9" fillId="20" borderId="0" applyNumberFormat="0" applyBorder="0" applyAlignment="0" applyProtection="0"/>
    <xf numFmtId="0" fontId="109"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166" fontId="1" fillId="0" borderId="0"/>
    <xf numFmtId="2" fontId="8" fillId="0" borderId="0" applyProtection="0"/>
    <xf numFmtId="2" fontId="8" fillId="0" borderId="0" applyProtection="0"/>
    <xf numFmtId="2" fontId="8" fillId="0" borderId="0" applyProtection="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166" fontId="1" fillId="0" borderId="0"/>
    <xf numFmtId="0" fontId="8" fillId="0" borderId="0"/>
    <xf numFmtId="166" fontId="1" fillId="0" borderId="0"/>
    <xf numFmtId="0" fontId="8" fillId="0" borderId="0"/>
    <xf numFmtId="166" fontId="1" fillId="0" borderId="0"/>
    <xf numFmtId="2" fontId="8" fillId="0" borderId="0" applyProtection="0"/>
    <xf numFmtId="2" fontId="8" fillId="0" borderId="0" applyProtection="0"/>
    <xf numFmtId="2" fontId="8" fillId="0" borderId="0" applyProtection="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166" fontId="1" fillId="0" borderId="0"/>
    <xf numFmtId="166" fontId="1" fillId="0" borderId="0"/>
    <xf numFmtId="0" fontId="4" fillId="0" borderId="0"/>
    <xf numFmtId="0" fontId="4"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0" fontId="4" fillId="0" borderId="0"/>
    <xf numFmtId="0" fontId="4" fillId="0" borderId="0"/>
    <xf numFmtId="0" fontId="4" fillId="0" borderId="0"/>
    <xf numFmtId="0" fontId="4" fillId="0" borderId="0"/>
    <xf numFmtId="166" fontId="1" fillId="0" borderId="0"/>
    <xf numFmtId="166"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8"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79" fontId="1"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96" fillId="0" borderId="0"/>
    <xf numFmtId="0" fontId="96"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166" fontId="1" fillId="0" borderId="0"/>
    <xf numFmtId="0" fontId="96" fillId="0" borderId="0"/>
    <xf numFmtId="0" fontId="96" fillId="0" borderId="0"/>
    <xf numFmtId="0" fontId="96" fillId="0" borderId="0"/>
    <xf numFmtId="0" fontId="96" fillId="0" borderId="0"/>
    <xf numFmtId="0" fontId="1" fillId="0" borderId="0"/>
    <xf numFmtId="0" fontId="96" fillId="0" borderId="0"/>
    <xf numFmtId="0" fontId="96" fillId="0" borderId="0"/>
    <xf numFmtId="0" fontId="96" fillId="0" borderId="0"/>
    <xf numFmtId="0" fontId="96"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0" fontId="96"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86" fontId="1" fillId="0" borderId="0"/>
    <xf numFmtId="179" fontId="1" fillId="0" borderId="0"/>
    <xf numFmtId="0" fontId="96" fillId="0" borderId="0"/>
    <xf numFmtId="166" fontId="1" fillId="0" borderId="0"/>
    <xf numFmtId="0" fontId="96" fillId="0" borderId="0"/>
    <xf numFmtId="166" fontId="1" fillId="0" borderId="0"/>
    <xf numFmtId="0" fontId="96" fillId="0" borderId="0"/>
    <xf numFmtId="166" fontId="1" fillId="0" borderId="0"/>
    <xf numFmtId="0" fontId="96" fillId="0" borderId="0"/>
    <xf numFmtId="166" fontId="1" fillId="0" borderId="0"/>
    <xf numFmtId="181" fontId="1" fillId="0" borderId="0"/>
    <xf numFmtId="166" fontId="1" fillId="0" borderId="0"/>
    <xf numFmtId="181" fontId="1" fillId="0" borderId="0"/>
    <xf numFmtId="166" fontId="1" fillId="0" borderId="0"/>
    <xf numFmtId="181" fontId="1" fillId="0" borderId="0"/>
    <xf numFmtId="166" fontId="1" fillId="0" borderId="0"/>
    <xf numFmtId="181" fontId="1" fillId="0" borderId="0"/>
    <xf numFmtId="0" fontId="96" fillId="0" borderId="0"/>
    <xf numFmtId="186" fontId="1" fillId="0" borderId="0"/>
    <xf numFmtId="166" fontId="1" fillId="0" borderId="0"/>
    <xf numFmtId="186" fontId="1" fillId="0" borderId="0"/>
    <xf numFmtId="18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0" fontId="96"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0" fontId="96" fillId="0" borderId="0"/>
    <xf numFmtId="186" fontId="1" fillId="0" borderId="0"/>
    <xf numFmtId="186" fontId="1" fillId="0" borderId="0"/>
    <xf numFmtId="186" fontId="1" fillId="0" borderId="0"/>
    <xf numFmtId="186" fontId="1" fillId="0" borderId="0"/>
    <xf numFmtId="186" fontId="1" fillId="0" borderId="0"/>
    <xf numFmtId="186" fontId="1" fillId="0" borderId="0"/>
    <xf numFmtId="186" fontId="1" fillId="0" borderId="0"/>
    <xf numFmtId="179" fontId="1" fillId="0" borderId="0"/>
    <xf numFmtId="0" fontId="96" fillId="0" borderId="0"/>
    <xf numFmtId="179" fontId="1" fillId="0" borderId="0"/>
    <xf numFmtId="0" fontId="96" fillId="0" borderId="0"/>
    <xf numFmtId="179" fontId="1" fillId="0" borderId="0"/>
    <xf numFmtId="186" fontId="1" fillId="0" borderId="0"/>
    <xf numFmtId="179" fontId="1" fillId="0" borderId="0"/>
    <xf numFmtId="166" fontId="1" fillId="0" borderId="0"/>
    <xf numFmtId="186" fontId="1" fillId="0" borderId="0"/>
    <xf numFmtId="166" fontId="1" fillId="0" borderId="0"/>
    <xf numFmtId="186" fontId="1" fillId="0" borderId="0"/>
    <xf numFmtId="166" fontId="1" fillId="0" borderId="0"/>
    <xf numFmtId="186" fontId="1" fillId="0" borderId="0"/>
    <xf numFmtId="166" fontId="1" fillId="0" borderId="0"/>
    <xf numFmtId="186" fontId="1" fillId="0" borderId="0"/>
    <xf numFmtId="166" fontId="1" fillId="0" borderId="0"/>
    <xf numFmtId="186" fontId="1" fillId="0" borderId="0"/>
    <xf numFmtId="166" fontId="1" fillId="0" borderId="0"/>
    <xf numFmtId="186" fontId="1" fillId="0" borderId="0"/>
    <xf numFmtId="166" fontId="1" fillId="0" borderId="0"/>
    <xf numFmtId="186" fontId="1" fillId="0" borderId="0"/>
    <xf numFmtId="0" fontId="96" fillId="0" borderId="0"/>
    <xf numFmtId="186" fontId="1" fillId="0" borderId="0"/>
    <xf numFmtId="0" fontId="96" fillId="0" borderId="0"/>
    <xf numFmtId="186" fontId="1" fillId="0" borderId="0"/>
    <xf numFmtId="0" fontId="96" fillId="0" borderId="0"/>
    <xf numFmtId="186" fontId="1" fillId="0" borderId="0"/>
    <xf numFmtId="166" fontId="1" fillId="0" borderId="0"/>
    <xf numFmtId="0" fontId="96" fillId="0" borderId="0"/>
    <xf numFmtId="186" fontId="1" fillId="0" borderId="0"/>
    <xf numFmtId="166" fontId="1" fillId="0" borderId="0"/>
    <xf numFmtId="186" fontId="1" fillId="0" borderId="0"/>
    <xf numFmtId="166" fontId="1" fillId="0" borderId="0"/>
    <xf numFmtId="18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79" fontId="1" fillId="0" borderId="0"/>
    <xf numFmtId="0" fontId="96" fillId="0" borderId="0"/>
    <xf numFmtId="179" fontId="1" fillId="0" borderId="0"/>
    <xf numFmtId="0" fontId="96" fillId="0" borderId="0"/>
    <xf numFmtId="0" fontId="96"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8" fillId="0" borderId="0"/>
    <xf numFmtId="0" fontId="9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8" fillId="0" borderId="0"/>
    <xf numFmtId="0" fontId="9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1"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1"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1"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1"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44" fontId="1" fillId="0" borderId="0"/>
    <xf numFmtId="0" fontId="96" fillId="0" borderId="0"/>
    <xf numFmtId="44" fontId="1" fillId="0" borderId="0"/>
    <xf numFmtId="179" fontId="1" fillId="0" borderId="0"/>
    <xf numFmtId="44" fontId="1" fillId="0" borderId="0"/>
    <xf numFmtId="179" fontId="1" fillId="0" borderId="0"/>
    <xf numFmtId="44" fontId="1" fillId="0" borderId="0"/>
    <xf numFmtId="179" fontId="1" fillId="0" borderId="0"/>
    <xf numFmtId="0" fontId="96" fillId="0" borderId="0"/>
    <xf numFmtId="181" fontId="1" fillId="0" borderId="0"/>
    <xf numFmtId="181" fontId="1" fillId="0" borderId="0"/>
    <xf numFmtId="181" fontId="1" fillId="0" borderId="0"/>
    <xf numFmtId="181" fontId="1" fillId="0" borderId="0"/>
    <xf numFmtId="0" fontId="96"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0" fontId="96" fillId="0" borderId="0"/>
    <xf numFmtId="166" fontId="1" fillId="0" borderId="0"/>
    <xf numFmtId="0" fontId="96" fillId="0" borderId="0"/>
    <xf numFmtId="0" fontId="96" fillId="0" borderId="0"/>
    <xf numFmtId="166" fontId="1" fillId="0" borderId="0"/>
    <xf numFmtId="0" fontId="96" fillId="0" borderId="0"/>
    <xf numFmtId="166" fontId="1" fillId="0" borderId="0"/>
    <xf numFmtId="0" fontId="96" fillId="0" borderId="0"/>
    <xf numFmtId="166" fontId="1" fillId="0" borderId="0"/>
    <xf numFmtId="0" fontId="96" fillId="0" borderId="0"/>
    <xf numFmtId="166" fontId="1" fillId="0" borderId="0"/>
    <xf numFmtId="166" fontId="1" fillId="0" borderId="0"/>
    <xf numFmtId="166" fontId="1" fillId="0" borderId="0"/>
    <xf numFmtId="0" fontId="96" fillId="0" borderId="0"/>
    <xf numFmtId="166" fontId="1" fillId="0" borderId="0"/>
    <xf numFmtId="166" fontId="1" fillId="0" borderId="0"/>
    <xf numFmtId="0" fontId="96" fillId="0" borderId="0"/>
    <xf numFmtId="0" fontId="96" fillId="0" borderId="0"/>
    <xf numFmtId="0" fontId="96" fillId="0" borderId="0"/>
    <xf numFmtId="0" fontId="96" fillId="0" borderId="0"/>
    <xf numFmtId="166" fontId="1" fillId="0" borderId="0"/>
    <xf numFmtId="166" fontId="1" fillId="0" borderId="0"/>
    <xf numFmtId="0" fontId="8" fillId="0" borderId="0"/>
    <xf numFmtId="0" fontId="8" fillId="0" borderId="0"/>
    <xf numFmtId="0" fontId="8" fillId="0" borderId="0"/>
    <xf numFmtId="0" fontId="96" fillId="0" borderId="0"/>
    <xf numFmtId="0" fontId="96" fillId="0" borderId="0"/>
    <xf numFmtId="0" fontId="96" fillId="0" borderId="0"/>
    <xf numFmtId="0" fontId="96" fillId="0" borderId="0"/>
    <xf numFmtId="0" fontId="96" fillId="0" borderId="0"/>
    <xf numFmtId="0" fontId="96"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0" fontId="96" fillId="0" borderId="0"/>
    <xf numFmtId="166" fontId="1" fillId="0" borderId="0"/>
    <xf numFmtId="0" fontId="96" fillId="0" borderId="0"/>
    <xf numFmtId="166" fontId="1" fillId="0" borderId="0"/>
    <xf numFmtId="0" fontId="96"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96"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96" fillId="0" borderId="0"/>
    <xf numFmtId="166" fontId="1" fillId="0" borderId="0"/>
    <xf numFmtId="166" fontId="1" fillId="0" borderId="0"/>
    <xf numFmtId="166" fontId="1" fillId="0" borderId="0"/>
    <xf numFmtId="166" fontId="1"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6" fillId="0" borderId="0"/>
    <xf numFmtId="0"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0" fontId="96" fillId="0" borderId="0"/>
    <xf numFmtId="166" fontId="1" fillId="0" borderId="0"/>
    <xf numFmtId="0" fontId="96" fillId="0" borderId="0"/>
    <xf numFmtId="166" fontId="1" fillId="0" borderId="0"/>
    <xf numFmtId="0" fontId="96" fillId="0" borderId="0"/>
    <xf numFmtId="0" fontId="96" fillId="0" borderId="0"/>
    <xf numFmtId="166" fontId="1" fillId="0" borderId="0"/>
    <xf numFmtId="0" fontId="96" fillId="0" borderId="0"/>
    <xf numFmtId="166" fontId="1" fillId="0" borderId="0"/>
    <xf numFmtId="0" fontId="96" fillId="0" borderId="0"/>
    <xf numFmtId="166" fontId="1" fillId="0" borderId="0"/>
    <xf numFmtId="0" fontId="96" fillId="0" borderId="0"/>
    <xf numFmtId="166" fontId="1" fillId="0" borderId="0"/>
    <xf numFmtId="166" fontId="1" fillId="0" borderId="0"/>
    <xf numFmtId="166" fontId="1" fillId="0" borderId="0"/>
    <xf numFmtId="187" fontId="1" fillId="0" borderId="0"/>
    <xf numFmtId="0" fontId="96" fillId="0" borderId="0"/>
    <xf numFmtId="0" fontId="96" fillId="0" borderId="0"/>
    <xf numFmtId="0" fontId="96" fillId="0" borderId="0"/>
    <xf numFmtId="0" fontId="96" fillId="0" borderId="0"/>
    <xf numFmtId="0" fontId="96" fillId="0" borderId="0"/>
    <xf numFmtId="0" fontId="96" fillId="0" borderId="0"/>
    <xf numFmtId="166" fontId="1" fillId="0" borderId="0"/>
    <xf numFmtId="166" fontId="1" fillId="0" borderId="0"/>
    <xf numFmtId="0" fontId="96" fillId="0" borderId="0"/>
    <xf numFmtId="0" fontId="96" fillId="0" borderId="0"/>
    <xf numFmtId="0" fontId="96" fillId="0" borderId="0"/>
    <xf numFmtId="0" fontId="96" fillId="0" borderId="0"/>
    <xf numFmtId="166" fontId="1" fillId="0" borderId="0"/>
    <xf numFmtId="166" fontId="1" fillId="0" borderId="0"/>
    <xf numFmtId="187" fontId="1" fillId="0" borderId="0"/>
    <xf numFmtId="187" fontId="1" fillId="0" borderId="0"/>
    <xf numFmtId="0" fontId="96" fillId="0" borderId="0"/>
    <xf numFmtId="187" fontId="1" fillId="0" borderId="0"/>
    <xf numFmtId="187" fontId="1" fillId="0" borderId="0"/>
    <xf numFmtId="187"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66" fontId="1" fillId="0" borderId="0"/>
    <xf numFmtId="0" fontId="96" fillId="0" borderId="0"/>
    <xf numFmtId="166" fontId="1" fillId="0" borderId="0"/>
    <xf numFmtId="0" fontId="96" fillId="0" borderId="0"/>
    <xf numFmtId="166"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8"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0" fontId="96" fillId="0" borderId="0"/>
    <xf numFmtId="0" fontId="96"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0" fontId="96" fillId="0" borderId="0"/>
    <xf numFmtId="0" fontId="96"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6" fillId="0" borderId="0"/>
    <xf numFmtId="0" fontId="96" fillId="0" borderId="0"/>
    <xf numFmtId="0" fontId="96"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179" fontId="1"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96" fillId="0" borderId="0"/>
    <xf numFmtId="0" fontId="96" fillId="0" borderId="0"/>
    <xf numFmtId="0" fontId="96"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79" fontId="1" fillId="0" borderId="0"/>
    <xf numFmtId="0" fontId="96" fillId="0" borderId="0"/>
    <xf numFmtId="0" fontId="96" fillId="0" borderId="0"/>
    <xf numFmtId="0" fontId="96" fillId="0" borderId="0"/>
    <xf numFmtId="0" fontId="96"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96" fillId="0" borderId="0"/>
    <xf numFmtId="0" fontId="96" fillId="0" borderId="0"/>
    <xf numFmtId="166" fontId="1" fillId="0" borderId="0"/>
    <xf numFmtId="166" fontId="1" fillId="0" borderId="0"/>
    <xf numFmtId="181"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166" fontId="1" fillId="0" borderId="0"/>
    <xf numFmtId="0" fontId="8" fillId="0" borderId="0"/>
    <xf numFmtId="166" fontId="1"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8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180" fontId="1" fillId="0" borderId="0"/>
    <xf numFmtId="0" fontId="8" fillId="0" borderId="0"/>
    <xf numFmtId="180" fontId="1" fillId="0" borderId="0"/>
    <xf numFmtId="0" fontId="8" fillId="0" borderId="0"/>
    <xf numFmtId="180" fontId="1"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8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180" fontId="1" fillId="0" borderId="0"/>
    <xf numFmtId="0" fontId="8" fillId="0" borderId="0"/>
    <xf numFmtId="180" fontId="1" fillId="0" borderId="0"/>
    <xf numFmtId="0" fontId="8" fillId="0" borderId="0"/>
    <xf numFmtId="180" fontId="1" fillId="0" borderId="0"/>
    <xf numFmtId="0" fontId="8" fillId="0" borderId="0"/>
    <xf numFmtId="166" fontId="1" fillId="0" borderId="0"/>
    <xf numFmtId="166" fontId="1" fillId="0" borderId="0"/>
    <xf numFmtId="166" fontId="1" fillId="0" borderId="0"/>
    <xf numFmtId="166" fontId="1" fillId="0" borderId="0"/>
    <xf numFmtId="0" fontId="8" fillId="0" borderId="0"/>
    <xf numFmtId="180" fontId="1" fillId="0" borderId="0"/>
    <xf numFmtId="180" fontId="1" fillId="0" borderId="0"/>
    <xf numFmtId="180" fontId="1" fillId="0" borderId="0"/>
    <xf numFmtId="180" fontId="1" fillId="0" borderId="0"/>
    <xf numFmtId="0" fontId="8" fillId="0" borderId="0"/>
    <xf numFmtId="180" fontId="1" fillId="0" borderId="0"/>
    <xf numFmtId="180" fontId="1" fillId="0" borderId="0"/>
    <xf numFmtId="180" fontId="1" fillId="0" borderId="0"/>
    <xf numFmtId="180" fontId="1" fillId="0" borderId="0"/>
    <xf numFmtId="0" fontId="8"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0" fontId="8"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0" fontId="8"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0" fontId="8"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1" fontId="1" fillId="0" borderId="0"/>
    <xf numFmtId="0" fontId="8"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0" fontId="4" fillId="0" borderId="0"/>
    <xf numFmtId="181"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0" fontId="4" fillId="0" borderId="0"/>
    <xf numFmtId="0" fontId="4" fillId="0" borderId="0"/>
    <xf numFmtId="0" fontId="4" fillId="0" borderId="0"/>
    <xf numFmtId="0" fontId="4" fillId="0" borderId="0"/>
    <xf numFmtId="0" fontId="8" fillId="0" borderId="0"/>
    <xf numFmtId="181" fontId="1" fillId="0" borderId="0"/>
    <xf numFmtId="181" fontId="1" fillId="0" borderId="0"/>
    <xf numFmtId="181" fontId="1" fillId="0" borderId="0"/>
    <xf numFmtId="0" fontId="8" fillId="0" borderId="0"/>
    <xf numFmtId="179" fontId="1" fillId="0" borderId="0"/>
    <xf numFmtId="179" fontId="1" fillId="0" borderId="0"/>
    <xf numFmtId="179" fontId="1" fillId="0" borderId="0"/>
    <xf numFmtId="179" fontId="1" fillId="0" borderId="0"/>
    <xf numFmtId="179" fontId="1" fillId="0" borderId="0"/>
    <xf numFmtId="179" fontId="1" fillId="0" borderId="0"/>
    <xf numFmtId="181" fontId="1" fillId="0" borderId="0"/>
    <xf numFmtId="181"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1" fontId="1" fillId="0" borderId="0"/>
    <xf numFmtId="181" fontId="1" fillId="0" borderId="0"/>
    <xf numFmtId="181" fontId="1" fillId="0" borderId="0"/>
    <xf numFmtId="181" fontId="1" fillId="0" borderId="0"/>
    <xf numFmtId="0" fontId="8" fillId="0" borderId="0"/>
    <xf numFmtId="179" fontId="1" fillId="0" borderId="0"/>
    <xf numFmtId="180" fontId="1" fillId="0" borderId="0"/>
    <xf numFmtId="179" fontId="1" fillId="0" borderId="0"/>
    <xf numFmtId="180" fontId="1" fillId="0" borderId="0"/>
    <xf numFmtId="179" fontId="1" fillId="0" borderId="0"/>
    <xf numFmtId="180" fontId="1" fillId="0" borderId="0"/>
    <xf numFmtId="179" fontId="1" fillId="0" borderId="0"/>
    <xf numFmtId="18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79"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79" fontId="1" fillId="0" borderId="0"/>
    <xf numFmtId="180" fontId="1" fillId="0" borderId="0"/>
    <xf numFmtId="179" fontId="1" fillId="0" borderId="0"/>
    <xf numFmtId="180" fontId="1" fillId="0" borderId="0"/>
    <xf numFmtId="179" fontId="1" fillId="0" borderId="0"/>
    <xf numFmtId="180" fontId="1" fillId="0" borderId="0"/>
    <xf numFmtId="181" fontId="1" fillId="0" borderId="0"/>
    <xf numFmtId="0" fontId="8" fillId="0" borderId="0"/>
    <xf numFmtId="0" fontId="8" fillId="0" borderId="0"/>
    <xf numFmtId="0" fontId="8" fillId="0" borderId="0"/>
    <xf numFmtId="0" fontId="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0"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8" fillId="0" borderId="0"/>
    <xf numFmtId="180" fontId="1" fillId="0" borderId="0"/>
    <xf numFmtId="0" fontId="8" fillId="0" borderId="0"/>
    <xf numFmtId="180" fontId="1" fillId="0" borderId="0"/>
    <xf numFmtId="0" fontId="8" fillId="0" borderId="0"/>
    <xf numFmtId="180" fontId="1" fillId="0" borderId="0"/>
    <xf numFmtId="0" fontId="8" fillId="0" borderId="0"/>
    <xf numFmtId="180" fontId="1" fillId="0" borderId="0"/>
    <xf numFmtId="0" fontId="4" fillId="0" borderId="0"/>
    <xf numFmtId="181" fontId="1" fillId="0" borderId="0"/>
    <xf numFmtId="0" fontId="4" fillId="0" borderId="0"/>
    <xf numFmtId="0" fontId="4" fillId="0" borderId="0"/>
    <xf numFmtId="0" fontId="4" fillId="0" borderId="0"/>
    <xf numFmtId="0" fontId="4" fillId="0" borderId="0"/>
    <xf numFmtId="181" fontId="1" fillId="0" borderId="0"/>
    <xf numFmtId="181"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79" fontId="1" fillId="0" borderId="0"/>
    <xf numFmtId="179" fontId="1" fillId="0" borderId="0"/>
    <xf numFmtId="179" fontId="1" fillId="0" borderId="0"/>
    <xf numFmtId="179"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79" fontId="1" fillId="0" borderId="0"/>
    <xf numFmtId="179"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79" fontId="1" fillId="0" borderId="0"/>
    <xf numFmtId="180" fontId="1" fillId="0" borderId="0"/>
    <xf numFmtId="179" fontId="1" fillId="0" borderId="0"/>
    <xf numFmtId="180" fontId="1" fillId="0" borderId="0"/>
    <xf numFmtId="179" fontId="1" fillId="0" borderId="0"/>
    <xf numFmtId="180" fontId="1"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80" fontId="1" fillId="0" borderId="0"/>
    <xf numFmtId="179" fontId="1" fillId="0" borderId="0"/>
    <xf numFmtId="180" fontId="1" fillId="0" borderId="0"/>
    <xf numFmtId="179" fontId="1" fillId="0" borderId="0"/>
    <xf numFmtId="180" fontId="1" fillId="0" borderId="0"/>
    <xf numFmtId="179" fontId="1" fillId="0" borderId="0"/>
    <xf numFmtId="180" fontId="1" fillId="0" borderId="0"/>
    <xf numFmtId="180"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0"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80"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8" fillId="0" borderId="0"/>
    <xf numFmtId="180" fontId="1" fillId="0" borderId="0"/>
    <xf numFmtId="0" fontId="8" fillId="0" borderId="0"/>
    <xf numFmtId="180" fontId="1" fillId="0" borderId="0"/>
    <xf numFmtId="0" fontId="8" fillId="0" borderId="0"/>
    <xf numFmtId="180" fontId="1" fillId="0" borderId="0"/>
    <xf numFmtId="0" fontId="8"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5" fillId="0" borderId="0"/>
    <xf numFmtId="0" fontId="95"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66" fontId="1"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80" fontId="1" fillId="0" borderId="0"/>
    <xf numFmtId="180" fontId="1" fillId="0" borderId="0"/>
    <xf numFmtId="180"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80" fontId="1" fillId="0" borderId="0"/>
    <xf numFmtId="166" fontId="1" fillId="0" borderId="0"/>
    <xf numFmtId="0" fontId="8" fillId="0" borderId="0"/>
    <xf numFmtId="0" fontId="8" fillId="0" borderId="0"/>
    <xf numFmtId="0" fontId="8"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8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180" fontId="1" fillId="0" borderId="0"/>
    <xf numFmtId="0" fontId="8" fillId="0" borderId="0"/>
    <xf numFmtId="180" fontId="1" fillId="0" borderId="0"/>
    <xf numFmtId="0" fontId="8"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0"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8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180" fontId="1" fillId="0" borderId="0"/>
    <xf numFmtId="0" fontId="8" fillId="0" borderId="0"/>
    <xf numFmtId="180" fontId="1" fillId="0" borderId="0"/>
    <xf numFmtId="0" fontId="8"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0" fontId="4" fillId="0" borderId="0"/>
    <xf numFmtId="0" fontId="4" fillId="0" borderId="0"/>
    <xf numFmtId="166" fontId="1" fillId="0" borderId="0"/>
    <xf numFmtId="179" fontId="1" fillId="0" borderId="0"/>
    <xf numFmtId="0" fontId="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8" fillId="0" borderId="0"/>
    <xf numFmtId="0" fontId="8" fillId="0" borderId="0"/>
    <xf numFmtId="0" fontId="8" fillId="0" borderId="0"/>
    <xf numFmtId="0" fontId="8" fillId="0" borderId="0"/>
    <xf numFmtId="0" fontId="8"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2" fontId="1" fillId="0" borderId="0"/>
    <xf numFmtId="166" fontId="1" fillId="0" borderId="0"/>
    <xf numFmtId="182"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4" fillId="0" borderId="0"/>
    <xf numFmtId="179" fontId="1"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8"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8" fillId="0" borderId="0"/>
    <xf numFmtId="0" fontId="8" fillId="0" borderId="0"/>
    <xf numFmtId="0" fontId="8" fillId="0" borderId="0"/>
    <xf numFmtId="0" fontId="8" fillId="0" borderId="0"/>
    <xf numFmtId="0" fontId="8" fillId="0" borderId="0"/>
    <xf numFmtId="0" fontId="95"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95" fillId="0" borderId="0"/>
    <xf numFmtId="0" fontId="95" fillId="0" borderId="0"/>
    <xf numFmtId="0" fontId="95" fillId="0" borderId="0"/>
    <xf numFmtId="0" fontId="95" fillId="0" borderId="0"/>
    <xf numFmtId="0" fontId="95"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95" fillId="0" borderId="0"/>
    <xf numFmtId="0" fontId="4" fillId="0" borderId="0"/>
    <xf numFmtId="0" fontId="4" fillId="0" borderId="0"/>
    <xf numFmtId="0" fontId="95" fillId="0" borderId="0"/>
    <xf numFmtId="0" fontId="95" fillId="0" borderId="0"/>
    <xf numFmtId="0" fontId="95"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9" fontId="1"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95" fillId="0" borderId="0"/>
    <xf numFmtId="0" fontId="95" fillId="0" borderId="0"/>
    <xf numFmtId="0" fontId="95" fillId="0" borderId="0"/>
    <xf numFmtId="0" fontId="95" fillId="0" borderId="0"/>
    <xf numFmtId="179"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5" fillId="0" borderId="0"/>
    <xf numFmtId="0" fontId="95" fillId="0" borderId="0"/>
    <xf numFmtId="0" fontId="95" fillId="0" borderId="0"/>
    <xf numFmtId="0" fontId="95" fillId="0" borderId="0"/>
    <xf numFmtId="0" fontId="95" fillId="0" borderId="0"/>
    <xf numFmtId="0" fontId="8"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166" fontId="1" fillId="0" borderId="0"/>
    <xf numFmtId="0" fontId="8" fillId="0" borderId="0"/>
    <xf numFmtId="166" fontId="1" fillId="0" borderId="0"/>
    <xf numFmtId="0" fontId="8" fillId="0" borderId="0"/>
    <xf numFmtId="0" fontId="8" fillId="0" borderId="0"/>
    <xf numFmtId="0" fontId="8" fillId="0" borderId="0"/>
    <xf numFmtId="166" fontId="1" fillId="0" borderId="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2" fontId="8" fillId="0" borderId="0" applyProtection="0"/>
    <xf numFmtId="2" fontId="8" fillId="0" borderId="0" applyProtection="0"/>
    <xf numFmtId="2" fontId="8" fillId="0" borderId="0" applyProtection="0"/>
    <xf numFmtId="2" fontId="8" fillId="0" borderId="0" applyProtection="0"/>
    <xf numFmtId="166" fontId="1" fillId="0" borderId="0"/>
    <xf numFmtId="0" fontId="8" fillId="0" borderId="0"/>
    <xf numFmtId="0" fontId="8" fillId="0" borderId="0"/>
    <xf numFmtId="2" fontId="8" fillId="0" borderId="0" applyProtection="0"/>
    <xf numFmtId="0" fontId="8" fillId="0" borderId="0"/>
    <xf numFmtId="2" fontId="8" fillId="0" borderId="0" applyProtection="0"/>
    <xf numFmtId="0" fontId="8" fillId="0" borderId="0"/>
    <xf numFmtId="2" fontId="8" fillId="0" borderId="0" applyProtection="0"/>
    <xf numFmtId="0" fontId="8" fillId="0" borderId="0"/>
    <xf numFmtId="2" fontId="8" fillId="0" borderId="0" applyProtection="0"/>
    <xf numFmtId="2" fontId="8" fillId="0" borderId="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2" fontId="8" fillId="0" borderId="0" applyProtection="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2" fontId="8" fillId="0" borderId="0" applyProtection="0"/>
    <xf numFmtId="2" fontId="8" fillId="0" borderId="0" applyProtection="0"/>
    <xf numFmtId="2" fontId="8" fillId="0" borderId="0" applyProtection="0"/>
    <xf numFmtId="2" fontId="8" fillId="0" borderId="0" applyProtection="0"/>
    <xf numFmtId="2" fontId="8" fillId="0" borderId="0" applyProtection="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2" fontId="8" fillId="0" borderId="0" applyProtection="0"/>
    <xf numFmtId="2" fontId="8" fillId="0" borderId="0" applyProtection="0"/>
    <xf numFmtId="2" fontId="8" fillId="0" borderId="0" applyProtection="0"/>
    <xf numFmtId="2" fontId="8" fillId="0" borderId="0" applyProtection="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2" fontId="8" fillId="0" borderId="0" applyProtection="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2" fontId="8" fillId="0" borderId="0" applyProtection="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166" fontId="1" fillId="0" borderId="0"/>
    <xf numFmtId="0" fontId="8" fillId="0" borderId="0"/>
    <xf numFmtId="166" fontId="1" fillId="0" borderId="0"/>
    <xf numFmtId="0" fontId="8"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6" fontId="1" fillId="0" borderId="0"/>
    <xf numFmtId="0" fontId="8" fillId="0" borderId="0"/>
    <xf numFmtId="166" fontId="1" fillId="0" borderId="0"/>
    <xf numFmtId="0" fontId="8" fillId="0" borderId="0"/>
    <xf numFmtId="166" fontId="1" fillId="0" borderId="0"/>
    <xf numFmtId="0" fontId="8" fillId="0" borderId="0"/>
    <xf numFmtId="166" fontId="1" fillId="0" borderId="0"/>
    <xf numFmtId="166" fontId="1"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188" fontId="104" fillId="0" borderId="0">
      <protection locked="0"/>
    </xf>
    <xf numFmtId="189" fontId="104" fillId="0" borderId="0">
      <protection locked="0"/>
    </xf>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4"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6" fillId="0" borderId="0" applyFont="0" applyFill="0" applyBorder="0" applyAlignment="0" applyProtection="0"/>
    <xf numFmtId="9" fontId="95" fillId="0" borderId="0" applyFont="0" applyFill="0" applyBorder="0" applyAlignment="0" applyProtection="0"/>
    <xf numFmtId="9" fontId="96" fillId="0" borderId="0" applyFont="0" applyFill="0" applyBorder="0" applyAlignment="0" applyProtection="0"/>
    <xf numFmtId="9" fontId="95" fillId="0" borderId="0" applyFont="0" applyFill="0" applyBorder="0" applyAlignment="0" applyProtection="0"/>
    <xf numFmtId="9" fontId="96" fillId="0" borderId="0" applyFont="0" applyFill="0" applyBorder="0" applyAlignment="0" applyProtection="0"/>
    <xf numFmtId="9" fontId="95" fillId="0" borderId="0" applyFont="0" applyFill="0" applyBorder="0" applyAlignment="0" applyProtection="0"/>
    <xf numFmtId="9" fontId="96"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9" fontId="95" fillId="0" borderId="0" applyFont="0" applyFill="0" applyBorder="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18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4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6"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0" fontId="95"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40" fontId="95" fillId="0" borderId="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3" fillId="0" borderId="206" applyNumberFormat="0" applyFill="0" applyAlignment="0" applyProtection="0"/>
    <xf numFmtId="0" fontId="113" fillId="0" borderId="206"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6" fillId="0" borderId="208" applyNumberFormat="0" applyFill="0" applyAlignment="0" applyProtection="0"/>
    <xf numFmtId="0" fontId="116" fillId="0" borderId="208"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9" fillId="0" borderId="210" applyNumberFormat="0" applyFill="0" applyAlignment="0" applyProtection="0"/>
    <xf numFmtId="0" fontId="119" fillId="0" borderId="210"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19"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7" fillId="0" borderId="0" applyNumberFormat="0" applyFill="0" applyBorder="0" applyAlignment="0" applyProtection="0"/>
    <xf numFmtId="0" fontId="117"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190" fontId="120" fillId="0" borderId="0">
      <protection locked="0"/>
    </xf>
    <xf numFmtId="190" fontId="120" fillId="0" borderId="0">
      <protection locked="0"/>
    </xf>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0" fontId="4" fillId="0" borderId="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9" fontId="4" fillId="0" borderId="0" applyFont="0" applyFill="0" applyBorder="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43" fontId="4" fillId="0" borderId="0" applyFont="0" applyFill="0" applyBorder="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43" fontId="1" fillId="0" borderId="0" applyFont="0" applyFill="0" applyBorder="0" applyAlignment="0" applyProtection="0"/>
    <xf numFmtId="9" fontId="1" fillId="0" borderId="0" applyFont="0" applyFill="0" applyBorder="0" applyAlignment="0" applyProtection="0"/>
    <xf numFmtId="0" fontId="4" fillId="0" borderId="0"/>
    <xf numFmtId="0" fontId="1" fillId="22" borderId="0" applyNumberFormat="0" applyBorder="0" applyAlignment="0" applyProtection="0"/>
    <xf numFmtId="0" fontId="1" fillId="0" borderId="0" applyNumberFormat="0" applyFill="0" applyAlignment="0" applyProtection="0"/>
    <xf numFmtId="0" fontId="1" fillId="23" borderId="0" applyNumberFormat="0" applyBorder="0" applyAlignment="0" applyProtection="0"/>
    <xf numFmtId="0" fontId="1" fillId="22"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199" applyNumberFormat="0" applyAlignment="0" applyProtection="0"/>
    <xf numFmtId="0" fontId="1" fillId="0" borderId="0" applyNumberFormat="0" applyBorder="0" applyAlignment="0" applyProtection="0"/>
    <xf numFmtId="0" fontId="1" fillId="19" borderId="0" applyNumberFormat="0" applyBorder="0" applyAlignment="0" applyProtection="0"/>
    <xf numFmtId="0" fontId="1" fillId="18" borderId="0" applyNumberFormat="0" applyBorder="0" applyAlignment="0" applyProtection="0"/>
    <xf numFmtId="0" fontId="1" fillId="0" borderId="0" applyNumberFormat="0" applyBorder="0" applyAlignment="0" applyProtection="0"/>
    <xf numFmtId="0" fontId="1" fillId="12" borderId="199" applyNumberFormat="0" applyAlignment="0" applyProtection="0"/>
    <xf numFmtId="44" fontId="4" fillId="0" borderId="0" applyFont="0" applyFill="0" applyBorder="0" applyAlignment="0" applyProtection="0"/>
    <xf numFmtId="0" fontId="99" fillId="35" borderId="199" applyNumberFormat="0" applyAlignment="0" applyProtection="0"/>
    <xf numFmtId="0" fontId="105" fillId="30" borderId="199" applyNumberFormat="0" applyAlignment="0" applyProtection="0"/>
    <xf numFmtId="0" fontId="8" fillId="28" borderId="203" applyNumberFormat="0" applyFont="0" applyAlignment="0" applyProtection="0"/>
    <xf numFmtId="0" fontId="110" fillId="35" borderId="204" applyNumberFormat="0" applyAlignment="0" applyProtection="0"/>
    <xf numFmtId="0" fontId="121" fillId="0" borderId="211" applyNumberFormat="0" applyFill="0" applyAlignment="0" applyProtection="0"/>
    <xf numFmtId="0" fontId="1" fillId="20" borderId="0" applyNumberFormat="0" applyBorder="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100" fillId="36"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99" fillId="35"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2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105" fillId="30" borderId="199"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1"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9" fontId="4" fillId="0" borderId="0" applyFont="0" applyFill="0" applyBorder="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6"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2"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186" fontId="8" fillId="0" borderId="0" applyFont="0" applyFill="0" applyBorder="0" applyAlignment="0" applyProtection="0"/>
    <xf numFmtId="44" fontId="1" fillId="0" borderId="0" applyFont="0" applyFill="0" applyBorder="0" applyAlignment="0" applyProtection="0"/>
    <xf numFmtId="0" fontId="102" fillId="0" borderId="201" applyNumberFormat="0" applyFill="0" applyAlignment="0" applyProtection="0"/>
    <xf numFmtId="183" fontId="1" fillId="0" borderId="0" applyFont="0" applyFill="0" applyBorder="0" applyAlignment="0" applyProtection="0"/>
    <xf numFmtId="0" fontId="8" fillId="28" borderId="203" applyNumberFormat="0" applyFont="0" applyAlignment="0" applyProtection="0"/>
    <xf numFmtId="0" fontId="110" fillId="35" borderId="204" applyNumberFormat="0" applyAlignment="0" applyProtection="0"/>
    <xf numFmtId="0" fontId="121" fillId="0" borderId="211" applyNumberFormat="0" applyFill="0" applyAlignment="0" applyProtection="0"/>
    <xf numFmtId="0" fontId="103" fillId="0" borderId="202" applyNumberFormat="0" applyFill="0" applyAlignment="0" applyProtection="0"/>
    <xf numFmtId="0" fontId="1" fillId="28" borderId="203" applyNumberFormat="0" applyFont="0" applyAlignment="0" applyProtection="0"/>
    <xf numFmtId="0" fontId="110" fillId="36" borderId="204" applyNumberFormat="0" applyAlignment="0" applyProtection="0"/>
    <xf numFmtId="0" fontId="121" fillId="0" borderId="212" applyNumberFormat="0" applyFill="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3"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5"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7"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1"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30"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6"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2"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9"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4"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6" fillId="21"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6"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22"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7" fillId="18"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1" fillId="37" borderId="200" applyNumberFormat="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102" fillId="0" borderId="201" applyNumberFormat="0" applyFill="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38"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41"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19"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4"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0" fontId="97" fillId="33" borderId="0" applyNumberFormat="0" applyBorder="0" applyAlignment="0" applyProtection="0"/>
    <xf numFmtId="183" fontId="1" fillId="0" borderId="0" applyFont="0" applyFill="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7" fillId="25"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0" fontId="108" fillId="20" borderId="0" applyNumberFormat="0" applyBorder="0" applyAlignment="0" applyProtection="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86" fontId="1" fillId="0" borderId="0"/>
    <xf numFmtId="186" fontId="1" fillId="0" borderId="0"/>
    <xf numFmtId="0" fontId="96" fillId="0" borderId="0"/>
    <xf numFmtId="186" fontId="1" fillId="0" borderId="0"/>
    <xf numFmtId="0" fontId="96" fillId="0" borderId="0"/>
    <xf numFmtId="186" fontId="1" fillId="0" borderId="0"/>
    <xf numFmtId="186" fontId="1" fillId="0" borderId="0"/>
    <xf numFmtId="186" fontId="1" fillId="0" borderId="0"/>
    <xf numFmtId="18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8" fillId="0" borderId="0"/>
    <xf numFmtId="179" fontId="1" fillId="0" borderId="0"/>
    <xf numFmtId="179" fontId="1" fillId="0" borderId="0"/>
    <xf numFmtId="179" fontId="1" fillId="0" borderId="0"/>
    <xf numFmtId="0" fontId="8"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166" fontId="1" fillId="0" borderId="0"/>
    <xf numFmtId="179" fontId="1" fillId="0" borderId="0"/>
    <xf numFmtId="179" fontId="1" fillId="0" borderId="0"/>
    <xf numFmtId="179" fontId="1" fillId="0" borderId="0"/>
    <xf numFmtId="166"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8"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166" fontId="1" fillId="0" borderId="0"/>
    <xf numFmtId="166" fontId="1" fillId="0" borderId="0"/>
    <xf numFmtId="166" fontId="1" fillId="0" borderId="0"/>
    <xf numFmtId="0" fontId="8" fillId="0" borderId="0"/>
    <xf numFmtId="179" fontId="1" fillId="0" borderId="0"/>
    <xf numFmtId="179" fontId="1" fillId="0" borderId="0"/>
    <xf numFmtId="179" fontId="1" fillId="0" borderId="0"/>
    <xf numFmtId="0" fontId="95"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166" fontId="1" fillId="0" borderId="0"/>
    <xf numFmtId="166" fontId="1" fillId="0" borderId="0"/>
    <xf numFmtId="166" fontId="1" fillId="0" borderId="0"/>
    <xf numFmtId="166" fontId="1" fillId="0" borderId="0"/>
    <xf numFmtId="0" fontId="8" fillId="0" borderId="0"/>
    <xf numFmtId="166" fontId="1" fillId="0" borderId="0"/>
    <xf numFmtId="166" fontId="1" fillId="0" borderId="0"/>
    <xf numFmtId="166" fontId="1" fillId="0" borderId="0"/>
    <xf numFmtId="0" fontId="8"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166" fontId="1" fillId="0" borderId="0"/>
    <xf numFmtId="0" fontId="8" fillId="0" borderId="0"/>
    <xf numFmtId="0" fontId="8" fillId="0" borderId="0"/>
    <xf numFmtId="0" fontId="8" fillId="0" borderId="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9" fontId="95" fillId="0" borderId="0" applyFont="0" applyFill="0" applyBorder="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10" fillId="35" borderId="204" applyNumberFormat="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2" fillId="0" borderId="205" applyNumberFormat="0" applyFill="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4" fillId="0" borderId="0" applyNumberFormat="0" applyFill="0" applyBorder="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5" fillId="0" borderId="207"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209" applyNumberFormat="0" applyFill="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18" fillId="0" borderId="0" applyNumberFormat="0" applyFill="0" applyBorder="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0" fontId="121" fillId="0" borderId="211" applyNumberFormat="0" applyFill="0" applyAlignment="0" applyProtection="0"/>
    <xf numFmtId="186" fontId="8" fillId="0" borderId="0" applyFont="0" applyFill="0" applyBorder="0" applyAlignment="0" applyProtection="0"/>
    <xf numFmtId="0" fontId="96" fillId="24" borderId="0" applyNumberFormat="0" applyBorder="0" applyAlignment="0" applyProtection="0"/>
    <xf numFmtId="0" fontId="96" fillId="26"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31" borderId="0" applyNumberFormat="0" applyBorder="0" applyAlignment="0" applyProtection="0"/>
    <xf numFmtId="0" fontId="96" fillId="20" borderId="0" applyNumberFormat="0" applyBorder="0" applyAlignment="0" applyProtection="0"/>
    <xf numFmtId="0" fontId="96" fillId="25" borderId="0" applyNumberFormat="0" applyBorder="0" applyAlignment="0" applyProtection="0"/>
    <xf numFmtId="0" fontId="96" fillId="31" borderId="0" applyNumberFormat="0" applyBorder="0" applyAlignment="0" applyProtection="0"/>
    <xf numFmtId="0" fontId="96" fillId="28" borderId="0" applyNumberFormat="0" applyBorder="0" applyAlignment="0" applyProtection="0"/>
    <xf numFmtId="0" fontId="97" fillId="31" borderId="0" applyNumberFormat="0" applyBorder="0" applyAlignment="0" applyProtection="0"/>
    <xf numFmtId="0" fontId="97" fillId="33" borderId="0" applyNumberFormat="0" applyBorder="0" applyAlignment="0" applyProtection="0"/>
    <xf numFmtId="0" fontId="97" fillId="21" borderId="0" applyNumberFormat="0" applyBorder="0" applyAlignment="0" applyProtection="0"/>
    <xf numFmtId="0" fontId="97" fillId="25" borderId="0" applyNumberFormat="0" applyBorder="0" applyAlignment="0" applyProtection="0"/>
    <xf numFmtId="0" fontId="97" fillId="31" borderId="0" applyNumberFormat="0" applyBorder="0" applyAlignment="0" applyProtection="0"/>
    <xf numFmtId="0" fontId="97" fillId="26" borderId="0" applyNumberFormat="0" applyBorder="0" applyAlignment="0" applyProtection="0"/>
    <xf numFmtId="0" fontId="98" fillId="31" borderId="0" applyNumberFormat="0" applyBorder="0" applyAlignment="0" applyProtection="0"/>
    <xf numFmtId="0" fontId="100" fillId="36" borderId="199" applyNumberFormat="0" applyAlignment="0" applyProtection="0"/>
    <xf numFmtId="0" fontId="103" fillId="0" borderId="202" applyNumberFormat="0" applyFill="0" applyAlignment="0" applyProtection="0"/>
    <xf numFmtId="0" fontId="97" fillId="39" borderId="0" applyNumberFormat="0" applyBorder="0" applyAlignment="0" applyProtection="0"/>
    <xf numFmtId="0" fontId="97" fillId="33" borderId="0" applyNumberFormat="0" applyBorder="0" applyAlignment="0" applyProtection="0"/>
    <xf numFmtId="0" fontId="97" fillId="21" borderId="0" applyNumberFormat="0" applyBorder="0" applyAlignment="0" applyProtection="0"/>
    <xf numFmtId="0" fontId="97" fillId="42" borderId="0" applyNumberFormat="0" applyBorder="0" applyAlignment="0" applyProtection="0"/>
    <xf numFmtId="0" fontId="97" fillId="40" borderId="0" applyNumberFormat="0" applyBorder="0" applyAlignment="0" applyProtection="0"/>
    <xf numFmtId="0" fontId="105" fillId="20" borderId="199" applyNumberFormat="0" applyAlignment="0" applyProtection="0"/>
    <xf numFmtId="0" fontId="107" fillId="29" borderId="0" applyNumberFormat="0" applyBorder="0" applyAlignment="0" applyProtection="0"/>
    <xf numFmtId="0" fontId="109" fillId="20" borderId="0" applyNumberFormat="0" applyBorder="0" applyAlignment="0" applyProtection="0"/>
    <xf numFmtId="0" fontId="1" fillId="28" borderId="203" applyNumberFormat="0" applyFont="0" applyAlignment="0" applyProtection="0"/>
    <xf numFmtId="0" fontId="110" fillId="36" borderId="204" applyNumberFormat="0" applyAlignment="0" applyProtection="0"/>
    <xf numFmtId="0" fontId="117" fillId="0" borderId="0" applyNumberFormat="0" applyFill="0" applyBorder="0" applyAlignment="0" applyProtection="0"/>
    <xf numFmtId="0" fontId="113" fillId="0" borderId="206" applyNumberFormat="0" applyFill="0" applyAlignment="0" applyProtection="0"/>
    <xf numFmtId="0" fontId="116" fillId="0" borderId="208" applyNumberFormat="0" applyFill="0" applyAlignment="0" applyProtection="0"/>
    <xf numFmtId="0" fontId="119" fillId="0" borderId="210" applyNumberFormat="0" applyFill="0" applyAlignment="0" applyProtection="0"/>
    <xf numFmtId="0" fontId="119" fillId="0" borderId="0" applyNumberFormat="0" applyFill="0" applyBorder="0" applyAlignment="0" applyProtection="0"/>
    <xf numFmtId="0" fontId="121" fillId="0" borderId="212" applyNumberFormat="0" applyFill="0" applyAlignment="0" applyProtection="0"/>
    <xf numFmtId="0" fontId="96" fillId="24" borderId="0" applyNumberFormat="0" applyBorder="0" applyAlignment="0" applyProtection="0"/>
    <xf numFmtId="0" fontId="96" fillId="26" borderId="0" applyNumberFormat="0" applyBorder="0" applyAlignment="0" applyProtection="0"/>
    <xf numFmtId="0" fontId="96" fillId="28" borderId="0" applyNumberFormat="0" applyBorder="0" applyAlignment="0" applyProtection="0"/>
    <xf numFmtId="0" fontId="96" fillId="30" borderId="0" applyNumberFormat="0" applyBorder="0" applyAlignment="0" applyProtection="0"/>
    <xf numFmtId="0" fontId="96" fillId="28" borderId="0" applyNumberFormat="0" applyBorder="0" applyAlignment="0" applyProtection="0"/>
    <xf numFmtId="0" fontId="96" fillId="31" borderId="0" applyNumberFormat="0" applyBorder="0" applyAlignment="0" applyProtection="0"/>
    <xf numFmtId="0" fontId="96" fillId="20" borderId="0" applyNumberFormat="0" applyBorder="0" applyAlignment="0" applyProtection="0"/>
    <xf numFmtId="0" fontId="96" fillId="25" borderId="0" applyNumberFormat="0" applyBorder="0" applyAlignment="0" applyProtection="0"/>
    <xf numFmtId="0" fontId="96" fillId="31" borderId="0" applyNumberFormat="0" applyBorder="0" applyAlignment="0" applyProtection="0"/>
    <xf numFmtId="0" fontId="96" fillId="28" borderId="0" applyNumberFormat="0" applyBorder="0" applyAlignment="0" applyProtection="0"/>
    <xf numFmtId="0" fontId="97" fillId="31" borderId="0" applyNumberFormat="0" applyBorder="0" applyAlignment="0" applyProtection="0"/>
    <xf numFmtId="0" fontId="97" fillId="33" borderId="0" applyNumberFormat="0" applyBorder="0" applyAlignment="0" applyProtection="0"/>
    <xf numFmtId="0" fontId="97" fillId="21" borderId="0" applyNumberFormat="0" applyBorder="0" applyAlignment="0" applyProtection="0"/>
    <xf numFmtId="0" fontId="97" fillId="25" borderId="0" applyNumberFormat="0" applyBorder="0" applyAlignment="0" applyProtection="0"/>
    <xf numFmtId="0" fontId="97" fillId="31" borderId="0" applyNumberFormat="0" applyBorder="0" applyAlignment="0" applyProtection="0"/>
    <xf numFmtId="0" fontId="97" fillId="26" borderId="0" applyNumberFormat="0" applyBorder="0" applyAlignment="0" applyProtection="0"/>
    <xf numFmtId="0" fontId="98" fillId="31" borderId="0" applyNumberFormat="0" applyBorder="0" applyAlignment="0" applyProtection="0"/>
    <xf numFmtId="0" fontId="100" fillId="36" borderId="199" applyNumberFormat="0" applyAlignment="0" applyProtection="0"/>
    <xf numFmtId="0" fontId="103" fillId="0" borderId="202" applyNumberFormat="0" applyFill="0" applyAlignment="0" applyProtection="0"/>
    <xf numFmtId="0" fontId="97" fillId="39" borderId="0" applyNumberFormat="0" applyBorder="0" applyAlignment="0" applyProtection="0"/>
    <xf numFmtId="0" fontId="97" fillId="33" borderId="0" applyNumberFormat="0" applyBorder="0" applyAlignment="0" applyProtection="0"/>
    <xf numFmtId="0" fontId="97" fillId="21" borderId="0" applyNumberFormat="0" applyBorder="0" applyAlignment="0" applyProtection="0"/>
    <xf numFmtId="0" fontId="97" fillId="42" borderId="0" applyNumberFormat="0" applyBorder="0" applyAlignment="0" applyProtection="0"/>
    <xf numFmtId="0" fontId="97" fillId="40" borderId="0" applyNumberFormat="0" applyBorder="0" applyAlignment="0" applyProtection="0"/>
    <xf numFmtId="0" fontId="105" fillId="20" borderId="199" applyNumberFormat="0" applyAlignment="0" applyProtection="0"/>
    <xf numFmtId="0" fontId="107" fillId="29" borderId="0" applyNumberFormat="0" applyBorder="0" applyAlignment="0" applyProtection="0"/>
    <xf numFmtId="0" fontId="109" fillId="20" borderId="0" applyNumberFormat="0" applyBorder="0" applyAlignment="0" applyProtection="0"/>
    <xf numFmtId="0" fontId="1" fillId="28" borderId="203" applyNumberFormat="0" applyFont="0" applyAlignment="0" applyProtection="0"/>
    <xf numFmtId="0" fontId="110" fillId="36" borderId="204" applyNumberFormat="0" applyAlignment="0" applyProtection="0"/>
    <xf numFmtId="0" fontId="117" fillId="0" borderId="0" applyNumberFormat="0" applyFill="0" applyBorder="0" applyAlignment="0" applyProtection="0"/>
    <xf numFmtId="0" fontId="113" fillId="0" borderId="206" applyNumberFormat="0" applyFill="0" applyAlignment="0" applyProtection="0"/>
    <xf numFmtId="0" fontId="116" fillId="0" borderId="208" applyNumberFormat="0" applyFill="0" applyAlignment="0" applyProtection="0"/>
    <xf numFmtId="0" fontId="119" fillId="0" borderId="210" applyNumberFormat="0" applyFill="0" applyAlignment="0" applyProtection="0"/>
    <xf numFmtId="0" fontId="119" fillId="0" borderId="0" applyNumberFormat="0" applyFill="0" applyBorder="0" applyAlignment="0" applyProtection="0"/>
    <xf numFmtId="0" fontId="121" fillId="0" borderId="212" applyNumberFormat="0" applyFill="0" applyAlignment="0" applyProtection="0"/>
    <xf numFmtId="43" fontId="8" fillId="0" borderId="0" applyFont="0" applyFill="0" applyBorder="0" applyAlignment="0" applyProtection="0"/>
    <xf numFmtId="0" fontId="103" fillId="0" borderId="202" applyNumberFormat="0" applyFill="0" applyAlignment="0" applyProtection="0"/>
    <xf numFmtId="0" fontId="1" fillId="28" borderId="203" applyNumberFormat="0" applyFont="0" applyAlignment="0" applyProtection="0"/>
    <xf numFmtId="0" fontId="110" fillId="36" borderId="204" applyNumberFormat="0" applyAlignment="0" applyProtection="0"/>
    <xf numFmtId="0" fontId="121" fillId="0" borderId="212" applyNumberFormat="0" applyFill="0" applyAlignment="0" applyProtection="0"/>
    <xf numFmtId="9" fontId="8" fillId="0" borderId="0" applyFont="0" applyFill="0" applyBorder="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0" fontId="8" fillId="28" borderId="203" applyNumberFormat="0" applyFont="0" applyAlignment="0" applyProtection="0"/>
    <xf numFmtId="9"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186" fontId="8" fillId="0" borderId="0" applyFont="0" applyFill="0" applyBorder="0" applyAlignment="0" applyProtection="0"/>
    <xf numFmtId="0" fontId="102" fillId="0" borderId="201" applyNumberFormat="0" applyFill="0" applyAlignment="0" applyProtection="0"/>
    <xf numFmtId="166" fontId="1" fillId="0" borderId="0"/>
    <xf numFmtId="0" fontId="8" fillId="0" borderId="0"/>
    <xf numFmtId="166" fontId="1" fillId="0" borderId="0"/>
    <xf numFmtId="0" fontId="8" fillId="0" borderId="0"/>
    <xf numFmtId="0" fontId="8" fillId="28" borderId="203" applyNumberFormat="0" applyFont="0" applyAlignment="0" applyProtection="0"/>
    <xf numFmtId="9" fontId="8" fillId="0" borderId="0" applyFont="0" applyFill="0" applyBorder="0" applyAlignment="0" applyProtection="0"/>
    <xf numFmtId="9" fontId="95" fillId="0" borderId="0" applyFont="0" applyFill="0" applyBorder="0" applyAlignment="0" applyProtection="0"/>
    <xf numFmtId="0" fontId="110" fillId="35" borderId="204" applyNumberFormat="0" applyAlignment="0" applyProtection="0"/>
    <xf numFmtId="40" fontId="95" fillId="0" borderId="0" applyFont="0" applyFill="0" applyBorder="0" applyAlignment="0" applyProtection="0"/>
    <xf numFmtId="43" fontId="8" fillId="0" borderId="0" applyFont="0" applyFill="0" applyBorder="0" applyAlignment="0" applyProtection="0"/>
    <xf numFmtId="0" fontId="121" fillId="0" borderId="211" applyNumberFormat="0" applyFill="0" applyAlignment="0" applyProtection="0"/>
    <xf numFmtId="43"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166" fontId="1" fillId="0" borderId="0"/>
    <xf numFmtId="0" fontId="8" fillId="0" borderId="0"/>
    <xf numFmtId="0" fontId="4" fillId="0" borderId="0"/>
    <xf numFmtId="0" fontId="4" fillId="0" borderId="0"/>
    <xf numFmtId="9" fontId="4" fillId="0" borderId="0" applyFont="0" applyFill="0" applyBorder="0" applyAlignment="0" applyProtection="0"/>
    <xf numFmtId="166" fontId="1" fillId="0" borderId="0"/>
    <xf numFmtId="9"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166" fontId="1" fillId="0" borderId="0"/>
    <xf numFmtId="166" fontId="1" fillId="0" borderId="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0" fontId="8" fillId="0" borderId="0"/>
    <xf numFmtId="0" fontId="96" fillId="23" borderId="0" applyNumberFormat="0" applyBorder="0" applyAlignment="0" applyProtection="0"/>
    <xf numFmtId="0" fontId="96" fillId="25" borderId="0" applyNumberFormat="0" applyBorder="0" applyAlignment="0" applyProtection="0"/>
    <xf numFmtId="0" fontId="96" fillId="27" borderId="0" applyNumberFormat="0" applyBorder="0" applyAlignment="0" applyProtection="0"/>
    <xf numFmtId="0" fontId="96" fillId="29" borderId="0" applyNumberFormat="0" applyBorder="0" applyAlignment="0" applyProtection="0"/>
    <xf numFmtId="0" fontId="96" fillId="31" borderId="0" applyNumberFormat="0" applyBorder="0" applyAlignment="0" applyProtection="0"/>
    <xf numFmtId="0" fontId="96" fillId="30" borderId="0" applyNumberFormat="0" applyBorder="0" applyAlignment="0" applyProtection="0"/>
    <xf numFmtId="0" fontId="96" fillId="24" borderId="0" applyNumberFormat="0" applyBorder="0" applyAlignment="0" applyProtection="0"/>
    <xf numFmtId="0" fontId="96" fillId="26" borderId="0" applyNumberFormat="0" applyBorder="0" applyAlignment="0" applyProtection="0"/>
    <xf numFmtId="0" fontId="96" fillId="22" borderId="0" applyNumberFormat="0" applyBorder="0" applyAlignment="0" applyProtection="0"/>
    <xf numFmtId="0" fontId="96" fillId="29" borderId="0" applyNumberFormat="0" applyBorder="0" applyAlignment="0" applyProtection="0"/>
    <xf numFmtId="0" fontId="96" fillId="24" borderId="0" applyNumberFormat="0" applyBorder="0" applyAlignment="0" applyProtection="0"/>
    <xf numFmtId="0" fontId="96" fillId="21" borderId="0" applyNumberFormat="0" applyBorder="0" applyAlignment="0" applyProtection="0"/>
    <xf numFmtId="0" fontId="97" fillId="32" borderId="0" applyNumberFormat="0" applyBorder="0" applyAlignment="0" applyProtection="0"/>
    <xf numFmtId="0" fontId="97" fillId="26" borderId="0" applyNumberFormat="0" applyBorder="0" applyAlignment="0" applyProtection="0"/>
    <xf numFmtId="0" fontId="97" fillId="22" borderId="0" applyNumberFormat="0" applyBorder="0" applyAlignment="0" applyProtection="0"/>
    <xf numFmtId="0" fontId="97" fillId="43" borderId="0" applyNumberFormat="0" applyBorder="0" applyAlignment="0" applyProtection="0"/>
    <xf numFmtId="0" fontId="97" fillId="34" borderId="0" applyNumberFormat="0" applyBorder="0" applyAlignment="0" applyProtection="0"/>
    <xf numFmtId="0" fontId="97" fillId="18" borderId="0" applyNumberFormat="0" applyBorder="0" applyAlignment="0" applyProtection="0"/>
    <xf numFmtId="0" fontId="97" fillId="38" borderId="0" applyNumberFormat="0" applyBorder="0" applyAlignment="0" applyProtection="0"/>
    <xf numFmtId="0" fontId="97" fillId="40" borderId="0" applyNumberFormat="0" applyBorder="0" applyAlignment="0" applyProtection="0"/>
    <xf numFmtId="0" fontId="97" fillId="41" borderId="0" applyNumberFormat="0" applyBorder="0" applyAlignment="0" applyProtection="0"/>
    <xf numFmtId="0" fontId="97" fillId="43" borderId="0" applyNumberFormat="0" applyBorder="0" applyAlignment="0" applyProtection="0"/>
    <xf numFmtId="0" fontId="97" fillId="34" borderId="0" applyNumberFormat="0" applyBorder="0" applyAlignment="0" applyProtection="0"/>
    <xf numFmtId="0" fontId="97" fillId="33" borderId="0" applyNumberFormat="0" applyBorder="0" applyAlignment="0" applyProtection="0"/>
    <xf numFmtId="0" fontId="99" fillId="35" borderId="199" applyNumberFormat="0" applyAlignment="0" applyProtection="0"/>
    <xf numFmtId="0" fontId="99" fillId="35" borderId="199" applyNumberFormat="0" applyAlignment="0" applyProtection="0"/>
    <xf numFmtId="0" fontId="101" fillId="37" borderId="200" applyNumberFormat="0" applyAlignment="0" applyProtection="0"/>
    <xf numFmtId="0" fontId="111" fillId="0" borderId="0" applyNumberFormat="0" applyFill="0" applyBorder="0" applyAlignment="0" applyProtection="0"/>
    <xf numFmtId="0" fontId="98" fillId="27" borderId="0" applyNumberFormat="0" applyBorder="0" applyAlignment="0" applyProtection="0"/>
    <xf numFmtId="0" fontId="112" fillId="0" borderId="205" applyNumberFormat="0" applyFill="0" applyAlignment="0" applyProtection="0"/>
    <xf numFmtId="0" fontId="115" fillId="0" borderId="207" applyNumberFormat="0" applyFill="0" applyAlignment="0" applyProtection="0"/>
    <xf numFmtId="0" fontId="118" fillId="0" borderId="209" applyNumberFormat="0" applyFill="0" applyAlignment="0" applyProtection="0"/>
    <xf numFmtId="0" fontId="118" fillId="0" borderId="0" applyNumberFormat="0" applyFill="0" applyBorder="0" applyAlignment="0" applyProtection="0"/>
    <xf numFmtId="0" fontId="105" fillId="30" borderId="199" applyNumberFormat="0" applyAlignment="0" applyProtection="0"/>
    <xf numFmtId="0" fontId="105" fillId="30" borderId="199" applyNumberFormat="0" applyAlignment="0" applyProtection="0"/>
    <xf numFmtId="0" fontId="102" fillId="0" borderId="201" applyNumberFormat="0" applyFill="0" applyAlignment="0" applyProtection="0"/>
    <xf numFmtId="0" fontId="123" fillId="0" borderId="0"/>
    <xf numFmtId="0" fontId="122" fillId="0" borderId="0"/>
    <xf numFmtId="0" fontId="122" fillId="0" borderId="0"/>
    <xf numFmtId="0" fontId="122" fillId="28" borderId="203" applyNumberFormat="0" applyFont="0" applyAlignment="0" applyProtection="0"/>
    <xf numFmtId="0" fontId="122" fillId="28" borderId="203" applyNumberFormat="0" applyFont="0" applyAlignment="0" applyProtection="0"/>
    <xf numFmtId="0" fontId="110" fillId="35" borderId="204" applyNumberFormat="0" applyAlignment="0" applyProtection="0"/>
    <xf numFmtId="0" fontId="110" fillId="35" borderId="204" applyNumberFormat="0" applyAlignment="0" applyProtection="0"/>
    <xf numFmtId="0" fontId="124" fillId="0" borderId="0" applyNumberForma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103" fillId="0" borderId="0" applyNumberFormat="0" applyFill="0" applyBorder="0" applyAlignment="0" applyProtection="0"/>
    <xf numFmtId="0" fontId="8" fillId="0" borderId="0"/>
    <xf numFmtId="0" fontId="8" fillId="0" borderId="0"/>
    <xf numFmtId="0" fontId="8" fillId="0" borderId="0"/>
  </cellStyleXfs>
  <cellXfs count="1301">
    <xf numFmtId="0" fontId="0" fillId="0" borderId="0" xfId="0"/>
    <xf numFmtId="9" fontId="0" fillId="0" borderId="0" xfId="0" applyNumberFormat="1"/>
    <xf numFmtId="167" fontId="0" fillId="0" borderId="0" xfId="0" applyNumberFormat="1"/>
    <xf numFmtId="9" fontId="0" fillId="2" borderId="0" xfId="0" applyNumberFormat="1" applyFill="1"/>
    <xf numFmtId="0" fontId="0" fillId="0" borderId="0" xfId="0" applyAlignment="1">
      <alignment vertical="center"/>
    </xf>
    <xf numFmtId="1" fontId="0" fillId="0" borderId="0" xfId="0" applyNumberFormat="1"/>
    <xf numFmtId="10" fontId="0" fillId="0" borderId="0" xfId="0" applyNumberFormat="1"/>
    <xf numFmtId="0" fontId="11" fillId="0" borderId="0" xfId="0" applyFont="1" applyAlignment="1">
      <alignment vertical="center" wrapText="1"/>
    </xf>
    <xf numFmtId="0" fontId="12" fillId="0" borderId="3" xfId="0" applyFont="1" applyBorder="1" applyAlignment="1">
      <alignment vertical="center" wrapText="1"/>
    </xf>
    <xf numFmtId="0" fontId="18" fillId="2" borderId="20" xfId="0" applyFont="1" applyFill="1" applyBorder="1" applyAlignment="1">
      <alignment horizontal="center" vertical="center"/>
    </xf>
    <xf numFmtId="10" fontId="16" fillId="2" borderId="24" xfId="0" applyNumberFormat="1" applyFont="1" applyFill="1" applyBorder="1" applyAlignment="1">
      <alignment horizontal="center" vertical="center"/>
    </xf>
    <xf numFmtId="167" fontId="18" fillId="2" borderId="20" xfId="0" applyNumberFormat="1" applyFont="1" applyFill="1" applyBorder="1" applyAlignment="1">
      <alignment horizontal="center" vertical="center"/>
    </xf>
    <xf numFmtId="9" fontId="18" fillId="2" borderId="20" xfId="0" applyNumberFormat="1" applyFont="1" applyFill="1" applyBorder="1" applyAlignment="1">
      <alignment horizontal="center" vertical="center"/>
    </xf>
    <xf numFmtId="167" fontId="18" fillId="2" borderId="27" xfId="0" applyNumberFormat="1" applyFont="1" applyFill="1" applyBorder="1" applyAlignment="1">
      <alignment horizontal="center" vertical="center"/>
    </xf>
    <xf numFmtId="10" fontId="18" fillId="2" borderId="27" xfId="0" applyNumberFormat="1" applyFont="1" applyFill="1" applyBorder="1" applyAlignment="1">
      <alignment horizontal="center" vertical="center"/>
    </xf>
    <xf numFmtId="10" fontId="18" fillId="2" borderId="4" xfId="0" applyNumberFormat="1" applyFont="1" applyFill="1" applyBorder="1" applyAlignment="1">
      <alignment horizontal="center" vertical="center"/>
    </xf>
    <xf numFmtId="10" fontId="18" fillId="2" borderId="2" xfId="0" applyNumberFormat="1" applyFont="1" applyFill="1" applyBorder="1" applyAlignment="1">
      <alignment horizontal="center" vertical="center"/>
    </xf>
    <xf numFmtId="0" fontId="18" fillId="2" borderId="16" xfId="0" applyFont="1" applyFill="1" applyBorder="1" applyAlignment="1">
      <alignment horizontal="center" vertical="center"/>
    </xf>
    <xf numFmtId="167" fontId="16" fillId="2" borderId="20" xfId="0" applyNumberFormat="1" applyFont="1" applyFill="1" applyBorder="1" applyAlignment="1">
      <alignment horizontal="center" vertical="center"/>
    </xf>
    <xf numFmtId="10" fontId="16" fillId="2" borderId="20" xfId="3" applyNumberFormat="1" applyFont="1" applyFill="1" applyBorder="1" applyAlignment="1">
      <alignment horizontal="center" vertical="center"/>
    </xf>
    <xf numFmtId="10" fontId="18" fillId="2" borderId="24" xfId="0" applyNumberFormat="1" applyFont="1" applyFill="1" applyBorder="1" applyAlignment="1">
      <alignment horizontal="center" vertical="center"/>
    </xf>
    <xf numFmtId="167" fontId="18" fillId="2" borderId="4" xfId="0" applyNumberFormat="1" applyFont="1" applyFill="1" applyBorder="1" applyAlignment="1">
      <alignment horizontal="center" vertical="center"/>
    </xf>
    <xf numFmtId="10" fontId="18" fillId="2" borderId="29" xfId="0" applyNumberFormat="1" applyFont="1" applyFill="1" applyBorder="1" applyAlignment="1">
      <alignment horizontal="center" vertical="center"/>
    </xf>
    <xf numFmtId="167" fontId="16" fillId="2" borderId="2" xfId="0" applyNumberFormat="1" applyFont="1" applyFill="1" applyBorder="1" applyAlignment="1">
      <alignment horizontal="center" vertical="center"/>
    </xf>
    <xf numFmtId="167" fontId="18" fillId="2" borderId="31" xfId="0" applyNumberFormat="1"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vertical="center"/>
    </xf>
    <xf numFmtId="10" fontId="16" fillId="2" borderId="12" xfId="0" applyNumberFormat="1" applyFont="1" applyFill="1" applyBorder="1" applyAlignment="1">
      <alignment horizontal="center" vertical="center"/>
    </xf>
    <xf numFmtId="167" fontId="16" fillId="2" borderId="9" xfId="0" applyNumberFormat="1" applyFont="1" applyFill="1" applyBorder="1" applyAlignment="1">
      <alignment horizontal="center" vertical="center"/>
    </xf>
    <xf numFmtId="0" fontId="18" fillId="2" borderId="1" xfId="0" applyFont="1" applyFill="1" applyBorder="1" applyAlignment="1">
      <alignment horizontal="center" vertical="center"/>
    </xf>
    <xf numFmtId="167" fontId="16" fillId="2" borderId="26" xfId="0" applyNumberFormat="1" applyFont="1" applyFill="1" applyBorder="1" applyAlignment="1">
      <alignment horizontal="center" vertical="center"/>
    </xf>
    <xf numFmtId="0" fontId="18" fillId="2" borderId="8" xfId="0" applyFont="1" applyFill="1" applyBorder="1" applyAlignment="1">
      <alignment horizontal="center" vertical="center"/>
    </xf>
    <xf numFmtId="0" fontId="7" fillId="2" borderId="30" xfId="0" applyFont="1" applyFill="1" applyBorder="1" applyAlignment="1">
      <alignment horizontal="center" vertical="center"/>
    </xf>
    <xf numFmtId="0" fontId="6" fillId="2" borderId="30" xfId="0" applyFont="1" applyFill="1" applyBorder="1" applyAlignment="1">
      <alignment horizontal="center" vertical="center"/>
    </xf>
    <xf numFmtId="167" fontId="6" fillId="2" borderId="30" xfId="0" applyNumberFormat="1" applyFont="1" applyFill="1" applyBorder="1" applyAlignment="1">
      <alignment horizontal="center" vertical="center"/>
    </xf>
    <xf numFmtId="9" fontId="18" fillId="2" borderId="27" xfId="0" applyNumberFormat="1" applyFont="1" applyFill="1" applyBorder="1" applyAlignment="1">
      <alignment horizontal="center" vertical="center"/>
    </xf>
    <xf numFmtId="9" fontId="18" fillId="2" borderId="3" xfId="0" applyNumberFormat="1" applyFont="1" applyFill="1" applyBorder="1" applyAlignment="1">
      <alignment horizontal="center" vertical="center"/>
    </xf>
    <xf numFmtId="10" fontId="16" fillId="2" borderId="29" xfId="0" applyNumberFormat="1" applyFont="1" applyFill="1" applyBorder="1" applyAlignment="1">
      <alignment horizontal="center" vertical="center"/>
    </xf>
    <xf numFmtId="0" fontId="16" fillId="2" borderId="12" xfId="0" applyFont="1" applyFill="1" applyBorder="1" applyAlignment="1">
      <alignment horizontal="center" vertical="center"/>
    </xf>
    <xf numFmtId="167" fontId="18" fillId="2" borderId="2" xfId="0" applyNumberFormat="1" applyFont="1" applyFill="1" applyBorder="1" applyAlignment="1">
      <alignment horizontal="center" vertical="center"/>
    </xf>
    <xf numFmtId="0" fontId="18" fillId="2" borderId="3" xfId="0" applyFont="1" applyFill="1" applyBorder="1" applyAlignment="1">
      <alignment horizontal="center" vertical="center"/>
    </xf>
    <xf numFmtId="0" fontId="16" fillId="2" borderId="4" xfId="0" applyFont="1" applyFill="1" applyBorder="1" applyAlignment="1">
      <alignment horizontal="center" vertical="center"/>
    </xf>
    <xf numFmtId="10" fontId="16" fillId="2" borderId="3" xfId="0" applyNumberFormat="1" applyFont="1" applyFill="1" applyBorder="1" applyAlignment="1">
      <alignment horizontal="center" vertical="center"/>
    </xf>
    <xf numFmtId="0" fontId="19" fillId="6" borderId="0" xfId="7" applyFont="1" applyFill="1"/>
    <xf numFmtId="168" fontId="20" fillId="0" borderId="0" xfId="8" applyFont="1" applyFill="1"/>
    <xf numFmtId="0" fontId="19" fillId="6" borderId="0" xfId="7" applyFont="1" applyFill="1" applyAlignment="1">
      <alignment horizontal="center"/>
    </xf>
    <xf numFmtId="0" fontId="9" fillId="0" borderId="0" xfId="6" applyFont="1" applyAlignment="1">
      <alignment horizontal="center" vertical="center"/>
    </xf>
    <xf numFmtId="0" fontId="0" fillId="0" borderId="0" xfId="0" applyProtection="1">
      <protection locked="0" hidden="1"/>
    </xf>
    <xf numFmtId="0" fontId="0" fillId="0" borderId="0" xfId="0" applyAlignment="1" applyProtection="1">
      <alignment horizontal="center"/>
      <protection locked="0" hidden="1"/>
    </xf>
    <xf numFmtId="0" fontId="23" fillId="0" borderId="0" xfId="0" applyFont="1" applyProtection="1">
      <protection locked="0" hidden="1"/>
    </xf>
    <xf numFmtId="0" fontId="21" fillId="0" borderId="13" xfId="0" applyFont="1" applyBorder="1" applyAlignment="1" applyProtection="1">
      <alignment horizontal="left" vertical="center"/>
      <protection locked="0" hidden="1"/>
    </xf>
    <xf numFmtId="0" fontId="21" fillId="0" borderId="0" xfId="0" applyFont="1" applyAlignment="1" applyProtection="1">
      <alignment horizontal="left" vertical="center"/>
      <protection locked="0" hidden="1"/>
    </xf>
    <xf numFmtId="0" fontId="22" fillId="0" borderId="13" xfId="0" applyFont="1" applyBorder="1" applyAlignment="1" applyProtection="1">
      <alignment horizontal="center" vertical="center"/>
      <protection locked="0" hidden="1"/>
    </xf>
    <xf numFmtId="0" fontId="22" fillId="0" borderId="0" xfId="0" applyFont="1" applyAlignment="1" applyProtection="1">
      <alignment horizontal="center" vertical="center"/>
      <protection locked="0" hidden="1"/>
    </xf>
    <xf numFmtId="169" fontId="22" fillId="0" borderId="0" xfId="0" applyNumberFormat="1" applyFont="1" applyAlignment="1" applyProtection="1">
      <alignment horizontal="center" vertical="center"/>
      <protection locked="0" hidden="1"/>
    </xf>
    <xf numFmtId="0" fontId="24" fillId="0" borderId="0" xfId="0" applyFont="1" applyAlignment="1" applyProtection="1">
      <alignment horizontal="center" vertical="center" wrapText="1"/>
      <protection locked="0" hidden="1"/>
    </xf>
    <xf numFmtId="170" fontId="22" fillId="0" borderId="0" xfId="0" applyNumberFormat="1" applyFont="1" applyAlignment="1" applyProtection="1">
      <alignment horizontal="center" vertical="center"/>
      <protection locked="0" hidden="1"/>
    </xf>
    <xf numFmtId="0" fontId="23" fillId="0" borderId="13" xfId="0" applyFont="1" applyBorder="1" applyProtection="1">
      <protection locked="0" hidden="1"/>
    </xf>
    <xf numFmtId="0" fontId="23" fillId="0" borderId="14" xfId="0" applyFont="1" applyBorder="1" applyProtection="1">
      <protection locked="0" hidden="1"/>
    </xf>
    <xf numFmtId="0" fontId="8" fillId="0" borderId="0" xfId="6"/>
    <xf numFmtId="0" fontId="9" fillId="0" borderId="3" xfId="6" applyFont="1" applyBorder="1" applyAlignment="1">
      <alignment vertical="center" wrapText="1"/>
    </xf>
    <xf numFmtId="0" fontId="11" fillId="0" borderId="14" xfId="6" applyFont="1" applyBorder="1"/>
    <xf numFmtId="0" fontId="11" fillId="0" borderId="13" xfId="6" applyFont="1" applyBorder="1"/>
    <xf numFmtId="0" fontId="11" fillId="0" borderId="0" xfId="6" applyFont="1"/>
    <xf numFmtId="0" fontId="11" fillId="0" borderId="0" xfId="6" applyFont="1" applyAlignment="1">
      <alignment horizontal="center" vertical="center"/>
    </xf>
    <xf numFmtId="0" fontId="11" fillId="0" borderId="14" xfId="6" applyFont="1" applyBorder="1" applyAlignment="1">
      <alignment horizontal="center" vertical="center"/>
    </xf>
    <xf numFmtId="0" fontId="11" fillId="0" borderId="0" xfId="6" applyFont="1" applyAlignment="1">
      <alignment horizontal="left" vertical="center"/>
    </xf>
    <xf numFmtId="0" fontId="9" fillId="0" borderId="0" xfId="6" applyFont="1" applyAlignment="1">
      <alignment horizontal="left" vertical="center"/>
    </xf>
    <xf numFmtId="2" fontId="9" fillId="4" borderId="3" xfId="10" applyNumberFormat="1" applyFont="1" applyFill="1" applyBorder="1" applyAlignment="1">
      <alignment horizontal="center"/>
    </xf>
    <xf numFmtId="10" fontId="9" fillId="0" borderId="3" xfId="3" applyNumberFormat="1" applyFont="1" applyFill="1" applyBorder="1" applyAlignment="1">
      <alignment horizontal="center" vertical="center"/>
    </xf>
    <xf numFmtId="0" fontId="9" fillId="0" borderId="13" xfId="6" applyFont="1" applyBorder="1" applyAlignment="1">
      <alignment horizontal="left"/>
    </xf>
    <xf numFmtId="0" fontId="9" fillId="0" borderId="0" xfId="6" applyFont="1"/>
    <xf numFmtId="2" fontId="9" fillId="0" borderId="0" xfId="6" applyNumberFormat="1" applyFont="1"/>
    <xf numFmtId="43" fontId="9" fillId="0" borderId="0" xfId="10" applyFont="1" applyBorder="1"/>
    <xf numFmtId="0" fontId="9" fillId="0" borderId="0" xfId="6" applyFont="1" applyAlignment="1">
      <alignment horizontal="right"/>
    </xf>
    <xf numFmtId="2" fontId="9" fillId="4" borderId="0" xfId="6" applyNumberFormat="1" applyFont="1" applyFill="1"/>
    <xf numFmtId="0" fontId="6" fillId="2" borderId="0" xfId="0" applyFont="1" applyFill="1" applyAlignment="1">
      <alignment horizontal="center" vertical="center"/>
    </xf>
    <xf numFmtId="0" fontId="27" fillId="2" borderId="20"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4" xfId="0" applyFont="1" applyFill="1" applyBorder="1"/>
    <xf numFmtId="0" fontId="6" fillId="2" borderId="2" xfId="0" applyFont="1" applyFill="1" applyBorder="1"/>
    <xf numFmtId="167" fontId="16" fillId="2" borderId="12" xfId="0" applyNumberFormat="1" applyFont="1" applyFill="1" applyBorder="1" applyAlignment="1">
      <alignment horizontal="center" vertical="center"/>
    </xf>
    <xf numFmtId="167" fontId="18" fillId="2" borderId="1" xfId="0" applyNumberFormat="1" applyFont="1" applyFill="1" applyBorder="1" applyAlignment="1">
      <alignment horizontal="center" vertical="center"/>
    </xf>
    <xf numFmtId="9" fontId="18" fillId="2" borderId="20" xfId="3" applyFont="1" applyFill="1" applyBorder="1" applyAlignment="1">
      <alignment horizontal="center" vertical="center"/>
    </xf>
    <xf numFmtId="0" fontId="27" fillId="2" borderId="36" xfId="0" applyFont="1" applyFill="1" applyBorder="1" applyAlignment="1">
      <alignment horizontal="center" vertical="center"/>
    </xf>
    <xf numFmtId="9" fontId="18" fillId="2" borderId="36" xfId="0" applyNumberFormat="1" applyFont="1" applyFill="1" applyBorder="1" applyAlignment="1">
      <alignment horizontal="center" vertical="center"/>
    </xf>
    <xf numFmtId="0" fontId="18" fillId="2" borderId="35" xfId="0" applyFont="1" applyFill="1" applyBorder="1" applyAlignment="1">
      <alignment horizontal="center" vertical="center"/>
    </xf>
    <xf numFmtId="10" fontId="16" fillId="2" borderId="36" xfId="3" applyNumberFormat="1" applyFont="1" applyFill="1" applyBorder="1" applyAlignment="1">
      <alignment horizontal="center" vertical="center"/>
    </xf>
    <xf numFmtId="0" fontId="6" fillId="2" borderId="37" xfId="0" applyFont="1" applyFill="1" applyBorder="1" applyAlignment="1">
      <alignment horizontal="center" vertical="center"/>
    </xf>
    <xf numFmtId="0" fontId="6" fillId="2" borderId="38" xfId="0" applyFont="1" applyFill="1" applyBorder="1" applyAlignment="1">
      <alignment horizontal="center" vertical="center"/>
    </xf>
    <xf numFmtId="0" fontId="27" fillId="2" borderId="16" xfId="0" applyFont="1" applyFill="1" applyBorder="1" applyAlignment="1">
      <alignment horizontal="center" vertical="center"/>
    </xf>
    <xf numFmtId="167" fontId="18" fillId="2" borderId="20" xfId="0" applyNumberFormat="1" applyFont="1" applyFill="1" applyBorder="1" applyAlignment="1">
      <alignment horizontal="right" vertical="center"/>
    </xf>
    <xf numFmtId="0" fontId="18" fillId="2" borderId="20" xfId="0" applyFont="1" applyFill="1" applyBorder="1" applyAlignment="1">
      <alignment horizontal="right" vertical="center"/>
    </xf>
    <xf numFmtId="2" fontId="18" fillId="2" borderId="4" xfId="0" applyNumberFormat="1" applyFont="1" applyFill="1" applyBorder="1" applyAlignment="1">
      <alignment horizontal="right" vertical="center"/>
    </xf>
    <xf numFmtId="167" fontId="18" fillId="2" borderId="16" xfId="0" applyNumberFormat="1" applyFont="1" applyFill="1" applyBorder="1" applyAlignment="1">
      <alignment horizontal="right" vertical="center"/>
    </xf>
    <xf numFmtId="10" fontId="0" fillId="0" borderId="0" xfId="3" applyNumberFormat="1" applyFont="1"/>
    <xf numFmtId="0" fontId="11" fillId="0" borderId="8" xfId="0" applyFont="1" applyBorder="1" applyAlignment="1">
      <alignment vertical="center" wrapText="1"/>
    </xf>
    <xf numFmtId="0" fontId="11" fillId="0" borderId="10" xfId="0" applyFont="1" applyBorder="1" applyAlignment="1">
      <alignment vertical="center" wrapText="1"/>
    </xf>
    <xf numFmtId="0" fontId="11" fillId="0" borderId="13" xfId="0" applyFont="1" applyBorder="1" applyAlignment="1">
      <alignment vertical="center" wrapText="1"/>
    </xf>
    <xf numFmtId="0" fontId="23" fillId="0" borderId="0" xfId="0" applyFont="1" applyAlignment="1" applyProtection="1">
      <alignment horizontal="center" vertical="center"/>
      <protection locked="0" hidden="1"/>
    </xf>
    <xf numFmtId="0" fontId="23" fillId="0" borderId="3" xfId="0" applyFont="1" applyBorder="1" applyAlignment="1" applyProtection="1">
      <alignment horizontal="center" vertical="center"/>
      <protection locked="0" hidden="1"/>
    </xf>
    <xf numFmtId="169" fontId="23" fillId="0" borderId="3" xfId="0" applyNumberFormat="1" applyFont="1" applyBorder="1" applyAlignment="1" applyProtection="1">
      <alignment horizontal="center" vertical="center"/>
      <protection locked="0" hidden="1"/>
    </xf>
    <xf numFmtId="170" fontId="23" fillId="0" borderId="3" xfId="0" applyNumberFormat="1" applyFont="1" applyBorder="1" applyAlignment="1" applyProtection="1">
      <alignment horizontal="center" vertical="center"/>
      <protection locked="0" hidden="1"/>
    </xf>
    <xf numFmtId="0" fontId="22" fillId="0" borderId="0" xfId="0" applyFont="1" applyProtection="1">
      <protection locked="0" hidden="1"/>
    </xf>
    <xf numFmtId="0" fontId="23" fillId="0" borderId="0" xfId="0" applyFont="1" applyAlignment="1" applyProtection="1">
      <alignment vertical="center"/>
      <protection locked="0" hidden="1"/>
    </xf>
    <xf numFmtId="4" fontId="23" fillId="0" borderId="0" xfId="0" applyNumberFormat="1" applyFont="1" applyAlignment="1" applyProtection="1">
      <alignment horizontal="center" vertical="center"/>
      <protection locked="0" hidden="1"/>
    </xf>
    <xf numFmtId="164" fontId="23" fillId="0" borderId="0" xfId="0" applyNumberFormat="1" applyFont="1" applyAlignment="1" applyProtection="1">
      <alignment horizontal="center" vertical="center"/>
      <protection locked="0" hidden="1"/>
    </xf>
    <xf numFmtId="2" fontId="23" fillId="0" borderId="0" xfId="0" applyNumberFormat="1" applyFont="1" applyAlignment="1" applyProtection="1">
      <alignment horizontal="center" vertical="center"/>
      <protection locked="0" hidden="1"/>
    </xf>
    <xf numFmtId="1" fontId="23" fillId="0" borderId="0" xfId="0" applyNumberFormat="1" applyFont="1" applyAlignment="1" applyProtection="1">
      <alignment horizontal="center" vertical="center"/>
      <protection locked="0" hidden="1"/>
    </xf>
    <xf numFmtId="172" fontId="23" fillId="0" borderId="0" xfId="0" applyNumberFormat="1" applyFont="1" applyAlignment="1" applyProtection="1">
      <alignment horizontal="center" vertical="center"/>
      <protection locked="0" hidden="1"/>
    </xf>
    <xf numFmtId="0" fontId="23" fillId="0" borderId="13" xfId="0" applyFont="1" applyBorder="1" applyAlignment="1" applyProtection="1">
      <alignment horizontal="center" vertical="center"/>
      <protection locked="0" hidden="1"/>
    </xf>
    <xf numFmtId="173" fontId="8" fillId="0" borderId="3" xfId="11" applyNumberFormat="1" applyBorder="1" applyAlignment="1" applyProtection="1">
      <alignment horizontal="center"/>
      <protection locked="0" hidden="1"/>
    </xf>
    <xf numFmtId="170" fontId="8" fillId="0" borderId="3" xfId="11" applyNumberFormat="1" applyBorder="1" applyAlignment="1" applyProtection="1">
      <alignment horizontal="center"/>
      <protection locked="0" hidden="1"/>
    </xf>
    <xf numFmtId="0" fontId="11" fillId="0" borderId="15" xfId="0" applyFont="1" applyBorder="1" applyAlignment="1">
      <alignment vertical="center" wrapText="1"/>
    </xf>
    <xf numFmtId="0" fontId="18" fillId="2" borderId="12" xfId="0" applyFont="1" applyFill="1" applyBorder="1" applyAlignment="1">
      <alignment horizontal="center" vertical="center"/>
    </xf>
    <xf numFmtId="0" fontId="18" fillId="2" borderId="4" xfId="0" applyFont="1" applyFill="1" applyBorder="1" applyAlignment="1">
      <alignment horizontal="center" vertical="center"/>
    </xf>
    <xf numFmtId="0" fontId="11" fillId="0" borderId="12" xfId="0" applyFont="1" applyBorder="1" applyAlignment="1">
      <alignment vertical="center" wrapText="1"/>
    </xf>
    <xf numFmtId="0" fontId="11" fillId="0" borderId="8" xfId="0" applyFont="1" applyBorder="1" applyAlignment="1">
      <alignment vertical="center"/>
    </xf>
    <xf numFmtId="0" fontId="11" fillId="0" borderId="12" xfId="0" applyFont="1" applyBorder="1" applyAlignment="1">
      <alignment vertical="center"/>
    </xf>
    <xf numFmtId="0" fontId="11" fillId="0" borderId="9" xfId="0" applyFont="1" applyBorder="1" applyAlignment="1">
      <alignment vertical="center"/>
    </xf>
    <xf numFmtId="0" fontId="11" fillId="0" borderId="10" xfId="0" applyFont="1" applyBorder="1" applyAlignment="1">
      <alignment vertical="center"/>
    </xf>
    <xf numFmtId="0" fontId="11" fillId="0" borderId="15" xfId="0" applyFont="1" applyBorder="1" applyAlignment="1">
      <alignment vertical="center"/>
    </xf>
    <xf numFmtId="0" fontId="11" fillId="0" borderId="11" xfId="0" applyFont="1" applyBorder="1" applyAlignment="1">
      <alignment vertical="center"/>
    </xf>
    <xf numFmtId="0" fontId="11" fillId="0" borderId="1" xfId="0" applyFont="1" applyBorder="1" applyAlignment="1">
      <alignment vertical="center"/>
    </xf>
    <xf numFmtId="0" fontId="11" fillId="0" borderId="4" xfId="0" applyFont="1" applyBorder="1" applyAlignment="1">
      <alignment vertical="center"/>
    </xf>
    <xf numFmtId="0" fontId="11" fillId="0" borderId="2" xfId="0" applyFont="1" applyBorder="1" applyAlignment="1">
      <alignment vertical="center"/>
    </xf>
    <xf numFmtId="0" fontId="13" fillId="0" borderId="1" xfId="0" applyFont="1" applyBorder="1" applyAlignment="1">
      <alignment vertical="center"/>
    </xf>
    <xf numFmtId="0" fontId="13" fillId="0" borderId="4" xfId="0" applyFont="1" applyBorder="1" applyAlignment="1">
      <alignment vertical="center"/>
    </xf>
    <xf numFmtId="0" fontId="13" fillId="0" borderId="2" xfId="0" applyFont="1" applyBorder="1" applyAlignment="1">
      <alignment vertical="center"/>
    </xf>
    <xf numFmtId="0" fontId="11" fillId="0" borderId="11" xfId="6" applyFont="1" applyBorder="1" applyAlignment="1">
      <alignment horizontal="center" vertical="center"/>
    </xf>
    <xf numFmtId="10" fontId="16" fillId="2" borderId="44" xfId="3" applyNumberFormat="1" applyFont="1" applyFill="1" applyBorder="1" applyAlignment="1">
      <alignment horizontal="center" vertical="center"/>
    </xf>
    <xf numFmtId="10" fontId="16" fillId="2" borderId="45" xfId="3" applyNumberFormat="1" applyFont="1" applyFill="1" applyBorder="1" applyAlignment="1">
      <alignment horizontal="center" vertical="center"/>
    </xf>
    <xf numFmtId="0" fontId="16" fillId="2" borderId="24" xfId="0" applyFont="1" applyFill="1" applyBorder="1" applyAlignment="1">
      <alignment horizontal="center" vertical="center"/>
    </xf>
    <xf numFmtId="0" fontId="0" fillId="2" borderId="0" xfId="0" applyFill="1" applyProtection="1">
      <protection locked="0" hidden="1"/>
    </xf>
    <xf numFmtId="0" fontId="28" fillId="0" borderId="0" xfId="0" applyFont="1" applyAlignment="1">
      <alignment horizontal="center" vertical="center"/>
    </xf>
    <xf numFmtId="49" fontId="29" fillId="0" borderId="3" xfId="0" applyNumberFormat="1"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center" vertical="center"/>
    </xf>
    <xf numFmtId="0" fontId="30" fillId="0" borderId="3" xfId="0" applyFont="1" applyBorder="1" applyAlignment="1">
      <alignment horizontal="center" vertical="center"/>
    </xf>
    <xf numFmtId="169" fontId="29" fillId="0" borderId="3" xfId="0" applyNumberFormat="1" applyFont="1" applyBorder="1" applyAlignment="1">
      <alignment horizontal="center" vertical="center"/>
    </xf>
    <xf numFmtId="170" fontId="28" fillId="0" borderId="3" xfId="0" applyNumberFormat="1" applyFont="1" applyBorder="1" applyAlignment="1">
      <alignment horizontal="center" vertical="center"/>
    </xf>
    <xf numFmtId="2" fontId="29" fillId="0" borderId="3" xfId="0" applyNumberFormat="1" applyFont="1" applyBorder="1" applyAlignment="1">
      <alignment horizontal="center" vertical="center"/>
    </xf>
    <xf numFmtId="171" fontId="28" fillId="0" borderId="3" xfId="0" applyNumberFormat="1" applyFont="1" applyBorder="1" applyAlignment="1">
      <alignment horizontal="center" vertical="center"/>
    </xf>
    <xf numFmtId="49" fontId="28" fillId="0" borderId="3" xfId="0" applyNumberFormat="1" applyFont="1" applyBorder="1" applyAlignment="1">
      <alignment horizontal="center" vertical="center"/>
    </xf>
    <xf numFmtId="169" fontId="28" fillId="0" borderId="3" xfId="0" applyNumberFormat="1" applyFont="1" applyBorder="1" applyAlignment="1">
      <alignment horizontal="center" vertical="center"/>
    </xf>
    <xf numFmtId="1" fontId="28" fillId="0" borderId="3" xfId="0" applyNumberFormat="1" applyFont="1" applyBorder="1" applyAlignment="1">
      <alignment horizontal="center" vertical="center"/>
    </xf>
    <xf numFmtId="0" fontId="32" fillId="10" borderId="3" xfId="0" applyFont="1" applyFill="1" applyBorder="1" applyAlignment="1">
      <alignment horizontal="center" vertical="top" wrapText="1"/>
    </xf>
    <xf numFmtId="0" fontId="32" fillId="10" borderId="3" xfId="0" applyFont="1" applyFill="1" applyBorder="1" applyAlignment="1">
      <alignment horizontal="left" vertical="top" wrapText="1" indent="3"/>
    </xf>
    <xf numFmtId="1" fontId="33" fillId="0" borderId="3" xfId="0" applyNumberFormat="1" applyFont="1" applyBorder="1" applyAlignment="1">
      <alignment horizontal="center" vertical="top" shrinkToFit="1"/>
    </xf>
    <xf numFmtId="170" fontId="33" fillId="0" borderId="3" xfId="0" applyNumberFormat="1" applyFont="1" applyBorder="1" applyAlignment="1">
      <alignment horizontal="center" vertical="top" shrinkToFit="1"/>
    </xf>
    <xf numFmtId="1" fontId="33" fillId="0" borderId="3" xfId="0" applyNumberFormat="1" applyFont="1" applyBorder="1" applyAlignment="1">
      <alignment horizontal="left" vertical="top" indent="2" shrinkToFi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7" xfId="0" applyFont="1" applyBorder="1" applyAlignment="1">
      <alignment vertical="center" wrapText="1"/>
    </xf>
    <xf numFmtId="0" fontId="28" fillId="0" borderId="12" xfId="0" applyFont="1" applyBorder="1" applyAlignment="1">
      <alignment horizontal="center" vertical="center"/>
    </xf>
    <xf numFmtId="0" fontId="34" fillId="0" borderId="3" xfId="0" applyFont="1" applyBorder="1" applyAlignment="1">
      <alignment vertical="top" wrapText="1"/>
    </xf>
    <xf numFmtId="0" fontId="32" fillId="10" borderId="3" xfId="0" applyFont="1" applyFill="1" applyBorder="1" applyAlignment="1">
      <alignment vertical="top" wrapText="1"/>
    </xf>
    <xf numFmtId="0" fontId="35" fillId="0" borderId="3" xfId="0" applyFont="1" applyBorder="1" applyAlignment="1">
      <alignment vertical="top" wrapText="1"/>
    </xf>
    <xf numFmtId="0" fontId="11" fillId="0" borderId="3" xfId="0" applyFont="1" applyBorder="1" applyAlignment="1">
      <alignment horizontal="right" vertical="center" wrapText="1"/>
    </xf>
    <xf numFmtId="0" fontId="39" fillId="4" borderId="3" xfId="0" applyFont="1" applyFill="1" applyBorder="1" applyAlignment="1">
      <alignment horizontal="center" vertical="center"/>
    </xf>
    <xf numFmtId="0" fontId="0" fillId="9" borderId="3" xfId="0" applyFill="1" applyBorder="1" applyAlignment="1">
      <alignment horizontal="center" vertical="center"/>
    </xf>
    <xf numFmtId="0" fontId="2" fillId="0" borderId="3" xfId="0" applyFont="1" applyBorder="1" applyAlignment="1">
      <alignment horizontal="center" vertical="center"/>
    </xf>
    <xf numFmtId="49" fontId="42" fillId="0" borderId="3" xfId="0" applyNumberFormat="1" applyFont="1" applyBorder="1" applyAlignment="1">
      <alignment horizontal="center" vertical="center"/>
    </xf>
    <xf numFmtId="49" fontId="42" fillId="0" borderId="3" xfId="0" applyNumberFormat="1" applyFont="1" applyBorder="1" applyAlignment="1">
      <alignment horizontal="center" vertical="center" wrapText="1"/>
    </xf>
    <xf numFmtId="0" fontId="0" fillId="9" borderId="3" xfId="0" applyFill="1" applyBorder="1"/>
    <xf numFmtId="0" fontId="0" fillId="7" borderId="3" xfId="0" applyFill="1" applyBorder="1"/>
    <xf numFmtId="0" fontId="0" fillId="9" borderId="3" xfId="0" applyFill="1" applyBorder="1" applyAlignment="1">
      <alignment vertical="center"/>
    </xf>
    <xf numFmtId="0" fontId="0" fillId="7" borderId="3" xfId="0" applyFill="1" applyBorder="1" applyAlignment="1">
      <alignment horizontal="center" vertical="center"/>
    </xf>
    <xf numFmtId="2" fontId="42" fillId="0" borderId="3" xfId="0" applyNumberFormat="1" applyFont="1" applyBorder="1" applyAlignment="1">
      <alignment horizontal="center" vertical="center" wrapText="1"/>
    </xf>
    <xf numFmtId="2" fontId="0" fillId="9" borderId="3" xfId="0" applyNumberFormat="1" applyFill="1" applyBorder="1"/>
    <xf numFmtId="2" fontId="0" fillId="0" borderId="0" xfId="0" applyNumberFormat="1"/>
    <xf numFmtId="0" fontId="19" fillId="0" borderId="0" xfId="6" applyFont="1"/>
    <xf numFmtId="0" fontId="54" fillId="0" borderId="0" xfId="0" applyFont="1" applyAlignment="1">
      <alignment horizontal="left" vertical="center"/>
    </xf>
    <xf numFmtId="0" fontId="54" fillId="0" borderId="0" xfId="0" applyFont="1"/>
    <xf numFmtId="0" fontId="55" fillId="0" borderId="48" xfId="0" applyFont="1" applyBorder="1" applyAlignment="1">
      <alignment horizontal="left" vertical="center"/>
    </xf>
    <xf numFmtId="0" fontId="55" fillId="0" borderId="50" xfId="0" applyFont="1" applyBorder="1" applyAlignment="1">
      <alignment horizontal="left" vertical="center"/>
    </xf>
    <xf numFmtId="0" fontId="55" fillId="0" borderId="52" xfId="0" applyFont="1" applyBorder="1" applyAlignment="1">
      <alignment horizontal="left" vertical="center"/>
    </xf>
    <xf numFmtId="0" fontId="54" fillId="0" borderId="62" xfId="0" applyFont="1" applyBorder="1" applyAlignment="1">
      <alignment horizontal="left" vertical="center" wrapText="1"/>
    </xf>
    <xf numFmtId="0" fontId="54" fillId="0" borderId="63" xfId="0" applyFont="1" applyBorder="1"/>
    <xf numFmtId="0" fontId="54" fillId="0" borderId="64" xfId="0" applyFont="1" applyBorder="1"/>
    <xf numFmtId="0" fontId="54" fillId="0" borderId="62" xfId="0" applyFont="1" applyBorder="1"/>
    <xf numFmtId="10" fontId="54" fillId="0" borderId="63" xfId="3" applyNumberFormat="1" applyFont="1" applyBorder="1" applyAlignment="1">
      <alignment horizontal="left"/>
    </xf>
    <xf numFmtId="0" fontId="60" fillId="0" borderId="0" xfId="0" applyFont="1"/>
    <xf numFmtId="0" fontId="61" fillId="0" borderId="0" xfId="0" applyFont="1"/>
    <xf numFmtId="0" fontId="60" fillId="0" borderId="0" xfId="0" applyFont="1" applyAlignment="1">
      <alignment horizontal="center" vertical="center"/>
    </xf>
    <xf numFmtId="0" fontId="55" fillId="0" borderId="0" xfId="0" applyFont="1"/>
    <xf numFmtId="0" fontId="55" fillId="0" borderId="0" xfId="0" applyFont="1" applyAlignment="1">
      <alignment horizontal="center" vertical="center"/>
    </xf>
    <xf numFmtId="0" fontId="53" fillId="3" borderId="66" xfId="0" applyFont="1" applyFill="1" applyBorder="1" applyAlignment="1">
      <alignment vertical="center"/>
    </xf>
    <xf numFmtId="0" fontId="53" fillId="3" borderId="61" xfId="0" applyFont="1" applyFill="1" applyBorder="1" applyAlignment="1">
      <alignment horizontal="center" vertical="center"/>
    </xf>
    <xf numFmtId="0" fontId="48" fillId="3" borderId="61" xfId="0" applyFont="1" applyFill="1" applyBorder="1" applyAlignment="1">
      <alignment vertical="center" wrapText="1"/>
    </xf>
    <xf numFmtId="0" fontId="48" fillId="3" borderId="61" xfId="0" applyFont="1" applyFill="1" applyBorder="1" applyAlignment="1">
      <alignment horizontal="center" vertical="center"/>
    </xf>
    <xf numFmtId="0" fontId="52" fillId="3" borderId="67" xfId="0" applyFont="1" applyFill="1" applyBorder="1" applyAlignment="1">
      <alignment horizontal="center" wrapText="1"/>
    </xf>
    <xf numFmtId="0" fontId="45" fillId="0" borderId="0" xfId="0" applyFont="1"/>
    <xf numFmtId="0" fontId="20" fillId="0" borderId="71" xfId="0" applyFont="1" applyBorder="1" applyAlignment="1">
      <alignment vertical="center" wrapText="1"/>
    </xf>
    <xf numFmtId="0" fontId="20" fillId="0" borderId="72" xfId="0" applyFont="1" applyBorder="1" applyAlignment="1">
      <alignment vertical="center" wrapText="1"/>
    </xf>
    <xf numFmtId="0" fontId="20" fillId="0" borderId="72" xfId="0" applyFont="1" applyBorder="1" applyAlignment="1">
      <alignment horizontal="left" vertical="center" wrapText="1"/>
    </xf>
    <xf numFmtId="0" fontId="66" fillId="0" borderId="0" xfId="17" applyFont="1"/>
    <xf numFmtId="0" fontId="20" fillId="2" borderId="79" xfId="0" applyFont="1" applyFill="1" applyBorder="1" applyAlignment="1">
      <alignment vertical="center" wrapText="1"/>
    </xf>
    <xf numFmtId="49" fontId="53" fillId="2" borderId="80" xfId="0" applyNumberFormat="1" applyFont="1" applyFill="1" applyBorder="1" applyAlignment="1">
      <alignment vertical="center"/>
    </xf>
    <xf numFmtId="0" fontId="20" fillId="2" borderId="79" xfId="0" applyFont="1" applyFill="1" applyBorder="1" applyAlignment="1">
      <alignment vertical="center"/>
    </xf>
    <xf numFmtId="0" fontId="53" fillId="2" borderId="80" xfId="0" applyFont="1" applyFill="1" applyBorder="1" applyAlignment="1">
      <alignment vertical="center"/>
    </xf>
    <xf numFmtId="0" fontId="20" fillId="2" borderId="80" xfId="0" applyFont="1" applyFill="1" applyBorder="1" applyAlignment="1">
      <alignment vertical="center"/>
    </xf>
    <xf numFmtId="0" fontId="20" fillId="0" borderId="65" xfId="17" applyFont="1" applyBorder="1" applyAlignment="1">
      <alignment horizontal="center"/>
    </xf>
    <xf numFmtId="44" fontId="20" fillId="0" borderId="65" xfId="18" applyFont="1" applyFill="1" applyBorder="1" applyAlignment="1">
      <alignment horizontal="center"/>
    </xf>
    <xf numFmtId="0" fontId="20" fillId="0" borderId="85" xfId="0" applyFont="1" applyBorder="1" applyAlignment="1">
      <alignment vertical="center"/>
    </xf>
    <xf numFmtId="0" fontId="20" fillId="0" borderId="85" xfId="0" applyFont="1" applyBorder="1" applyAlignment="1">
      <alignment vertical="center" wrapText="1"/>
    </xf>
    <xf numFmtId="0" fontId="20" fillId="0" borderId="0" xfId="0" applyFont="1" applyAlignment="1">
      <alignment vertical="center" wrapText="1"/>
    </xf>
    <xf numFmtId="0" fontId="20" fillId="0" borderId="0" xfId="0" applyFont="1" applyAlignment="1">
      <alignment horizontal="left" vertical="center" wrapText="1"/>
    </xf>
    <xf numFmtId="0" fontId="19" fillId="0" borderId="0" xfId="0" applyFont="1" applyAlignment="1">
      <alignment vertical="center" wrapText="1"/>
    </xf>
    <xf numFmtId="0" fontId="19" fillId="0" borderId="0" xfId="0" applyFont="1" applyAlignment="1">
      <alignment vertical="center"/>
    </xf>
    <xf numFmtId="0" fontId="20" fillId="0" borderId="86" xfId="0" applyFont="1" applyBorder="1" applyAlignment="1">
      <alignment vertical="center" wrapText="1"/>
    </xf>
    <xf numFmtId="0" fontId="20" fillId="0" borderId="80" xfId="0" applyFont="1" applyBorder="1" applyAlignment="1">
      <alignment vertical="center"/>
    </xf>
    <xf numFmtId="0" fontId="20" fillId="0" borderId="71" xfId="0" applyFont="1" applyBorder="1" applyAlignment="1">
      <alignment horizontal="right" vertical="center" wrapText="1"/>
    </xf>
    <xf numFmtId="0" fontId="62" fillId="0" borderId="72" xfId="0" applyFont="1" applyBorder="1"/>
    <xf numFmtId="0" fontId="61" fillId="0" borderId="72" xfId="0" applyFont="1" applyBorder="1"/>
    <xf numFmtId="0" fontId="61" fillId="0" borderId="70" xfId="0" applyFont="1" applyBorder="1" applyAlignment="1">
      <alignment horizontal="center" vertical="center"/>
    </xf>
    <xf numFmtId="0" fontId="19" fillId="0" borderId="0" xfId="0" applyFont="1" applyAlignment="1">
      <alignment horizontal="left" vertical="center" wrapText="1"/>
    </xf>
    <xf numFmtId="2" fontId="20" fillId="0" borderId="0" xfId="0" applyNumberFormat="1" applyFont="1" applyAlignment="1">
      <alignment horizontal="center" vertical="center"/>
    </xf>
    <xf numFmtId="0" fontId="59" fillId="0" borderId="88" xfId="0" applyFont="1" applyBorder="1" applyAlignment="1">
      <alignment horizontal="center" vertical="center"/>
    </xf>
    <xf numFmtId="2" fontId="60" fillId="0" borderId="88" xfId="0" applyNumberFormat="1" applyFont="1" applyBorder="1" applyAlignment="1">
      <alignment horizontal="center" vertical="center"/>
    </xf>
    <xf numFmtId="0" fontId="52" fillId="0" borderId="88" xfId="0" applyFont="1" applyBorder="1" applyAlignment="1">
      <alignment horizontal="center" vertical="center"/>
    </xf>
    <xf numFmtId="2" fontId="20" fillId="0" borderId="88" xfId="0" applyNumberFormat="1" applyFont="1" applyBorder="1" applyAlignment="1">
      <alignment horizontal="center" vertical="center"/>
    </xf>
    <xf numFmtId="0" fontId="47" fillId="0" borderId="59" xfId="0" applyFont="1" applyBorder="1" applyAlignment="1">
      <alignment vertical="center"/>
    </xf>
    <xf numFmtId="0" fontId="45" fillId="0" borderId="0" xfId="0" applyFont="1" applyAlignment="1">
      <alignment horizontal="center" vertical="center"/>
    </xf>
    <xf numFmtId="0" fontId="45" fillId="2" borderId="0" xfId="0" applyFont="1" applyFill="1"/>
    <xf numFmtId="2" fontId="20" fillId="0" borderId="0" xfId="0" applyNumberFormat="1" applyFont="1" applyAlignment="1">
      <alignment horizontal="center" vertical="center" wrapText="1"/>
    </xf>
    <xf numFmtId="0" fontId="53" fillId="0" borderId="72" xfId="0" applyFont="1" applyBorder="1" applyAlignment="1">
      <alignment vertical="center" wrapText="1"/>
    </xf>
    <xf numFmtId="0" fontId="49" fillId="0" borderId="72" xfId="0" applyFont="1" applyBorder="1" applyAlignment="1">
      <alignment vertical="center"/>
    </xf>
    <xf numFmtId="0" fontId="52" fillId="0" borderId="0" xfId="0" applyFont="1" applyAlignment="1">
      <alignment horizontal="right" vertical="center"/>
    </xf>
    <xf numFmtId="0" fontId="49" fillId="0" borderId="85" xfId="0" applyFont="1" applyBorder="1" applyAlignment="1">
      <alignment vertical="center"/>
    </xf>
    <xf numFmtId="0" fontId="53" fillId="0" borderId="85" xfId="0" applyFont="1" applyBorder="1" applyAlignment="1">
      <alignment vertical="center" wrapText="1"/>
    </xf>
    <xf numFmtId="2" fontId="60" fillId="0" borderId="94" xfId="0" applyNumberFormat="1" applyFont="1" applyBorder="1" applyAlignment="1">
      <alignment horizontal="center" vertical="center"/>
    </xf>
    <xf numFmtId="2" fontId="20" fillId="0" borderId="94" xfId="0" applyNumberFormat="1" applyFont="1" applyBorder="1" applyAlignment="1">
      <alignment horizontal="center" vertical="center"/>
    </xf>
    <xf numFmtId="0" fontId="53" fillId="0" borderId="93" xfId="0" applyFont="1" applyBorder="1" applyAlignment="1">
      <alignment horizontal="center" vertical="center" wrapText="1"/>
    </xf>
    <xf numFmtId="0" fontId="20" fillId="0" borderId="95" xfId="0" applyFont="1" applyBorder="1" applyAlignment="1">
      <alignment horizontal="center" vertical="center" wrapText="1"/>
    </xf>
    <xf numFmtId="0" fontId="49" fillId="0" borderId="94" xfId="0" applyFont="1" applyBorder="1" applyAlignment="1">
      <alignment horizontal="center" vertical="center" wrapText="1"/>
    </xf>
    <xf numFmtId="2" fontId="20" fillId="0" borderId="95" xfId="0" applyNumberFormat="1" applyFont="1" applyBorder="1" applyAlignment="1">
      <alignment horizontal="center" vertical="center" wrapText="1"/>
    </xf>
    <xf numFmtId="0" fontId="48" fillId="0" borderId="0" xfId="6" applyFont="1" applyAlignment="1">
      <alignment horizontal="center" vertical="center"/>
    </xf>
    <xf numFmtId="0" fontId="19" fillId="0" borderId="0" xfId="6" applyFont="1" applyAlignment="1">
      <alignment horizontal="center" vertical="center"/>
    </xf>
    <xf numFmtId="0" fontId="48" fillId="0" borderId="0" xfId="6" applyFont="1" applyAlignment="1">
      <alignment vertical="center"/>
    </xf>
    <xf numFmtId="0" fontId="19" fillId="0" borderId="0" xfId="6" applyFont="1" applyAlignment="1">
      <alignment vertical="center"/>
    </xf>
    <xf numFmtId="2" fontId="19" fillId="0" borderId="0" xfId="6" applyNumberFormat="1" applyFont="1" applyAlignment="1">
      <alignment vertical="center"/>
    </xf>
    <xf numFmtId="0" fontId="48" fillId="0" borderId="15" xfId="0" applyFont="1" applyBorder="1" applyAlignment="1">
      <alignment vertical="center"/>
    </xf>
    <xf numFmtId="0" fontId="19" fillId="0" borderId="72" xfId="0" applyFont="1" applyBorder="1" applyAlignment="1">
      <alignment vertical="center" wrapText="1"/>
    </xf>
    <xf numFmtId="0" fontId="19" fillId="0" borderId="70" xfId="0" applyFont="1" applyBorder="1" applyAlignment="1">
      <alignment vertical="center" wrapText="1"/>
    </xf>
    <xf numFmtId="0" fontId="19" fillId="2" borderId="72" xfId="0" applyFont="1" applyFill="1" applyBorder="1" applyAlignment="1">
      <alignment vertical="center" wrapText="1"/>
    </xf>
    <xf numFmtId="0" fontId="19" fillId="2" borderId="70" xfId="0" applyFont="1" applyFill="1" applyBorder="1" applyAlignment="1">
      <alignment vertical="center" wrapText="1"/>
    </xf>
    <xf numFmtId="0" fontId="20" fillId="0" borderId="81" xfId="0" applyFont="1" applyBorder="1" applyAlignment="1">
      <alignment vertical="top"/>
    </xf>
    <xf numFmtId="0" fontId="19" fillId="0" borderId="76" xfId="0" applyFont="1" applyBorder="1" applyAlignment="1">
      <alignment vertical="center" wrapText="1"/>
    </xf>
    <xf numFmtId="0" fontId="49" fillId="0" borderId="0" xfId="0" applyFont="1" applyAlignment="1">
      <alignment horizontal="left" vertical="center" wrapText="1"/>
    </xf>
    <xf numFmtId="0" fontId="49" fillId="6" borderId="0" xfId="7" applyFont="1" applyFill="1"/>
    <xf numFmtId="0" fontId="49" fillId="0" borderId="0" xfId="6" applyFont="1" applyAlignment="1">
      <alignment vertical="center"/>
    </xf>
    <xf numFmtId="0" fontId="20" fillId="0" borderId="96" xfId="0" applyFont="1" applyBorder="1" applyAlignment="1">
      <alignment vertical="center"/>
    </xf>
    <xf numFmtId="0" fontId="45" fillId="0" borderId="96" xfId="0" applyFont="1" applyBorder="1"/>
    <xf numFmtId="0" fontId="20" fillId="0" borderId="95" xfId="0" applyFont="1" applyBorder="1" applyAlignment="1">
      <alignment vertical="center" wrapText="1"/>
    </xf>
    <xf numFmtId="0" fontId="20" fillId="0" borderId="95" xfId="0" applyFont="1" applyBorder="1" applyAlignment="1">
      <alignment vertical="center"/>
    </xf>
    <xf numFmtId="2" fontId="20" fillId="0" borderId="97" xfId="0" applyNumberFormat="1" applyFont="1" applyBorder="1" applyAlignment="1">
      <alignment horizontal="center" vertical="center" wrapText="1"/>
    </xf>
    <xf numFmtId="2" fontId="20" fillId="0" borderId="98" xfId="0" applyNumberFormat="1" applyFont="1" applyBorder="1" applyAlignment="1">
      <alignment horizontal="center" vertical="center" wrapText="1"/>
    </xf>
    <xf numFmtId="2" fontId="20" fillId="0" borderId="99" xfId="0" applyNumberFormat="1" applyFont="1" applyBorder="1" applyAlignment="1">
      <alignment horizontal="center" vertical="center" wrapText="1"/>
    </xf>
    <xf numFmtId="0" fontId="20" fillId="0" borderId="71" xfId="0" applyFont="1" applyBorder="1" applyAlignment="1">
      <alignment horizontal="left" vertical="center" wrapText="1"/>
    </xf>
    <xf numFmtId="0" fontId="20" fillId="0" borderId="100" xfId="0" applyFont="1" applyBorder="1" applyAlignment="1">
      <alignment vertical="center" wrapText="1"/>
    </xf>
    <xf numFmtId="0" fontId="20" fillId="0" borderId="96" xfId="0" applyFont="1" applyBorder="1" applyAlignment="1">
      <alignment vertical="center" wrapText="1"/>
    </xf>
    <xf numFmtId="0" fontId="82" fillId="2" borderId="0" xfId="0" applyFont="1" applyFill="1"/>
    <xf numFmtId="0" fontId="47" fillId="0" borderId="59" xfId="0" applyFont="1" applyBorder="1" applyAlignment="1">
      <alignment horizontal="left" vertical="center"/>
    </xf>
    <xf numFmtId="168" fontId="47" fillId="0" borderId="0" xfId="8" applyFont="1" applyFill="1" applyBorder="1"/>
    <xf numFmtId="168" fontId="47" fillId="0" borderId="0" xfId="8" applyFont="1" applyFill="1" applyBorder="1" applyAlignment="1">
      <alignment horizontal="center"/>
    </xf>
    <xf numFmtId="0" fontId="53" fillId="0" borderId="72" xfId="0" applyFont="1" applyBorder="1" applyAlignment="1">
      <alignment vertical="top" wrapText="1"/>
    </xf>
    <xf numFmtId="0" fontId="53" fillId="0" borderId="70" xfId="0" applyFont="1" applyBorder="1" applyAlignment="1">
      <alignment vertical="top" wrapText="1"/>
    </xf>
    <xf numFmtId="0" fontId="53" fillId="0" borderId="70" xfId="0" applyFont="1" applyBorder="1" applyAlignment="1">
      <alignment vertical="center" wrapText="1"/>
    </xf>
    <xf numFmtId="0" fontId="20" fillId="0" borderId="73" xfId="0" applyFont="1" applyBorder="1" applyAlignment="1">
      <alignment horizontal="center" vertical="top" wrapText="1"/>
    </xf>
    <xf numFmtId="0" fontId="19" fillId="0" borderId="81" xfId="0" applyFont="1" applyBorder="1" applyAlignment="1">
      <alignment vertical="center"/>
    </xf>
    <xf numFmtId="0" fontId="20" fillId="0" borderId="76" xfId="0" applyFont="1" applyBorder="1" applyAlignment="1">
      <alignment vertical="center" wrapText="1"/>
    </xf>
    <xf numFmtId="0" fontId="19" fillId="0" borderId="81" xfId="0" applyFont="1" applyBorder="1" applyAlignment="1">
      <alignment horizontal="center" vertical="center"/>
    </xf>
    <xf numFmtId="0" fontId="55" fillId="0" borderId="59" xfId="0" applyFont="1" applyBorder="1"/>
    <xf numFmtId="0" fontId="62" fillId="0" borderId="59" xfId="0" applyFont="1" applyBorder="1"/>
    <xf numFmtId="0" fontId="47" fillId="0" borderId="59" xfId="0" applyFont="1" applyBorder="1" applyAlignment="1">
      <alignment vertical="center" wrapText="1"/>
    </xf>
    <xf numFmtId="0" fontId="19" fillId="0" borderId="81" xfId="0" applyFont="1" applyBorder="1" applyAlignment="1">
      <alignment vertical="center" wrapText="1"/>
    </xf>
    <xf numFmtId="43" fontId="57" fillId="0" borderId="87" xfId="10" applyFont="1" applyFill="1" applyBorder="1" applyAlignment="1" applyProtection="1">
      <alignment vertical="top"/>
    </xf>
    <xf numFmtId="43" fontId="57" fillId="0" borderId="76" xfId="10" applyFont="1" applyFill="1" applyBorder="1" applyAlignment="1" applyProtection="1">
      <alignment vertical="top"/>
    </xf>
    <xf numFmtId="0" fontId="19" fillId="0" borderId="82" xfId="0" applyFont="1" applyBorder="1" applyAlignment="1">
      <alignment vertical="center" wrapText="1"/>
    </xf>
    <xf numFmtId="0" fontId="53" fillId="0" borderId="77" xfId="0" applyFont="1" applyBorder="1" applyAlignment="1">
      <alignment vertical="center" wrapText="1"/>
    </xf>
    <xf numFmtId="0" fontId="20" fillId="0" borderId="83" xfId="0" applyFont="1" applyBorder="1" applyAlignment="1">
      <alignment horizontal="left" vertical="center" wrapText="1"/>
    </xf>
    <xf numFmtId="0" fontId="19" fillId="0" borderId="77" xfId="0" applyFont="1" applyBorder="1" applyAlignment="1">
      <alignment vertical="center" wrapText="1"/>
    </xf>
    <xf numFmtId="0" fontId="20" fillId="0" borderId="82" xfId="0" applyFont="1" applyBorder="1" applyAlignment="1">
      <alignment vertical="center" wrapText="1"/>
    </xf>
    <xf numFmtId="0" fontId="20" fillId="0" borderId="77" xfId="0" applyFont="1" applyBorder="1" applyAlignment="1">
      <alignment horizontal="left" vertical="center" wrapText="1"/>
    </xf>
    <xf numFmtId="0" fontId="60" fillId="0" borderId="77" xfId="0" applyFont="1" applyBorder="1"/>
    <xf numFmtId="0" fontId="20" fillId="0" borderId="82" xfId="0" applyFont="1" applyBorder="1" applyAlignment="1">
      <alignment horizontal="center" vertical="center" wrapText="1"/>
    </xf>
    <xf numFmtId="0" fontId="20" fillId="0" borderId="77" xfId="0" applyFont="1" applyBorder="1" applyAlignment="1">
      <alignment horizontal="center" vertical="center" wrapText="1"/>
    </xf>
    <xf numFmtId="0" fontId="20" fillId="0" borderId="0" xfId="0" applyFont="1" applyAlignment="1">
      <alignment horizontal="center" vertical="center" wrapText="1"/>
    </xf>
    <xf numFmtId="0" fontId="19" fillId="0" borderId="87" xfId="0" applyFont="1" applyBorder="1" applyAlignment="1">
      <alignment vertical="center"/>
    </xf>
    <xf numFmtId="0" fontId="19" fillId="0" borderId="85" xfId="0" applyFont="1" applyBorder="1" applyAlignment="1">
      <alignment vertical="center"/>
    </xf>
    <xf numFmtId="0" fontId="19" fillId="0" borderId="87" xfId="0" applyFont="1" applyBorder="1" applyAlignment="1">
      <alignment vertical="center" wrapText="1"/>
    </xf>
    <xf numFmtId="0" fontId="47" fillId="0" borderId="0" xfId="0" applyFont="1" applyAlignment="1">
      <alignment vertical="center" wrapText="1"/>
    </xf>
    <xf numFmtId="0" fontId="19" fillId="0" borderId="83" xfId="0" applyFont="1" applyBorder="1" applyAlignment="1">
      <alignment vertical="center" wrapText="1"/>
    </xf>
    <xf numFmtId="0" fontId="19" fillId="0" borderId="85" xfId="0" applyFont="1" applyBorder="1" applyAlignment="1">
      <alignment vertical="center" wrapText="1"/>
    </xf>
    <xf numFmtId="0" fontId="45" fillId="0" borderId="81" xfId="0" applyFont="1" applyBorder="1"/>
    <xf numFmtId="0" fontId="45" fillId="0" borderId="87" xfId="0" applyFont="1" applyBorder="1"/>
    <xf numFmtId="0" fontId="45" fillId="0" borderId="76" xfId="0" applyFont="1" applyBorder="1"/>
    <xf numFmtId="0" fontId="45" fillId="0" borderId="82" xfId="0" applyFont="1" applyBorder="1"/>
    <xf numFmtId="0" fontId="45" fillId="0" borderId="59" xfId="0" applyFont="1" applyBorder="1"/>
    <xf numFmtId="0" fontId="45" fillId="0" borderId="77" xfId="0" applyFont="1" applyBorder="1"/>
    <xf numFmtId="0" fontId="45" fillId="0" borderId="83" xfId="0" applyFont="1" applyBorder="1"/>
    <xf numFmtId="0" fontId="45" fillId="0" borderId="85" xfId="0" applyFont="1" applyBorder="1"/>
    <xf numFmtId="0" fontId="45" fillId="0" borderId="78" xfId="0" applyFont="1" applyBorder="1"/>
    <xf numFmtId="0" fontId="81" fillId="0" borderId="0" xfId="0" applyFont="1"/>
    <xf numFmtId="0" fontId="45" fillId="0" borderId="72" xfId="0" applyFont="1" applyBorder="1"/>
    <xf numFmtId="0" fontId="60" fillId="0" borderId="87" xfId="0" applyFont="1" applyBorder="1"/>
    <xf numFmtId="0" fontId="60" fillId="0" borderId="85" xfId="0" applyFont="1" applyBorder="1"/>
    <xf numFmtId="0" fontId="19" fillId="0" borderId="85" xfId="0" applyFont="1" applyBorder="1" applyAlignment="1">
      <alignment horizontal="left" vertical="center" wrapText="1"/>
    </xf>
    <xf numFmtId="0" fontId="47" fillId="0" borderId="0" xfId="0" applyFont="1" applyAlignment="1">
      <alignment vertical="center"/>
    </xf>
    <xf numFmtId="0" fontId="20" fillId="0" borderId="78" xfId="0" applyFont="1" applyBorder="1" applyAlignment="1">
      <alignment vertical="center" wrapText="1"/>
    </xf>
    <xf numFmtId="0" fontId="19" fillId="0" borderId="76" xfId="0" applyFont="1" applyBorder="1" applyAlignment="1">
      <alignment vertical="center"/>
    </xf>
    <xf numFmtId="0" fontId="20" fillId="0" borderId="77" xfId="0" applyFont="1" applyBorder="1" applyAlignment="1">
      <alignment vertical="center" wrapText="1"/>
    </xf>
    <xf numFmtId="0" fontId="20" fillId="0" borderId="83" xfId="0" applyFont="1" applyBorder="1" applyAlignment="1">
      <alignment vertical="center" wrapText="1"/>
    </xf>
    <xf numFmtId="0" fontId="20" fillId="0" borderId="0" xfId="6" applyFont="1"/>
    <xf numFmtId="0" fontId="20" fillId="0" borderId="82" xfId="6" applyFont="1" applyBorder="1" applyAlignment="1">
      <alignment horizontal="center" vertical="center" wrapText="1"/>
    </xf>
    <xf numFmtId="0" fontId="20" fillId="0" borderId="0" xfId="6" applyFont="1" applyAlignment="1">
      <alignment horizontal="center" vertical="center" wrapText="1"/>
    </xf>
    <xf numFmtId="4" fontId="20" fillId="0" borderId="0" xfId="6" applyNumberFormat="1" applyFont="1" applyAlignment="1">
      <alignment horizontal="center"/>
    </xf>
    <xf numFmtId="0" fontId="20" fillId="0" borderId="82" xfId="6" applyFont="1" applyBorder="1" applyAlignment="1">
      <alignment vertical="center" wrapText="1"/>
    </xf>
    <xf numFmtId="4" fontId="20" fillId="0" borderId="0" xfId="6" applyNumberFormat="1" applyFont="1"/>
    <xf numFmtId="0" fontId="20" fillId="0" borderId="0" xfId="6" applyFont="1" applyAlignment="1">
      <alignment horizontal="center"/>
    </xf>
    <xf numFmtId="10" fontId="20" fillId="0" borderId="0" xfId="6" applyNumberFormat="1" applyFont="1" applyAlignment="1">
      <alignment horizontal="center"/>
    </xf>
    <xf numFmtId="0" fontId="20" fillId="0" borderId="77" xfId="6" applyFont="1" applyBorder="1" applyAlignment="1">
      <alignment horizontal="center"/>
    </xf>
    <xf numFmtId="0" fontId="20" fillId="0" borderId="77" xfId="6" applyFont="1" applyBorder="1"/>
    <xf numFmtId="2" fontId="20" fillId="0" borderId="0" xfId="6" applyNumberFormat="1" applyFont="1" applyAlignment="1">
      <alignment horizontal="center"/>
    </xf>
    <xf numFmtId="0" fontId="20" fillId="0" borderId="82" xfId="6" applyFont="1" applyBorder="1"/>
    <xf numFmtId="10" fontId="20" fillId="0" borderId="0" xfId="6" applyNumberFormat="1" applyFont="1" applyAlignment="1">
      <alignment horizontal="center" vertical="center"/>
    </xf>
    <xf numFmtId="0" fontId="20" fillId="0" borderId="0" xfId="6" applyFont="1" applyAlignment="1">
      <alignment horizontal="center" vertical="center"/>
    </xf>
    <xf numFmtId="2" fontId="20" fillId="0" borderId="0" xfId="6" applyNumberFormat="1" applyFont="1" applyAlignment="1">
      <alignment horizontal="center" vertical="center"/>
    </xf>
    <xf numFmtId="0" fontId="20" fillId="0" borderId="0" xfId="6" applyFont="1" applyAlignment="1">
      <alignment horizontal="center" wrapText="1"/>
    </xf>
    <xf numFmtId="0" fontId="20" fillId="0" borderId="77" xfId="6" applyFont="1" applyBorder="1" applyAlignment="1">
      <alignment horizontal="center" wrapText="1"/>
    </xf>
    <xf numFmtId="0" fontId="52" fillId="3" borderId="82" xfId="6" applyFont="1" applyFill="1" applyBorder="1"/>
    <xf numFmtId="0" fontId="52" fillId="3" borderId="0" xfId="6" applyFont="1" applyFill="1"/>
    <xf numFmtId="0" fontId="47" fillId="0" borderId="77" xfId="0" applyFont="1" applyBorder="1" applyAlignment="1">
      <alignment vertical="center" wrapText="1"/>
    </xf>
    <xf numFmtId="0" fontId="19" fillId="0" borderId="78" xfId="0" applyFont="1" applyBorder="1" applyAlignment="1">
      <alignment vertical="center" wrapText="1"/>
    </xf>
    <xf numFmtId="0" fontId="19" fillId="0" borderId="87" xfId="0" applyFont="1" applyBorder="1" applyAlignment="1">
      <alignment horizontal="left" vertical="center"/>
    </xf>
    <xf numFmtId="0" fontId="59" fillId="0" borderId="106" xfId="0" applyFont="1" applyBorder="1" applyAlignment="1">
      <alignment vertical="center"/>
    </xf>
    <xf numFmtId="2" fontId="60" fillId="0" borderId="0" xfId="0" applyNumberFormat="1" applyFont="1" applyAlignment="1">
      <alignment horizontal="center" vertical="center"/>
    </xf>
    <xf numFmtId="0" fontId="59" fillId="0" borderId="106" xfId="0" applyFont="1" applyBorder="1" applyAlignment="1">
      <alignment vertical="center" wrapText="1"/>
    </xf>
    <xf numFmtId="0" fontId="52" fillId="0" borderId="106" xfId="0" applyFont="1" applyBorder="1" applyAlignment="1">
      <alignment vertical="center"/>
    </xf>
    <xf numFmtId="0" fontId="49" fillId="0" borderId="0" xfId="0" applyFont="1" applyAlignment="1">
      <alignment vertical="center" wrapText="1"/>
    </xf>
    <xf numFmtId="0" fontId="20" fillId="0" borderId="100" xfId="0" applyFont="1" applyBorder="1" applyAlignment="1">
      <alignment horizontal="left" vertical="center" wrapText="1"/>
    </xf>
    <xf numFmtId="0" fontId="20" fillId="0" borderId="96" xfId="0" applyFont="1" applyBorder="1" applyAlignment="1">
      <alignment horizontal="left" vertical="center" wrapText="1"/>
    </xf>
    <xf numFmtId="0" fontId="19" fillId="0" borderId="87" xfId="0" applyFont="1" applyBorder="1" applyAlignment="1">
      <alignment horizontal="left" vertical="center" wrapText="1"/>
    </xf>
    <xf numFmtId="0" fontId="47" fillId="15" borderId="84" xfId="0" applyFont="1" applyFill="1" applyBorder="1" applyAlignment="1">
      <alignment horizontal="center" vertical="center"/>
    </xf>
    <xf numFmtId="0" fontId="77" fillId="6" borderId="0" xfId="7" applyFont="1" applyFill="1"/>
    <xf numFmtId="0" fontId="54" fillId="15" borderId="84" xfId="0" applyFont="1" applyFill="1" applyBorder="1" applyAlignment="1">
      <alignment horizontal="center" vertical="center"/>
    </xf>
    <xf numFmtId="0" fontId="54" fillId="0" borderId="0" xfId="0" applyFont="1" applyAlignment="1">
      <alignment horizontal="center" vertical="center"/>
    </xf>
    <xf numFmtId="0" fontId="19" fillId="0" borderId="71" xfId="0" applyFont="1" applyBorder="1" applyAlignment="1">
      <alignment vertical="center" wrapText="1"/>
    </xf>
    <xf numFmtId="0" fontId="54" fillId="16" borderId="84" xfId="0" applyFont="1" applyFill="1" applyBorder="1" applyAlignment="1">
      <alignment horizontal="center" vertical="center"/>
    </xf>
    <xf numFmtId="0" fontId="45" fillId="0" borderId="0" xfId="0" applyFont="1" applyAlignment="1">
      <alignment horizontal="center" vertical="center" wrapText="1"/>
    </xf>
    <xf numFmtId="0" fontId="83" fillId="0" borderId="0" xfId="19" applyAlignment="1">
      <alignment horizontal="center" vertical="center"/>
    </xf>
    <xf numFmtId="0" fontId="19" fillId="3" borderId="88" xfId="6" applyFont="1" applyFill="1" applyBorder="1" applyAlignment="1">
      <alignment horizontal="center" vertical="center"/>
    </xf>
    <xf numFmtId="0" fontId="19" fillId="3" borderId="88" xfId="6" applyFont="1" applyFill="1" applyBorder="1" applyAlignment="1">
      <alignment horizontal="center"/>
    </xf>
    <xf numFmtId="0" fontId="20" fillId="0" borderId="88" xfId="6" applyFont="1" applyBorder="1" applyAlignment="1">
      <alignment horizontal="center" vertical="center"/>
    </xf>
    <xf numFmtId="0" fontId="20" fillId="0" borderId="88" xfId="6" applyFont="1" applyBorder="1"/>
    <xf numFmtId="4" fontId="20" fillId="0" borderId="88" xfId="6" applyNumberFormat="1" applyFont="1" applyBorder="1" applyAlignment="1">
      <alignment horizontal="center" vertical="center"/>
    </xf>
    <xf numFmtId="0" fontId="20" fillId="0" borderId="83" xfId="6" applyFont="1" applyBorder="1" applyAlignment="1">
      <alignment horizontal="right" vertical="center" wrapText="1"/>
    </xf>
    <xf numFmtId="2" fontId="20" fillId="0" borderId="88" xfId="6" applyNumberFormat="1" applyFont="1" applyBorder="1" applyAlignment="1">
      <alignment horizontal="center" vertical="center"/>
    </xf>
    <xf numFmtId="4" fontId="19" fillId="3" borderId="88" xfId="6" applyNumberFormat="1" applyFont="1" applyFill="1" applyBorder="1" applyAlignment="1">
      <alignment horizontal="center" vertical="center"/>
    </xf>
    <xf numFmtId="0" fontId="19" fillId="3" borderId="88" xfId="6" applyFont="1" applyFill="1" applyBorder="1" applyAlignment="1">
      <alignment horizontal="center" vertical="center" wrapText="1"/>
    </xf>
    <xf numFmtId="10" fontId="20" fillId="0" borderId="88" xfId="6" applyNumberFormat="1" applyFont="1" applyBorder="1" applyAlignment="1">
      <alignment horizontal="center" vertical="center"/>
    </xf>
    <xf numFmtId="2" fontId="20" fillId="7" borderId="88" xfId="6" applyNumberFormat="1" applyFont="1" applyFill="1" applyBorder="1" applyAlignment="1">
      <alignment horizontal="center" vertical="center"/>
    </xf>
    <xf numFmtId="2" fontId="20" fillId="0" borderId="88" xfId="6" applyNumberFormat="1" applyFont="1" applyBorder="1" applyAlignment="1">
      <alignment vertical="center"/>
    </xf>
    <xf numFmtId="2" fontId="20" fillId="0" borderId="88" xfId="10" applyNumberFormat="1" applyFont="1" applyBorder="1" applyAlignment="1">
      <alignment horizontal="center" vertical="center"/>
    </xf>
    <xf numFmtId="10" fontId="19" fillId="3" borderId="88" xfId="6" applyNumberFormat="1" applyFont="1" applyFill="1" applyBorder="1" applyAlignment="1">
      <alignment horizontal="center" vertical="center"/>
    </xf>
    <xf numFmtId="10" fontId="20" fillId="0" borderId="88" xfId="6" applyNumberFormat="1" applyFont="1" applyBorder="1" applyAlignment="1">
      <alignment vertical="center"/>
    </xf>
    <xf numFmtId="0" fontId="20" fillId="0" borderId="88" xfId="6" applyFont="1" applyBorder="1" applyAlignment="1">
      <alignment vertical="center"/>
    </xf>
    <xf numFmtId="0" fontId="20" fillId="0" borderId="85" xfId="6" applyFont="1" applyBorder="1"/>
    <xf numFmtId="0" fontId="20" fillId="0" borderId="78" xfId="6" applyFont="1" applyBorder="1"/>
    <xf numFmtId="0" fontId="47" fillId="0" borderId="0" xfId="0" applyFont="1" applyAlignment="1">
      <alignment horizontal="center" vertical="center"/>
    </xf>
    <xf numFmtId="0" fontId="47" fillId="0" borderId="77" xfId="0" applyFont="1" applyBorder="1" applyAlignment="1">
      <alignment vertical="center"/>
    </xf>
    <xf numFmtId="0" fontId="67" fillId="11" borderId="88" xfId="0" applyFont="1" applyFill="1" applyBorder="1" applyAlignment="1">
      <alignment horizontal="center" vertical="center"/>
    </xf>
    <xf numFmtId="4" fontId="52" fillId="3" borderId="88" xfId="0" applyNumberFormat="1" applyFont="1" applyFill="1" applyBorder="1" applyAlignment="1">
      <alignment horizontal="right" vertical="center"/>
    </xf>
    <xf numFmtId="0" fontId="45" fillId="0" borderId="88" xfId="0" applyFont="1" applyBorder="1"/>
    <xf numFmtId="4" fontId="52" fillId="0" borderId="88" xfId="0" applyNumberFormat="1" applyFont="1" applyBorder="1" applyAlignment="1">
      <alignment horizontal="right" vertical="center"/>
    </xf>
    <xf numFmtId="4" fontId="70" fillId="0" borderId="88" xfId="0" applyNumberFormat="1" applyFont="1" applyBorder="1" applyAlignment="1">
      <alignment horizontal="right" vertical="center"/>
    </xf>
    <xf numFmtId="0" fontId="46" fillId="0" borderId="88" xfId="0" applyFont="1" applyBorder="1" applyAlignment="1">
      <alignment horizontal="right" vertical="center"/>
    </xf>
    <xf numFmtId="4" fontId="20" fillId="3" borderId="88" xfId="0" applyNumberFormat="1" applyFont="1" applyFill="1" applyBorder="1" applyAlignment="1">
      <alignment horizontal="right" vertical="center"/>
    </xf>
    <xf numFmtId="4" fontId="20" fillId="0" borderId="88" xfId="0" applyNumberFormat="1" applyFont="1" applyBorder="1" applyAlignment="1">
      <alignment horizontal="right" vertical="center"/>
    </xf>
    <xf numFmtId="0" fontId="20" fillId="0" borderId="88" xfId="0" applyFont="1" applyBorder="1" applyAlignment="1">
      <alignment horizontal="center" vertical="center"/>
    </xf>
    <xf numFmtId="9" fontId="20" fillId="0" borderId="88" xfId="3" applyFont="1" applyFill="1" applyBorder="1" applyAlignment="1">
      <alignment horizontal="right" vertical="center"/>
    </xf>
    <xf numFmtId="9" fontId="20" fillId="0" borderId="88" xfId="0" applyNumberFormat="1" applyFont="1" applyBorder="1" applyAlignment="1">
      <alignment horizontal="right" vertical="center"/>
    </xf>
    <xf numFmtId="4" fontId="52" fillId="0" borderId="88" xfId="0" applyNumberFormat="1" applyFont="1" applyBorder="1" applyAlignment="1">
      <alignment horizontal="center" vertical="center"/>
    </xf>
    <xf numFmtId="164" fontId="20" fillId="3" borderId="88" xfId="0" applyNumberFormat="1" applyFont="1" applyFill="1" applyBorder="1" applyAlignment="1">
      <alignment horizontal="right" vertical="center"/>
    </xf>
    <xf numFmtId="164" fontId="20" fillId="0" borderId="88" xfId="0" applyNumberFormat="1" applyFont="1" applyBorder="1" applyAlignment="1">
      <alignment horizontal="right" vertical="center"/>
    </xf>
    <xf numFmtId="165" fontId="20" fillId="0" borderId="88" xfId="0" applyNumberFormat="1" applyFont="1" applyBorder="1" applyAlignment="1">
      <alignment horizontal="right" vertical="center"/>
    </xf>
    <xf numFmtId="4" fontId="60" fillId="0" borderId="88" xfId="0" applyNumberFormat="1" applyFont="1" applyBorder="1" applyAlignment="1">
      <alignment horizontal="right"/>
    </xf>
    <xf numFmtId="0" fontId="52" fillId="0" borderId="71" xfId="0" applyFont="1" applyBorder="1" applyAlignment="1">
      <alignment horizontal="right" vertical="center"/>
    </xf>
    <xf numFmtId="0" fontId="52" fillId="0" borderId="70" xfId="0" applyFont="1" applyBorder="1" applyAlignment="1">
      <alignment horizontal="right" vertical="center"/>
    </xf>
    <xf numFmtId="0" fontId="52" fillId="11" borderId="72" xfId="0" applyFont="1" applyFill="1" applyBorder="1" applyAlignment="1">
      <alignment horizontal="right" vertical="center"/>
    </xf>
    <xf numFmtId="4" fontId="20" fillId="11" borderId="72" xfId="0" applyNumberFormat="1" applyFont="1" applyFill="1" applyBorder="1" applyAlignment="1">
      <alignment horizontal="right" vertical="center"/>
    </xf>
    <xf numFmtId="4" fontId="52" fillId="11" borderId="70" xfId="0" applyNumberFormat="1" applyFont="1" applyFill="1" applyBorder="1" applyAlignment="1">
      <alignment horizontal="right" vertical="center"/>
    </xf>
    <xf numFmtId="0" fontId="52" fillId="0" borderId="88" xfId="0" applyFont="1" applyBorder="1" applyAlignment="1">
      <alignment horizontal="left" vertical="center"/>
    </xf>
    <xf numFmtId="4" fontId="20" fillId="3" borderId="88" xfId="0" applyNumberFormat="1" applyFont="1" applyFill="1" applyBorder="1" applyAlignment="1">
      <alignment horizontal="center" vertical="center"/>
    </xf>
    <xf numFmtId="4" fontId="20" fillId="0" borderId="88" xfId="0" applyNumberFormat="1" applyFont="1" applyBorder="1" applyAlignment="1">
      <alignment horizontal="center" vertical="center"/>
    </xf>
    <xf numFmtId="4" fontId="52" fillId="3" borderId="88" xfId="0" applyNumberFormat="1" applyFont="1" applyFill="1" applyBorder="1" applyAlignment="1">
      <alignment horizontal="center" vertical="center"/>
    </xf>
    <xf numFmtId="3" fontId="20" fillId="3" borderId="88" xfId="0" applyNumberFormat="1" applyFont="1" applyFill="1" applyBorder="1" applyAlignment="1">
      <alignment horizontal="center" vertical="center"/>
    </xf>
    <xf numFmtId="4" fontId="46" fillId="0" borderId="88" xfId="0" applyNumberFormat="1" applyFont="1" applyBorder="1" applyAlignment="1">
      <alignment vertical="center"/>
    </xf>
    <xf numFmtId="169" fontId="20" fillId="3" borderId="88" xfId="10" applyNumberFormat="1" applyFont="1" applyFill="1" applyBorder="1" applyAlignment="1">
      <alignment horizontal="center" vertical="center"/>
    </xf>
    <xf numFmtId="169" fontId="75" fillId="0" borderId="88" xfId="10" applyNumberFormat="1" applyFont="1" applyBorder="1" applyAlignment="1">
      <alignment horizontal="center"/>
    </xf>
    <xf numFmtId="169" fontId="60" fillId="3" borderId="88" xfId="10" applyNumberFormat="1" applyFont="1" applyFill="1" applyBorder="1" applyAlignment="1">
      <alignment horizontal="center"/>
    </xf>
    <xf numFmtId="4" fontId="46" fillId="0" borderId="88" xfId="0" applyNumberFormat="1" applyFont="1" applyBorder="1" applyAlignment="1">
      <alignment horizontal="center" vertical="center"/>
    </xf>
    <xf numFmtId="0" fontId="62" fillId="11" borderId="82" xfId="0" applyFont="1" applyFill="1" applyBorder="1" applyAlignment="1">
      <alignment horizontal="center" vertical="center" textRotation="90"/>
    </xf>
    <xf numFmtId="0" fontId="52" fillId="11" borderId="0" xfId="0" applyFont="1" applyFill="1" applyAlignment="1">
      <alignment horizontal="left" vertical="center"/>
    </xf>
    <xf numFmtId="4" fontId="20" fillId="11" borderId="0" xfId="0" applyNumberFormat="1" applyFont="1" applyFill="1" applyAlignment="1">
      <alignment horizontal="center" vertical="center"/>
    </xf>
    <xf numFmtId="4" fontId="46" fillId="11" borderId="77" xfId="0" applyNumberFormat="1" applyFont="1" applyFill="1" applyBorder="1" applyAlignment="1">
      <alignment horizontal="center" vertical="center"/>
    </xf>
    <xf numFmtId="4" fontId="52" fillId="11" borderId="77" xfId="0" applyNumberFormat="1" applyFont="1" applyFill="1" applyBorder="1" applyAlignment="1">
      <alignment horizontal="center" vertical="center"/>
    </xf>
    <xf numFmtId="9" fontId="20" fillId="3" borderId="88" xfId="3" applyFont="1" applyFill="1" applyBorder="1" applyAlignment="1">
      <alignment horizontal="center" vertical="center"/>
    </xf>
    <xf numFmtId="0" fontId="57" fillId="11" borderId="0" xfId="0" applyFont="1" applyFill="1" applyAlignment="1">
      <alignment horizontal="center" vertical="center"/>
    </xf>
    <xf numFmtId="0" fontId="52" fillId="11" borderId="0" xfId="0" applyFont="1" applyFill="1" applyAlignment="1">
      <alignment horizontal="right" vertical="center"/>
    </xf>
    <xf numFmtId="0" fontId="52" fillId="11" borderId="0" xfId="0" applyFont="1" applyFill="1" applyAlignment="1">
      <alignment horizontal="left" vertical="center" wrapText="1"/>
    </xf>
    <xf numFmtId="0" fontId="52" fillId="0" borderId="88" xfId="0" applyFont="1" applyBorder="1" applyAlignment="1">
      <alignment horizontal="left" vertical="center" wrapText="1"/>
    </xf>
    <xf numFmtId="165" fontId="52" fillId="3" borderId="88" xfId="0" applyNumberFormat="1" applyFont="1" applyFill="1" applyBorder="1" applyAlignment="1">
      <alignment horizontal="center" vertical="center"/>
    </xf>
    <xf numFmtId="43" fontId="20" fillId="3" borderId="88" xfId="10" applyFont="1" applyFill="1" applyBorder="1" applyAlignment="1">
      <alignment horizontal="center" vertical="center"/>
    </xf>
    <xf numFmtId="43" fontId="20" fillId="0" borderId="88" xfId="10" applyFont="1" applyFill="1" applyBorder="1" applyAlignment="1">
      <alignment horizontal="center" vertical="center"/>
    </xf>
    <xf numFmtId="4" fontId="20" fillId="0" borderId="88" xfId="0" applyNumberFormat="1" applyFont="1" applyBorder="1" applyAlignment="1">
      <alignment vertical="center"/>
    </xf>
    <xf numFmtId="4" fontId="19" fillId="3" borderId="88" xfId="0" applyNumberFormat="1" applyFont="1" applyFill="1" applyBorder="1" applyAlignment="1">
      <alignment horizontal="center" vertical="center"/>
    </xf>
    <xf numFmtId="4" fontId="19" fillId="0" borderId="88" xfId="0" applyNumberFormat="1" applyFont="1" applyBorder="1" applyAlignment="1">
      <alignment horizontal="center" vertical="center"/>
    </xf>
    <xf numFmtId="0" fontId="20" fillId="0" borderId="112" xfId="0" applyFont="1" applyBorder="1" applyAlignment="1">
      <alignment vertical="center" wrapText="1"/>
    </xf>
    <xf numFmtId="0" fontId="20" fillId="0" borderId="113" xfId="0" applyFont="1" applyBorder="1" applyAlignment="1">
      <alignment horizontal="center" vertical="center"/>
    </xf>
    <xf numFmtId="0" fontId="20" fillId="0" borderId="115" xfId="0" applyFont="1" applyBorder="1" applyAlignment="1">
      <alignment vertical="center" wrapText="1"/>
    </xf>
    <xf numFmtId="0" fontId="20" fillId="0" borderId="108" xfId="0" applyFont="1" applyBorder="1" applyAlignment="1">
      <alignment vertical="center" wrapText="1"/>
    </xf>
    <xf numFmtId="0" fontId="20" fillId="0" borderId="109" xfId="0" applyFont="1" applyBorder="1" applyAlignment="1">
      <alignment horizontal="left" vertical="center" wrapText="1"/>
    </xf>
    <xf numFmtId="0" fontId="45" fillId="0" borderId="109" xfId="0" applyFont="1" applyBorder="1"/>
    <xf numFmtId="0" fontId="20" fillId="0" borderId="118" xfId="0" applyFont="1" applyBorder="1" applyAlignment="1">
      <alignment vertical="center" wrapText="1"/>
    </xf>
    <xf numFmtId="0" fontId="60" fillId="0" borderId="109" xfId="0" applyFont="1" applyBorder="1"/>
    <xf numFmtId="0" fontId="20" fillId="0" borderId="119" xfId="0" applyFont="1" applyBorder="1" applyAlignment="1">
      <alignment vertical="center" wrapText="1"/>
    </xf>
    <xf numFmtId="0" fontId="20" fillId="0" borderId="120" xfId="0" applyFont="1" applyBorder="1" applyAlignment="1">
      <alignment vertical="center" wrapText="1"/>
    </xf>
    <xf numFmtId="165" fontId="60" fillId="0" borderId="0" xfId="0" applyNumberFormat="1" applyFont="1" applyAlignment="1">
      <alignment horizontal="left" vertical="center"/>
    </xf>
    <xf numFmtId="165" fontId="60" fillId="0" borderId="109" xfId="0" applyNumberFormat="1" applyFont="1" applyBorder="1" applyAlignment="1">
      <alignment horizontal="left" vertical="center"/>
    </xf>
    <xf numFmtId="4" fontId="62" fillId="0" borderId="122" xfId="0" applyNumberFormat="1" applyFont="1" applyBorder="1" applyAlignment="1">
      <alignment horizontal="center" vertical="center"/>
    </xf>
    <xf numFmtId="4" fontId="62" fillId="3" borderId="122" xfId="0" applyNumberFormat="1" applyFont="1" applyFill="1" applyBorder="1" applyAlignment="1">
      <alignment horizontal="center" vertical="center"/>
    </xf>
    <xf numFmtId="4" fontId="19" fillId="0" borderId="126" xfId="0" applyNumberFormat="1" applyFont="1" applyBorder="1" applyAlignment="1">
      <alignment horizontal="center" vertical="center"/>
    </xf>
    <xf numFmtId="168" fontId="20" fillId="0" borderId="71" xfId="8" applyFont="1" applyFill="1" applyBorder="1" applyAlignment="1">
      <alignment horizontal="center" vertical="center" wrapText="1"/>
    </xf>
    <xf numFmtId="168" fontId="20" fillId="0" borderId="72" xfId="8" applyFont="1" applyFill="1" applyBorder="1" applyAlignment="1">
      <alignment vertical="center" wrapText="1"/>
    </xf>
    <xf numFmtId="2" fontId="20" fillId="0" borderId="70" xfId="8" applyNumberFormat="1" applyFont="1" applyFill="1" applyBorder="1" applyAlignment="1">
      <alignment horizontal="center" vertical="center"/>
    </xf>
    <xf numFmtId="168" fontId="20" fillId="0" borderId="72" xfId="8" applyFont="1" applyFill="1" applyBorder="1" applyAlignment="1">
      <alignment vertical="center"/>
    </xf>
    <xf numFmtId="168" fontId="20" fillId="0" borderId="88" xfId="8" applyFont="1" applyFill="1" applyBorder="1" applyAlignment="1">
      <alignment horizontal="center" vertical="center" wrapText="1"/>
    </xf>
    <xf numFmtId="168" fontId="20" fillId="0" borderId="88" xfId="8" applyFont="1" applyFill="1" applyBorder="1" applyAlignment="1">
      <alignment vertical="center" wrapText="1"/>
    </xf>
    <xf numFmtId="0" fontId="79" fillId="3" borderId="88" xfId="0" applyFont="1" applyFill="1" applyBorder="1" applyAlignment="1">
      <alignment horizontal="center" vertical="center"/>
    </xf>
    <xf numFmtId="0" fontId="78" fillId="0" borderId="88" xfId="0" applyFont="1" applyBorder="1" applyAlignment="1">
      <alignment horizontal="center" vertical="center"/>
    </xf>
    <xf numFmtId="0" fontId="19" fillId="0" borderId="85" xfId="0" applyFont="1" applyBorder="1" applyAlignment="1">
      <alignment horizontal="left" vertical="center"/>
    </xf>
    <xf numFmtId="0" fontId="19" fillId="0" borderId="127" xfId="0" applyFont="1" applyBorder="1" applyAlignment="1">
      <alignment vertical="center" wrapText="1"/>
    </xf>
    <xf numFmtId="0" fontId="19" fillId="0" borderId="128" xfId="0" applyFont="1" applyBorder="1" applyAlignment="1">
      <alignment vertical="center"/>
    </xf>
    <xf numFmtId="0" fontId="19" fillId="0" borderId="129" xfId="0" applyFont="1" applyBorder="1" applyAlignment="1">
      <alignment vertical="center"/>
    </xf>
    <xf numFmtId="0" fontId="19" fillId="0" borderId="130" xfId="0" applyFont="1" applyBorder="1" applyAlignment="1">
      <alignment vertical="center" wrapText="1"/>
    </xf>
    <xf numFmtId="0" fontId="20" fillId="0" borderId="131" xfId="0" applyFont="1" applyBorder="1" applyAlignment="1">
      <alignment vertical="center" wrapText="1"/>
    </xf>
    <xf numFmtId="0" fontId="19" fillId="0" borderId="132" xfId="0" applyFont="1" applyBorder="1" applyAlignment="1">
      <alignment vertical="center" wrapText="1"/>
    </xf>
    <xf numFmtId="0" fontId="19" fillId="0" borderId="133" xfId="0" applyFont="1" applyBorder="1" applyAlignment="1">
      <alignment vertical="center"/>
    </xf>
    <xf numFmtId="0" fontId="49" fillId="0" borderId="133" xfId="0" applyFont="1" applyBorder="1" applyAlignment="1">
      <alignment vertical="center" wrapText="1"/>
    </xf>
    <xf numFmtId="0" fontId="49" fillId="0" borderId="134" xfId="0" applyFont="1" applyBorder="1" applyAlignment="1">
      <alignment vertical="center" wrapText="1"/>
    </xf>
    <xf numFmtId="0" fontId="48" fillId="0" borderId="87" xfId="6" applyFont="1" applyBorder="1" applyAlignment="1">
      <alignment horizontal="center" vertical="center"/>
    </xf>
    <xf numFmtId="0" fontId="19" fillId="6" borderId="87" xfId="7" applyFont="1" applyFill="1" applyBorder="1"/>
    <xf numFmtId="0" fontId="19" fillId="6" borderId="76" xfId="7" applyFont="1" applyFill="1" applyBorder="1"/>
    <xf numFmtId="0" fontId="48" fillId="0" borderId="59" xfId="0" applyFont="1" applyBorder="1" applyAlignment="1">
      <alignment vertical="center"/>
    </xf>
    <xf numFmtId="0" fontId="19" fillId="6" borderId="77" xfId="7" applyFont="1" applyFill="1" applyBorder="1"/>
    <xf numFmtId="0" fontId="48" fillId="0" borderId="85" xfId="6" applyFont="1" applyBorder="1" applyAlignment="1">
      <alignment horizontal="center" vertical="center"/>
    </xf>
    <xf numFmtId="0" fontId="19" fillId="6" borderId="85" xfId="7" applyFont="1" applyFill="1" applyBorder="1"/>
    <xf numFmtId="0" fontId="19" fillId="6" borderId="78" xfId="7" applyFont="1" applyFill="1" applyBorder="1"/>
    <xf numFmtId="0" fontId="53" fillId="0" borderId="78" xfId="0" applyFont="1" applyBorder="1" applyAlignment="1">
      <alignment vertical="center" wrapText="1"/>
    </xf>
    <xf numFmtId="0" fontId="78" fillId="0" borderId="88" xfId="0" applyFont="1" applyBorder="1" applyAlignment="1">
      <alignment horizontal="center" vertical="center" wrapText="1"/>
    </xf>
    <xf numFmtId="9" fontId="52" fillId="0" borderId="88" xfId="3" applyFont="1" applyBorder="1" applyAlignment="1">
      <alignment horizontal="right" vertical="center"/>
    </xf>
    <xf numFmtId="2" fontId="52" fillId="0" borderId="88" xfId="3" applyNumberFormat="1" applyFont="1" applyBorder="1" applyAlignment="1">
      <alignment horizontal="right" vertical="center"/>
    </xf>
    <xf numFmtId="170" fontId="52" fillId="0" borderId="88" xfId="3" applyNumberFormat="1" applyFont="1" applyBorder="1" applyAlignment="1">
      <alignment horizontal="right" vertical="center"/>
    </xf>
    <xf numFmtId="0" fontId="0" fillId="15" borderId="88" xfId="0" applyFill="1" applyBorder="1" applyAlignment="1">
      <alignment horizontal="center" vertical="center"/>
    </xf>
    <xf numFmtId="0" fontId="0" fillId="0" borderId="88" xfId="0" applyBorder="1" applyAlignment="1">
      <alignment horizontal="center" vertical="center"/>
    </xf>
    <xf numFmtId="0" fontId="48" fillId="15" borderId="88" xfId="0" applyFont="1" applyFill="1" applyBorder="1" applyAlignment="1">
      <alignment horizontal="center" vertical="center"/>
    </xf>
    <xf numFmtId="0" fontId="47" fillId="0" borderId="0" xfId="0" applyFont="1" applyAlignment="1">
      <alignment horizontal="left" vertical="center"/>
    </xf>
    <xf numFmtId="0" fontId="52" fillId="11" borderId="87" xfId="0" applyFont="1" applyFill="1" applyBorder="1" applyAlignment="1">
      <alignment horizontal="right" vertical="center"/>
    </xf>
    <xf numFmtId="2" fontId="20" fillId="0" borderId="88" xfId="3" applyNumberFormat="1" applyFont="1" applyBorder="1" applyAlignment="1">
      <alignment horizontal="right" vertical="center"/>
    </xf>
    <xf numFmtId="0" fontId="48" fillId="3" borderId="88" xfId="0" applyFont="1" applyFill="1" applyBorder="1" applyAlignment="1">
      <alignment horizontal="center" vertical="center"/>
    </xf>
    <xf numFmtId="0" fontId="52" fillId="0" borderId="72" xfId="0" applyFont="1" applyBorder="1" applyAlignment="1">
      <alignment horizontal="center" vertical="center"/>
    </xf>
    <xf numFmtId="0" fontId="52" fillId="0" borderId="70" xfId="0" applyFont="1" applyBorder="1" applyAlignment="1">
      <alignment horizontal="center" vertical="center"/>
    </xf>
    <xf numFmtId="0" fontId="51" fillId="11" borderId="88" xfId="0" applyFont="1" applyFill="1" applyBorder="1" applyAlignment="1">
      <alignment horizontal="center" vertical="center"/>
    </xf>
    <xf numFmtId="0" fontId="52" fillId="0" borderId="81" xfId="0" applyFont="1" applyBorder="1" applyAlignment="1">
      <alignment horizontal="center" vertical="center"/>
    </xf>
    <xf numFmtId="0" fontId="52" fillId="0" borderId="88" xfId="0" applyFont="1" applyBorder="1" applyAlignment="1">
      <alignment vertical="center"/>
    </xf>
    <xf numFmtId="9" fontId="20" fillId="0" borderId="88" xfId="3" applyFont="1" applyBorder="1" applyAlignment="1">
      <alignment horizontal="center" vertical="center"/>
    </xf>
    <xf numFmtId="0" fontId="0" fillId="0" borderId="87" xfId="0" applyBorder="1"/>
    <xf numFmtId="0" fontId="0" fillId="0" borderId="76" xfId="0" applyBorder="1"/>
    <xf numFmtId="0" fontId="0" fillId="0" borderId="77" xfId="0" applyBorder="1"/>
    <xf numFmtId="0" fontId="0" fillId="0" borderId="85" xfId="0" applyBorder="1"/>
    <xf numFmtId="0" fontId="0" fillId="0" borderId="78" xfId="0" applyBorder="1"/>
    <xf numFmtId="0" fontId="20" fillId="0" borderId="0" xfId="0" applyFont="1" applyAlignment="1">
      <alignment horizontal="right" vertical="center" wrapText="1"/>
    </xf>
    <xf numFmtId="0" fontId="59" fillId="0" borderId="0" xfId="0" applyFont="1" applyAlignment="1">
      <alignment horizontal="left" vertical="center"/>
    </xf>
    <xf numFmtId="0" fontId="61" fillId="0" borderId="0" xfId="0" applyFont="1" applyAlignment="1">
      <alignment horizontal="center" vertical="center"/>
    </xf>
    <xf numFmtId="0" fontId="65" fillId="3" borderId="88" xfId="0" applyFont="1" applyFill="1" applyBorder="1" applyAlignment="1">
      <alignment horizontal="center" vertical="center" wrapText="1"/>
    </xf>
    <xf numFmtId="0" fontId="86" fillId="3" borderId="88" xfId="0" applyFont="1" applyFill="1" applyBorder="1" applyAlignment="1">
      <alignment horizontal="center" vertical="center" wrapText="1"/>
    </xf>
    <xf numFmtId="0" fontId="64" fillId="3" borderId="88" xfId="0" applyFont="1" applyFill="1" applyBorder="1" applyAlignment="1">
      <alignment horizontal="center" vertical="center" wrapText="1"/>
    </xf>
    <xf numFmtId="0" fontId="85" fillId="11" borderId="84" xfId="0" applyFont="1" applyFill="1" applyBorder="1"/>
    <xf numFmtId="0" fontId="87" fillId="3" borderId="88" xfId="0" applyFont="1" applyFill="1" applyBorder="1" applyAlignment="1">
      <alignment horizontal="center" vertical="center" wrapText="1"/>
    </xf>
    <xf numFmtId="0" fontId="88" fillId="2" borderId="88" xfId="0" applyFont="1" applyFill="1" applyBorder="1" applyAlignment="1">
      <alignment horizontal="center" vertical="center"/>
    </xf>
    <xf numFmtId="0" fontId="45" fillId="0" borderId="88" xfId="0" applyFont="1" applyBorder="1" applyAlignment="1">
      <alignment wrapText="1"/>
    </xf>
    <xf numFmtId="175" fontId="88" fillId="2" borderId="88" xfId="0" applyNumberFormat="1" applyFont="1" applyFill="1" applyBorder="1" applyAlignment="1">
      <alignment horizontal="center" vertical="center"/>
    </xf>
    <xf numFmtId="43" fontId="49" fillId="0" borderId="88" xfId="10" applyFont="1" applyBorder="1" applyAlignment="1">
      <alignment horizontal="center" vertical="center" wrapText="1"/>
    </xf>
    <xf numFmtId="43" fontId="88" fillId="2" borderId="88" xfId="10" applyFont="1" applyFill="1" applyBorder="1" applyAlignment="1">
      <alignment horizontal="center" vertical="center"/>
    </xf>
    <xf numFmtId="176" fontId="88" fillId="2" borderId="88" xfId="10" applyNumberFormat="1" applyFont="1" applyFill="1" applyBorder="1" applyAlignment="1">
      <alignment horizontal="center" vertical="center"/>
    </xf>
    <xf numFmtId="174" fontId="88" fillId="0" borderId="88" xfId="10" applyNumberFormat="1" applyFont="1" applyFill="1" applyBorder="1" applyAlignment="1">
      <alignment horizontal="center" vertical="center"/>
    </xf>
    <xf numFmtId="174" fontId="88" fillId="2" borderId="88" xfId="10" applyNumberFormat="1" applyFont="1" applyFill="1" applyBorder="1" applyAlignment="1">
      <alignment horizontal="center" vertical="center"/>
    </xf>
    <xf numFmtId="0" fontId="49" fillId="0" borderId="88" xfId="0" applyFont="1" applyBorder="1" applyAlignment="1">
      <alignment horizontal="right" vertical="center" wrapText="1"/>
    </xf>
    <xf numFmtId="4" fontId="49" fillId="0" borderId="88" xfId="0" applyNumberFormat="1" applyFont="1" applyBorder="1" applyAlignment="1">
      <alignment horizontal="right" vertical="center" wrapText="1"/>
    </xf>
    <xf numFmtId="0" fontId="0" fillId="0" borderId="84" xfId="0" applyBorder="1"/>
    <xf numFmtId="0" fontId="45" fillId="0" borderId="88" xfId="0" applyFont="1" applyBorder="1" applyAlignment="1">
      <alignment horizontal="left" vertical="center" wrapText="1"/>
    </xf>
    <xf numFmtId="0" fontId="65" fillId="2" borderId="0" xfId="0" applyFont="1" applyFill="1" applyAlignment="1">
      <alignment horizontal="right" vertical="center"/>
    </xf>
    <xf numFmtId="0" fontId="65" fillId="2" borderId="87" xfId="0" applyFont="1" applyFill="1" applyBorder="1" applyAlignment="1">
      <alignment horizontal="right" vertical="center"/>
    </xf>
    <xf numFmtId="43" fontId="65" fillId="2" borderId="87" xfId="0" applyNumberFormat="1" applyFont="1" applyFill="1" applyBorder="1" applyAlignment="1">
      <alignment horizontal="center" vertical="center"/>
    </xf>
    <xf numFmtId="43" fontId="65" fillId="2" borderId="73" xfId="0" applyNumberFormat="1" applyFont="1" applyFill="1" applyBorder="1" applyAlignment="1">
      <alignment horizontal="center" vertical="center"/>
    </xf>
    <xf numFmtId="0" fontId="48" fillId="0" borderId="88" xfId="6" applyFont="1" applyBorder="1" applyAlignment="1">
      <alignment horizontal="center" vertical="center"/>
    </xf>
    <xf numFmtId="0" fontId="48" fillId="0" borderId="0" xfId="6" applyFont="1" applyAlignment="1">
      <alignment horizontal="right"/>
    </xf>
    <xf numFmtId="4" fontId="48" fillId="0" borderId="0" xfId="6" applyNumberFormat="1" applyFont="1"/>
    <xf numFmtId="4" fontId="48" fillId="0" borderId="0" xfId="6" applyNumberFormat="1" applyFont="1" applyAlignment="1">
      <alignment horizontal="right"/>
    </xf>
    <xf numFmtId="0" fontId="45" fillId="0" borderId="88" xfId="0" applyFont="1" applyBorder="1" applyAlignment="1">
      <alignment horizontal="center" vertical="center"/>
    </xf>
    <xf numFmtId="2" fontId="45" fillId="0" borderId="88" xfId="0" applyNumberFormat="1" applyFont="1" applyBorder="1" applyAlignment="1">
      <alignment horizontal="center" vertical="center"/>
    </xf>
    <xf numFmtId="0" fontId="53" fillId="3" borderId="88" xfId="0" applyFont="1" applyFill="1" applyBorder="1" applyAlignment="1">
      <alignment vertical="center"/>
    </xf>
    <xf numFmtId="0" fontId="2" fillId="0" borderId="3" xfId="0" applyFont="1" applyBorder="1" applyAlignment="1">
      <alignment horizontal="center" vertical="center" wrapText="1"/>
    </xf>
    <xf numFmtId="0" fontId="0" fillId="9" borderId="84" xfId="0" applyFill="1" applyBorder="1" applyAlignment="1">
      <alignment horizontal="center" vertical="center"/>
    </xf>
    <xf numFmtId="0" fontId="19" fillId="0" borderId="84" xfId="0" applyFont="1" applyBorder="1" applyAlignment="1">
      <alignment horizontal="center" vertical="center"/>
    </xf>
    <xf numFmtId="176" fontId="19" fillId="2" borderId="84" xfId="10" applyNumberFormat="1" applyFont="1" applyFill="1" applyBorder="1" applyAlignment="1">
      <alignment horizontal="center" vertical="center"/>
    </xf>
    <xf numFmtId="0" fontId="0" fillId="9" borderId="84" xfId="0" applyFill="1" applyBorder="1" applyAlignment="1">
      <alignment horizontal="center"/>
    </xf>
    <xf numFmtId="0" fontId="0" fillId="0" borderId="0" xfId="0" applyAlignment="1">
      <alignment horizontal="center"/>
    </xf>
    <xf numFmtId="0" fontId="52" fillId="0" borderId="74" xfId="0" applyFont="1" applyBorder="1" applyAlignment="1">
      <alignment vertical="center" textRotation="90"/>
    </xf>
    <xf numFmtId="0" fontId="52" fillId="0" borderId="75" xfId="0" applyFont="1" applyBorder="1" applyAlignment="1">
      <alignment vertical="center" textRotation="90"/>
    </xf>
    <xf numFmtId="0" fontId="52" fillId="0" borderId="143" xfId="0" quotePrefix="1" applyFont="1" applyBorder="1" applyAlignment="1">
      <alignment horizontal="center" vertical="center" wrapText="1"/>
    </xf>
    <xf numFmtId="0" fontId="45" fillId="0" borderId="82" xfId="0" applyFont="1" applyBorder="1" applyAlignment="1">
      <alignment horizontal="center" vertical="center" wrapText="1"/>
    </xf>
    <xf numFmtId="0" fontId="45" fillId="0" borderId="77" xfId="0" applyFont="1" applyBorder="1" applyAlignment="1">
      <alignment horizontal="center" vertical="center" wrapText="1"/>
    </xf>
    <xf numFmtId="0" fontId="20" fillId="0" borderId="77" xfId="0" applyFont="1" applyBorder="1" applyAlignment="1">
      <alignment horizontal="center" vertical="center"/>
    </xf>
    <xf numFmtId="0" fontId="19" fillId="0" borderId="87" xfId="0" applyFont="1" applyBorder="1" applyAlignment="1">
      <alignment horizontal="center" vertical="center" wrapText="1"/>
    </xf>
    <xf numFmtId="0" fontId="49" fillId="0" borderId="77" xfId="0" applyFont="1" applyBorder="1" applyAlignment="1">
      <alignment horizontal="center" vertical="center" wrapText="1"/>
    </xf>
    <xf numFmtId="0" fontId="89" fillId="0" borderId="0" xfId="0" applyFont="1"/>
    <xf numFmtId="0" fontId="90" fillId="0" borderId="0" xfId="0" applyFont="1"/>
    <xf numFmtId="0" fontId="19" fillId="0" borderId="0" xfId="0" applyFont="1" applyAlignment="1">
      <alignment horizontal="center" vertical="center" wrapText="1"/>
    </xf>
    <xf numFmtId="0" fontId="20" fillId="0" borderId="145" xfId="0" applyFont="1" applyBorder="1" applyAlignment="1">
      <alignment vertical="center" wrapText="1"/>
    </xf>
    <xf numFmtId="0" fontId="20" fillId="0" borderId="146" xfId="0" applyFont="1" applyBorder="1" applyAlignment="1">
      <alignment horizontal="center" vertical="center"/>
    </xf>
    <xf numFmtId="0" fontId="20" fillId="0" borderId="148" xfId="0" applyFont="1" applyBorder="1" applyAlignment="1">
      <alignment vertical="center" wrapText="1"/>
    </xf>
    <xf numFmtId="0" fontId="20" fillId="0" borderId="149" xfId="0" applyFont="1" applyBorder="1" applyAlignment="1">
      <alignment horizontal="left" vertical="center"/>
    </xf>
    <xf numFmtId="0" fontId="19" fillId="0" borderId="59" xfId="0" applyFont="1" applyBorder="1" applyAlignment="1">
      <alignment vertical="center" wrapText="1"/>
    </xf>
    <xf numFmtId="0" fontId="19" fillId="0" borderId="59" xfId="0" applyFont="1" applyBorder="1" applyAlignment="1">
      <alignment horizontal="center" vertical="center" wrapText="1"/>
    </xf>
    <xf numFmtId="0" fontId="20" fillId="0" borderId="151" xfId="0" applyFont="1" applyBorder="1" applyAlignment="1">
      <alignment vertical="center" wrapText="1"/>
    </xf>
    <xf numFmtId="0" fontId="60" fillId="0" borderId="152" xfId="0" applyFont="1" applyBorder="1"/>
    <xf numFmtId="0" fontId="45" fillId="0" borderId="155" xfId="0" applyFont="1" applyBorder="1"/>
    <xf numFmtId="0" fontId="0" fillId="9" borderId="84" xfId="0" applyFill="1" applyBorder="1"/>
    <xf numFmtId="2" fontId="0" fillId="9" borderId="84" xfId="0" applyNumberFormat="1" applyFill="1" applyBorder="1"/>
    <xf numFmtId="0" fontId="0" fillId="7" borderId="84" xfId="0" applyFill="1" applyBorder="1"/>
    <xf numFmtId="0" fontId="56" fillId="0" borderId="0" xfId="0" applyFont="1"/>
    <xf numFmtId="10" fontId="20" fillId="0" borderId="88" xfId="3" applyNumberFormat="1" applyFont="1" applyFill="1" applyBorder="1" applyAlignment="1">
      <alignment horizontal="right" vertical="center"/>
    </xf>
    <xf numFmtId="176" fontId="45" fillId="0" borderId="0" xfId="0" applyNumberFormat="1" applyFont="1"/>
    <xf numFmtId="0" fontId="52" fillId="0" borderId="72" xfId="0" applyFont="1" applyBorder="1" applyAlignment="1">
      <alignment horizontal="left" vertical="center"/>
    </xf>
    <xf numFmtId="2" fontId="52" fillId="0" borderId="88" xfId="3" applyNumberFormat="1" applyFont="1" applyFill="1" applyBorder="1" applyAlignment="1">
      <alignment horizontal="right" vertical="center"/>
    </xf>
    <xf numFmtId="0" fontId="52" fillId="0" borderId="72" xfId="0" applyFont="1" applyBorder="1" applyAlignment="1">
      <alignment vertical="center"/>
    </xf>
    <xf numFmtId="0" fontId="52" fillId="0" borderId="85" xfId="0" applyFont="1" applyBorder="1" applyAlignment="1">
      <alignment vertical="center"/>
    </xf>
    <xf numFmtId="0" fontId="52" fillId="0" borderId="80" xfId="0" applyFont="1" applyBorder="1" applyAlignment="1">
      <alignment vertical="center"/>
    </xf>
    <xf numFmtId="0" fontId="52" fillId="0" borderId="149" xfId="0" applyFont="1" applyBorder="1" applyAlignment="1">
      <alignment horizontal="left" vertical="center"/>
    </xf>
    <xf numFmtId="0" fontId="53" fillId="0" borderId="85" xfId="0" applyFont="1" applyBorder="1" applyAlignment="1">
      <alignment vertical="center"/>
    </xf>
    <xf numFmtId="0" fontId="53" fillId="0" borderId="72" xfId="0" applyFont="1" applyBorder="1" applyAlignment="1">
      <alignment vertical="center"/>
    </xf>
    <xf numFmtId="0" fontId="52" fillId="0" borderId="95" xfId="0" applyFont="1" applyBorder="1" applyAlignment="1">
      <alignment vertical="center"/>
    </xf>
    <xf numFmtId="0" fontId="53" fillId="2" borderId="72" xfId="0" applyFont="1" applyFill="1" applyBorder="1" applyAlignment="1">
      <alignment vertical="center"/>
    </xf>
    <xf numFmtId="0" fontId="52" fillId="0" borderId="96" xfId="0" applyFont="1" applyBorder="1" applyAlignment="1">
      <alignment vertical="center"/>
    </xf>
    <xf numFmtId="0" fontId="83" fillId="0" borderId="82" xfId="19" applyBorder="1" applyAlignment="1">
      <alignment horizontal="center" vertical="center"/>
    </xf>
    <xf numFmtId="0" fontId="83" fillId="0" borderId="77" xfId="19" applyBorder="1" applyAlignment="1">
      <alignment horizontal="center" vertical="center"/>
    </xf>
    <xf numFmtId="0" fontId="0" fillId="0" borderId="77" xfId="0" applyBorder="1" applyAlignment="1">
      <alignment vertical="center"/>
    </xf>
    <xf numFmtId="168" fontId="20" fillId="0" borderId="77" xfId="8" applyFont="1" applyFill="1" applyBorder="1"/>
    <xf numFmtId="0" fontId="20" fillId="0" borderId="84" xfId="17" applyFont="1" applyBorder="1" applyAlignment="1">
      <alignment horizontal="center" vertical="center"/>
    </xf>
    <xf numFmtId="44" fontId="20" fillId="0" borderId="84" xfId="18" applyFont="1" applyFill="1" applyBorder="1" applyAlignment="1">
      <alignment horizontal="center"/>
    </xf>
    <xf numFmtId="0" fontId="20" fillId="0" borderId="84" xfId="17" applyFont="1" applyBorder="1" applyAlignment="1">
      <alignment horizontal="center"/>
    </xf>
    <xf numFmtId="0" fontId="48" fillId="3" borderId="88" xfId="0" applyFont="1" applyFill="1" applyBorder="1" applyAlignment="1">
      <alignment horizontal="center" vertical="center" wrapText="1"/>
    </xf>
    <xf numFmtId="0" fontId="0" fillId="0" borderId="0" xfId="0" applyAlignment="1">
      <alignment horizontal="center" vertical="center"/>
    </xf>
    <xf numFmtId="0" fontId="52" fillId="0" borderId="70" xfId="0" applyFont="1" applyBorder="1" applyAlignment="1">
      <alignment vertical="center"/>
    </xf>
    <xf numFmtId="10" fontId="52" fillId="0" borderId="72" xfId="3" applyNumberFormat="1" applyFont="1" applyBorder="1" applyAlignment="1">
      <alignment horizontal="center" vertical="center"/>
    </xf>
    <xf numFmtId="0" fontId="49" fillId="0" borderId="88" xfId="0" applyFont="1" applyBorder="1" applyAlignment="1">
      <alignment horizontal="center" vertical="center" wrapText="1"/>
    </xf>
    <xf numFmtId="10" fontId="49" fillId="0" borderId="88" xfId="3" applyNumberFormat="1" applyFont="1" applyFill="1" applyBorder="1" applyAlignment="1">
      <alignment horizontal="center" vertical="center" wrapText="1"/>
    </xf>
    <xf numFmtId="0" fontId="71" fillId="0" borderId="88" xfId="16" applyNumberFormat="1"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wrapText="1"/>
    </xf>
    <xf numFmtId="0" fontId="19" fillId="0" borderId="84" xfId="0" applyFont="1" applyBorder="1" applyAlignment="1">
      <alignment horizontal="center" vertical="center" wrapText="1"/>
    </xf>
    <xf numFmtId="0" fontId="19" fillId="0" borderId="66" xfId="0" applyFont="1" applyBorder="1" applyAlignment="1">
      <alignment horizontal="left" vertical="center"/>
    </xf>
    <xf numFmtId="0" fontId="19" fillId="0" borderId="61" xfId="0" applyFont="1" applyBorder="1" applyAlignment="1">
      <alignment horizontal="center" vertical="center" wrapText="1"/>
    </xf>
    <xf numFmtId="0" fontId="19" fillId="0" borderId="61" xfId="0" applyFont="1" applyBorder="1" applyAlignment="1">
      <alignment horizontal="center" vertical="center"/>
    </xf>
    <xf numFmtId="0" fontId="19" fillId="2" borderId="61" xfId="0" applyFont="1" applyFill="1" applyBorder="1" applyAlignment="1">
      <alignment horizontal="left" vertical="center" wrapText="1"/>
    </xf>
    <xf numFmtId="0" fontId="19" fillId="2" borderId="61" xfId="0" applyFont="1" applyFill="1" applyBorder="1" applyAlignment="1">
      <alignment horizontal="center" vertical="center" wrapText="1"/>
    </xf>
    <xf numFmtId="176" fontId="19" fillId="2" borderId="61" xfId="10" applyNumberFormat="1" applyFont="1" applyFill="1" applyBorder="1" applyAlignment="1">
      <alignment horizontal="center" vertical="center"/>
    </xf>
    <xf numFmtId="4" fontId="19" fillId="0" borderId="61" xfId="0" applyNumberFormat="1" applyFont="1" applyBorder="1" applyAlignment="1">
      <alignment horizontal="right" vertical="center" wrapText="1"/>
    </xf>
    <xf numFmtId="4" fontId="19" fillId="2" borderId="67" xfId="10" applyNumberFormat="1" applyFont="1" applyFill="1" applyBorder="1" applyAlignment="1">
      <alignment horizontal="center" vertical="center" wrapText="1"/>
    </xf>
    <xf numFmtId="4" fontId="19" fillId="0" borderId="84" xfId="0" applyNumberFormat="1" applyFont="1" applyBorder="1" applyAlignment="1">
      <alignment horizontal="right" vertical="center" wrapText="1"/>
    </xf>
    <xf numFmtId="4" fontId="19" fillId="2" borderId="84" xfId="10" applyNumberFormat="1" applyFont="1" applyFill="1" applyBorder="1" applyAlignment="1">
      <alignment horizontal="center" vertical="center" wrapText="1"/>
    </xf>
    <xf numFmtId="0" fontId="55" fillId="0" borderId="159" xfId="0" applyFont="1" applyBorder="1" applyAlignment="1">
      <alignment horizontal="left" vertical="center"/>
    </xf>
    <xf numFmtId="0" fontId="54" fillId="0" borderId="160" xfId="0" applyFont="1" applyBorder="1"/>
    <xf numFmtId="0" fontId="55" fillId="0" borderId="161" xfId="0" applyFont="1" applyBorder="1" applyAlignment="1">
      <alignment horizontal="left" vertical="center"/>
    </xf>
    <xf numFmtId="0" fontId="55" fillId="0" borderId="162" xfId="0" applyFont="1" applyBorder="1" applyAlignment="1">
      <alignment horizontal="left" vertical="center"/>
    </xf>
    <xf numFmtId="0" fontId="54" fillId="0" borderId="163" xfId="0" applyFont="1" applyBorder="1"/>
    <xf numFmtId="0" fontId="51" fillId="17" borderId="84" xfId="0" applyFont="1" applyFill="1" applyBorder="1" applyAlignment="1">
      <alignment horizontal="center" vertical="center"/>
    </xf>
    <xf numFmtId="44" fontId="51" fillId="17" borderId="84" xfId="16" applyFont="1" applyFill="1" applyBorder="1" applyAlignment="1">
      <alignment horizontal="center" vertical="center"/>
    </xf>
    <xf numFmtId="0" fontId="90" fillId="0" borderId="84" xfId="0" applyFont="1" applyBorder="1" applyAlignment="1">
      <alignment horizontal="center" vertical="center"/>
    </xf>
    <xf numFmtId="0" fontId="19" fillId="2" borderId="84" xfId="0" applyFont="1" applyFill="1" applyBorder="1" applyAlignment="1">
      <alignment horizontal="center" vertical="center"/>
    </xf>
    <xf numFmtId="0" fontId="19" fillId="2" borderId="84" xfId="0" applyFont="1" applyFill="1" applyBorder="1" applyAlignment="1">
      <alignment horizontal="left" vertical="center" wrapText="1"/>
    </xf>
    <xf numFmtId="0" fontId="19" fillId="2" borderId="84" xfId="0" applyFont="1" applyFill="1" applyBorder="1" applyAlignment="1">
      <alignment horizontal="center" vertical="center" wrapText="1"/>
    </xf>
    <xf numFmtId="174" fontId="19" fillId="2" borderId="84" xfId="10" applyNumberFormat="1" applyFont="1" applyFill="1" applyBorder="1" applyAlignment="1">
      <alignment horizontal="center" vertical="center"/>
    </xf>
    <xf numFmtId="0" fontId="19" fillId="0" borderId="84" xfId="0" applyFont="1" applyBorder="1" applyAlignment="1">
      <alignment horizontal="left" vertical="center" wrapText="1"/>
    </xf>
    <xf numFmtId="0" fontId="52" fillId="13" borderId="84" xfId="17" applyFont="1" applyFill="1" applyBorder="1" applyAlignment="1">
      <alignment horizontal="center"/>
    </xf>
    <xf numFmtId="0" fontId="52" fillId="13" borderId="84" xfId="17" applyFont="1" applyFill="1" applyBorder="1" applyAlignment="1">
      <alignment horizontal="center" vertical="center"/>
    </xf>
    <xf numFmtId="0" fontId="67" fillId="17" borderId="84" xfId="17" applyFont="1" applyFill="1" applyBorder="1" applyAlignment="1">
      <alignment horizontal="center" vertical="center"/>
    </xf>
    <xf numFmtId="0" fontId="52" fillId="0" borderId="84" xfId="17" applyFont="1" applyBorder="1" applyAlignment="1">
      <alignment horizontal="left" vertical="center" wrapText="1"/>
    </xf>
    <xf numFmtId="0" fontId="52" fillId="0" borderId="84" xfId="17" applyFont="1" applyBorder="1" applyAlignment="1">
      <alignment horizontal="center" vertical="center"/>
    </xf>
    <xf numFmtId="14" fontId="52" fillId="2" borderId="84" xfId="17" applyNumberFormat="1" applyFont="1" applyFill="1" applyBorder="1" applyAlignment="1">
      <alignment horizontal="center" vertical="center"/>
    </xf>
    <xf numFmtId="44" fontId="52" fillId="2" borderId="84" xfId="18" applyFont="1" applyFill="1" applyBorder="1" applyAlignment="1">
      <alignment horizontal="center" vertical="center"/>
    </xf>
    <xf numFmtId="0" fontId="51" fillId="17" borderId="88" xfId="0" applyFont="1" applyFill="1" applyBorder="1" applyAlignment="1">
      <alignment horizontal="center" vertical="center" wrapText="1"/>
    </xf>
    <xf numFmtId="0" fontId="54" fillId="0" borderId="160" xfId="0" applyFont="1" applyBorder="1" applyAlignment="1">
      <alignment horizontal="left"/>
    </xf>
    <xf numFmtId="0" fontId="56" fillId="17" borderId="71" xfId="0" applyFont="1" applyFill="1" applyBorder="1" applyAlignment="1">
      <alignment vertical="center"/>
    </xf>
    <xf numFmtId="0" fontId="56" fillId="17" borderId="72" xfId="0" applyFont="1" applyFill="1" applyBorder="1" applyAlignment="1">
      <alignment vertical="center"/>
    </xf>
    <xf numFmtId="0" fontId="56" fillId="17" borderId="70" xfId="0" applyFont="1" applyFill="1" applyBorder="1" applyAlignment="1">
      <alignment vertical="center"/>
    </xf>
    <xf numFmtId="0" fontId="67" fillId="17" borderId="88" xfId="0" applyFont="1" applyFill="1" applyBorder="1" applyAlignment="1">
      <alignment horizontal="center" vertical="center"/>
    </xf>
    <xf numFmtId="0" fontId="67" fillId="17" borderId="88" xfId="0" applyFont="1" applyFill="1" applyBorder="1" applyAlignment="1">
      <alignment horizontal="center" vertical="center" wrapText="1"/>
    </xf>
    <xf numFmtId="0" fontId="52" fillId="17" borderId="71" xfId="0" applyFont="1" applyFill="1" applyBorder="1" applyAlignment="1">
      <alignment horizontal="center" vertical="center"/>
    </xf>
    <xf numFmtId="0" fontId="52" fillId="17" borderId="72" xfId="0" applyFont="1" applyFill="1" applyBorder="1" applyAlignment="1">
      <alignment horizontal="center" vertical="center"/>
    </xf>
    <xf numFmtId="0" fontId="52" fillId="17" borderId="72" xfId="0" applyFont="1" applyFill="1" applyBorder="1" applyAlignment="1">
      <alignment horizontal="right" vertical="center"/>
    </xf>
    <xf numFmtId="4" fontId="20" fillId="17" borderId="72" xfId="0" applyNumberFormat="1" applyFont="1" applyFill="1" applyBorder="1" applyAlignment="1">
      <alignment horizontal="right" vertical="center"/>
    </xf>
    <xf numFmtId="4" fontId="52" fillId="17" borderId="70" xfId="0" applyNumberFormat="1" applyFont="1" applyFill="1" applyBorder="1" applyAlignment="1">
      <alignment horizontal="right" vertical="center"/>
    </xf>
    <xf numFmtId="0" fontId="52" fillId="17" borderId="87" xfId="0" applyFont="1" applyFill="1" applyBorder="1" applyAlignment="1">
      <alignment horizontal="right" vertical="center"/>
    </xf>
    <xf numFmtId="0" fontId="52" fillId="17" borderId="71" xfId="0" applyFont="1" applyFill="1" applyBorder="1" applyAlignment="1">
      <alignment horizontal="right" vertical="center"/>
    </xf>
    <xf numFmtId="0" fontId="52" fillId="17" borderId="76" xfId="0" applyFont="1" applyFill="1" applyBorder="1" applyAlignment="1">
      <alignment horizontal="right" vertical="center"/>
    </xf>
    <xf numFmtId="0" fontId="52" fillId="17" borderId="70" xfId="0" applyFont="1" applyFill="1" applyBorder="1" applyAlignment="1">
      <alignment horizontal="right" vertical="center"/>
    </xf>
    <xf numFmtId="0" fontId="52" fillId="17" borderId="71" xfId="0" applyFont="1" applyFill="1" applyBorder="1" applyAlignment="1">
      <alignment horizontal="center" vertical="center" textRotation="90" wrapText="1"/>
    </xf>
    <xf numFmtId="0" fontId="52" fillId="17" borderId="72" xfId="0" applyFont="1" applyFill="1" applyBorder="1" applyAlignment="1">
      <alignment horizontal="center" vertical="center" textRotation="90" wrapText="1"/>
    </xf>
    <xf numFmtId="0" fontId="20" fillId="17" borderId="72" xfId="0" applyFont="1" applyFill="1" applyBorder="1" applyAlignment="1">
      <alignment horizontal="center" vertical="center" wrapText="1"/>
    </xf>
    <xf numFmtId="0" fontId="52" fillId="17" borderId="71" xfId="0" applyFont="1" applyFill="1" applyBorder="1" applyAlignment="1">
      <alignment vertical="center" textRotation="90" wrapText="1"/>
    </xf>
    <xf numFmtId="0" fontId="52" fillId="17" borderId="72" xfId="0" applyFont="1" applyFill="1" applyBorder="1" applyAlignment="1">
      <alignment horizontal="center" vertical="center" wrapText="1"/>
    </xf>
    <xf numFmtId="0" fontId="20" fillId="17" borderId="72" xfId="0" applyFont="1" applyFill="1" applyBorder="1" applyAlignment="1">
      <alignment horizontal="center" vertical="center" textRotation="90" wrapText="1"/>
    </xf>
    <xf numFmtId="0" fontId="56" fillId="17" borderId="82" xfId="0" applyFont="1" applyFill="1" applyBorder="1" applyAlignment="1">
      <alignment vertical="center"/>
    </xf>
    <xf numFmtId="0" fontId="56" fillId="17" borderId="0" xfId="0" applyFont="1" applyFill="1" applyAlignment="1">
      <alignment vertical="center"/>
    </xf>
    <xf numFmtId="0" fontId="56" fillId="17" borderId="77" xfId="0" applyFont="1" applyFill="1" applyBorder="1" applyAlignment="1">
      <alignment vertical="center"/>
    </xf>
    <xf numFmtId="0" fontId="67" fillId="17" borderId="75" xfId="0" quotePrefix="1" applyFont="1" applyFill="1" applyBorder="1" applyAlignment="1">
      <alignment horizontal="center" vertical="center"/>
    </xf>
    <xf numFmtId="0" fontId="67" fillId="17" borderId="75" xfId="0" applyFont="1" applyFill="1" applyBorder="1" applyAlignment="1">
      <alignment horizontal="center" vertical="center"/>
    </xf>
    <xf numFmtId="0" fontId="62" fillId="17" borderId="82" xfId="0" applyFont="1" applyFill="1" applyBorder="1" applyAlignment="1">
      <alignment horizontal="center" vertical="center" textRotation="90"/>
    </xf>
    <xf numFmtId="0" fontId="52" fillId="17" borderId="0" xfId="0" applyFont="1" applyFill="1" applyAlignment="1">
      <alignment horizontal="left" vertical="center"/>
    </xf>
    <xf numFmtId="4" fontId="20" fillId="17" borderId="0" xfId="0" applyNumberFormat="1" applyFont="1" applyFill="1" applyAlignment="1">
      <alignment horizontal="center" vertical="center"/>
    </xf>
    <xf numFmtId="4" fontId="46" fillId="17" borderId="77" xfId="0" applyNumberFormat="1" applyFont="1" applyFill="1" applyBorder="1" applyAlignment="1">
      <alignment horizontal="center" vertical="center"/>
    </xf>
    <xf numFmtId="0" fontId="57" fillId="17" borderId="82" xfId="0" applyFont="1" applyFill="1" applyBorder="1" applyAlignment="1">
      <alignment horizontal="center" vertical="center" wrapText="1"/>
    </xf>
    <xf numFmtId="4" fontId="52" fillId="17" borderId="77" xfId="0" applyNumberFormat="1" applyFont="1" applyFill="1" applyBorder="1" applyAlignment="1">
      <alignment horizontal="center" vertical="center"/>
    </xf>
    <xf numFmtId="0" fontId="57" fillId="17" borderId="0" xfId="0" applyFont="1" applyFill="1" applyAlignment="1">
      <alignment horizontal="center" vertical="center"/>
    </xf>
    <xf numFmtId="0" fontId="52" fillId="17" borderId="0" xfId="0" applyFont="1" applyFill="1" applyAlignment="1">
      <alignment horizontal="right" vertical="center"/>
    </xf>
    <xf numFmtId="0" fontId="52" fillId="17" borderId="0" xfId="0" applyFont="1" applyFill="1" applyAlignment="1">
      <alignment horizontal="left" vertical="center" wrapText="1"/>
    </xf>
    <xf numFmtId="0" fontId="52" fillId="17" borderId="0" xfId="0" applyFont="1" applyFill="1" applyAlignment="1">
      <alignment horizontal="right" vertical="center" wrapText="1"/>
    </xf>
    <xf numFmtId="0" fontId="48" fillId="17" borderId="104" xfId="0" applyFont="1" applyFill="1" applyBorder="1" applyAlignment="1">
      <alignment horizontal="center" vertical="center" textRotation="90" wrapText="1"/>
    </xf>
    <xf numFmtId="0" fontId="57" fillId="17" borderId="0" xfId="0" applyFont="1" applyFill="1" applyAlignment="1">
      <alignment horizontal="center" vertical="center" wrapText="1"/>
    </xf>
    <xf numFmtId="0" fontId="56" fillId="17" borderId="82" xfId="0" applyFont="1" applyFill="1" applyBorder="1" applyAlignment="1">
      <alignment vertical="center" wrapText="1"/>
    </xf>
    <xf numFmtId="0" fontId="56" fillId="17" borderId="0" xfId="0" applyFont="1" applyFill="1" applyAlignment="1">
      <alignment vertical="center" wrapText="1"/>
    </xf>
    <xf numFmtId="0" fontId="56" fillId="17" borderId="77" xfId="0" applyFont="1" applyFill="1" applyBorder="1" applyAlignment="1">
      <alignment vertical="center" wrapText="1"/>
    </xf>
    <xf numFmtId="0" fontId="51" fillId="17" borderId="122" xfId="0" applyFont="1" applyFill="1" applyBorder="1" applyAlignment="1">
      <alignment horizontal="center" vertical="center" wrapText="1"/>
    </xf>
    <xf numFmtId="0" fontId="48" fillId="17" borderId="0" xfId="0" applyFont="1" applyFill="1" applyAlignment="1">
      <alignment horizontal="left" vertical="center"/>
    </xf>
    <xf numFmtId="4" fontId="19" fillId="17" borderId="0" xfId="0" applyNumberFormat="1" applyFont="1" applyFill="1" applyAlignment="1">
      <alignment horizontal="center" vertical="center"/>
    </xf>
    <xf numFmtId="4" fontId="62" fillId="17" borderId="109" xfId="0" applyNumberFormat="1" applyFont="1" applyFill="1" applyBorder="1" applyAlignment="1">
      <alignment horizontal="center" vertical="center"/>
    </xf>
    <xf numFmtId="0" fontId="47" fillId="17" borderId="108" xfId="0" applyFont="1" applyFill="1" applyBorder="1" applyAlignment="1">
      <alignment vertical="center"/>
    </xf>
    <xf numFmtId="0" fontId="47" fillId="17" borderId="0" xfId="0" applyFont="1" applyFill="1" applyAlignment="1">
      <alignment vertical="center"/>
    </xf>
    <xf numFmtId="0" fontId="48" fillId="17" borderId="109" xfId="0" applyFont="1" applyFill="1" applyBorder="1" applyAlignment="1">
      <alignment horizontal="left" vertical="center"/>
    </xf>
    <xf numFmtId="0" fontId="67" fillId="17" borderId="72" xfId="0" applyFont="1" applyFill="1" applyBorder="1" applyAlignment="1">
      <alignment horizontal="center" vertical="center" wrapText="1"/>
    </xf>
    <xf numFmtId="0" fontId="67" fillId="17" borderId="70" xfId="0" applyFont="1" applyFill="1" applyBorder="1" applyAlignment="1">
      <alignment horizontal="center" vertical="center" wrapText="1"/>
    </xf>
    <xf numFmtId="0" fontId="71" fillId="0" borderId="0" xfId="0" applyFont="1"/>
    <xf numFmtId="0" fontId="58" fillId="0" borderId="0" xfId="0" applyFont="1"/>
    <xf numFmtId="2" fontId="71" fillId="0" borderId="0" xfId="0" applyNumberFormat="1" applyFont="1"/>
    <xf numFmtId="10" fontId="90" fillId="0" borderId="0" xfId="0" applyNumberFormat="1" applyFont="1"/>
    <xf numFmtId="0" fontId="74" fillId="0" borderId="0" xfId="0" applyFont="1"/>
    <xf numFmtId="0" fontId="74" fillId="0" borderId="0" xfId="0" applyFont="1" applyAlignment="1">
      <alignment horizontal="center" vertical="center" wrapText="1"/>
    </xf>
    <xf numFmtId="0" fontId="60" fillId="0" borderId="72" xfId="0" applyFont="1" applyBorder="1" applyAlignment="1">
      <alignment horizontal="right"/>
    </xf>
    <xf numFmtId="0" fontId="60" fillId="0" borderId="70" xfId="0" applyFont="1" applyBorder="1"/>
    <xf numFmtId="0" fontId="60" fillId="0" borderId="72" xfId="0" applyFont="1" applyBorder="1" applyAlignment="1">
      <alignment horizontal="right" vertical="center"/>
    </xf>
    <xf numFmtId="165" fontId="60" fillId="0" borderId="70" xfId="0" applyNumberFormat="1" applyFont="1" applyBorder="1" applyAlignment="1">
      <alignment horizontal="left" vertical="center"/>
    </xf>
    <xf numFmtId="4" fontId="45" fillId="0" borderId="0" xfId="0" applyNumberFormat="1" applyFont="1"/>
    <xf numFmtId="0" fontId="19" fillId="0" borderId="0" xfId="7" applyFont="1"/>
    <xf numFmtId="0" fontId="19" fillId="0" borderId="0" xfId="19" applyFont="1" applyAlignment="1">
      <alignment horizontal="center" vertical="center"/>
    </xf>
    <xf numFmtId="0" fontId="19" fillId="0" borderId="0" xfId="7" applyFont="1" applyAlignment="1">
      <alignment horizontal="center"/>
    </xf>
    <xf numFmtId="165" fontId="20" fillId="3" borderId="88" xfId="0" applyNumberFormat="1" applyFont="1" applyFill="1" applyBorder="1" applyAlignment="1">
      <alignment horizontal="right" vertical="center"/>
    </xf>
    <xf numFmtId="0" fontId="53" fillId="0" borderId="165" xfId="0" applyFont="1" applyBorder="1" applyAlignment="1">
      <alignment vertical="center"/>
    </xf>
    <xf numFmtId="0" fontId="53" fillId="0" borderId="165" xfId="0" applyFont="1" applyBorder="1" applyAlignment="1">
      <alignment vertical="center" wrapText="1"/>
    </xf>
    <xf numFmtId="0" fontId="53" fillId="0" borderId="166" xfId="0" applyFont="1" applyBorder="1" applyAlignment="1">
      <alignment vertical="center" wrapText="1"/>
    </xf>
    <xf numFmtId="0" fontId="53" fillId="0" borderId="169" xfId="0" applyFont="1" applyBorder="1" applyAlignment="1">
      <alignment vertical="center" wrapText="1"/>
    </xf>
    <xf numFmtId="0" fontId="53" fillId="0" borderId="170" xfId="0" applyFont="1" applyBorder="1" applyAlignment="1">
      <alignment vertical="center" wrapText="1"/>
    </xf>
    <xf numFmtId="0" fontId="53" fillId="0" borderId="173" xfId="0" applyFont="1" applyBorder="1" applyAlignment="1">
      <alignment vertical="center"/>
    </xf>
    <xf numFmtId="0" fontId="53" fillId="0" borderId="173" xfId="0" applyFont="1" applyBorder="1" applyAlignment="1">
      <alignment vertical="center" wrapText="1"/>
    </xf>
    <xf numFmtId="0" fontId="49" fillId="0" borderId="174" xfId="0" applyFont="1" applyBorder="1" applyAlignment="1">
      <alignment vertical="center" wrapText="1"/>
    </xf>
    <xf numFmtId="169" fontId="84" fillId="17" borderId="178" xfId="0" applyNumberFormat="1" applyFont="1" applyFill="1" applyBorder="1" applyAlignment="1" applyProtection="1">
      <alignment horizontal="center" vertical="center"/>
      <protection locked="0" hidden="1"/>
    </xf>
    <xf numFmtId="0" fontId="61" fillId="0" borderId="178" xfId="0" applyFont="1" applyBorder="1" applyAlignment="1" applyProtection="1">
      <alignment horizontal="center" vertical="center"/>
      <protection locked="0" hidden="1"/>
    </xf>
    <xf numFmtId="0" fontId="61" fillId="0" borderId="182" xfId="0" applyFont="1" applyBorder="1" applyAlignment="1" applyProtection="1">
      <alignment horizontal="center" vertical="center"/>
      <protection locked="0" hidden="1"/>
    </xf>
    <xf numFmtId="2" fontId="61" fillId="0" borderId="180" xfId="0" applyNumberFormat="1" applyFont="1" applyBorder="1" applyAlignment="1" applyProtection="1">
      <alignment horizontal="center" vertical="center"/>
      <protection locked="0" hidden="1"/>
    </xf>
    <xf numFmtId="0" fontId="61" fillId="0" borderId="180" xfId="0" applyFont="1" applyBorder="1" applyAlignment="1" applyProtection="1">
      <alignment horizontal="center" vertical="center"/>
      <protection locked="0" hidden="1"/>
    </xf>
    <xf numFmtId="169" fontId="84" fillId="17" borderId="180" xfId="0" applyNumberFormat="1" applyFont="1" applyFill="1" applyBorder="1" applyAlignment="1" applyProtection="1">
      <alignment horizontal="center" vertical="center"/>
      <protection locked="0" hidden="1"/>
    </xf>
    <xf numFmtId="169" fontId="61" fillId="0" borderId="180" xfId="0" applyNumberFormat="1" applyFont="1" applyBorder="1" applyAlignment="1">
      <alignment horizontal="center" vertical="center"/>
    </xf>
    <xf numFmtId="0" fontId="61" fillId="0" borderId="183" xfId="0" applyFont="1" applyBorder="1" applyAlignment="1" applyProtection="1">
      <alignment horizontal="center" vertical="center"/>
      <protection locked="0" hidden="1"/>
    </xf>
    <xf numFmtId="2" fontId="61" fillId="0" borderId="184" xfId="0" applyNumberFormat="1" applyFont="1" applyBorder="1" applyAlignment="1" applyProtection="1">
      <alignment horizontal="center" vertical="center"/>
      <protection locked="0" hidden="1"/>
    </xf>
    <xf numFmtId="0" fontId="61" fillId="0" borderId="184" xfId="0" applyFont="1" applyBorder="1" applyAlignment="1" applyProtection="1">
      <alignment horizontal="center" vertical="center"/>
      <protection locked="0" hidden="1"/>
    </xf>
    <xf numFmtId="169" fontId="84" fillId="17" borderId="184" xfId="0" applyNumberFormat="1" applyFont="1" applyFill="1" applyBorder="1" applyAlignment="1" applyProtection="1">
      <alignment horizontal="center" vertical="center"/>
      <protection locked="0" hidden="1"/>
    </xf>
    <xf numFmtId="2" fontId="71" fillId="0" borderId="184" xfId="10" applyNumberFormat="1" applyFont="1" applyFill="1" applyBorder="1" applyAlignment="1" applyProtection="1">
      <alignment horizontal="center" vertical="center"/>
      <protection locked="0" hidden="1"/>
    </xf>
    <xf numFmtId="2" fontId="61" fillId="0" borderId="184" xfId="10" applyNumberFormat="1" applyFont="1" applyFill="1" applyBorder="1" applyAlignment="1" applyProtection="1">
      <alignment horizontal="center" vertical="center"/>
      <protection locked="0" hidden="1"/>
    </xf>
    <xf numFmtId="0" fontId="61" fillId="0" borderId="100" xfId="0" applyFont="1" applyBorder="1" applyAlignment="1" applyProtection="1">
      <alignment horizontal="center" vertical="center"/>
      <protection locked="0" hidden="1"/>
    </xf>
    <xf numFmtId="2" fontId="61" fillId="0" borderId="100" xfId="0" applyNumberFormat="1" applyFont="1" applyBorder="1" applyAlignment="1" applyProtection="1">
      <alignment horizontal="center" vertical="center"/>
      <protection locked="0" hidden="1"/>
    </xf>
    <xf numFmtId="0" fontId="61" fillId="0" borderId="0" xfId="0" applyFont="1" applyProtection="1">
      <protection locked="0" hidden="1"/>
    </xf>
    <xf numFmtId="0" fontId="61" fillId="0" borderId="96" xfId="0" applyFont="1" applyBorder="1" applyAlignment="1" applyProtection="1">
      <alignment horizontal="center" vertical="center"/>
      <protection locked="0" hidden="1"/>
    </xf>
    <xf numFmtId="171" fontId="61" fillId="0" borderId="96" xfId="0" applyNumberFormat="1" applyFont="1" applyBorder="1" applyAlignment="1" applyProtection="1">
      <alignment horizontal="center" vertical="center"/>
      <protection locked="0" hidden="1"/>
    </xf>
    <xf numFmtId="0" fontId="61" fillId="0" borderId="185" xfId="0" applyFont="1" applyBorder="1" applyAlignment="1" applyProtection="1">
      <alignment vertical="center"/>
      <protection locked="0" hidden="1"/>
    </xf>
    <xf numFmtId="0" fontId="61" fillId="0" borderId="100" xfId="0" applyFont="1" applyBorder="1" applyAlignment="1" applyProtection="1">
      <alignment vertical="center"/>
      <protection locked="0" hidden="1"/>
    </xf>
    <xf numFmtId="0" fontId="62" fillId="0" borderId="100" xfId="0" applyFont="1" applyBorder="1" applyAlignment="1" applyProtection="1">
      <alignment horizontal="center" vertical="center"/>
      <protection locked="0" hidden="1"/>
    </xf>
    <xf numFmtId="0" fontId="61" fillId="0" borderId="186" xfId="0" applyFont="1" applyBorder="1" applyAlignment="1" applyProtection="1">
      <alignment vertical="center"/>
      <protection locked="0" hidden="1"/>
    </xf>
    <xf numFmtId="0" fontId="61" fillId="0" borderId="96" xfId="0" applyFont="1" applyBorder="1" applyAlignment="1" applyProtection="1">
      <alignment vertical="center"/>
      <protection locked="0" hidden="1"/>
    </xf>
    <xf numFmtId="2" fontId="62" fillId="0" borderId="96" xfId="0" applyNumberFormat="1" applyFont="1" applyBorder="1" applyAlignment="1" applyProtection="1">
      <alignment horizontal="center" vertical="center"/>
      <protection locked="0" hidden="1"/>
    </xf>
    <xf numFmtId="0" fontId="61" fillId="0" borderId="186" xfId="0" applyFont="1" applyBorder="1" applyProtection="1">
      <protection locked="0" hidden="1"/>
    </xf>
    <xf numFmtId="0" fontId="61" fillId="0" borderId="96" xfId="0" applyFont="1" applyBorder="1" applyProtection="1">
      <protection locked="0" hidden="1"/>
    </xf>
    <xf numFmtId="0" fontId="61" fillId="0" borderId="187" xfId="0" applyFont="1" applyBorder="1" applyProtection="1">
      <protection locked="0" hidden="1"/>
    </xf>
    <xf numFmtId="0" fontId="61" fillId="0" borderId="188" xfId="0" applyFont="1" applyBorder="1" applyProtection="1">
      <protection locked="0" hidden="1"/>
    </xf>
    <xf numFmtId="2" fontId="62" fillId="0" borderId="188" xfId="0" applyNumberFormat="1" applyFont="1" applyBorder="1" applyAlignment="1" applyProtection="1">
      <alignment horizontal="center" vertical="center"/>
      <protection locked="0" hidden="1"/>
    </xf>
    <xf numFmtId="0" fontId="45" fillId="0" borderId="180" xfId="0" applyFont="1" applyBorder="1" applyAlignment="1">
      <alignment horizontal="right" vertical="center"/>
    </xf>
    <xf numFmtId="169" fontId="45" fillId="0" borderId="180" xfId="0" applyNumberFormat="1" applyFont="1" applyBorder="1" applyAlignment="1">
      <alignment horizontal="center" vertical="center"/>
    </xf>
    <xf numFmtId="0" fontId="45" fillId="0" borderId="180" xfId="0" applyFont="1" applyBorder="1" applyAlignment="1">
      <alignment horizontal="center" vertical="center"/>
    </xf>
    <xf numFmtId="0" fontId="45" fillId="0" borderId="189" xfId="0" applyFont="1" applyBorder="1" applyAlignment="1">
      <alignment horizontal="center" vertical="center"/>
    </xf>
    <xf numFmtId="0" fontId="53" fillId="0" borderId="190" xfId="0" applyFont="1" applyBorder="1" applyAlignment="1">
      <alignment vertical="center" wrapText="1"/>
    </xf>
    <xf numFmtId="0" fontId="91" fillId="17" borderId="191" xfId="0" applyFont="1" applyFill="1" applyBorder="1" applyAlignment="1" applyProtection="1">
      <alignment vertical="center" wrapText="1"/>
      <protection locked="0" hidden="1"/>
    </xf>
    <xf numFmtId="2" fontId="93" fillId="0" borderId="191" xfId="0" applyNumberFormat="1" applyFont="1" applyBorder="1" applyAlignment="1" applyProtection="1">
      <alignment vertical="center"/>
      <protection locked="0" hidden="1"/>
    </xf>
    <xf numFmtId="0" fontId="61" fillId="0" borderId="191" xfId="0" applyFont="1" applyBorder="1" applyAlignment="1" applyProtection="1">
      <alignment horizontal="left" vertical="center"/>
      <protection locked="0" hidden="1"/>
    </xf>
    <xf numFmtId="0" fontId="61" fillId="0" borderId="164" xfId="0" applyFont="1" applyBorder="1" applyProtection="1">
      <protection locked="0" hidden="1"/>
    </xf>
    <xf numFmtId="2" fontId="61" fillId="0" borderId="164" xfId="0" applyNumberFormat="1" applyFont="1" applyBorder="1" applyAlignment="1" applyProtection="1">
      <alignment horizontal="center" vertical="center"/>
      <protection locked="0" hidden="1"/>
    </xf>
    <xf numFmtId="171" fontId="61" fillId="0" borderId="164" xfId="0" applyNumberFormat="1" applyFont="1" applyBorder="1" applyAlignment="1" applyProtection="1">
      <alignment horizontal="center" vertical="center"/>
      <protection locked="0" hidden="1"/>
    </xf>
    <xf numFmtId="0" fontId="61" fillId="2" borderId="192" xfId="0" applyFont="1" applyFill="1" applyBorder="1" applyAlignment="1" applyProtection="1">
      <alignment horizontal="center" vertical="center"/>
      <protection locked="0" hidden="1"/>
    </xf>
    <xf numFmtId="0" fontId="61" fillId="2" borderId="84" xfId="0" applyFont="1" applyFill="1" applyBorder="1" applyAlignment="1" applyProtection="1">
      <alignment horizontal="center" vertical="center"/>
      <protection locked="0" hidden="1"/>
    </xf>
    <xf numFmtId="2" fontId="84" fillId="17" borderId="84" xfId="0" applyNumberFormat="1" applyFont="1" applyFill="1" applyBorder="1" applyAlignment="1" applyProtection="1">
      <alignment horizontal="center" vertical="center"/>
      <protection locked="0" hidden="1"/>
    </xf>
    <xf numFmtId="4" fontId="84" fillId="17" borderId="84" xfId="0" applyNumberFormat="1" applyFont="1" applyFill="1" applyBorder="1" applyAlignment="1" applyProtection="1">
      <alignment horizontal="center" vertical="center"/>
      <protection locked="0" hidden="1"/>
    </xf>
    <xf numFmtId="164" fontId="61" fillId="2" borderId="84" xfId="0" applyNumberFormat="1" applyFont="1" applyFill="1" applyBorder="1" applyAlignment="1" applyProtection="1">
      <alignment horizontal="center" vertical="center"/>
      <protection locked="0" hidden="1"/>
    </xf>
    <xf numFmtId="2" fontId="61" fillId="2" borderId="84" xfId="0" applyNumberFormat="1" applyFont="1" applyFill="1" applyBorder="1" applyAlignment="1" applyProtection="1">
      <alignment horizontal="center" vertical="center"/>
      <protection locked="0" hidden="1"/>
    </xf>
    <xf numFmtId="1" fontId="61" fillId="2" borderId="84" xfId="0" applyNumberFormat="1" applyFont="1" applyFill="1" applyBorder="1" applyAlignment="1" applyProtection="1">
      <alignment horizontal="center" vertical="center"/>
      <protection locked="0" hidden="1"/>
    </xf>
    <xf numFmtId="172" fontId="84" fillId="17" borderId="84" xfId="0" applyNumberFormat="1" applyFont="1" applyFill="1" applyBorder="1" applyAlignment="1" applyProtection="1">
      <alignment horizontal="center" vertical="center"/>
      <protection locked="0" hidden="1"/>
    </xf>
    <xf numFmtId="172" fontId="61" fillId="2" borderId="84" xfId="0" applyNumberFormat="1" applyFont="1" applyFill="1" applyBorder="1" applyAlignment="1" applyProtection="1">
      <alignment horizontal="center" vertical="center"/>
      <protection locked="0" hidden="1"/>
    </xf>
    <xf numFmtId="165" fontId="61" fillId="2" borderId="84" xfId="0" applyNumberFormat="1" applyFont="1" applyFill="1" applyBorder="1" applyAlignment="1" applyProtection="1">
      <alignment horizontal="center" vertical="center"/>
      <protection locked="0" hidden="1"/>
    </xf>
    <xf numFmtId="169" fontId="61" fillId="2" borderId="84" xfId="0" applyNumberFormat="1" applyFont="1" applyFill="1" applyBorder="1" applyAlignment="1">
      <alignment horizontal="center"/>
    </xf>
    <xf numFmtId="2" fontId="84" fillId="17" borderId="84" xfId="0" applyNumberFormat="1" applyFont="1" applyFill="1" applyBorder="1" applyAlignment="1">
      <alignment horizontal="center"/>
    </xf>
    <xf numFmtId="175" fontId="61" fillId="2" borderId="197" xfId="0" applyNumberFormat="1" applyFont="1" applyFill="1" applyBorder="1" applyAlignment="1">
      <alignment horizontal="center"/>
    </xf>
    <xf numFmtId="169" fontId="23" fillId="0" borderId="0" xfId="0" applyNumberFormat="1" applyFont="1" applyAlignment="1" applyProtection="1">
      <alignment horizontal="center" vertical="center"/>
      <protection locked="0" hidden="1"/>
    </xf>
    <xf numFmtId="170" fontId="23" fillId="0" borderId="0" xfId="0" applyNumberFormat="1" applyFont="1" applyAlignment="1" applyProtection="1">
      <alignment horizontal="center" vertical="center"/>
      <protection locked="0" hidden="1"/>
    </xf>
    <xf numFmtId="0" fontId="10" fillId="0" borderId="0" xfId="0" applyFont="1" applyAlignment="1">
      <alignment horizontal="center"/>
    </xf>
    <xf numFmtId="0" fontId="23" fillId="0" borderId="84" xfId="0" applyFont="1" applyBorder="1" applyAlignment="1" applyProtection="1">
      <alignment horizontal="center" vertical="center"/>
      <protection locked="0" hidden="1"/>
    </xf>
    <xf numFmtId="0" fontId="41" fillId="9" borderId="84" xfId="0" applyFont="1" applyFill="1" applyBorder="1"/>
    <xf numFmtId="2" fontId="41" fillId="9" borderId="84" xfId="0" applyNumberFormat="1" applyFont="1" applyFill="1" applyBorder="1"/>
    <xf numFmtId="10" fontId="41" fillId="9" borderId="84" xfId="0" applyNumberFormat="1" applyFont="1" applyFill="1" applyBorder="1"/>
    <xf numFmtId="0" fontId="19" fillId="0" borderId="0" xfId="0" applyFont="1" applyAlignment="1">
      <alignment horizontal="center" vertical="center"/>
    </xf>
    <xf numFmtId="0" fontId="19" fillId="2" borderId="0" xfId="0" applyFont="1" applyFill="1" applyAlignment="1">
      <alignment horizontal="left" vertical="center" wrapText="1"/>
    </xf>
    <xf numFmtId="0" fontId="19" fillId="2" borderId="0" xfId="0" applyFont="1" applyFill="1" applyAlignment="1">
      <alignment horizontal="center" vertical="center" wrapText="1"/>
    </xf>
    <xf numFmtId="176" fontId="19" fillId="2" borderId="0" xfId="10" applyNumberFormat="1" applyFont="1" applyFill="1" applyBorder="1" applyAlignment="1">
      <alignment horizontal="center" vertical="center"/>
    </xf>
    <xf numFmtId="4" fontId="19" fillId="0" borderId="0" xfId="0" applyNumberFormat="1" applyFont="1" applyAlignment="1">
      <alignment horizontal="right" vertical="center" wrapText="1"/>
    </xf>
    <xf numFmtId="4" fontId="19" fillId="2" borderId="0" xfId="10" applyNumberFormat="1" applyFont="1" applyFill="1" applyBorder="1" applyAlignment="1">
      <alignment horizontal="center" vertical="center" wrapText="1"/>
    </xf>
    <xf numFmtId="0" fontId="57" fillId="11" borderId="0" xfId="0" applyFont="1" applyFill="1" applyAlignment="1">
      <alignment horizontal="center" vertical="center" wrapText="1"/>
    </xf>
    <xf numFmtId="169" fontId="45" fillId="0" borderId="0" xfId="0" applyNumberFormat="1" applyFont="1"/>
    <xf numFmtId="0" fontId="45" fillId="0" borderId="0" xfId="0" applyFont="1" applyAlignment="1">
      <alignment wrapText="1"/>
    </xf>
    <xf numFmtId="0" fontId="0" fillId="0" borderId="0" xfId="0" applyAlignment="1">
      <alignment wrapText="1"/>
    </xf>
    <xf numFmtId="0" fontId="51" fillId="17" borderId="71" xfId="0" applyFont="1" applyFill="1" applyBorder="1" applyAlignment="1">
      <alignment horizontal="center" vertical="center" wrapText="1"/>
    </xf>
    <xf numFmtId="4" fontId="19" fillId="3" borderId="71" xfId="0" applyNumberFormat="1" applyFont="1" applyFill="1" applyBorder="1" applyAlignment="1">
      <alignment horizontal="center" vertical="center"/>
    </xf>
    <xf numFmtId="0" fontId="59" fillId="0" borderId="213" xfId="0" applyFont="1" applyBorder="1" applyAlignment="1">
      <alignment horizontal="center" vertical="center" wrapText="1"/>
    </xf>
    <xf numFmtId="0" fontId="45" fillId="0" borderId="215" xfId="0" applyFont="1" applyBorder="1"/>
    <xf numFmtId="0" fontId="45" fillId="0" borderId="216" xfId="0" applyFont="1" applyBorder="1"/>
    <xf numFmtId="0" fontId="61" fillId="0" borderId="216" xfId="0" applyFont="1" applyBorder="1"/>
    <xf numFmtId="0" fontId="45" fillId="0" borderId="216" xfId="0" applyFont="1" applyBorder="1" applyAlignment="1">
      <alignment horizontal="center" vertical="center"/>
    </xf>
    <xf numFmtId="0" fontId="45" fillId="0" borderId="217" xfId="0" applyFont="1" applyBorder="1"/>
    <xf numFmtId="0" fontId="45" fillId="0" borderId="54" xfId="0" applyFont="1" applyBorder="1"/>
    <xf numFmtId="0" fontId="45" fillId="0" borderId="14" xfId="0" applyFont="1" applyBorder="1"/>
    <xf numFmtId="0" fontId="20" fillId="0" borderId="135" xfId="0" applyFont="1" applyBorder="1" applyAlignment="1">
      <alignment horizontal="right" vertical="center" wrapText="1"/>
    </xf>
    <xf numFmtId="0" fontId="55" fillId="0" borderId="54" xfId="0" applyFont="1" applyBorder="1" applyAlignment="1">
      <alignment horizontal="center" wrapText="1"/>
    </xf>
    <xf numFmtId="0" fontId="55" fillId="0" borderId="0" xfId="0" applyFont="1" applyAlignment="1">
      <alignment horizontal="center" wrapText="1"/>
    </xf>
    <xf numFmtId="0" fontId="55" fillId="0" borderId="14" xfId="0" applyFont="1" applyBorder="1" applyAlignment="1">
      <alignment horizontal="center" wrapText="1"/>
    </xf>
    <xf numFmtId="0" fontId="51" fillId="17" borderId="214" xfId="0" applyFont="1" applyFill="1" applyBorder="1" applyAlignment="1">
      <alignment horizontal="center" vertical="center" wrapText="1"/>
    </xf>
    <xf numFmtId="0" fontId="53" fillId="3" borderId="219" xfId="0" applyFont="1" applyFill="1" applyBorder="1" applyAlignment="1">
      <alignment vertical="center" wrapText="1"/>
    </xf>
    <xf numFmtId="0" fontId="53" fillId="3" borderId="220" xfId="0" applyFont="1" applyFill="1" applyBorder="1" applyAlignment="1">
      <alignment horizontal="center" vertical="center" wrapText="1"/>
    </xf>
    <xf numFmtId="0" fontId="48" fillId="3" borderId="220" xfId="0" applyFont="1" applyFill="1" applyBorder="1" applyAlignment="1">
      <alignment vertical="center" wrapText="1"/>
    </xf>
    <xf numFmtId="0" fontId="48" fillId="3" borderId="220" xfId="0" applyFont="1" applyFill="1" applyBorder="1" applyAlignment="1">
      <alignment horizontal="center" vertical="center" wrapText="1"/>
    </xf>
    <xf numFmtId="0" fontId="52" fillId="3" borderId="221" xfId="0" applyFont="1" applyFill="1" applyBorder="1" applyAlignment="1">
      <alignment horizontal="center" wrapText="1"/>
    </xf>
    <xf numFmtId="44" fontId="51" fillId="17" borderId="214" xfId="16" applyFont="1" applyFill="1" applyBorder="1" applyAlignment="1">
      <alignment horizontal="center" vertical="center" wrapText="1"/>
    </xf>
    <xf numFmtId="0" fontId="19" fillId="2" borderId="214" xfId="0" applyFont="1" applyFill="1" applyBorder="1" applyAlignment="1">
      <alignment horizontal="center" vertical="center" wrapText="1"/>
    </xf>
    <xf numFmtId="0" fontId="19" fillId="0" borderId="214" xfId="0" applyFont="1" applyBorder="1" applyAlignment="1">
      <alignment horizontal="center" vertical="center" wrapText="1"/>
    </xf>
    <xf numFmtId="0" fontId="19" fillId="2" borderId="214" xfId="0" applyFont="1" applyFill="1" applyBorder="1" applyAlignment="1">
      <alignment horizontal="left" vertical="center" wrapText="1"/>
    </xf>
    <xf numFmtId="176" fontId="19" fillId="2" borderId="214" xfId="10" applyNumberFormat="1" applyFont="1" applyFill="1" applyBorder="1" applyAlignment="1">
      <alignment horizontal="center" vertical="center" wrapText="1"/>
    </xf>
    <xf numFmtId="4" fontId="19" fillId="0" borderId="214" xfId="0" applyNumberFormat="1" applyFont="1" applyBorder="1" applyAlignment="1">
      <alignment horizontal="right" vertical="center" wrapText="1"/>
    </xf>
    <xf numFmtId="4" fontId="19" fillId="2" borderId="214" xfId="10" applyNumberFormat="1" applyFont="1" applyFill="1" applyBorder="1" applyAlignment="1">
      <alignment horizontal="center" vertical="center" wrapText="1"/>
    </xf>
    <xf numFmtId="0" fontId="45" fillId="0" borderId="54" xfId="0" applyFont="1" applyBorder="1" applyAlignment="1">
      <alignment wrapText="1"/>
    </xf>
    <xf numFmtId="0" fontId="45" fillId="0" borderId="14" xfId="0" applyFont="1" applyBorder="1" applyAlignment="1">
      <alignment wrapText="1"/>
    </xf>
    <xf numFmtId="170" fontId="45" fillId="0" borderId="0" xfId="0" applyNumberFormat="1" applyFont="1"/>
    <xf numFmtId="7" fontId="51" fillId="17" borderId="214" xfId="0" applyNumberFormat="1" applyFont="1" applyFill="1" applyBorder="1" applyAlignment="1">
      <alignment horizontal="center" vertical="center" wrapText="1"/>
    </xf>
    <xf numFmtId="0" fontId="54" fillId="0" borderId="48" xfId="0" applyFont="1" applyBorder="1" applyAlignment="1">
      <alignment horizontal="center" vertical="center"/>
    </xf>
    <xf numFmtId="0" fontId="54" fillId="0" borderId="49" xfId="0" applyFont="1" applyBorder="1" applyAlignment="1">
      <alignment horizontal="center" vertical="center"/>
    </xf>
    <xf numFmtId="0" fontId="54" fillId="0" borderId="50" xfId="0" applyFont="1" applyBorder="1" applyAlignment="1">
      <alignment horizontal="center" vertical="center"/>
    </xf>
    <xf numFmtId="0" fontId="54" fillId="0" borderId="51" xfId="0" applyFont="1" applyBorder="1" applyAlignment="1">
      <alignment horizontal="center" vertical="center"/>
    </xf>
    <xf numFmtId="0" fontId="54" fillId="0" borderId="52" xfId="0" applyFont="1" applyBorder="1" applyAlignment="1">
      <alignment horizontal="center" vertical="center"/>
    </xf>
    <xf numFmtId="0" fontId="54" fillId="0" borderId="53" xfId="0" applyFont="1" applyBorder="1" applyAlignment="1">
      <alignment horizontal="center" vertical="center"/>
    </xf>
    <xf numFmtId="0" fontId="56" fillId="11" borderId="68" xfId="0" applyFont="1" applyFill="1" applyBorder="1" applyAlignment="1">
      <alignment horizontal="center" vertical="center"/>
    </xf>
    <xf numFmtId="0" fontId="56" fillId="11" borderId="69" xfId="0" applyFont="1" applyFill="1" applyBorder="1" applyAlignment="1">
      <alignment horizontal="center" vertical="center"/>
    </xf>
    <xf numFmtId="0" fontId="54" fillId="0" borderId="52" xfId="0" applyFont="1" applyBorder="1" applyAlignment="1">
      <alignment horizontal="center"/>
    </xf>
    <xf numFmtId="0" fontId="54" fillId="0" borderId="53" xfId="0" applyFont="1" applyBorder="1" applyAlignment="1">
      <alignment horizontal="center"/>
    </xf>
    <xf numFmtId="0" fontId="54" fillId="0" borderId="46" xfId="0" applyFont="1" applyBorder="1" applyAlignment="1">
      <alignment horizontal="center"/>
    </xf>
    <xf numFmtId="0" fontId="54" fillId="0" borderId="47" xfId="0" applyFont="1" applyBorder="1" applyAlignment="1">
      <alignment horizontal="center"/>
    </xf>
    <xf numFmtId="0" fontId="52" fillId="3" borderId="71" xfId="0" applyFont="1" applyFill="1" applyBorder="1" applyAlignment="1">
      <alignment horizontal="center" vertical="center"/>
    </xf>
    <xf numFmtId="0" fontId="52" fillId="3" borderId="72" xfId="0" applyFont="1" applyFill="1" applyBorder="1" applyAlignment="1">
      <alignment horizontal="center" vertical="center"/>
    </xf>
    <xf numFmtId="0" fontId="52" fillId="3" borderId="70" xfId="0" applyFont="1" applyFill="1" applyBorder="1" applyAlignment="1">
      <alignment horizontal="center" vertical="center"/>
    </xf>
    <xf numFmtId="0" fontId="71" fillId="0" borderId="88" xfId="0" applyFont="1" applyBorder="1" applyAlignment="1">
      <alignment horizontal="left" vertical="center" wrapText="1"/>
    </xf>
    <xf numFmtId="0" fontId="56" fillId="11" borderId="54" xfId="0" applyFont="1" applyFill="1" applyBorder="1" applyAlignment="1">
      <alignment horizontal="center" vertical="center"/>
    </xf>
    <xf numFmtId="0" fontId="56" fillId="11" borderId="0" xfId="0" applyFont="1" applyFill="1" applyAlignment="1">
      <alignment horizontal="center" vertical="center"/>
    </xf>
    <xf numFmtId="0" fontId="56" fillId="11" borderId="77" xfId="0" applyFont="1" applyFill="1" applyBorder="1" applyAlignment="1">
      <alignment horizontal="center" vertical="center"/>
    </xf>
    <xf numFmtId="0" fontId="52" fillId="3" borderId="72" xfId="0" applyFont="1" applyFill="1" applyBorder="1" applyAlignment="1">
      <alignment horizontal="center" vertical="center" wrapText="1"/>
    </xf>
    <xf numFmtId="0" fontId="52" fillId="3" borderId="70" xfId="0" applyFont="1" applyFill="1" applyBorder="1" applyAlignment="1">
      <alignment horizontal="center" vertical="center" wrapText="1"/>
    </xf>
    <xf numFmtId="0" fontId="61" fillId="0" borderId="71" xfId="0" applyFont="1" applyBorder="1" applyAlignment="1">
      <alignment horizontal="center" wrapText="1"/>
    </xf>
    <xf numFmtId="0" fontId="61" fillId="0" borderId="72" xfId="0" applyFont="1" applyBorder="1" applyAlignment="1">
      <alignment horizontal="center" wrapText="1"/>
    </xf>
    <xf numFmtId="0" fontId="61" fillId="0" borderId="70" xfId="0" applyFont="1" applyBorder="1" applyAlignment="1">
      <alignment horizontal="center" wrapText="1"/>
    </xf>
    <xf numFmtId="0" fontId="60" fillId="0" borderId="82" xfId="0" applyFont="1" applyBorder="1" applyAlignment="1">
      <alignment horizontal="center" wrapText="1"/>
    </xf>
    <xf numFmtId="0" fontId="60" fillId="0" borderId="0" xfId="0" applyFont="1" applyAlignment="1">
      <alignment horizontal="center" wrapText="1"/>
    </xf>
    <xf numFmtId="0" fontId="52" fillId="0" borderId="72" xfId="0" applyFont="1" applyBorder="1" applyAlignment="1">
      <alignment horizontal="left" vertical="center"/>
    </xf>
    <xf numFmtId="0" fontId="52" fillId="0" borderId="70" xfId="0" applyFont="1" applyBorder="1" applyAlignment="1">
      <alignment horizontal="left" vertical="center"/>
    </xf>
    <xf numFmtId="0" fontId="59" fillId="0" borderId="72" xfId="0" applyFont="1" applyBorder="1" applyAlignment="1">
      <alignment horizontal="left" vertical="center" wrapText="1"/>
    </xf>
    <xf numFmtId="0" fontId="48" fillId="0" borderId="81" xfId="6" applyFont="1" applyBorder="1" applyAlignment="1">
      <alignment horizontal="center" vertical="center"/>
    </xf>
    <xf numFmtId="0" fontId="48" fillId="0" borderId="76" xfId="6" applyFont="1" applyBorder="1" applyAlignment="1">
      <alignment horizontal="center" vertical="center"/>
    </xf>
    <xf numFmtId="0" fontId="48" fillId="0" borderId="83" xfId="6" applyFont="1" applyBorder="1" applyAlignment="1">
      <alignment horizontal="center" vertical="center"/>
    </xf>
    <xf numFmtId="0" fontId="48" fillId="0" borderId="78" xfId="6" applyFont="1" applyBorder="1" applyAlignment="1">
      <alignment horizontal="center" vertical="center"/>
    </xf>
    <xf numFmtId="0" fontId="48" fillId="0" borderId="88" xfId="6" applyFont="1" applyBorder="1" applyAlignment="1">
      <alignment horizontal="center" vertical="center"/>
    </xf>
    <xf numFmtId="0" fontId="86" fillId="3" borderId="88" xfId="0" applyFont="1" applyFill="1" applyBorder="1" applyAlignment="1">
      <alignment horizontal="center" vertical="center" wrapText="1"/>
    </xf>
    <xf numFmtId="0" fontId="64" fillId="3" borderId="88" xfId="0" applyFont="1" applyFill="1" applyBorder="1" applyAlignment="1">
      <alignment horizontal="center" vertical="center" wrapText="1"/>
    </xf>
    <xf numFmtId="0" fontId="60" fillId="0" borderId="91" xfId="0" applyFont="1" applyBorder="1" applyAlignment="1">
      <alignment horizontal="center"/>
    </xf>
    <xf numFmtId="0" fontId="60" fillId="0" borderId="0" xfId="0" applyFont="1" applyAlignment="1">
      <alignment horizontal="center"/>
    </xf>
    <xf numFmtId="0" fontId="60" fillId="0" borderId="139" xfId="0" applyFont="1" applyBorder="1" applyAlignment="1">
      <alignment horizontal="center"/>
    </xf>
    <xf numFmtId="0" fontId="59" fillId="0" borderId="72" xfId="0" applyFont="1" applyBorder="1" applyAlignment="1">
      <alignment horizontal="left" vertical="center"/>
    </xf>
    <xf numFmtId="0" fontId="60" fillId="0" borderId="140" xfId="0" applyFont="1" applyBorder="1" applyAlignment="1">
      <alignment horizontal="center"/>
    </xf>
    <xf numFmtId="0" fontId="60" fillId="0" borderId="85" xfId="0" applyFont="1" applyBorder="1" applyAlignment="1">
      <alignment horizontal="center"/>
    </xf>
    <xf numFmtId="0" fontId="60" fillId="0" borderId="141" xfId="0" applyFont="1" applyBorder="1" applyAlignment="1">
      <alignment horizontal="center"/>
    </xf>
    <xf numFmtId="0" fontId="64" fillId="3" borderId="88" xfId="0" applyFont="1" applyFill="1" applyBorder="1" applyAlignment="1">
      <alignment horizontal="center" vertical="center"/>
    </xf>
    <xf numFmtId="0" fontId="65" fillId="3" borderId="88" xfId="0" applyFont="1" applyFill="1" applyBorder="1" applyAlignment="1">
      <alignment horizontal="center" vertical="center" wrapText="1"/>
    </xf>
    <xf numFmtId="0" fontId="65" fillId="3" borderId="88" xfId="0" applyFont="1" applyFill="1" applyBorder="1" applyAlignment="1">
      <alignment horizontal="center" vertical="center"/>
    </xf>
    <xf numFmtId="0" fontId="45" fillId="0" borderId="81" xfId="0" applyFont="1" applyBorder="1" applyAlignment="1">
      <alignment horizontal="center" vertical="center"/>
    </xf>
    <xf numFmtId="0" fontId="45" fillId="0" borderId="87" xfId="0" applyFont="1" applyBorder="1" applyAlignment="1">
      <alignment horizontal="center" vertical="center"/>
    </xf>
    <xf numFmtId="0" fontId="45" fillId="0" borderId="82" xfId="0" applyFont="1" applyBorder="1" applyAlignment="1">
      <alignment horizontal="center" vertical="center"/>
    </xf>
    <xf numFmtId="0" fontId="45" fillId="0" borderId="0" xfId="0" applyFont="1" applyAlignment="1">
      <alignment horizontal="center" vertical="center"/>
    </xf>
    <xf numFmtId="0" fontId="45" fillId="0" borderId="83" xfId="0" applyFont="1" applyBorder="1" applyAlignment="1">
      <alignment horizontal="center" vertical="center"/>
    </xf>
    <xf numFmtId="0" fontId="45" fillId="0" borderId="85" xfId="0" applyFont="1" applyBorder="1" applyAlignment="1">
      <alignment horizontal="center" vertical="center"/>
    </xf>
    <xf numFmtId="0" fontId="56" fillId="11" borderId="135" xfId="6" applyFont="1" applyFill="1" applyBorder="1" applyAlignment="1">
      <alignment horizontal="center" vertical="center"/>
    </xf>
    <xf numFmtId="0" fontId="56" fillId="11" borderId="72" xfId="6" applyFont="1" applyFill="1" applyBorder="1" applyAlignment="1">
      <alignment horizontal="center" vertical="center"/>
    </xf>
    <xf numFmtId="0" fontId="56" fillId="11" borderId="136" xfId="6" applyFont="1" applyFill="1" applyBorder="1" applyAlignment="1">
      <alignment horizontal="center" vertical="center"/>
    </xf>
    <xf numFmtId="0" fontId="52" fillId="0" borderId="72" xfId="0" applyFont="1" applyBorder="1" applyAlignment="1">
      <alignment horizontal="left" vertical="center" wrapText="1"/>
    </xf>
    <xf numFmtId="0" fontId="60" fillId="0" borderId="137" xfId="0" applyFont="1" applyBorder="1" applyAlignment="1">
      <alignment horizontal="center" vertical="top"/>
    </xf>
    <xf numFmtId="0" fontId="60" fillId="0" borderId="87" xfId="0" applyFont="1" applyBorder="1" applyAlignment="1">
      <alignment horizontal="center" vertical="top"/>
    </xf>
    <xf numFmtId="0" fontId="60" fillId="0" borderId="138" xfId="0" applyFont="1" applyBorder="1" applyAlignment="1">
      <alignment horizontal="center" vertical="top"/>
    </xf>
    <xf numFmtId="0" fontId="51" fillId="17" borderId="55" xfId="0" applyFont="1" applyFill="1" applyBorder="1" applyAlignment="1">
      <alignment horizontal="center" vertical="center"/>
    </xf>
    <xf numFmtId="0" fontId="51" fillId="17" borderId="12" xfId="0" applyFont="1" applyFill="1" applyBorder="1" applyAlignment="1">
      <alignment horizontal="center" vertical="center"/>
    </xf>
    <xf numFmtId="0" fontId="51" fillId="17" borderId="56" xfId="0" applyFont="1" applyFill="1" applyBorder="1" applyAlignment="1">
      <alignment horizontal="center" vertical="center"/>
    </xf>
    <xf numFmtId="0" fontId="60" fillId="0" borderId="81" xfId="0" applyFont="1" applyBorder="1" applyAlignment="1">
      <alignment horizontal="center"/>
    </xf>
    <xf numFmtId="0" fontId="60" fillId="0" borderId="87" xfId="0" applyFont="1" applyBorder="1" applyAlignment="1">
      <alignment horizontal="center"/>
    </xf>
    <xf numFmtId="0" fontId="60" fillId="0" borderId="76" xfId="0" applyFont="1" applyBorder="1" applyAlignment="1">
      <alignment horizontal="center"/>
    </xf>
    <xf numFmtId="0" fontId="60" fillId="0" borderId="82" xfId="0" applyFont="1" applyBorder="1" applyAlignment="1">
      <alignment horizontal="center"/>
    </xf>
    <xf numFmtId="0" fontId="60" fillId="0" borderId="77" xfId="0" applyFont="1" applyBorder="1" applyAlignment="1">
      <alignment horizontal="center"/>
    </xf>
    <xf numFmtId="0" fontId="60" fillId="0" borderId="83" xfId="0" applyFont="1" applyBorder="1" applyAlignment="1">
      <alignment horizontal="center"/>
    </xf>
    <xf numFmtId="0" fontId="60" fillId="0" borderId="78" xfId="0" applyFont="1" applyBorder="1" applyAlignment="1">
      <alignment horizontal="center"/>
    </xf>
    <xf numFmtId="0" fontId="62" fillId="0" borderId="72" xfId="0" applyFont="1" applyBorder="1" applyAlignment="1">
      <alignment horizontal="left"/>
    </xf>
    <xf numFmtId="0" fontId="62" fillId="0" borderId="70" xfId="0" applyFont="1" applyBorder="1" applyAlignment="1">
      <alignment horizontal="left"/>
    </xf>
    <xf numFmtId="0" fontId="60" fillId="0" borderId="83" xfId="0" applyFont="1" applyBorder="1" applyAlignment="1">
      <alignment horizontal="center" wrapText="1"/>
    </xf>
    <xf numFmtId="0" fontId="60" fillId="0" borderId="85" xfId="0" applyFont="1" applyBorder="1" applyAlignment="1">
      <alignment horizontal="center" wrapText="1"/>
    </xf>
    <xf numFmtId="0" fontId="60" fillId="0" borderId="218" xfId="0" applyFont="1" applyBorder="1" applyAlignment="1">
      <alignment horizontal="center" wrapText="1"/>
    </xf>
    <xf numFmtId="0" fontId="51" fillId="17" borderId="215" xfId="0" applyFont="1" applyFill="1" applyBorder="1" applyAlignment="1">
      <alignment horizontal="center" vertical="center" wrapText="1"/>
    </xf>
    <xf numFmtId="0" fontId="51" fillId="17" borderId="216" xfId="0" applyFont="1" applyFill="1" applyBorder="1" applyAlignment="1">
      <alignment horizontal="center" vertical="center" wrapText="1"/>
    </xf>
    <xf numFmtId="0" fontId="51" fillId="17" borderId="217" xfId="0" applyFont="1" applyFill="1" applyBorder="1" applyAlignment="1">
      <alignment horizontal="center" vertical="center" wrapText="1"/>
    </xf>
    <xf numFmtId="0" fontId="60" fillId="0" borderId="81" xfId="0" applyFont="1" applyBorder="1" applyAlignment="1">
      <alignment horizontal="center" wrapText="1"/>
    </xf>
    <xf numFmtId="0" fontId="60" fillId="0" borderId="87" xfId="0" applyFont="1" applyBorder="1" applyAlignment="1">
      <alignment horizontal="center" wrapText="1"/>
    </xf>
    <xf numFmtId="0" fontId="60" fillId="0" borderId="105" xfId="0" applyFont="1" applyBorder="1" applyAlignment="1">
      <alignment horizontal="center" wrapText="1"/>
    </xf>
    <xf numFmtId="0" fontId="60" fillId="0" borderId="14" xfId="0" applyFont="1" applyBorder="1" applyAlignment="1">
      <alignment horizontal="center" wrapText="1"/>
    </xf>
    <xf numFmtId="0" fontId="12" fillId="0" borderId="1" xfId="0" applyFont="1" applyBorder="1" applyAlignment="1">
      <alignment horizontal="left" vertical="center" wrapText="1"/>
    </xf>
    <xf numFmtId="0" fontId="12" fillId="0" borderId="4" xfId="0" applyFont="1" applyBorder="1" applyAlignment="1">
      <alignment horizontal="left" vertical="center" wrapText="1"/>
    </xf>
    <xf numFmtId="0" fontId="12" fillId="0" borderId="2" xfId="0" applyFont="1" applyBorder="1" applyAlignment="1">
      <alignment horizontal="left" vertical="center" wrapText="1"/>
    </xf>
    <xf numFmtId="0" fontId="12" fillId="0" borderId="8" xfId="0" applyFont="1" applyBorder="1" applyAlignment="1">
      <alignment horizontal="center" vertical="center"/>
    </xf>
    <xf numFmtId="0" fontId="12" fillId="0" borderId="12" xfId="0" applyFont="1" applyBorder="1" applyAlignment="1">
      <alignment horizontal="center" vertical="center"/>
    </xf>
    <xf numFmtId="0" fontId="12" fillId="0" borderId="9" xfId="0" applyFont="1" applyBorder="1" applyAlignment="1">
      <alignment horizontal="center" vertical="center"/>
    </xf>
    <xf numFmtId="0" fontId="15" fillId="0" borderId="13" xfId="0" applyFont="1" applyBorder="1" applyAlignment="1">
      <alignment horizontal="center" vertical="center" wrapText="1"/>
    </xf>
    <xf numFmtId="0" fontId="15" fillId="0" borderId="0" xfId="0" applyFont="1" applyAlignment="1">
      <alignment horizontal="center" vertical="center" wrapText="1"/>
    </xf>
    <xf numFmtId="0" fontId="15" fillId="0" borderId="14" xfId="0" applyFont="1" applyBorder="1" applyAlignment="1">
      <alignment horizontal="center" vertical="center" wrapText="1"/>
    </xf>
    <xf numFmtId="0" fontId="11" fillId="0" borderId="1" xfId="0" applyFont="1" applyBorder="1" applyAlignment="1">
      <alignment horizontal="left" vertical="center"/>
    </xf>
    <xf numFmtId="0" fontId="11" fillId="0" borderId="4" xfId="0" applyFont="1" applyBorder="1" applyAlignment="1">
      <alignment horizontal="left" vertical="center"/>
    </xf>
    <xf numFmtId="0" fontId="11" fillId="0" borderId="2" xfId="0" applyFont="1" applyBorder="1" applyAlignment="1">
      <alignment horizontal="left" vertical="center"/>
    </xf>
    <xf numFmtId="0" fontId="13" fillId="0" borderId="1" xfId="0" applyFont="1" applyBorder="1" applyAlignment="1">
      <alignment horizontal="left" vertical="center"/>
    </xf>
    <xf numFmtId="0" fontId="13" fillId="0" borderId="4" xfId="0" applyFont="1" applyBorder="1" applyAlignment="1">
      <alignment horizontal="left" vertical="center"/>
    </xf>
    <xf numFmtId="0" fontId="13" fillId="0" borderId="2" xfId="0" applyFont="1" applyBorder="1" applyAlignment="1">
      <alignment horizontal="left" vertical="center"/>
    </xf>
    <xf numFmtId="0" fontId="14" fillId="5" borderId="3" xfId="0" applyFont="1" applyFill="1" applyBorder="1" applyAlignment="1">
      <alignment horizontal="center" vertical="center" wrapText="1"/>
    </xf>
    <xf numFmtId="0" fontId="16" fillId="2" borderId="22" xfId="0" applyFont="1" applyFill="1" applyBorder="1" applyAlignment="1">
      <alignment horizontal="center" vertical="center"/>
    </xf>
    <xf numFmtId="0" fontId="16" fillId="2" borderId="24" xfId="0" applyFont="1" applyFill="1" applyBorder="1" applyAlignment="1">
      <alignment horizontal="center" vertical="center"/>
    </xf>
    <xf numFmtId="167" fontId="16" fillId="2" borderId="19" xfId="0" applyNumberFormat="1" applyFont="1" applyFill="1" applyBorder="1" applyAlignment="1">
      <alignment horizontal="center" vertical="center" wrapText="1"/>
    </xf>
    <xf numFmtId="167" fontId="16" fillId="2" borderId="16" xfId="0" applyNumberFormat="1" applyFont="1" applyFill="1" applyBorder="1" applyAlignment="1">
      <alignment horizontal="center" vertical="center" wrapText="1"/>
    </xf>
    <xf numFmtId="0" fontId="16" fillId="2" borderId="23" xfId="0" applyFont="1" applyFill="1" applyBorder="1" applyAlignment="1">
      <alignment horizontal="left" vertical="center"/>
    </xf>
    <xf numFmtId="0" fontId="16" fillId="2" borderId="39" xfId="0" applyFont="1" applyFill="1" applyBorder="1" applyAlignment="1">
      <alignment horizontal="left" vertical="center"/>
    </xf>
    <xf numFmtId="0" fontId="16" fillId="2" borderId="17"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21" xfId="0" applyFont="1" applyFill="1" applyBorder="1" applyAlignment="1">
      <alignment horizontal="center" vertical="center"/>
    </xf>
    <xf numFmtId="0" fontId="16" fillId="2" borderId="42" xfId="0" applyFont="1" applyFill="1" applyBorder="1" applyAlignment="1">
      <alignment horizontal="center"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7" fillId="4" borderId="16" xfId="0" applyFont="1" applyFill="1" applyBorder="1" applyAlignment="1">
      <alignment horizontal="center" vertical="center"/>
    </xf>
    <xf numFmtId="0" fontId="17" fillId="4" borderId="35" xfId="0" applyFont="1" applyFill="1" applyBorder="1" applyAlignment="1">
      <alignment horizontal="center" vertical="center"/>
    </xf>
    <xf numFmtId="0" fontId="16" fillId="2" borderId="12" xfId="0" applyFont="1" applyFill="1" applyBorder="1" applyAlignment="1">
      <alignment horizontal="right" vertical="center"/>
    </xf>
    <xf numFmtId="0" fontId="16" fillId="2" borderId="9" xfId="0" applyFont="1" applyFill="1" applyBorder="1" applyAlignment="1">
      <alignment horizontal="right" vertical="center"/>
    </xf>
    <xf numFmtId="0" fontId="17" fillId="4" borderId="31" xfId="0" applyFont="1" applyFill="1" applyBorder="1" applyAlignment="1">
      <alignment horizontal="center" vertical="center"/>
    </xf>
    <xf numFmtId="0" fontId="16" fillId="2" borderId="18"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16" fillId="2" borderId="40" xfId="0" applyFont="1" applyFill="1" applyBorder="1" applyAlignment="1">
      <alignment horizontal="left" vertical="center"/>
    </xf>
    <xf numFmtId="0" fontId="16" fillId="2" borderId="41" xfId="0" applyFont="1" applyFill="1" applyBorder="1" applyAlignment="1">
      <alignment horizontal="left" vertical="center"/>
    </xf>
    <xf numFmtId="0" fontId="17" fillId="4" borderId="32" xfId="0" applyFont="1" applyFill="1" applyBorder="1" applyAlignment="1">
      <alignment horizontal="center" vertical="center"/>
    </xf>
    <xf numFmtId="0" fontId="17" fillId="4" borderId="33" xfId="0" applyFont="1" applyFill="1" applyBorder="1" applyAlignment="1">
      <alignment horizontal="center" vertical="center"/>
    </xf>
    <xf numFmtId="0" fontId="17" fillId="4" borderId="34" xfId="0" applyFont="1" applyFill="1" applyBorder="1" applyAlignment="1">
      <alignment horizontal="center" vertical="center"/>
    </xf>
    <xf numFmtId="0" fontId="17" fillId="4" borderId="23" xfId="0" applyFont="1" applyFill="1" applyBorder="1" applyAlignment="1">
      <alignment horizontal="center" vertical="center"/>
    </xf>
    <xf numFmtId="0" fontId="17" fillId="4" borderId="25" xfId="0" applyFont="1" applyFill="1" applyBorder="1" applyAlignment="1">
      <alignment horizontal="center" vertical="center"/>
    </xf>
    <xf numFmtId="0" fontId="17" fillId="4" borderId="1"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2" xfId="0" applyFont="1" applyFill="1" applyBorder="1" applyAlignment="1">
      <alignment horizontal="center" vertical="center"/>
    </xf>
    <xf numFmtId="0" fontId="16" fillId="2" borderId="28" xfId="0" applyFont="1" applyFill="1" applyBorder="1" applyAlignment="1">
      <alignment horizontal="center" vertical="center"/>
    </xf>
    <xf numFmtId="0" fontId="16" fillId="2" borderId="43" xfId="0" applyFont="1" applyFill="1" applyBorder="1" applyAlignment="1">
      <alignment horizontal="center" vertical="center"/>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9" fillId="0" borderId="0" xfId="6" applyFont="1" applyAlignment="1">
      <alignment horizontal="center" vertical="center"/>
    </xf>
    <xf numFmtId="0" fontId="9" fillId="0" borderId="15" xfId="6" applyFont="1" applyBorder="1" applyAlignment="1">
      <alignment horizontal="center" vertical="center"/>
    </xf>
    <xf numFmtId="0" fontId="11" fillId="0" borderId="1" xfId="6" applyFont="1" applyBorder="1" applyAlignment="1">
      <alignment horizontal="right"/>
    </xf>
    <xf numFmtId="0" fontId="11" fillId="0" borderId="4" xfId="6" applyFont="1" applyBorder="1" applyAlignment="1">
      <alignment horizontal="right"/>
    </xf>
    <xf numFmtId="0" fontId="11" fillId="0" borderId="2" xfId="6" applyFont="1" applyBorder="1" applyAlignment="1">
      <alignment horizontal="right"/>
    </xf>
    <xf numFmtId="0" fontId="12" fillId="0" borderId="3" xfId="0" applyFont="1" applyBorder="1" applyAlignment="1">
      <alignment horizontal="left" vertical="center" wrapText="1"/>
    </xf>
    <xf numFmtId="0" fontId="11" fillId="4" borderId="1" xfId="6" applyFont="1" applyFill="1" applyBorder="1" applyAlignment="1">
      <alignment horizontal="center" vertical="center" wrapText="1"/>
    </xf>
    <xf numFmtId="0" fontId="11" fillId="4" borderId="4" xfId="6" applyFont="1" applyFill="1" applyBorder="1" applyAlignment="1">
      <alignment horizontal="center" vertical="center" wrapText="1"/>
    </xf>
    <xf numFmtId="0" fontId="11" fillId="4" borderId="2" xfId="6" applyFont="1" applyFill="1" applyBorder="1" applyAlignment="1">
      <alignment horizontal="center" vertical="center" wrapText="1"/>
    </xf>
    <xf numFmtId="0" fontId="11" fillId="0" borderId="13" xfId="6" applyFont="1" applyBorder="1" applyAlignment="1">
      <alignment horizontal="left" vertical="center" wrapText="1"/>
    </xf>
    <xf numFmtId="0" fontId="11" fillId="0" borderId="0" xfId="6" applyFont="1" applyAlignment="1">
      <alignment horizontal="left" vertical="center" wrapText="1"/>
    </xf>
    <xf numFmtId="0" fontId="11" fillId="0" borderId="13" xfId="0" applyFont="1" applyBorder="1" applyAlignment="1">
      <alignment horizontal="center" vertical="center" wrapText="1"/>
    </xf>
    <xf numFmtId="0" fontId="11" fillId="0" borderId="0" xfId="0" applyFont="1" applyAlignment="1">
      <alignment horizontal="center" vertical="center" wrapText="1"/>
    </xf>
    <xf numFmtId="0" fontId="11" fillId="0" borderId="14" xfId="0" applyFont="1" applyBorder="1" applyAlignment="1">
      <alignment horizontal="center" vertical="center" wrapText="1"/>
    </xf>
    <xf numFmtId="0" fontId="20" fillId="2" borderId="66" xfId="17" applyFont="1" applyFill="1" applyBorder="1" applyAlignment="1">
      <alignment horizontal="left" vertical="center"/>
    </xf>
    <xf numFmtId="0" fontId="20" fillId="2" borderId="67" xfId="17" applyFont="1" applyFill="1" applyBorder="1" applyAlignment="1">
      <alignment horizontal="left" vertical="center"/>
    </xf>
    <xf numFmtId="0" fontId="52" fillId="13" borderId="84" xfId="17" applyFont="1" applyFill="1" applyBorder="1" applyAlignment="1">
      <alignment horizontal="center" vertical="center" wrapText="1"/>
    </xf>
    <xf numFmtId="0" fontId="52" fillId="13" borderId="84" xfId="17" applyFont="1" applyFill="1" applyBorder="1" applyAlignment="1">
      <alignment horizontal="center"/>
    </xf>
    <xf numFmtId="0" fontId="51" fillId="17" borderId="58" xfId="0" applyFont="1" applyFill="1" applyBorder="1" applyAlignment="1">
      <alignment horizontal="center" vertical="center"/>
    </xf>
    <xf numFmtId="0" fontId="51" fillId="17" borderId="59" xfId="0" applyFont="1" applyFill="1" applyBorder="1" applyAlignment="1">
      <alignment horizontal="center" vertical="center"/>
    </xf>
    <xf numFmtId="0" fontId="51" fillId="17" borderId="0" xfId="0" applyFont="1" applyFill="1" applyAlignment="1">
      <alignment horizontal="center" vertical="center"/>
    </xf>
    <xf numFmtId="0" fontId="20" fillId="0" borderId="81" xfId="0" applyFont="1" applyBorder="1" applyAlignment="1">
      <alignment horizontal="center" vertical="center"/>
    </xf>
    <xf numFmtId="0" fontId="20" fillId="0" borderId="87" xfId="0" applyFont="1" applyBorder="1" applyAlignment="1">
      <alignment horizontal="center" vertical="center"/>
    </xf>
    <xf numFmtId="0" fontId="20" fillId="0" borderId="76" xfId="0" applyFont="1" applyBorder="1" applyAlignment="1">
      <alignment horizontal="center" vertical="center"/>
    </xf>
    <xf numFmtId="0" fontId="20" fillId="0" borderId="0" xfId="0" applyFont="1" applyAlignment="1">
      <alignment horizontal="center" vertical="center"/>
    </xf>
    <xf numFmtId="0" fontId="20" fillId="0" borderId="77" xfId="0" applyFont="1" applyBorder="1" applyAlignment="1">
      <alignment horizontal="center" vertical="center"/>
    </xf>
    <xf numFmtId="0" fontId="49" fillId="0" borderId="85" xfId="0" applyFont="1" applyBorder="1" applyAlignment="1">
      <alignment horizontal="center" vertical="center" wrapText="1"/>
    </xf>
    <xf numFmtId="0" fontId="49" fillId="0" borderId="78" xfId="0" applyFont="1" applyBorder="1" applyAlignment="1">
      <alignment horizontal="center" vertical="center" wrapText="1"/>
    </xf>
    <xf numFmtId="0" fontId="20" fillId="0" borderId="71" xfId="6" applyFont="1" applyBorder="1" applyAlignment="1">
      <alignment horizontal="center" vertical="center"/>
    </xf>
    <xf numFmtId="0" fontId="20" fillId="0" borderId="70" xfId="6" applyFont="1" applyBorder="1" applyAlignment="1">
      <alignment horizontal="center" vertical="center"/>
    </xf>
    <xf numFmtId="0" fontId="19" fillId="3" borderId="71" xfId="6" applyFont="1" applyFill="1" applyBorder="1" applyAlignment="1">
      <alignment horizontal="center" vertical="center"/>
    </xf>
    <xf numFmtId="0" fontId="19" fillId="3" borderId="70" xfId="6" applyFont="1" applyFill="1" applyBorder="1" applyAlignment="1">
      <alignment horizontal="center" vertical="center"/>
    </xf>
    <xf numFmtId="0" fontId="20" fillId="0" borderId="72" xfId="6" applyFont="1" applyBorder="1" applyAlignment="1">
      <alignment horizontal="center" vertical="center" wrapText="1"/>
    </xf>
    <xf numFmtId="0" fontId="20" fillId="0" borderId="70" xfId="6" applyFont="1" applyBorder="1" applyAlignment="1">
      <alignment horizontal="center" vertical="center" wrapText="1"/>
    </xf>
    <xf numFmtId="0" fontId="19" fillId="3" borderId="71" xfId="6" applyFont="1" applyFill="1" applyBorder="1" applyAlignment="1">
      <alignment horizontal="center"/>
    </xf>
    <xf numFmtId="0" fontId="19" fillId="3" borderId="72" xfId="6" applyFont="1" applyFill="1" applyBorder="1" applyAlignment="1">
      <alignment horizontal="center"/>
    </xf>
    <xf numFmtId="0" fontId="19" fillId="3" borderId="70" xfId="6" applyFont="1" applyFill="1" applyBorder="1" applyAlignment="1">
      <alignment horizontal="center"/>
    </xf>
    <xf numFmtId="0" fontId="56" fillId="17" borderId="81" xfId="0" applyFont="1" applyFill="1" applyBorder="1" applyAlignment="1">
      <alignment horizontal="center" vertical="center"/>
    </xf>
    <xf numFmtId="0" fontId="56" fillId="17" borderId="87" xfId="0" applyFont="1" applyFill="1" applyBorder="1" applyAlignment="1">
      <alignment horizontal="center" vertical="center"/>
    </xf>
    <xf numFmtId="0" fontId="56" fillId="17" borderId="76" xfId="0" applyFont="1" applyFill="1" applyBorder="1" applyAlignment="1">
      <alignment horizontal="center" vertical="center"/>
    </xf>
    <xf numFmtId="0" fontId="51" fillId="17" borderId="73" xfId="0" applyFont="1" applyFill="1" applyBorder="1" applyAlignment="1">
      <alignment horizontal="center" vertical="center" wrapText="1"/>
    </xf>
    <xf numFmtId="0" fontId="51" fillId="17" borderId="75" xfId="0" applyFont="1" applyFill="1" applyBorder="1" applyAlignment="1">
      <alignment horizontal="center" vertical="center" wrapText="1"/>
    </xf>
    <xf numFmtId="0" fontId="20" fillId="0" borderId="71" xfId="6" applyFont="1" applyBorder="1" applyAlignment="1">
      <alignment horizontal="center"/>
    </xf>
    <xf numFmtId="0" fontId="20" fillId="0" borderId="70" xfId="6" applyFont="1" applyBorder="1" applyAlignment="1">
      <alignment horizontal="center"/>
    </xf>
    <xf numFmtId="0" fontId="20" fillId="0" borderId="72" xfId="6" applyFont="1" applyBorder="1" applyAlignment="1">
      <alignment horizontal="center"/>
    </xf>
    <xf numFmtId="2" fontId="20" fillId="7" borderId="71" xfId="6" applyNumberFormat="1" applyFont="1" applyFill="1" applyBorder="1" applyAlignment="1">
      <alignment horizontal="center"/>
    </xf>
    <xf numFmtId="2" fontId="20" fillId="7" borderId="70" xfId="6" applyNumberFormat="1" applyFont="1" applyFill="1" applyBorder="1" applyAlignment="1">
      <alignment horizontal="center"/>
    </xf>
    <xf numFmtId="0" fontId="51" fillId="17" borderId="74" xfId="0" applyFont="1" applyFill="1" applyBorder="1" applyAlignment="1">
      <alignment horizontal="center" vertical="center" wrapText="1"/>
    </xf>
    <xf numFmtId="0" fontId="20" fillId="0" borderId="82" xfId="0" applyFont="1" applyBorder="1" applyAlignment="1">
      <alignment horizontal="center" vertical="center" wrapText="1"/>
    </xf>
    <xf numFmtId="0" fontId="20" fillId="0" borderId="0" xfId="0" applyFont="1" applyAlignment="1">
      <alignment horizontal="center" vertical="center" wrapText="1"/>
    </xf>
    <xf numFmtId="0" fontId="20" fillId="0" borderId="77" xfId="0" applyFont="1" applyBorder="1" applyAlignment="1">
      <alignment horizontal="center" vertical="center" wrapText="1"/>
    </xf>
    <xf numFmtId="0" fontId="20" fillId="0" borderId="83" xfId="0" applyFont="1" applyBorder="1" applyAlignment="1">
      <alignment horizontal="center" vertical="center" wrapText="1"/>
    </xf>
    <xf numFmtId="0" fontId="20" fillId="0" borderId="85" xfId="0" applyFont="1" applyBorder="1" applyAlignment="1">
      <alignment horizontal="center" vertical="center" wrapText="1"/>
    </xf>
    <xf numFmtId="0" fontId="20" fillId="0" borderId="78" xfId="0" applyFont="1" applyBorder="1" applyAlignment="1">
      <alignment horizontal="center" vertical="center" wrapText="1"/>
    </xf>
    <xf numFmtId="0" fontId="20" fillId="0" borderId="82" xfId="6" applyFont="1" applyBorder="1" applyAlignment="1">
      <alignment horizontal="left" vertical="center" wrapText="1"/>
    </xf>
    <xf numFmtId="0" fontId="20" fillId="0" borderId="0" xfId="6" applyFont="1" applyAlignment="1">
      <alignment horizontal="left" vertical="center" wrapText="1"/>
    </xf>
    <xf numFmtId="0" fontId="20" fillId="0" borderId="0" xfId="6" applyFont="1" applyAlignment="1">
      <alignment horizontal="center"/>
    </xf>
    <xf numFmtId="0" fontId="20" fillId="0" borderId="77" xfId="6" applyFont="1" applyBorder="1" applyAlignment="1">
      <alignment horizontal="center"/>
    </xf>
    <xf numFmtId="0" fontId="19" fillId="3" borderId="73" xfId="6" applyFont="1" applyFill="1" applyBorder="1" applyAlignment="1">
      <alignment horizontal="center" vertical="center"/>
    </xf>
    <xf numFmtId="0" fontId="19" fillId="3" borderId="75" xfId="6" applyFont="1" applyFill="1" applyBorder="1" applyAlignment="1">
      <alignment horizontal="center" vertical="center"/>
    </xf>
    <xf numFmtId="0" fontId="52" fillId="3" borderId="0" xfId="6" applyFont="1" applyFill="1" applyAlignment="1">
      <alignment horizontal="center"/>
    </xf>
    <xf numFmtId="0" fontId="52" fillId="3" borderId="77" xfId="6" applyFont="1" applyFill="1" applyBorder="1" applyAlignment="1">
      <alignment horizontal="center"/>
    </xf>
    <xf numFmtId="2" fontId="20" fillId="0" borderId="73" xfId="6" applyNumberFormat="1" applyFont="1" applyBorder="1" applyAlignment="1">
      <alignment horizontal="center" vertical="center"/>
    </xf>
    <xf numFmtId="2" fontId="20" fillId="0" borderId="75" xfId="6" applyNumberFormat="1" applyFont="1" applyBorder="1" applyAlignment="1">
      <alignment horizontal="center" vertical="center"/>
    </xf>
    <xf numFmtId="0" fontId="19" fillId="3" borderId="73" xfId="6" applyFont="1" applyFill="1" applyBorder="1" applyAlignment="1">
      <alignment horizontal="center" vertical="center" wrapText="1"/>
    </xf>
    <xf numFmtId="0" fontId="19" fillId="3" borderId="75" xfId="6" applyFont="1" applyFill="1" applyBorder="1" applyAlignment="1">
      <alignment horizontal="center" vertical="center" wrapText="1"/>
    </xf>
    <xf numFmtId="10" fontId="19" fillId="3" borderId="71" xfId="6" applyNumberFormat="1" applyFont="1" applyFill="1" applyBorder="1" applyAlignment="1">
      <alignment horizontal="center" vertical="center"/>
    </xf>
    <xf numFmtId="10" fontId="19" fillId="3" borderId="70" xfId="6" applyNumberFormat="1" applyFont="1" applyFill="1" applyBorder="1" applyAlignment="1">
      <alignment horizontal="center" vertical="center"/>
    </xf>
    <xf numFmtId="0" fontId="52" fillId="0" borderId="71" xfId="6" applyFont="1" applyBorder="1" applyAlignment="1">
      <alignment horizontal="center" vertical="center"/>
    </xf>
    <xf numFmtId="0" fontId="52" fillId="0" borderId="72" xfId="6" applyFont="1" applyBorder="1" applyAlignment="1">
      <alignment horizontal="center" vertical="center"/>
    </xf>
    <xf numFmtId="0" fontId="52" fillId="0" borderId="70" xfId="6" applyFont="1" applyBorder="1" applyAlignment="1">
      <alignment horizontal="center" vertical="center"/>
    </xf>
    <xf numFmtId="0" fontId="20" fillId="0" borderId="81" xfId="6" applyFont="1" applyBorder="1" applyAlignment="1">
      <alignment horizontal="center" vertical="center" wrapText="1"/>
    </xf>
    <xf numFmtId="0" fontId="20" fillId="0" borderId="87" xfId="6" applyFont="1" applyBorder="1" applyAlignment="1">
      <alignment horizontal="center" vertical="center" wrapText="1"/>
    </xf>
    <xf numFmtId="0" fontId="20" fillId="0" borderId="76" xfId="6" applyFont="1" applyBorder="1" applyAlignment="1">
      <alignment horizontal="center" vertical="center" wrapText="1"/>
    </xf>
    <xf numFmtId="0" fontId="20" fillId="0" borderId="83" xfId="6" applyFont="1" applyBorder="1" applyAlignment="1">
      <alignment horizontal="center" vertical="center" wrapText="1"/>
    </xf>
    <xf numFmtId="0" fontId="20" fillId="0" borderId="85" xfId="6" applyFont="1" applyBorder="1" applyAlignment="1">
      <alignment horizontal="center" vertical="center" wrapText="1"/>
    </xf>
    <xf numFmtId="0" fontId="20" fillId="0" borderId="78" xfId="6" applyFont="1" applyBorder="1" applyAlignment="1">
      <alignment horizontal="center" vertical="center" wrapText="1"/>
    </xf>
    <xf numFmtId="0" fontId="52" fillId="3" borderId="82" xfId="6" applyFont="1" applyFill="1" applyBorder="1" applyAlignment="1">
      <alignment horizontal="center"/>
    </xf>
    <xf numFmtId="4" fontId="19" fillId="3" borderId="73" xfId="6" applyNumberFormat="1" applyFont="1" applyFill="1" applyBorder="1" applyAlignment="1">
      <alignment horizontal="center" vertical="center"/>
    </xf>
    <xf numFmtId="4" fontId="19" fillId="3" borderId="75" xfId="6" applyNumberFormat="1" applyFont="1" applyFill="1" applyBorder="1" applyAlignment="1">
      <alignment horizontal="center" vertical="center"/>
    </xf>
    <xf numFmtId="0" fontId="52" fillId="3" borderId="71" xfId="6" applyFont="1" applyFill="1" applyBorder="1" applyAlignment="1">
      <alignment horizontal="center" vertical="center"/>
    </xf>
    <xf numFmtId="0" fontId="52" fillId="3" borderId="72" xfId="6" applyFont="1" applyFill="1" applyBorder="1" applyAlignment="1">
      <alignment horizontal="center" vertical="center"/>
    </xf>
    <xf numFmtId="0" fontId="52" fillId="3" borderId="70" xfId="6" applyFont="1" applyFill="1" applyBorder="1" applyAlignment="1">
      <alignment horizontal="center" vertical="center"/>
    </xf>
    <xf numFmtId="10" fontId="20" fillId="0" borderId="73" xfId="6" applyNumberFormat="1" applyFont="1" applyBorder="1" applyAlignment="1">
      <alignment horizontal="center" vertical="center"/>
    </xf>
    <xf numFmtId="10" fontId="20" fillId="0" borderId="75" xfId="6" applyNumberFormat="1" applyFont="1" applyBorder="1" applyAlignment="1">
      <alignment horizontal="center" vertical="center"/>
    </xf>
    <xf numFmtId="2" fontId="20" fillId="7" borderId="73" xfId="6" applyNumberFormat="1" applyFont="1" applyFill="1" applyBorder="1" applyAlignment="1">
      <alignment horizontal="center" vertical="center"/>
    </xf>
    <xf numFmtId="2" fontId="20" fillId="7" borderId="75" xfId="6" applyNumberFormat="1" applyFont="1" applyFill="1" applyBorder="1" applyAlignment="1">
      <alignment horizontal="center" vertical="center"/>
    </xf>
    <xf numFmtId="2" fontId="20" fillId="0" borderId="73" xfId="6" applyNumberFormat="1" applyFont="1" applyBorder="1" applyAlignment="1">
      <alignment horizontal="center"/>
    </xf>
    <xf numFmtId="2" fontId="20" fillId="0" borderId="75" xfId="6" applyNumberFormat="1" applyFont="1" applyBorder="1" applyAlignment="1">
      <alignment horizontal="center"/>
    </xf>
    <xf numFmtId="0" fontId="20" fillId="0" borderId="71" xfId="6" applyFont="1" applyBorder="1" applyAlignment="1">
      <alignment horizontal="center" vertical="center" wrapText="1"/>
    </xf>
    <xf numFmtId="0" fontId="51" fillId="17" borderId="81" xfId="0" applyFont="1" applyFill="1" applyBorder="1" applyAlignment="1">
      <alignment horizontal="center" vertical="center" wrapText="1"/>
    </xf>
    <xf numFmtId="0" fontId="51" fillId="17" borderId="87" xfId="0" applyFont="1" applyFill="1" applyBorder="1" applyAlignment="1">
      <alignment horizontal="center" vertical="center" wrapText="1"/>
    </xf>
    <xf numFmtId="0" fontId="51" fillId="17" borderId="76" xfId="0" applyFont="1" applyFill="1" applyBorder="1" applyAlignment="1">
      <alignment horizontal="center" vertical="center" wrapText="1"/>
    </xf>
    <xf numFmtId="0" fontId="51" fillId="17" borderId="83" xfId="0" applyFont="1" applyFill="1" applyBorder="1" applyAlignment="1">
      <alignment horizontal="center" vertical="center" wrapText="1"/>
    </xf>
    <xf numFmtId="0" fontId="51" fillId="17" borderId="85" xfId="0" applyFont="1" applyFill="1" applyBorder="1" applyAlignment="1">
      <alignment horizontal="center" vertical="center" wrapText="1"/>
    </xf>
    <xf numFmtId="0" fontId="51" fillId="17" borderId="78" xfId="0" applyFont="1" applyFill="1" applyBorder="1" applyAlignment="1">
      <alignment horizontal="center" vertical="center" wrapText="1"/>
    </xf>
    <xf numFmtId="0" fontId="51" fillId="17" borderId="82" xfId="0" applyFont="1" applyFill="1" applyBorder="1" applyAlignment="1">
      <alignment horizontal="center" vertical="center" wrapText="1"/>
    </xf>
    <xf numFmtId="0" fontId="51" fillId="17" borderId="77" xfId="0" applyFont="1" applyFill="1" applyBorder="1" applyAlignment="1">
      <alignment horizontal="center" vertical="center" wrapText="1"/>
    </xf>
    <xf numFmtId="4" fontId="50" fillId="3" borderId="88" xfId="1" applyNumberFormat="1" applyFont="1" applyFill="1" applyBorder="1" applyAlignment="1">
      <alignment horizontal="center"/>
    </xf>
    <xf numFmtId="166" fontId="48" fillId="3" borderId="88" xfId="1" applyFont="1" applyFill="1" applyBorder="1" applyAlignment="1">
      <alignment horizontal="center" vertical="center"/>
    </xf>
    <xf numFmtId="4" fontId="19" fillId="0" borderId="88" xfId="1" applyNumberFormat="1" applyFont="1" applyBorder="1" applyAlignment="1">
      <alignment horizontal="center" vertical="center"/>
    </xf>
    <xf numFmtId="166" fontId="50" fillId="3" borderId="88" xfId="1" applyFont="1" applyFill="1" applyBorder="1" applyAlignment="1">
      <alignment horizontal="center"/>
    </xf>
    <xf numFmtId="0" fontId="19" fillId="0" borderId="81" xfId="0" applyFont="1" applyBorder="1" applyAlignment="1">
      <alignment horizontal="center" vertical="center" wrapText="1"/>
    </xf>
    <xf numFmtId="0" fontId="19" fillId="0" borderId="87" xfId="0" applyFont="1" applyBorder="1" applyAlignment="1">
      <alignment horizontal="center" vertical="center" wrapText="1"/>
    </xf>
    <xf numFmtId="0" fontId="19" fillId="0" borderId="82" xfId="0" applyFont="1" applyBorder="1" applyAlignment="1">
      <alignment horizontal="center" vertical="center" wrapText="1"/>
    </xf>
    <xf numFmtId="0" fontId="19" fillId="0" borderId="0" xfId="0" applyFont="1" applyAlignment="1">
      <alignment horizontal="center" vertical="center" wrapText="1"/>
    </xf>
    <xf numFmtId="0" fontId="19" fillId="0" borderId="83" xfId="0" applyFont="1" applyBorder="1" applyAlignment="1">
      <alignment horizontal="center" vertical="center" wrapText="1"/>
    </xf>
    <xf numFmtId="0" fontId="19" fillId="0" borderId="85" xfId="0" applyFont="1" applyBorder="1" applyAlignment="1">
      <alignment horizontal="center" vertical="center" wrapText="1"/>
    </xf>
    <xf numFmtId="0" fontId="19" fillId="0" borderId="88" xfId="0" applyFont="1" applyBorder="1" applyAlignment="1">
      <alignment horizontal="center" vertical="center" wrapText="1"/>
    </xf>
    <xf numFmtId="0" fontId="51" fillId="17" borderId="0" xfId="0" applyFont="1" applyFill="1" applyAlignment="1">
      <alignment horizontal="center" vertical="center" wrapText="1"/>
    </xf>
    <xf numFmtId="0" fontId="20" fillId="0" borderId="147" xfId="0" applyFont="1" applyBorder="1" applyAlignment="1">
      <alignment horizontal="center" vertical="center" wrapText="1"/>
    </xf>
    <xf numFmtId="0" fontId="20" fillId="0" borderId="150" xfId="0" applyFont="1" applyBorder="1" applyAlignment="1">
      <alignment horizontal="center" vertical="center" wrapText="1"/>
    </xf>
    <xf numFmtId="0" fontId="52" fillId="0" borderId="70" xfId="0" applyFont="1" applyBorder="1" applyAlignment="1">
      <alignment horizontal="right" vertical="center"/>
    </xf>
    <xf numFmtId="0" fontId="52" fillId="0" borderId="88" xfId="0" applyFont="1" applyBorder="1" applyAlignment="1">
      <alignment horizontal="right" vertical="center"/>
    </xf>
    <xf numFmtId="0" fontId="59" fillId="0" borderId="88" xfId="0" applyFont="1" applyBorder="1" applyAlignment="1">
      <alignment horizontal="center" vertical="center" textRotation="90"/>
    </xf>
    <xf numFmtId="0" fontId="20" fillId="0" borderId="88" xfId="0" applyFont="1" applyBorder="1" applyAlignment="1">
      <alignment horizontal="center" vertical="center" wrapText="1"/>
    </xf>
    <xf numFmtId="0" fontId="60" fillId="0" borderId="88" xfId="0" applyFont="1" applyBorder="1" applyAlignment="1">
      <alignment horizontal="center" vertical="center"/>
    </xf>
    <xf numFmtId="0" fontId="52" fillId="0" borderId="88" xfId="0" applyFont="1" applyBorder="1" applyAlignment="1">
      <alignment horizontal="center" vertical="center" textRotation="90" wrapText="1"/>
    </xf>
    <xf numFmtId="0" fontId="52" fillId="0" borderId="73" xfId="0" applyFont="1" applyBorder="1" applyAlignment="1">
      <alignment horizontal="center" vertical="center" textRotation="90"/>
    </xf>
    <xf numFmtId="0" fontId="52" fillId="0" borderId="74" xfId="0" applyFont="1" applyBorder="1" applyAlignment="1">
      <alignment horizontal="center" vertical="center" textRotation="90"/>
    </xf>
    <xf numFmtId="0" fontId="52" fillId="0" borderId="75" xfId="0" applyFont="1" applyBorder="1" applyAlignment="1">
      <alignment horizontal="center" vertical="center" textRotation="90"/>
    </xf>
    <xf numFmtId="0" fontId="20" fillId="0" borderId="82" xfId="0" applyFont="1" applyBorder="1" applyAlignment="1">
      <alignment horizontal="center" vertical="center"/>
    </xf>
    <xf numFmtId="0" fontId="52" fillId="0" borderId="73" xfId="0" applyFont="1" applyBorder="1" applyAlignment="1">
      <alignment horizontal="center" vertical="center" textRotation="90" wrapText="1"/>
    </xf>
    <xf numFmtId="0" fontId="52" fillId="0" borderId="74" xfId="0" applyFont="1" applyBorder="1" applyAlignment="1">
      <alignment horizontal="center" vertical="center" textRotation="90" wrapText="1"/>
    </xf>
    <xf numFmtId="0" fontId="52" fillId="0" borderId="75" xfId="0" applyFont="1" applyBorder="1" applyAlignment="1">
      <alignment horizontal="center" vertical="center" textRotation="90" wrapText="1"/>
    </xf>
    <xf numFmtId="0" fontId="52" fillId="0" borderId="81" xfId="0" applyFont="1" applyBorder="1" applyAlignment="1">
      <alignment horizontal="center" vertical="center" textRotation="90" wrapText="1"/>
    </xf>
    <xf numFmtId="0" fontId="52" fillId="0" borderId="82" xfId="0" applyFont="1" applyBorder="1" applyAlignment="1">
      <alignment horizontal="center" vertical="center" textRotation="90" wrapText="1"/>
    </xf>
    <xf numFmtId="0" fontId="52" fillId="0" borderId="83" xfId="0" applyFont="1" applyBorder="1" applyAlignment="1">
      <alignment horizontal="center" vertical="center" textRotation="90" wrapText="1"/>
    </xf>
    <xf numFmtId="0" fontId="52" fillId="0" borderId="71" xfId="0" applyFont="1" applyBorder="1" applyAlignment="1">
      <alignment horizontal="right" vertical="center"/>
    </xf>
    <xf numFmtId="0" fontId="20" fillId="0" borderId="83" xfId="0" applyFont="1" applyBorder="1" applyAlignment="1">
      <alignment horizontal="center" vertical="center"/>
    </xf>
    <xf numFmtId="0" fontId="20" fillId="0" borderId="78" xfId="0" applyFont="1" applyBorder="1" applyAlignment="1">
      <alignment horizontal="center" vertical="center"/>
    </xf>
    <xf numFmtId="0" fontId="19" fillId="0" borderId="87" xfId="0" applyFont="1" applyBorder="1" applyAlignment="1">
      <alignment horizontal="left" vertical="center" wrapText="1"/>
    </xf>
    <xf numFmtId="0" fontId="47" fillId="0" borderId="59" xfId="0" applyFont="1" applyBorder="1" applyAlignment="1">
      <alignment horizontal="left" vertical="center"/>
    </xf>
    <xf numFmtId="0" fontId="19" fillId="0" borderId="85" xfId="0" applyFont="1" applyBorder="1" applyAlignment="1">
      <alignment horizontal="left" vertical="center"/>
    </xf>
    <xf numFmtId="0" fontId="60" fillId="0" borderId="71" xfId="0" applyFont="1" applyBorder="1" applyAlignment="1">
      <alignment horizontal="center" vertical="center" wrapText="1"/>
    </xf>
    <xf numFmtId="0" fontId="60" fillId="0" borderId="70" xfId="0" applyFont="1" applyBorder="1" applyAlignment="1">
      <alignment horizontal="center" vertical="center" wrapText="1"/>
    </xf>
    <xf numFmtId="0" fontId="20" fillId="0" borderId="81" xfId="0" applyFont="1" applyBorder="1" applyAlignment="1">
      <alignment horizontal="center" vertical="top" wrapText="1"/>
    </xf>
    <xf numFmtId="0" fontId="20" fillId="0" borderId="76" xfId="0" applyFont="1" applyBorder="1" applyAlignment="1">
      <alignment horizontal="center" vertical="top" wrapText="1"/>
    </xf>
    <xf numFmtId="0" fontId="20" fillId="0" borderId="82" xfId="0" applyFont="1" applyBorder="1" applyAlignment="1">
      <alignment horizontal="center" wrapText="1"/>
    </xf>
    <xf numFmtId="0" fontId="20" fillId="0" borderId="77" xfId="0" applyFont="1" applyBorder="1" applyAlignment="1">
      <alignment horizontal="center" wrapText="1"/>
    </xf>
    <xf numFmtId="0" fontId="20" fillId="0" borderId="83" xfId="0" applyFont="1" applyBorder="1" applyAlignment="1">
      <alignment horizontal="center" wrapText="1"/>
    </xf>
    <xf numFmtId="0" fontId="20" fillId="0" borderId="78" xfId="0" applyFont="1" applyBorder="1" applyAlignment="1">
      <alignment horizontal="center" wrapText="1"/>
    </xf>
    <xf numFmtId="0" fontId="47" fillId="0" borderId="82" xfId="0" applyFont="1" applyBorder="1" applyAlignment="1">
      <alignment horizontal="center" vertical="center"/>
    </xf>
    <xf numFmtId="0" fontId="47" fillId="0" borderId="0" xfId="0" applyFont="1" applyAlignment="1">
      <alignment horizontal="center" vertical="center"/>
    </xf>
    <xf numFmtId="0" fontId="67" fillId="17" borderId="88" xfId="0" applyFont="1" applyFill="1" applyBorder="1" applyAlignment="1">
      <alignment horizontal="center" vertical="center"/>
    </xf>
    <xf numFmtId="0" fontId="59" fillId="0" borderId="88" xfId="0" applyFont="1" applyBorder="1" applyAlignment="1">
      <alignment horizontal="center" vertical="center"/>
    </xf>
    <xf numFmtId="0" fontId="20" fillId="0" borderId="81"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76" xfId="0" applyFont="1" applyBorder="1" applyAlignment="1">
      <alignment horizontal="center" vertical="center" wrapText="1"/>
    </xf>
    <xf numFmtId="0" fontId="56" fillId="17" borderId="82" xfId="0" applyFont="1" applyFill="1" applyBorder="1" applyAlignment="1">
      <alignment horizontal="center" vertical="center"/>
    </xf>
    <xf numFmtId="0" fontId="56" fillId="17" borderId="0" xfId="0" applyFont="1" applyFill="1" applyAlignment="1">
      <alignment horizontal="center" vertical="center"/>
    </xf>
    <xf numFmtId="0" fontId="56" fillId="17" borderId="77" xfId="0" applyFont="1" applyFill="1" applyBorder="1" applyAlignment="1">
      <alignment horizontal="center" vertical="center"/>
    </xf>
    <xf numFmtId="0" fontId="52" fillId="0" borderId="88" xfId="0" applyFont="1" applyBorder="1" applyAlignment="1">
      <alignment horizontal="center" vertical="center"/>
    </xf>
    <xf numFmtId="0" fontId="52" fillId="0" borderId="88" xfId="0" applyFont="1" applyBorder="1" applyAlignment="1">
      <alignment horizontal="center" vertical="center" textRotation="90"/>
    </xf>
    <xf numFmtId="0" fontId="52" fillId="0" borderId="88" xfId="0" applyFont="1" applyBorder="1" applyAlignment="1">
      <alignment horizontal="right" vertical="center" wrapText="1"/>
    </xf>
    <xf numFmtId="0" fontId="20" fillId="0" borderId="88" xfId="0" applyFont="1" applyBorder="1" applyAlignment="1">
      <alignment horizontal="center" vertical="center"/>
    </xf>
    <xf numFmtId="0" fontId="58" fillId="0" borderId="81" xfId="0" applyFont="1" applyBorder="1" applyAlignment="1">
      <alignment horizontal="center" vertical="center" textRotation="90"/>
    </xf>
    <xf numFmtId="0" fontId="58" fillId="0" borderId="82" xfId="0" applyFont="1" applyBorder="1" applyAlignment="1">
      <alignment horizontal="center" vertical="center" textRotation="90"/>
    </xf>
    <xf numFmtId="0" fontId="58" fillId="0" borderId="83" xfId="0" applyFont="1" applyBorder="1" applyAlignment="1">
      <alignment horizontal="center" vertical="center" textRotation="90"/>
    </xf>
    <xf numFmtId="0" fontId="20" fillId="0" borderId="88" xfId="0" applyFont="1" applyBorder="1" applyAlignment="1">
      <alignment horizontal="center" vertical="center" textRotation="90" wrapText="1"/>
    </xf>
    <xf numFmtId="0" fontId="71" fillId="0" borderId="88" xfId="0" applyFont="1" applyBorder="1" applyAlignment="1">
      <alignment horizontal="center" vertical="center" textRotation="90"/>
    </xf>
    <xf numFmtId="0" fontId="52" fillId="2" borderId="88" xfId="0" applyFont="1" applyFill="1" applyBorder="1" applyAlignment="1">
      <alignment horizontal="right" vertical="center"/>
    </xf>
    <xf numFmtId="0" fontId="52" fillId="0" borderId="71" xfId="0" applyFont="1" applyBorder="1" applyAlignment="1">
      <alignment horizontal="left" vertical="center"/>
    </xf>
    <xf numFmtId="0" fontId="52" fillId="0" borderId="81" xfId="0" applyFont="1" applyBorder="1" applyAlignment="1">
      <alignment horizontal="center" vertical="center"/>
    </xf>
    <xf numFmtId="0" fontId="52" fillId="0" borderId="87" xfId="0" applyFont="1" applyBorder="1" applyAlignment="1">
      <alignment horizontal="center" vertical="center"/>
    </xf>
    <xf numFmtId="0" fontId="52" fillId="0" borderId="76" xfId="0" applyFont="1" applyBorder="1" applyAlignment="1">
      <alignment horizontal="center" vertical="center"/>
    </xf>
    <xf numFmtId="0" fontId="52" fillId="0" borderId="82" xfId="0" applyFont="1" applyBorder="1" applyAlignment="1">
      <alignment horizontal="center" vertical="center"/>
    </xf>
    <xf numFmtId="0" fontId="52" fillId="0" borderId="0" xfId="0" applyFont="1" applyAlignment="1">
      <alignment horizontal="center" vertical="center"/>
    </xf>
    <xf numFmtId="0" fontId="52" fillId="0" borderId="77" xfId="0" applyFont="1" applyBorder="1" applyAlignment="1">
      <alignment horizontal="center" vertical="center"/>
    </xf>
    <xf numFmtId="0" fontId="52" fillId="0" borderId="83" xfId="0" applyFont="1" applyBorder="1" applyAlignment="1">
      <alignment horizontal="center" vertical="center"/>
    </xf>
    <xf numFmtId="0" fontId="52" fillId="0" borderId="85" xfId="0" applyFont="1" applyBorder="1" applyAlignment="1">
      <alignment horizontal="center" vertical="center"/>
    </xf>
    <xf numFmtId="0" fontId="52" fillId="0" borderId="78" xfId="0" applyFont="1" applyBorder="1" applyAlignment="1">
      <alignment horizontal="center" vertical="center"/>
    </xf>
    <xf numFmtId="0" fontId="52" fillId="0" borderId="88" xfId="0" applyFont="1" applyBorder="1" applyAlignment="1">
      <alignment horizontal="left" vertical="center"/>
    </xf>
    <xf numFmtId="0" fontId="62" fillId="0" borderId="73" xfId="0" applyFont="1" applyBorder="1" applyAlignment="1">
      <alignment horizontal="center" vertical="center" textRotation="90"/>
    </xf>
    <xf numFmtId="0" fontId="62" fillId="0" borderId="74" xfId="0" applyFont="1" applyBorder="1" applyAlignment="1">
      <alignment horizontal="center" vertical="center" textRotation="90"/>
    </xf>
    <xf numFmtId="0" fontId="62" fillId="0" borderId="75" xfId="0" applyFont="1" applyBorder="1" applyAlignment="1">
      <alignment horizontal="center" vertical="center" textRotation="90"/>
    </xf>
    <xf numFmtId="0" fontId="52" fillId="2" borderId="77" xfId="0" applyFont="1" applyFill="1" applyBorder="1" applyAlignment="1">
      <alignment horizontal="center" vertical="center" textRotation="90" wrapText="1"/>
    </xf>
    <xf numFmtId="0" fontId="52" fillId="0" borderId="88" xfId="0" applyFont="1" applyBorder="1" applyAlignment="1">
      <alignment horizontal="left" vertical="center" wrapText="1"/>
    </xf>
    <xf numFmtId="0" fontId="52" fillId="2" borderId="73" xfId="0" applyFont="1" applyFill="1" applyBorder="1" applyAlignment="1">
      <alignment horizontal="center" vertical="center" textRotation="90" wrapText="1"/>
    </xf>
    <xf numFmtId="0" fontId="52" fillId="2" borderId="74" xfId="0" applyFont="1" applyFill="1" applyBorder="1" applyAlignment="1">
      <alignment horizontal="center" vertical="center" textRotation="90" wrapText="1"/>
    </xf>
    <xf numFmtId="0" fontId="52" fillId="2" borderId="75" xfId="0" applyFont="1" applyFill="1" applyBorder="1" applyAlignment="1">
      <alignment horizontal="center" vertical="center" textRotation="90" wrapText="1"/>
    </xf>
    <xf numFmtId="0" fontId="59" fillId="0" borderId="142" xfId="0" applyFont="1" applyBorder="1" applyAlignment="1">
      <alignment horizontal="center" vertical="center" wrapText="1"/>
    </xf>
    <xf numFmtId="0" fontId="59" fillId="0" borderId="144" xfId="0" applyFont="1" applyBorder="1" applyAlignment="1">
      <alignment horizontal="center" vertical="center" wrapText="1"/>
    </xf>
    <xf numFmtId="0" fontId="59" fillId="0" borderId="143" xfId="0" applyFont="1" applyBorder="1" applyAlignment="1">
      <alignment horizontal="center" vertical="center" wrapText="1"/>
    </xf>
    <xf numFmtId="0" fontId="59" fillId="0" borderId="213" xfId="0" applyFont="1" applyBorder="1" applyAlignment="1">
      <alignment horizontal="center" vertical="center" wrapText="1"/>
    </xf>
    <xf numFmtId="0" fontId="67" fillId="17" borderId="71" xfId="0" applyFont="1" applyFill="1" applyBorder="1" applyAlignment="1">
      <alignment horizontal="center" vertical="center"/>
    </xf>
    <xf numFmtId="0" fontId="67" fillId="17" borderId="72" xfId="0" applyFont="1" applyFill="1" applyBorder="1" applyAlignment="1">
      <alignment horizontal="center" vertical="center"/>
    </xf>
    <xf numFmtId="0" fontId="67" fillId="17" borderId="70" xfId="0" applyFont="1" applyFill="1" applyBorder="1" applyAlignment="1">
      <alignment horizontal="center" vertical="center"/>
    </xf>
    <xf numFmtId="0" fontId="48" fillId="0" borderId="73" xfId="0" applyFont="1" applyBorder="1" applyAlignment="1">
      <alignment horizontal="center" vertical="center" textRotation="90" wrapText="1"/>
    </xf>
    <xf numFmtId="0" fontId="48" fillId="0" borderId="74" xfId="0" applyFont="1" applyBorder="1" applyAlignment="1">
      <alignment horizontal="center" vertical="center" textRotation="90" wrapText="1"/>
    </xf>
    <xf numFmtId="0" fontId="48" fillId="0" borderId="82" xfId="0" applyFont="1" applyBorder="1" applyAlignment="1">
      <alignment horizontal="center" vertical="center" textRotation="90" wrapText="1"/>
    </xf>
    <xf numFmtId="0" fontId="48" fillId="0" borderId="83" xfId="0" applyFont="1" applyBorder="1" applyAlignment="1">
      <alignment horizontal="center" vertical="center" textRotation="90" wrapText="1"/>
    </xf>
    <xf numFmtId="0" fontId="57" fillId="0" borderId="88" xfId="0" applyFont="1" applyBorder="1" applyAlignment="1">
      <alignment horizontal="center" vertical="center" wrapText="1"/>
    </xf>
    <xf numFmtId="0" fontId="57" fillId="0" borderId="70" xfId="0" applyFont="1" applyBorder="1" applyAlignment="1">
      <alignment horizontal="center" vertical="center"/>
    </xf>
    <xf numFmtId="0" fontId="57" fillId="0" borderId="88" xfId="0" applyFont="1" applyBorder="1" applyAlignment="1">
      <alignment horizontal="center" vertical="center"/>
    </xf>
    <xf numFmtId="0" fontId="49" fillId="0" borderId="0" xfId="0" applyFont="1" applyAlignment="1">
      <alignment horizontal="center" vertical="center" wrapText="1"/>
    </xf>
    <xf numFmtId="0" fontId="52" fillId="3" borderId="106" xfId="0" applyFont="1" applyFill="1" applyBorder="1" applyAlignment="1">
      <alignment horizontal="center" vertical="center"/>
    </xf>
    <xf numFmtId="0" fontId="52" fillId="3" borderId="94" xfId="0" applyFont="1" applyFill="1" applyBorder="1" applyAlignment="1">
      <alignment horizontal="center" vertical="center"/>
    </xf>
    <xf numFmtId="0" fontId="19" fillId="0" borderId="91" xfId="0" applyFont="1" applyBorder="1" applyAlignment="1">
      <alignment horizontal="center" vertical="center" wrapText="1"/>
    </xf>
    <xf numFmtId="0" fontId="19" fillId="0" borderId="77" xfId="0" applyFont="1" applyBorder="1" applyAlignment="1">
      <alignment horizontal="center" vertical="center" wrapText="1"/>
    </xf>
    <xf numFmtId="0" fontId="19" fillId="0" borderId="92" xfId="0" applyFont="1" applyBorder="1" applyAlignment="1">
      <alignment horizontal="center" vertical="center" wrapText="1"/>
    </xf>
    <xf numFmtId="0" fontId="19" fillId="0" borderId="103" xfId="0" applyFont="1" applyBorder="1" applyAlignment="1">
      <alignment horizontal="center" vertical="center" wrapText="1"/>
    </xf>
    <xf numFmtId="0" fontId="70" fillId="0" borderId="89" xfId="0" applyFont="1" applyBorder="1" applyAlignment="1">
      <alignment horizontal="center" vertical="center" wrapText="1"/>
    </xf>
    <xf numFmtId="0" fontId="70" fillId="0" borderId="102" xfId="0" applyFont="1" applyBorder="1" applyAlignment="1">
      <alignment horizontal="center" vertical="center" wrapText="1"/>
    </xf>
    <xf numFmtId="0" fontId="53" fillId="3" borderId="93" xfId="0" applyFont="1" applyFill="1" applyBorder="1" applyAlignment="1">
      <alignment horizontal="center" vertical="center" wrapText="1"/>
    </xf>
    <xf numFmtId="0" fontId="53" fillId="3" borderId="95" xfId="0" applyFont="1" applyFill="1" applyBorder="1" applyAlignment="1">
      <alignment horizontal="center" vertical="center" wrapText="1"/>
    </xf>
    <xf numFmtId="0" fontId="53" fillId="3" borderId="94" xfId="0" applyFont="1" applyFill="1" applyBorder="1" applyAlignment="1">
      <alignment horizontal="center" vertical="center" wrapText="1"/>
    </xf>
    <xf numFmtId="0" fontId="52" fillId="0" borderId="142" xfId="0" quotePrefix="1" applyFont="1" applyBorder="1" applyAlignment="1">
      <alignment horizontal="center" vertical="center"/>
    </xf>
    <xf numFmtId="0" fontId="52" fillId="0" borderId="143" xfId="0" quotePrefix="1" applyFont="1" applyBorder="1" applyAlignment="1">
      <alignment horizontal="center" vertical="center"/>
    </xf>
    <xf numFmtId="0" fontId="52" fillId="0" borderId="144" xfId="0" quotePrefix="1" applyFont="1" applyBorder="1" applyAlignment="1">
      <alignment horizontal="center" vertical="center"/>
    </xf>
    <xf numFmtId="0" fontId="49" fillId="0" borderId="91" xfId="0" applyFont="1" applyBorder="1" applyAlignment="1">
      <alignment horizontal="center" vertical="center" wrapText="1"/>
    </xf>
    <xf numFmtId="0" fontId="49" fillId="0" borderId="77" xfId="0" applyFont="1" applyBorder="1" applyAlignment="1">
      <alignment horizontal="center" vertical="center" wrapText="1"/>
    </xf>
    <xf numFmtId="0" fontId="49" fillId="0" borderId="92" xfId="0" applyFont="1" applyBorder="1" applyAlignment="1">
      <alignment horizontal="center" vertical="center" wrapText="1"/>
    </xf>
    <xf numFmtId="0" fontId="49" fillId="0" borderId="103" xfId="0" applyFont="1" applyBorder="1" applyAlignment="1">
      <alignment horizontal="center" vertical="center" wrapText="1"/>
    </xf>
    <xf numFmtId="0" fontId="52" fillId="17" borderId="71" xfId="0" applyFont="1" applyFill="1" applyBorder="1" applyAlignment="1">
      <alignment horizontal="center" vertical="center"/>
    </xf>
    <xf numFmtId="0" fontId="52" fillId="17" borderId="72" xfId="0" applyFont="1" applyFill="1" applyBorder="1" applyAlignment="1">
      <alignment horizontal="center" vertical="center"/>
    </xf>
    <xf numFmtId="0" fontId="52" fillId="17" borderId="70" xfId="0" applyFont="1" applyFill="1" applyBorder="1" applyAlignment="1">
      <alignment horizontal="center" vertical="center"/>
    </xf>
    <xf numFmtId="0" fontId="44" fillId="0" borderId="10" xfId="0" applyFont="1" applyBorder="1" applyAlignment="1">
      <alignment horizontal="center"/>
    </xf>
    <xf numFmtId="0" fontId="44" fillId="0" borderId="15" xfId="0" applyFont="1" applyBorder="1" applyAlignment="1">
      <alignment horizontal="center"/>
    </xf>
    <xf numFmtId="0" fontId="44" fillId="0" borderId="59" xfId="0" applyFont="1" applyBorder="1" applyAlignment="1">
      <alignment horizontal="center"/>
    </xf>
    <xf numFmtId="0" fontId="43" fillId="0" borderId="10" xfId="0" applyFont="1" applyBorder="1" applyAlignment="1">
      <alignment horizontal="center" vertical="center"/>
    </xf>
    <xf numFmtId="0" fontId="43" fillId="0" borderId="15" xfId="0" applyFont="1" applyBorder="1" applyAlignment="1">
      <alignment horizontal="center" vertical="center"/>
    </xf>
    <xf numFmtId="0" fontId="48" fillId="0" borderId="70" xfId="0" applyFont="1" applyBorder="1" applyAlignment="1">
      <alignment horizontal="left" vertical="center"/>
    </xf>
    <xf numFmtId="0" fontId="48" fillId="0" borderId="88" xfId="0" applyFont="1" applyBorder="1" applyAlignment="1">
      <alignment horizontal="left" vertical="center"/>
    </xf>
    <xf numFmtId="0" fontId="47" fillId="0" borderId="156" xfId="0" applyFont="1" applyBorder="1" applyAlignment="1">
      <alignment horizontal="center" vertical="center"/>
    </xf>
    <xf numFmtId="0" fontId="47" fillId="0" borderId="157" xfId="0" applyFont="1" applyBorder="1" applyAlignment="1">
      <alignment horizontal="center" vertical="center"/>
    </xf>
    <xf numFmtId="0" fontId="47" fillId="0" borderId="158" xfId="0" applyFont="1" applyBorder="1" applyAlignment="1">
      <alignment horizontal="center" vertical="center"/>
    </xf>
    <xf numFmtId="0" fontId="55" fillId="0" borderId="123" xfId="0" applyFont="1" applyBorder="1" applyAlignment="1">
      <alignment horizontal="center" vertical="center"/>
    </xf>
    <xf numFmtId="0" fontId="55" fillId="0" borderId="87" xfId="0" applyFont="1" applyBorder="1" applyAlignment="1">
      <alignment horizontal="center" vertical="center"/>
    </xf>
    <xf numFmtId="0" fontId="55" fillId="0" borderId="76" xfId="0" applyFont="1" applyBorder="1" applyAlignment="1">
      <alignment horizontal="center" vertical="center"/>
    </xf>
    <xf numFmtId="0" fontId="55" fillId="0" borderId="108" xfId="0" applyFont="1" applyBorder="1" applyAlignment="1">
      <alignment horizontal="center" vertical="center"/>
    </xf>
    <xf numFmtId="0" fontId="55" fillId="0" borderId="0" xfId="0" applyFont="1" applyAlignment="1">
      <alignment horizontal="center" vertical="center"/>
    </xf>
    <xf numFmtId="0" fontId="55" fillId="0" borderId="77" xfId="0" applyFont="1" applyBorder="1" applyAlignment="1">
      <alignment horizontal="center" vertical="center"/>
    </xf>
    <xf numFmtId="0" fontId="55" fillId="0" borderId="124" xfId="0" applyFont="1" applyBorder="1" applyAlignment="1">
      <alignment horizontal="center" vertical="center"/>
    </xf>
    <xf numFmtId="0" fontId="55" fillId="0" borderId="85" xfId="0" applyFont="1" applyBorder="1" applyAlignment="1">
      <alignment horizontal="center" vertical="center"/>
    </xf>
    <xf numFmtId="0" fontId="55" fillId="0" borderId="78" xfId="0" applyFont="1" applyBorder="1" applyAlignment="1">
      <alignment horizontal="center" vertical="center"/>
    </xf>
    <xf numFmtId="0" fontId="62" fillId="0" borderId="88" xfId="0" applyFont="1" applyBorder="1" applyAlignment="1">
      <alignment horizontal="left"/>
    </xf>
    <xf numFmtId="0" fontId="61" fillId="0" borderId="88" xfId="0" applyFont="1" applyBorder="1" applyAlignment="1">
      <alignment horizontal="left"/>
    </xf>
    <xf numFmtId="0" fontId="62" fillId="0" borderId="126" xfId="0" applyFont="1" applyBorder="1" applyAlignment="1">
      <alignment horizontal="left"/>
    </xf>
    <xf numFmtId="0" fontId="61" fillId="0" borderId="126" xfId="0" applyFont="1" applyBorder="1" applyAlignment="1">
      <alignment horizontal="left"/>
    </xf>
    <xf numFmtId="0" fontId="58" fillId="0" borderId="71" xfId="0" applyFont="1" applyBorder="1" applyAlignment="1">
      <alignment horizontal="center"/>
    </xf>
    <xf numFmtId="0" fontId="58" fillId="0" borderId="72" xfId="0" applyFont="1" applyBorder="1" applyAlignment="1">
      <alignment horizontal="center"/>
    </xf>
    <xf numFmtId="0" fontId="58" fillId="0" borderId="70" xfId="0" applyFont="1" applyBorder="1" applyAlignment="1">
      <alignment horizontal="center"/>
    </xf>
    <xf numFmtId="0" fontId="47" fillId="0" borderId="121" xfId="0" applyFont="1" applyBorder="1" applyAlignment="1">
      <alignment horizontal="center" vertical="center"/>
    </xf>
    <xf numFmtId="0" fontId="47" fillId="0" borderId="88" xfId="0" applyFont="1" applyBorder="1" applyAlignment="1">
      <alignment horizontal="center" vertical="center"/>
    </xf>
    <xf numFmtId="0" fontId="47" fillId="0" borderId="125" xfId="0" applyFont="1" applyBorder="1" applyAlignment="1">
      <alignment horizontal="center" vertical="center"/>
    </xf>
    <xf numFmtId="0" fontId="47" fillId="0" borderId="126" xfId="0" applyFont="1" applyBorder="1" applyAlignment="1">
      <alignment horizontal="center" vertical="center"/>
    </xf>
    <xf numFmtId="0" fontId="47" fillId="0" borderId="123" xfId="0" applyFont="1" applyBorder="1" applyAlignment="1">
      <alignment horizontal="center" vertical="center"/>
    </xf>
    <xf numFmtId="0" fontId="47" fillId="0" borderId="87" xfId="0" applyFont="1" applyBorder="1" applyAlignment="1">
      <alignment horizontal="center" vertical="center"/>
    </xf>
    <xf numFmtId="0" fontId="47" fillId="0" borderId="76" xfId="0" applyFont="1" applyBorder="1" applyAlignment="1">
      <alignment horizontal="center" vertical="center"/>
    </xf>
    <xf numFmtId="0" fontId="47" fillId="0" borderId="108" xfId="0" applyFont="1" applyBorder="1" applyAlignment="1">
      <alignment horizontal="center" vertical="center"/>
    </xf>
    <xf numFmtId="0" fontId="47" fillId="0" borderId="77" xfId="0" applyFont="1" applyBorder="1" applyAlignment="1">
      <alignment horizontal="center" vertical="center"/>
    </xf>
    <xf numFmtId="0" fontId="47" fillId="0" borderId="124" xfId="0" applyFont="1" applyBorder="1" applyAlignment="1">
      <alignment horizontal="center" vertical="center"/>
    </xf>
    <xf numFmtId="0" fontId="47" fillId="0" borderId="85" xfId="0" applyFont="1" applyBorder="1" applyAlignment="1">
      <alignment horizontal="center" vertical="center"/>
    </xf>
    <xf numFmtId="0" fontId="47" fillId="0" borderId="78" xfId="0" applyFont="1" applyBorder="1" applyAlignment="1">
      <alignment horizontal="center" vertical="center"/>
    </xf>
    <xf numFmtId="0" fontId="20" fillId="0" borderId="114" xfId="0" applyFont="1" applyBorder="1" applyAlignment="1">
      <alignment horizontal="center" vertical="center" wrapText="1"/>
    </xf>
    <xf numFmtId="0" fontId="20" fillId="0" borderId="116" xfId="0" applyFont="1" applyBorder="1" applyAlignment="1">
      <alignment horizontal="center" vertical="center" wrapText="1"/>
    </xf>
    <xf numFmtId="0" fontId="56" fillId="17" borderId="110" xfId="0" applyFont="1" applyFill="1" applyBorder="1" applyAlignment="1">
      <alignment horizontal="center" vertical="center" wrapText="1"/>
    </xf>
    <xf numFmtId="0" fontId="56" fillId="17" borderId="101" xfId="0" applyFont="1" applyFill="1" applyBorder="1" applyAlignment="1">
      <alignment horizontal="center" vertical="center" wrapText="1"/>
    </xf>
    <xf numFmtId="0" fontId="56" fillId="17" borderId="111" xfId="0" applyFont="1" applyFill="1" applyBorder="1" applyAlignment="1">
      <alignment horizontal="center" vertical="center" wrapText="1"/>
    </xf>
    <xf numFmtId="0" fontId="51" fillId="17" borderId="121" xfId="0" applyFont="1" applyFill="1" applyBorder="1" applyAlignment="1">
      <alignment horizontal="center" vertical="center"/>
    </xf>
    <xf numFmtId="0" fontId="51" fillId="17" borderId="88" xfId="0" applyFont="1" applyFill="1" applyBorder="1" applyAlignment="1">
      <alignment horizontal="center" vertical="center"/>
    </xf>
    <xf numFmtId="0" fontId="52" fillId="14" borderId="117" xfId="0" applyFont="1" applyFill="1" applyBorder="1" applyAlignment="1">
      <alignment horizontal="center" vertical="center" wrapText="1"/>
    </xf>
    <xf numFmtId="0" fontId="52" fillId="14" borderId="90" xfId="0" applyFont="1" applyFill="1" applyBorder="1" applyAlignment="1">
      <alignment horizontal="center" vertical="center" wrapText="1"/>
    </xf>
    <xf numFmtId="0" fontId="19" fillId="0" borderId="0" xfId="6" applyFont="1" applyAlignment="1">
      <alignment horizontal="center" vertical="center"/>
    </xf>
    <xf numFmtId="0" fontId="53" fillId="0" borderId="15" xfId="0" applyFont="1" applyBorder="1" applyAlignment="1">
      <alignment horizontal="left" vertical="center"/>
    </xf>
    <xf numFmtId="0" fontId="51" fillId="11" borderId="107" xfId="0" applyFont="1" applyFill="1" applyBorder="1" applyAlignment="1">
      <alignment horizontal="center" vertical="center" wrapText="1"/>
    </xf>
    <xf numFmtId="0" fontId="51" fillId="11" borderId="85" xfId="0" applyFont="1" applyFill="1" applyBorder="1" applyAlignment="1">
      <alignment horizontal="center" vertical="center" wrapText="1"/>
    </xf>
    <xf numFmtId="0" fontId="19" fillId="0" borderId="0" xfId="0" applyFont="1" applyAlignment="1">
      <alignment horizontal="left" vertical="center" wrapText="1"/>
    </xf>
    <xf numFmtId="0" fontId="19" fillId="0" borderId="0" xfId="0" applyFont="1" applyAlignment="1">
      <alignment horizontal="center"/>
    </xf>
    <xf numFmtId="0" fontId="19" fillId="0" borderId="0" xfId="0" applyFont="1" applyAlignment="1">
      <alignment horizontal="center" vertical="center"/>
    </xf>
    <xf numFmtId="0" fontId="19" fillId="0" borderId="0" xfId="0" applyFont="1" applyAlignment="1">
      <alignment horizontal="left" vertical="center"/>
    </xf>
    <xf numFmtId="0" fontId="84" fillId="17" borderId="192" xfId="0" applyFont="1" applyFill="1" applyBorder="1" applyAlignment="1" applyProtection="1">
      <alignment horizontal="center" vertical="center" wrapText="1"/>
      <protection locked="0" hidden="1"/>
    </xf>
    <xf numFmtId="0" fontId="84" fillId="17" borderId="84" xfId="0" applyFont="1" applyFill="1" applyBorder="1" applyAlignment="1" applyProtection="1">
      <alignment horizontal="center" vertical="center" wrapText="1"/>
      <protection locked="0" hidden="1"/>
    </xf>
    <xf numFmtId="0" fontId="84" fillId="17" borderId="0" xfId="0" applyFont="1" applyFill="1" applyAlignment="1" applyProtection="1">
      <alignment horizontal="center" vertical="center" wrapText="1"/>
      <protection locked="0" hidden="1"/>
    </xf>
    <xf numFmtId="0" fontId="84" fillId="17" borderId="57" xfId="0" applyFont="1" applyFill="1" applyBorder="1" applyAlignment="1" applyProtection="1">
      <alignment horizontal="center" vertical="center" wrapText="1"/>
      <protection locked="0" hidden="1"/>
    </xf>
    <xf numFmtId="0" fontId="84" fillId="17" borderId="193" xfId="0" applyFont="1" applyFill="1" applyBorder="1" applyAlignment="1" applyProtection="1">
      <alignment horizontal="center" vertical="center" wrapText="1"/>
      <protection locked="0" hidden="1"/>
    </xf>
    <xf numFmtId="0" fontId="84" fillId="17" borderId="60" xfId="0" applyFont="1" applyFill="1" applyBorder="1" applyAlignment="1" applyProtection="1">
      <alignment horizontal="center" vertical="center" wrapText="1"/>
      <protection locked="0" hidden="1"/>
    </xf>
    <xf numFmtId="2" fontId="84" fillId="17" borderId="57" xfId="0" applyNumberFormat="1" applyFont="1" applyFill="1" applyBorder="1" applyAlignment="1" applyProtection="1">
      <alignment horizontal="center" vertical="center" wrapText="1"/>
      <protection locked="0" hidden="1"/>
    </xf>
    <xf numFmtId="2" fontId="84" fillId="17" borderId="193" xfId="0" applyNumberFormat="1" applyFont="1" applyFill="1" applyBorder="1" applyAlignment="1" applyProtection="1">
      <alignment horizontal="center" vertical="center" wrapText="1"/>
      <protection locked="0" hidden="1"/>
    </xf>
    <xf numFmtId="2" fontId="84" fillId="17" borderId="60" xfId="0" applyNumberFormat="1" applyFont="1" applyFill="1" applyBorder="1" applyAlignment="1" applyProtection="1">
      <alignment horizontal="center" vertical="center" wrapText="1"/>
      <protection locked="0" hidden="1"/>
    </xf>
    <xf numFmtId="0" fontId="84" fillId="17" borderId="198" xfId="0" applyFont="1" applyFill="1" applyBorder="1" applyAlignment="1" applyProtection="1">
      <alignment horizontal="center" vertical="center" wrapText="1"/>
      <protection locked="0" hidden="1"/>
    </xf>
    <xf numFmtId="2" fontId="84" fillId="17" borderId="194" xfId="0" applyNumberFormat="1" applyFont="1" applyFill="1" applyBorder="1" applyAlignment="1" applyProtection="1">
      <alignment horizontal="center" vertical="center" wrapText="1"/>
      <protection locked="0" hidden="1"/>
    </xf>
    <xf numFmtId="2" fontId="84" fillId="17" borderId="195" xfId="0" applyNumberFormat="1" applyFont="1" applyFill="1" applyBorder="1" applyAlignment="1" applyProtection="1">
      <alignment horizontal="center" vertical="center" wrapText="1"/>
      <protection locked="0" hidden="1"/>
    </xf>
    <xf numFmtId="2" fontId="84" fillId="17" borderId="196" xfId="0" applyNumberFormat="1" applyFont="1" applyFill="1" applyBorder="1" applyAlignment="1" applyProtection="1">
      <alignment horizontal="center" vertical="center" wrapText="1"/>
      <protection locked="0" hidden="1"/>
    </xf>
    <xf numFmtId="0" fontId="12" fillId="0" borderId="13" xfId="0" applyFont="1" applyBorder="1" applyAlignment="1">
      <alignment horizontal="center" vertical="center"/>
    </xf>
    <xf numFmtId="0" fontId="12" fillId="0" borderId="0" xfId="0" applyFont="1" applyAlignment="1">
      <alignment horizontal="center" vertical="center"/>
    </xf>
    <xf numFmtId="0" fontId="12" fillId="0" borderId="14" xfId="0" applyFont="1" applyBorder="1" applyAlignment="1">
      <alignment horizontal="center" vertical="center"/>
    </xf>
    <xf numFmtId="0" fontId="15" fillId="0" borderId="10"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1" xfId="0" applyFont="1" applyBorder="1" applyAlignment="1">
      <alignment horizontal="center" vertical="center" wrapText="1"/>
    </xf>
    <xf numFmtId="0" fontId="61" fillId="0" borderId="0" xfId="0" applyFont="1" applyAlignment="1" applyProtection="1">
      <alignment horizontal="center"/>
      <protection locked="0" hidden="1"/>
    </xf>
    <xf numFmtId="0" fontId="61" fillId="0" borderId="164" xfId="0" applyFont="1" applyBorder="1" applyAlignment="1" applyProtection="1">
      <alignment horizontal="center"/>
      <protection locked="0" hidden="1"/>
    </xf>
    <xf numFmtId="0" fontId="73" fillId="17" borderId="91" xfId="0" applyFont="1" applyFill="1" applyBorder="1" applyAlignment="1">
      <alignment horizontal="center" vertical="center" wrapText="1"/>
    </xf>
    <xf numFmtId="0" fontId="73" fillId="17" borderId="0" xfId="0" applyFont="1" applyFill="1" applyAlignment="1">
      <alignment horizontal="center" vertical="center" wrapText="1"/>
    </xf>
    <xf numFmtId="0" fontId="73" fillId="17" borderId="164" xfId="0" applyFont="1" applyFill="1" applyBorder="1" applyAlignment="1">
      <alignment horizontal="center" vertical="center" wrapText="1"/>
    </xf>
    <xf numFmtId="0" fontId="51" fillId="17" borderId="177" xfId="0" applyFont="1" applyFill="1" applyBorder="1" applyAlignment="1" applyProtection="1">
      <alignment horizontal="center" vertical="center"/>
      <protection locked="0" hidden="1"/>
    </xf>
    <xf numFmtId="0" fontId="51" fillId="17" borderId="178" xfId="0" applyFont="1" applyFill="1" applyBorder="1" applyAlignment="1" applyProtection="1">
      <alignment horizontal="center" vertical="center"/>
      <protection locked="0" hidden="1"/>
    </xf>
    <xf numFmtId="0" fontId="51" fillId="17" borderId="179" xfId="0" applyFont="1" applyFill="1" applyBorder="1" applyAlignment="1" applyProtection="1">
      <alignment horizontal="center" vertical="center"/>
      <protection locked="0" hidden="1"/>
    </xf>
    <xf numFmtId="0" fontId="51" fillId="17" borderId="180" xfId="0" applyFont="1" applyFill="1" applyBorder="1" applyAlignment="1" applyProtection="1">
      <alignment horizontal="center" vertical="center"/>
      <protection locked="0" hidden="1"/>
    </xf>
    <xf numFmtId="0" fontId="53" fillId="0" borderId="167" xfId="0" applyFont="1" applyBorder="1" applyAlignment="1">
      <alignment horizontal="center" vertical="center" wrapText="1"/>
    </xf>
    <xf numFmtId="0" fontId="53" fillId="0" borderId="168" xfId="0" applyFont="1" applyBorder="1" applyAlignment="1">
      <alignment horizontal="center" vertical="center" wrapText="1"/>
    </xf>
    <xf numFmtId="0" fontId="20" fillId="0" borderId="171" xfId="0" applyFont="1" applyBorder="1" applyAlignment="1">
      <alignment horizontal="center" vertical="center" wrapText="1"/>
    </xf>
    <xf numFmtId="0" fontId="20" fillId="0" borderId="172" xfId="0" applyFont="1" applyBorder="1" applyAlignment="1">
      <alignment horizontal="center" vertical="center" wrapText="1"/>
    </xf>
    <xf numFmtId="0" fontId="20" fillId="0" borderId="175" xfId="0" applyFont="1" applyBorder="1" applyAlignment="1">
      <alignment horizontal="center" vertical="center" wrapText="1"/>
    </xf>
    <xf numFmtId="0" fontId="20" fillId="0" borderId="176" xfId="0" applyFont="1" applyBorder="1" applyAlignment="1">
      <alignment horizontal="center" vertical="center" wrapText="1"/>
    </xf>
    <xf numFmtId="0" fontId="84" fillId="17" borderId="95" xfId="0" applyFont="1" applyFill="1" applyBorder="1" applyAlignment="1" applyProtection="1">
      <alignment horizontal="center"/>
      <protection locked="0" hidden="1"/>
    </xf>
    <xf numFmtId="0" fontId="84" fillId="17" borderId="94" xfId="0" applyFont="1" applyFill="1" applyBorder="1" applyAlignment="1" applyProtection="1">
      <alignment horizontal="center"/>
      <protection locked="0" hidden="1"/>
    </xf>
    <xf numFmtId="0" fontId="84" fillId="17" borderId="181" xfId="0" applyFont="1" applyFill="1" applyBorder="1" applyAlignment="1" applyProtection="1">
      <alignment horizontal="center" vertical="center"/>
      <protection locked="0" hidden="1"/>
    </xf>
    <xf numFmtId="0" fontId="84" fillId="17" borderId="178" xfId="0" applyFont="1" applyFill="1" applyBorder="1" applyAlignment="1" applyProtection="1">
      <alignment horizontal="center" vertical="center"/>
      <protection locked="0" hidden="1"/>
    </xf>
    <xf numFmtId="0" fontId="84" fillId="17" borderId="93" xfId="0" applyFont="1" applyFill="1" applyBorder="1" applyAlignment="1" applyProtection="1">
      <alignment horizontal="center"/>
      <protection locked="0" hidden="1"/>
    </xf>
    <xf numFmtId="170" fontId="84" fillId="17" borderId="57" xfId="0" applyNumberFormat="1" applyFont="1" applyFill="1" applyBorder="1" applyAlignment="1" applyProtection="1">
      <alignment horizontal="center" vertical="center" wrapText="1"/>
      <protection locked="0" hidden="1"/>
    </xf>
    <xf numFmtId="170" fontId="84" fillId="17" borderId="193" xfId="0" applyNumberFormat="1" applyFont="1" applyFill="1" applyBorder="1" applyAlignment="1" applyProtection="1">
      <alignment horizontal="center" vertical="center" wrapText="1"/>
      <protection locked="0" hidden="1"/>
    </xf>
    <xf numFmtId="170" fontId="84" fillId="17" borderId="60" xfId="0" applyNumberFormat="1" applyFont="1" applyFill="1" applyBorder="1" applyAlignment="1" applyProtection="1">
      <alignment horizontal="center" vertical="center" wrapText="1"/>
      <protection locked="0" hidden="1"/>
    </xf>
    <xf numFmtId="0" fontId="81" fillId="8" borderId="0" xfId="0" applyFont="1" applyFill="1" applyAlignment="1">
      <alignment horizontal="center" vertical="center"/>
    </xf>
    <xf numFmtId="0" fontId="51" fillId="17" borderId="82" xfId="19" applyFont="1" applyFill="1" applyBorder="1" applyAlignment="1">
      <alignment horizontal="center" vertical="center"/>
    </xf>
    <xf numFmtId="0" fontId="84" fillId="17" borderId="0" xfId="19" applyFont="1" applyFill="1" applyAlignment="1">
      <alignment horizontal="center" vertical="center"/>
    </xf>
    <xf numFmtId="0" fontId="84" fillId="17" borderId="77" xfId="19" applyFont="1" applyFill="1" applyBorder="1" applyAlignment="1">
      <alignment horizontal="center" vertical="center"/>
    </xf>
    <xf numFmtId="0" fontId="19" fillId="0" borderId="87" xfId="0" applyFont="1" applyBorder="1" applyAlignment="1">
      <alignment horizontal="center"/>
    </xf>
    <xf numFmtId="0" fontId="19" fillId="0" borderId="85" xfId="0" applyFont="1" applyBorder="1" applyAlignment="1">
      <alignment horizontal="left" vertical="center" wrapText="1"/>
    </xf>
    <xf numFmtId="0" fontId="55" fillId="0" borderId="82" xfId="0" applyFont="1" applyBorder="1" applyAlignment="1">
      <alignment horizontal="center"/>
    </xf>
    <xf numFmtId="0" fontId="55" fillId="0" borderId="0" xfId="0" applyFont="1" applyAlignment="1">
      <alignment horizontal="center"/>
    </xf>
    <xf numFmtId="168" fontId="20" fillId="0" borderId="71" xfId="8" applyFont="1" applyFill="1" applyBorder="1" applyAlignment="1">
      <alignment horizontal="center" vertical="center" wrapText="1"/>
    </xf>
    <xf numFmtId="168" fontId="20" fillId="0" borderId="72" xfId="8" applyFont="1" applyFill="1" applyBorder="1" applyAlignment="1">
      <alignment horizontal="center" vertical="center" wrapText="1"/>
    </xf>
    <xf numFmtId="0" fontId="20" fillId="0" borderId="71" xfId="0" applyFont="1" applyBorder="1" applyAlignment="1">
      <alignment horizontal="center" vertical="center" wrapText="1"/>
    </xf>
    <xf numFmtId="0" fontId="20" fillId="0" borderId="72" xfId="0" applyFont="1" applyBorder="1" applyAlignment="1">
      <alignment horizontal="center" vertical="center" wrapText="1"/>
    </xf>
    <xf numFmtId="0" fontId="67" fillId="17" borderId="71" xfId="0" applyFont="1" applyFill="1" applyBorder="1" applyAlignment="1">
      <alignment horizontal="center" vertical="center" wrapText="1"/>
    </xf>
    <xf numFmtId="0" fontId="67" fillId="17" borderId="72" xfId="0" applyFont="1" applyFill="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78" fillId="0" borderId="88" xfId="0" applyFont="1" applyBorder="1" applyAlignment="1">
      <alignment horizontal="center"/>
    </xf>
    <xf numFmtId="0" fontId="79" fillId="3" borderId="88" xfId="0" applyFont="1" applyFill="1" applyBorder="1" applyAlignment="1">
      <alignment horizontal="center"/>
    </xf>
    <xf numFmtId="0" fontId="78" fillId="0" borderId="88" xfId="0" applyFont="1" applyBorder="1" applyAlignment="1">
      <alignment horizontal="center" vertical="center" wrapText="1"/>
    </xf>
    <xf numFmtId="0" fontId="78" fillId="0" borderId="88" xfId="0" applyFont="1" applyBorder="1" applyAlignment="1">
      <alignment horizontal="center" vertical="center"/>
    </xf>
    <xf numFmtId="0" fontId="73" fillId="17" borderId="82" xfId="0" applyFont="1" applyFill="1" applyBorder="1" applyAlignment="1">
      <alignment horizontal="center" vertical="center" wrapText="1"/>
    </xf>
    <xf numFmtId="0" fontId="73" fillId="17" borderId="77" xfId="0" applyFont="1" applyFill="1" applyBorder="1" applyAlignment="1">
      <alignment horizontal="center" vertical="center" wrapText="1"/>
    </xf>
    <xf numFmtId="0" fontId="79" fillId="3" borderId="88" xfId="0" applyFont="1" applyFill="1" applyBorder="1" applyAlignment="1">
      <alignment horizontal="center" vertical="center"/>
    </xf>
    <xf numFmtId="0" fontId="71" fillId="0" borderId="153" xfId="0" applyFont="1" applyBorder="1" applyAlignment="1">
      <alignment horizontal="center" wrapText="1"/>
    </xf>
    <xf numFmtId="0" fontId="71" fillId="0" borderId="154" xfId="0" applyFont="1" applyBorder="1" applyAlignment="1">
      <alignment horizontal="center" wrapText="1"/>
    </xf>
    <xf numFmtId="0" fontId="28" fillId="0" borderId="3" xfId="0" applyFont="1" applyBorder="1" applyAlignment="1">
      <alignment horizontal="center" vertical="center"/>
    </xf>
    <xf numFmtId="0" fontId="28" fillId="4" borderId="3" xfId="0" applyFont="1" applyFill="1" applyBorder="1" applyAlignment="1">
      <alignment horizontal="center" vertical="center"/>
    </xf>
    <xf numFmtId="0" fontId="31" fillId="4" borderId="1" xfId="0" applyFont="1" applyFill="1" applyBorder="1" applyAlignment="1">
      <alignment horizontal="center" vertical="center"/>
    </xf>
    <xf numFmtId="0" fontId="31" fillId="4" borderId="4" xfId="0" applyFont="1" applyFill="1" applyBorder="1" applyAlignment="1">
      <alignment horizontal="center" vertical="center"/>
    </xf>
    <xf numFmtId="0" fontId="31" fillId="4" borderId="2" xfId="0" applyFont="1" applyFill="1" applyBorder="1" applyAlignment="1">
      <alignment horizontal="center" vertical="center"/>
    </xf>
    <xf numFmtId="0" fontId="38" fillId="0" borderId="1" xfId="0" applyFont="1" applyBorder="1" applyAlignment="1">
      <alignment horizontal="center" vertical="center"/>
    </xf>
    <xf numFmtId="0" fontId="38" fillId="0" borderId="4" xfId="0" applyFont="1" applyBorder="1" applyAlignment="1">
      <alignment horizontal="center" vertical="center"/>
    </xf>
    <xf numFmtId="0" fontId="38" fillId="0" borderId="2" xfId="0" applyFont="1" applyBorder="1" applyAlignment="1">
      <alignment horizontal="center" vertical="center"/>
    </xf>
    <xf numFmtId="0" fontId="39" fillId="4" borderId="5" xfId="0" applyFont="1" applyFill="1" applyBorder="1" applyAlignment="1">
      <alignment horizontal="center" vertical="center"/>
    </xf>
    <xf numFmtId="0" fontId="39" fillId="4" borderId="7" xfId="0" applyFont="1" applyFill="1" applyBorder="1" applyAlignment="1">
      <alignment horizontal="center" vertical="center"/>
    </xf>
    <xf numFmtId="0" fontId="37" fillId="4" borderId="8" xfId="0" applyFont="1" applyFill="1" applyBorder="1" applyAlignment="1" applyProtection="1">
      <alignment horizontal="center" vertical="center" wrapText="1"/>
      <protection locked="0" hidden="1"/>
    </xf>
    <xf numFmtId="0" fontId="37" fillId="4" borderId="12" xfId="0" applyFont="1" applyFill="1" applyBorder="1" applyAlignment="1" applyProtection="1">
      <alignment horizontal="center" vertical="center" wrapText="1"/>
      <protection locked="0" hidden="1"/>
    </xf>
    <xf numFmtId="0" fontId="37" fillId="4" borderId="9" xfId="0" applyFont="1" applyFill="1" applyBorder="1" applyAlignment="1" applyProtection="1">
      <alignment horizontal="center" vertical="center" wrapText="1"/>
      <protection locked="0" hidden="1"/>
    </xf>
    <xf numFmtId="0" fontId="37" fillId="4" borderId="13" xfId="0" applyFont="1" applyFill="1" applyBorder="1" applyAlignment="1" applyProtection="1">
      <alignment horizontal="center" vertical="center" wrapText="1"/>
      <protection locked="0" hidden="1"/>
    </xf>
    <xf numFmtId="0" fontId="37" fillId="4" borderId="0" xfId="0" applyFont="1" applyFill="1" applyAlignment="1" applyProtection="1">
      <alignment horizontal="center" vertical="center" wrapText="1"/>
      <protection locked="0" hidden="1"/>
    </xf>
    <xf numFmtId="0" fontId="37" fillId="4" borderId="14" xfId="0" applyFont="1" applyFill="1" applyBorder="1" applyAlignment="1" applyProtection="1">
      <alignment horizontal="center" vertical="center" wrapText="1"/>
      <protection locked="0" hidden="1"/>
    </xf>
    <xf numFmtId="0" fontId="37" fillId="4" borderId="10" xfId="0" applyFont="1" applyFill="1" applyBorder="1" applyAlignment="1" applyProtection="1">
      <alignment horizontal="center" vertical="center" wrapText="1"/>
      <protection locked="0" hidden="1"/>
    </xf>
    <xf numFmtId="0" fontId="37" fillId="4" borderId="15" xfId="0" applyFont="1" applyFill="1" applyBorder="1" applyAlignment="1" applyProtection="1">
      <alignment horizontal="center" vertical="center" wrapText="1"/>
      <protection locked="0" hidden="1"/>
    </xf>
    <xf numFmtId="0" fontId="37" fillId="4" borderId="11" xfId="0" applyFont="1" applyFill="1" applyBorder="1" applyAlignment="1" applyProtection="1">
      <alignment horizontal="center" vertical="center" wrapText="1"/>
      <protection locked="0" hidden="1"/>
    </xf>
    <xf numFmtId="0" fontId="36" fillId="4" borderId="8" xfId="0" applyFont="1" applyFill="1" applyBorder="1" applyAlignment="1" applyProtection="1">
      <alignment horizontal="center" vertical="center" wrapText="1"/>
      <protection locked="0" hidden="1"/>
    </xf>
    <xf numFmtId="0" fontId="36" fillId="4" borderId="12" xfId="0" applyFont="1" applyFill="1" applyBorder="1" applyAlignment="1" applyProtection="1">
      <alignment horizontal="center" vertical="center" wrapText="1"/>
      <protection locked="0" hidden="1"/>
    </xf>
    <xf numFmtId="0" fontId="36" fillId="4" borderId="9" xfId="0" applyFont="1" applyFill="1" applyBorder="1" applyAlignment="1" applyProtection="1">
      <alignment horizontal="center" vertical="center" wrapText="1"/>
      <protection locked="0" hidden="1"/>
    </xf>
    <xf numFmtId="0" fontId="36" fillId="4" borderId="13" xfId="0" applyFont="1" applyFill="1" applyBorder="1" applyAlignment="1" applyProtection="1">
      <alignment horizontal="center" vertical="center" wrapText="1"/>
      <protection locked="0" hidden="1"/>
    </xf>
    <xf numFmtId="0" fontId="36" fillId="4" borderId="0" xfId="0" applyFont="1" applyFill="1" applyAlignment="1" applyProtection="1">
      <alignment horizontal="center" vertical="center" wrapText="1"/>
      <protection locked="0" hidden="1"/>
    </xf>
    <xf numFmtId="0" fontId="36" fillId="4" borderId="14" xfId="0" applyFont="1" applyFill="1" applyBorder="1" applyAlignment="1" applyProtection="1">
      <alignment horizontal="center" vertical="center" wrapText="1"/>
      <protection locked="0" hidden="1"/>
    </xf>
    <xf numFmtId="0" fontId="36" fillId="4" borderId="10" xfId="0" applyFont="1" applyFill="1" applyBorder="1" applyAlignment="1" applyProtection="1">
      <alignment horizontal="center" vertical="center" wrapText="1"/>
      <protection locked="0" hidden="1"/>
    </xf>
    <xf numFmtId="0" fontId="36" fillId="4" borderId="15" xfId="0" applyFont="1" applyFill="1" applyBorder="1" applyAlignment="1" applyProtection="1">
      <alignment horizontal="center" vertical="center" wrapText="1"/>
      <protection locked="0" hidden="1"/>
    </xf>
    <xf numFmtId="0" fontId="36" fillId="4" borderId="11" xfId="0" applyFont="1" applyFill="1" applyBorder="1" applyAlignment="1" applyProtection="1">
      <alignment horizontal="center" vertical="center" wrapText="1"/>
      <protection locked="0" hidden="1"/>
    </xf>
    <xf numFmtId="0" fontId="39" fillId="4" borderId="3" xfId="0" applyFont="1" applyFill="1" applyBorder="1" applyAlignment="1">
      <alignment horizontal="center" vertical="center" wrapText="1"/>
    </xf>
    <xf numFmtId="0" fontId="39" fillId="4" borderId="3" xfId="0" applyFont="1" applyFill="1" applyBorder="1" applyAlignment="1">
      <alignment horizontal="center" vertical="center"/>
    </xf>
    <xf numFmtId="0" fontId="14" fillId="5" borderId="1"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9" fillId="0" borderId="1" xfId="0" applyFont="1" applyBorder="1" applyAlignment="1">
      <alignment horizontal="left" vertical="top" wrapText="1"/>
    </xf>
    <xf numFmtId="0" fontId="9" fillId="0" borderId="4" xfId="0" applyFont="1" applyBorder="1" applyAlignment="1">
      <alignment horizontal="left" vertical="top" wrapText="1"/>
    </xf>
    <xf numFmtId="0" fontId="9" fillId="0" borderId="2" xfId="0" applyFont="1" applyBorder="1" applyAlignment="1">
      <alignment horizontal="left" vertical="top" wrapText="1"/>
    </xf>
    <xf numFmtId="0" fontId="12" fillId="0" borderId="1" xfId="0" applyFont="1" applyBorder="1" applyAlignment="1">
      <alignment horizontal="center" vertical="center"/>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39" fillId="4" borderId="5" xfId="0" applyFont="1" applyFill="1" applyBorder="1" applyAlignment="1">
      <alignment horizontal="center" vertical="center" wrapText="1"/>
    </xf>
    <xf numFmtId="0" fontId="40" fillId="4" borderId="3" xfId="0" applyFont="1" applyFill="1" applyBorder="1" applyAlignment="1">
      <alignment horizontal="center" vertical="center"/>
    </xf>
    <xf numFmtId="0" fontId="39" fillId="4" borderId="5" xfId="0" applyFont="1" applyFill="1" applyBorder="1" applyAlignment="1">
      <alignment horizontal="center" wrapText="1"/>
    </xf>
    <xf numFmtId="0" fontId="39" fillId="4" borderId="7" xfId="0" applyFont="1" applyFill="1" applyBorder="1" applyAlignment="1">
      <alignment horizontal="center" wrapText="1"/>
    </xf>
    <xf numFmtId="0" fontId="34" fillId="0" borderId="3" xfId="0" applyFont="1" applyBorder="1" applyAlignment="1">
      <alignment horizontal="center" vertical="top" wrapText="1"/>
    </xf>
    <xf numFmtId="170" fontId="33" fillId="0" borderId="3" xfId="0" applyNumberFormat="1" applyFont="1" applyBorder="1" applyAlignment="1">
      <alignment horizontal="center" vertical="top" shrinkToFit="1"/>
    </xf>
    <xf numFmtId="164" fontId="33" fillId="0" borderId="3" xfId="0" applyNumberFormat="1" applyFont="1" applyBorder="1" applyAlignment="1">
      <alignment horizontal="center" vertical="top" shrinkToFit="1"/>
    </xf>
    <xf numFmtId="0" fontId="35" fillId="0" borderId="3" xfId="0" applyFont="1" applyBorder="1" applyAlignment="1">
      <alignment horizontal="center" vertical="top" wrapText="1"/>
    </xf>
    <xf numFmtId="0" fontId="32" fillId="10" borderId="3" xfId="0" applyFont="1" applyFill="1" applyBorder="1" applyAlignment="1">
      <alignment horizontal="center" vertical="top" wrapText="1"/>
    </xf>
  </cellXfs>
  <cellStyles count="41139">
    <cellStyle name="20% - Accent1" xfId="41089"/>
    <cellStyle name="20% - Accent2" xfId="41090"/>
    <cellStyle name="20% - Accent3" xfId="41091"/>
    <cellStyle name="20% - Accent4" xfId="41092"/>
    <cellStyle name="20% - Accent5" xfId="41093"/>
    <cellStyle name="20% - Accent6" xfId="41094"/>
    <cellStyle name="20% - Ênfase1 10" xfId="45"/>
    <cellStyle name="20% - Ênfase1 10 2" xfId="40475"/>
    <cellStyle name="20% - Ênfase1 100" xfId="46"/>
    <cellStyle name="20% - Ênfase1 101" xfId="47"/>
    <cellStyle name="20% - Ênfase1 102" xfId="48"/>
    <cellStyle name="20% - Ênfase1 103" xfId="49"/>
    <cellStyle name="20% - Ênfase1 104" xfId="50"/>
    <cellStyle name="20% - Ênfase1 105" xfId="51"/>
    <cellStyle name="20% - Ênfase1 106" xfId="52"/>
    <cellStyle name="20% - Ênfase1 107" xfId="53"/>
    <cellStyle name="20% - Ênfase1 108" xfId="54"/>
    <cellStyle name="20% - Ênfase1 109" xfId="55"/>
    <cellStyle name="20% - Ênfase1 11" xfId="56"/>
    <cellStyle name="20% - Ênfase1 11 2" xfId="40476"/>
    <cellStyle name="20% - Ênfase1 110" xfId="57"/>
    <cellStyle name="20% - Ênfase1 111" xfId="58"/>
    <cellStyle name="20% - Ênfase1 112" xfId="59"/>
    <cellStyle name="20% - Ênfase1 113" xfId="60"/>
    <cellStyle name="20% - Ênfase1 114" xfId="61"/>
    <cellStyle name="20% - Ênfase1 115" xfId="62"/>
    <cellStyle name="20% - Ênfase1 116" xfId="63"/>
    <cellStyle name="20% - Ênfase1 117" xfId="64"/>
    <cellStyle name="20% - Ênfase1 118" xfId="65"/>
    <cellStyle name="20% - Ênfase1 119" xfId="66"/>
    <cellStyle name="20% - Ênfase1 12" xfId="67"/>
    <cellStyle name="20% - Ênfase1 12 2" xfId="40477"/>
    <cellStyle name="20% - Ênfase1 120" xfId="68"/>
    <cellStyle name="20% - Ênfase1 121" xfId="69"/>
    <cellStyle name="20% - Ênfase1 122" xfId="70"/>
    <cellStyle name="20% - Ênfase1 123" xfId="71"/>
    <cellStyle name="20% - Ênfase1 124" xfId="72"/>
    <cellStyle name="20% - Ênfase1 125" xfId="73"/>
    <cellStyle name="20% - Ênfase1 126" xfId="74"/>
    <cellStyle name="20% - Ênfase1 127" xfId="75"/>
    <cellStyle name="20% - Ênfase1 128" xfId="76"/>
    <cellStyle name="20% - Ênfase1 129" xfId="77"/>
    <cellStyle name="20% - Ênfase1 13" xfId="78"/>
    <cellStyle name="20% - Ênfase1 13 2" xfId="40478"/>
    <cellStyle name="20% - Ênfase1 130" xfId="79"/>
    <cellStyle name="20% - Ênfase1 131" xfId="80"/>
    <cellStyle name="20% - Ênfase1 132" xfId="81"/>
    <cellStyle name="20% - Ênfase1 133" xfId="82"/>
    <cellStyle name="20% - Ênfase1 134" xfId="83"/>
    <cellStyle name="20% - Ênfase1 135" xfId="84"/>
    <cellStyle name="20% - Ênfase1 136" xfId="85"/>
    <cellStyle name="20% - Ênfase1 137" xfId="86"/>
    <cellStyle name="20% - Ênfase1 138" xfId="87"/>
    <cellStyle name="20% - Ênfase1 139" xfId="88"/>
    <cellStyle name="20% - Ênfase1 14" xfId="89"/>
    <cellStyle name="20% - Ênfase1 140" xfId="90"/>
    <cellStyle name="20% - Ênfase1 141" xfId="91"/>
    <cellStyle name="20% - Ênfase1 142" xfId="92"/>
    <cellStyle name="20% - Ênfase1 143" xfId="93"/>
    <cellStyle name="20% - Ênfase1 144" xfId="94"/>
    <cellStyle name="20% - Ênfase1 145" xfId="95"/>
    <cellStyle name="20% - Ênfase1 146" xfId="96"/>
    <cellStyle name="20% - Ênfase1 147" xfId="97"/>
    <cellStyle name="20% - Ênfase1 148" xfId="98"/>
    <cellStyle name="20% - Ênfase1 149" xfId="99"/>
    <cellStyle name="20% - Ênfase1 15" xfId="100"/>
    <cellStyle name="20% - Ênfase1 15 2" xfId="101"/>
    <cellStyle name="20% - Ênfase1 15 3" xfId="102"/>
    <cellStyle name="20% - Ênfase1 150" xfId="103"/>
    <cellStyle name="20% - Ênfase1 151" xfId="104"/>
    <cellStyle name="20% - Ênfase1 152" xfId="105"/>
    <cellStyle name="20% - Ênfase1 153" xfId="106"/>
    <cellStyle name="20% - Ênfase1 154" xfId="107"/>
    <cellStyle name="20% - Ênfase1 155" xfId="108"/>
    <cellStyle name="20% - Ênfase1 156" xfId="109"/>
    <cellStyle name="20% - Ênfase1 157" xfId="110"/>
    <cellStyle name="20% - Ênfase1 158" xfId="111"/>
    <cellStyle name="20% - Ênfase1 159" xfId="112"/>
    <cellStyle name="20% - Ênfase1 16" xfId="113"/>
    <cellStyle name="20% - Ênfase1 16 2" xfId="114"/>
    <cellStyle name="20% - Ênfase1 16 3" xfId="115"/>
    <cellStyle name="20% - Ênfase1 160" xfId="116"/>
    <cellStyle name="20% - Ênfase1 161" xfId="117"/>
    <cellStyle name="20% - Ênfase1 162" xfId="118"/>
    <cellStyle name="20% - Ênfase1 163" xfId="119"/>
    <cellStyle name="20% - Ênfase1 164" xfId="120"/>
    <cellStyle name="20% - Ênfase1 165" xfId="121"/>
    <cellStyle name="20% - Ênfase1 166" xfId="122"/>
    <cellStyle name="20% - Ênfase1 167" xfId="123"/>
    <cellStyle name="20% - Ênfase1 168" xfId="124"/>
    <cellStyle name="20% - Ênfase1 169" xfId="125"/>
    <cellStyle name="20% - Ênfase1 17" xfId="126"/>
    <cellStyle name="20% - Ênfase1 17 2" xfId="127"/>
    <cellStyle name="20% - Ênfase1 17 3" xfId="128"/>
    <cellStyle name="20% - Ênfase1 170" xfId="129"/>
    <cellStyle name="20% - Ênfase1 171" xfId="130"/>
    <cellStyle name="20% - Ênfase1 172" xfId="131"/>
    <cellStyle name="20% - Ênfase1 173" xfId="132"/>
    <cellStyle name="20% - Ênfase1 174" xfId="133"/>
    <cellStyle name="20% - Ênfase1 175" xfId="134"/>
    <cellStyle name="20% - Ênfase1 176" xfId="135"/>
    <cellStyle name="20% - Ênfase1 177" xfId="136"/>
    <cellStyle name="20% - Ênfase1 178" xfId="137"/>
    <cellStyle name="20% - Ênfase1 179" xfId="138"/>
    <cellStyle name="20% - Ênfase1 18" xfId="139"/>
    <cellStyle name="20% - Ênfase1 18 2" xfId="140"/>
    <cellStyle name="20% - Ênfase1 18 3" xfId="141"/>
    <cellStyle name="20% - Ênfase1 180" xfId="142"/>
    <cellStyle name="20% - Ênfase1 181" xfId="143"/>
    <cellStyle name="20% - Ênfase1 182" xfId="144"/>
    <cellStyle name="20% - Ênfase1 183" xfId="145"/>
    <cellStyle name="20% - Ênfase1 184" xfId="146"/>
    <cellStyle name="20% - Ênfase1 185" xfId="147"/>
    <cellStyle name="20% - Ênfase1 186" xfId="148"/>
    <cellStyle name="20% - Ênfase1 187" xfId="149"/>
    <cellStyle name="20% - Ênfase1 188" xfId="150"/>
    <cellStyle name="20% - Ênfase1 189" xfId="151"/>
    <cellStyle name="20% - Ênfase1 19" xfId="152"/>
    <cellStyle name="20% - Ênfase1 19 2" xfId="153"/>
    <cellStyle name="20% - Ênfase1 19 3" xfId="154"/>
    <cellStyle name="20% - Ênfase1 190" xfId="155"/>
    <cellStyle name="20% - Ênfase1 2" xfId="26"/>
    <cellStyle name="20% - Ênfase1 2 10" xfId="27"/>
    <cellStyle name="20% - Ênfase1 2 10 2" xfId="156"/>
    <cellStyle name="20% - Ênfase1 2 10 3" xfId="157"/>
    <cellStyle name="20% - Ênfase1 2 10 4" xfId="158"/>
    <cellStyle name="20% - Ênfase1 2 10 5" xfId="159"/>
    <cellStyle name="20% - Ênfase1 2 10 6" xfId="160"/>
    <cellStyle name="20% - Ênfase1 2 10 7" xfId="161"/>
    <cellStyle name="20% - Ênfase1 2 11" xfId="162"/>
    <cellStyle name="20% - Ênfase1 2 11 2" xfId="163"/>
    <cellStyle name="20% - Ênfase1 2 11 3" xfId="164"/>
    <cellStyle name="20% - Ênfase1 2 11 4" xfId="165"/>
    <cellStyle name="20% - Ênfase1 2 11 5" xfId="166"/>
    <cellStyle name="20% - Ênfase1 2 11 6" xfId="167"/>
    <cellStyle name="20% - Ênfase1 2 11 7" xfId="168"/>
    <cellStyle name="20% - Ênfase1 2 12" xfId="28"/>
    <cellStyle name="20% - Ênfase1 2 12 2" xfId="29387"/>
    <cellStyle name="20% - Ênfase1 2 13" xfId="29"/>
    <cellStyle name="20% - Ênfase1 2 13 2" xfId="29386"/>
    <cellStyle name="20% - Ênfase1 2 14" xfId="30"/>
    <cellStyle name="20% - Ênfase1 2 14 2" xfId="29385"/>
    <cellStyle name="20% - Ênfase1 2 15" xfId="31"/>
    <cellStyle name="20% - Ênfase1 2 15 2" xfId="29384"/>
    <cellStyle name="20% - Ênfase1 2 16" xfId="32"/>
    <cellStyle name="20% - Ênfase1 2 16 2" xfId="29395"/>
    <cellStyle name="20% - Ênfase1 2 17" xfId="33"/>
    <cellStyle name="20% - Ênfase1 2 17 2" xfId="29383"/>
    <cellStyle name="20% - Ênfase1 2 18" xfId="34"/>
    <cellStyle name="20% - Ênfase1 2 18 2" xfId="29382"/>
    <cellStyle name="20% - Ênfase1 2 19" xfId="169"/>
    <cellStyle name="20% - Ênfase1 2 2" xfId="170"/>
    <cellStyle name="20% - Ênfase1 2 20" xfId="171"/>
    <cellStyle name="20% - Ênfase1 2 21" xfId="172"/>
    <cellStyle name="20% - Ênfase1 2 22" xfId="173"/>
    <cellStyle name="20% - Ênfase1 2 23" xfId="174"/>
    <cellStyle name="20% - Ênfase1 2 24" xfId="175"/>
    <cellStyle name="20% - Ênfase1 2 25" xfId="176"/>
    <cellStyle name="20% - Ênfase1 2 26" xfId="177"/>
    <cellStyle name="20% - Ênfase1 2 27" xfId="178"/>
    <cellStyle name="20% - Ênfase1 2 28" xfId="179"/>
    <cellStyle name="20% - Ênfase1 2 29" xfId="180"/>
    <cellStyle name="20% - Ênfase1 2 3" xfId="181"/>
    <cellStyle name="20% - Ênfase1 2 30" xfId="182"/>
    <cellStyle name="20% - Ênfase1 2 31" xfId="183"/>
    <cellStyle name="20% - Ênfase1 2 32" xfId="184"/>
    <cellStyle name="20% - Ênfase1 2 33" xfId="185"/>
    <cellStyle name="20% - Ênfase1 2 34" xfId="186"/>
    <cellStyle name="20% - Ênfase1 2 35" xfId="187"/>
    <cellStyle name="20% - Ênfase1 2 36" xfId="29388"/>
    <cellStyle name="20% - Ênfase1 2 4" xfId="188"/>
    <cellStyle name="20% - Ênfase1 2 5" xfId="189"/>
    <cellStyle name="20% - Ênfase1 2 6" xfId="190"/>
    <cellStyle name="20% - Ênfase1 2 7" xfId="191"/>
    <cellStyle name="20% - Ênfase1 2 8" xfId="192"/>
    <cellStyle name="20% - Ênfase1 2 8 2" xfId="193"/>
    <cellStyle name="20% - Ênfase1 2 8 3" xfId="194"/>
    <cellStyle name="20% - Ênfase1 2 8 4" xfId="195"/>
    <cellStyle name="20% - Ênfase1 2 8 5" xfId="196"/>
    <cellStyle name="20% - Ênfase1 2 8 6" xfId="197"/>
    <cellStyle name="20% - Ênfase1 2 8 7" xfId="198"/>
    <cellStyle name="20% - Ênfase1 2 9" xfId="199"/>
    <cellStyle name="20% - Ênfase1 2 9 2" xfId="200"/>
    <cellStyle name="20% - Ênfase1 2 9 3" xfId="201"/>
    <cellStyle name="20% - Ênfase1 2 9 4" xfId="202"/>
    <cellStyle name="20% - Ênfase1 2 9 5" xfId="203"/>
    <cellStyle name="20% - Ênfase1 2 9 6" xfId="204"/>
    <cellStyle name="20% - Ênfase1 2 9 7" xfId="205"/>
    <cellStyle name="20% - Ênfase1 20" xfId="206"/>
    <cellStyle name="20% - Ênfase1 20 2" xfId="207"/>
    <cellStyle name="20% - Ênfase1 20 3" xfId="208"/>
    <cellStyle name="20% - Ênfase1 21" xfId="209"/>
    <cellStyle name="20% - Ênfase1 22" xfId="210"/>
    <cellStyle name="20% - Ênfase1 23" xfId="211"/>
    <cellStyle name="20% - Ênfase1 24" xfId="212"/>
    <cellStyle name="20% - Ênfase1 24 2" xfId="40946"/>
    <cellStyle name="20% - Ênfase1 25" xfId="213"/>
    <cellStyle name="20% - Ênfase1 25 2" xfId="40981"/>
    <cellStyle name="20% - Ênfase1 26" xfId="214"/>
    <cellStyle name="20% - Ênfase1 26 10" xfId="215"/>
    <cellStyle name="20% - Ênfase1 26 11" xfId="216"/>
    <cellStyle name="20% - Ênfase1 26 12" xfId="217"/>
    <cellStyle name="20% - Ênfase1 26 13" xfId="218"/>
    <cellStyle name="20% - Ênfase1 26 14" xfId="219"/>
    <cellStyle name="20% - Ênfase1 26 15" xfId="220"/>
    <cellStyle name="20% - Ênfase1 26 16" xfId="221"/>
    <cellStyle name="20% - Ênfase1 26 2" xfId="222"/>
    <cellStyle name="20% - Ênfase1 26 3" xfId="223"/>
    <cellStyle name="20% - Ênfase1 26 4" xfId="224"/>
    <cellStyle name="20% - Ênfase1 26 5" xfId="225"/>
    <cellStyle name="20% - Ênfase1 26 6" xfId="226"/>
    <cellStyle name="20% - Ênfase1 26 7" xfId="227"/>
    <cellStyle name="20% - Ênfase1 26 8" xfId="228"/>
    <cellStyle name="20% - Ênfase1 26 9" xfId="229"/>
    <cellStyle name="20% - Ênfase1 27" xfId="230"/>
    <cellStyle name="20% - Ênfase1 27 10" xfId="231"/>
    <cellStyle name="20% - Ênfase1 27 11" xfId="232"/>
    <cellStyle name="20% - Ênfase1 27 12" xfId="233"/>
    <cellStyle name="20% - Ênfase1 27 13" xfId="234"/>
    <cellStyle name="20% - Ênfase1 27 14" xfId="235"/>
    <cellStyle name="20% - Ênfase1 27 15" xfId="236"/>
    <cellStyle name="20% - Ênfase1 27 16" xfId="237"/>
    <cellStyle name="20% - Ênfase1 27 2" xfId="238"/>
    <cellStyle name="20% - Ênfase1 27 3" xfId="239"/>
    <cellStyle name="20% - Ênfase1 27 4" xfId="240"/>
    <cellStyle name="20% - Ênfase1 27 5" xfId="241"/>
    <cellStyle name="20% - Ênfase1 27 6" xfId="242"/>
    <cellStyle name="20% - Ênfase1 27 7" xfId="243"/>
    <cellStyle name="20% - Ênfase1 27 8" xfId="244"/>
    <cellStyle name="20% - Ênfase1 27 9" xfId="245"/>
    <cellStyle name="20% - Ênfase1 28" xfId="246"/>
    <cellStyle name="20% - Ênfase1 28 10" xfId="247"/>
    <cellStyle name="20% - Ênfase1 28 11" xfId="248"/>
    <cellStyle name="20% - Ênfase1 28 12" xfId="249"/>
    <cellStyle name="20% - Ênfase1 28 13" xfId="250"/>
    <cellStyle name="20% - Ênfase1 28 14" xfId="251"/>
    <cellStyle name="20% - Ênfase1 28 15" xfId="252"/>
    <cellStyle name="20% - Ênfase1 28 16" xfId="253"/>
    <cellStyle name="20% - Ênfase1 28 2" xfId="254"/>
    <cellStyle name="20% - Ênfase1 28 3" xfId="255"/>
    <cellStyle name="20% - Ênfase1 28 4" xfId="256"/>
    <cellStyle name="20% - Ênfase1 28 5" xfId="257"/>
    <cellStyle name="20% - Ênfase1 28 6" xfId="258"/>
    <cellStyle name="20% - Ênfase1 28 7" xfId="259"/>
    <cellStyle name="20% - Ênfase1 28 8" xfId="260"/>
    <cellStyle name="20% - Ênfase1 28 9" xfId="261"/>
    <cellStyle name="20% - Ênfase1 29" xfId="262"/>
    <cellStyle name="20% - Ênfase1 29 10" xfId="263"/>
    <cellStyle name="20% - Ênfase1 29 11" xfId="264"/>
    <cellStyle name="20% - Ênfase1 29 12" xfId="265"/>
    <cellStyle name="20% - Ênfase1 29 13" xfId="266"/>
    <cellStyle name="20% - Ênfase1 29 14" xfId="267"/>
    <cellStyle name="20% - Ênfase1 29 15" xfId="268"/>
    <cellStyle name="20% - Ênfase1 29 16" xfId="269"/>
    <cellStyle name="20% - Ênfase1 29 2" xfId="270"/>
    <cellStyle name="20% - Ênfase1 29 3" xfId="271"/>
    <cellStyle name="20% - Ênfase1 29 4" xfId="272"/>
    <cellStyle name="20% - Ênfase1 29 5" xfId="273"/>
    <cellStyle name="20% - Ênfase1 29 6" xfId="274"/>
    <cellStyle name="20% - Ênfase1 29 7" xfId="275"/>
    <cellStyle name="20% - Ênfase1 29 8" xfId="276"/>
    <cellStyle name="20% - Ênfase1 29 9" xfId="277"/>
    <cellStyle name="20% - Ênfase1 3" xfId="278"/>
    <cellStyle name="20% - Ênfase1 3 10" xfId="279"/>
    <cellStyle name="20% - Ênfase1 3 11" xfId="280"/>
    <cellStyle name="20% - Ênfase1 3 2" xfId="281"/>
    <cellStyle name="20% - Ênfase1 3 3" xfId="282"/>
    <cellStyle name="20% - Ênfase1 3 4" xfId="283"/>
    <cellStyle name="20% - Ênfase1 3 5" xfId="284"/>
    <cellStyle name="20% - Ênfase1 3 6" xfId="285"/>
    <cellStyle name="20% - Ênfase1 3 7" xfId="286"/>
    <cellStyle name="20% - Ênfase1 3 8" xfId="287"/>
    <cellStyle name="20% - Ênfase1 3 9" xfId="288"/>
    <cellStyle name="20% - Ênfase1 30" xfId="289"/>
    <cellStyle name="20% - Ênfase1 31" xfId="290"/>
    <cellStyle name="20% - Ênfase1 32" xfId="291"/>
    <cellStyle name="20% - Ênfase1 33" xfId="292"/>
    <cellStyle name="20% - Ênfase1 34" xfId="293"/>
    <cellStyle name="20% - Ênfase1 35" xfId="294"/>
    <cellStyle name="20% - Ênfase1 36" xfId="295"/>
    <cellStyle name="20% - Ênfase1 37" xfId="296"/>
    <cellStyle name="20% - Ênfase1 38" xfId="297"/>
    <cellStyle name="20% - Ênfase1 39" xfId="298"/>
    <cellStyle name="20% - Ênfase1 4" xfId="299"/>
    <cellStyle name="20% - Ênfase1 4 10" xfId="300"/>
    <cellStyle name="20% - Ênfase1 4 11" xfId="301"/>
    <cellStyle name="20% - Ênfase1 4 2" xfId="302"/>
    <cellStyle name="20% - Ênfase1 4 3" xfId="303"/>
    <cellStyle name="20% - Ênfase1 4 4" xfId="304"/>
    <cellStyle name="20% - Ênfase1 4 5" xfId="305"/>
    <cellStyle name="20% - Ênfase1 4 6" xfId="306"/>
    <cellStyle name="20% - Ênfase1 4 7" xfId="307"/>
    <cellStyle name="20% - Ênfase1 4 8" xfId="308"/>
    <cellStyle name="20% - Ênfase1 4 9" xfId="309"/>
    <cellStyle name="20% - Ênfase1 40" xfId="310"/>
    <cellStyle name="20% - Ênfase1 41" xfId="311"/>
    <cellStyle name="20% - Ênfase1 42" xfId="312"/>
    <cellStyle name="20% - Ênfase1 43" xfId="313"/>
    <cellStyle name="20% - Ênfase1 44" xfId="314"/>
    <cellStyle name="20% - Ênfase1 45" xfId="315"/>
    <cellStyle name="20% - Ênfase1 46" xfId="316"/>
    <cellStyle name="20% - Ênfase1 47" xfId="317"/>
    <cellStyle name="20% - Ênfase1 48" xfId="318"/>
    <cellStyle name="20% - Ênfase1 49" xfId="319"/>
    <cellStyle name="20% - Ênfase1 5" xfId="320"/>
    <cellStyle name="20% - Ênfase1 5 2" xfId="321"/>
    <cellStyle name="20% - Ênfase1 5 3" xfId="322"/>
    <cellStyle name="20% - Ênfase1 5 4" xfId="323"/>
    <cellStyle name="20% - Ênfase1 50" xfId="324"/>
    <cellStyle name="20% - Ênfase1 51" xfId="325"/>
    <cellStyle name="20% - Ênfase1 52" xfId="326"/>
    <cellStyle name="20% - Ênfase1 53" xfId="327"/>
    <cellStyle name="20% - Ênfase1 54" xfId="328"/>
    <cellStyle name="20% - Ênfase1 55" xfId="329"/>
    <cellStyle name="20% - Ênfase1 56" xfId="330"/>
    <cellStyle name="20% - Ênfase1 57" xfId="331"/>
    <cellStyle name="20% - Ênfase1 58" xfId="332"/>
    <cellStyle name="20% - Ênfase1 59" xfId="333"/>
    <cellStyle name="20% - Ênfase1 6" xfId="334"/>
    <cellStyle name="20% - Ênfase1 6 2" xfId="335"/>
    <cellStyle name="20% - Ênfase1 6 3" xfId="336"/>
    <cellStyle name="20% - Ênfase1 6 4" xfId="337"/>
    <cellStyle name="20% - Ênfase1 60" xfId="338"/>
    <cellStyle name="20% - Ênfase1 61" xfId="339"/>
    <cellStyle name="20% - Ênfase1 62" xfId="340"/>
    <cellStyle name="20% - Ênfase1 63" xfId="341"/>
    <cellStyle name="20% - Ênfase1 64" xfId="342"/>
    <cellStyle name="20% - Ênfase1 65" xfId="343"/>
    <cellStyle name="20% - Ênfase1 66" xfId="344"/>
    <cellStyle name="20% - Ênfase1 67" xfId="345"/>
    <cellStyle name="20% - Ênfase1 68" xfId="346"/>
    <cellStyle name="20% - Ênfase1 69" xfId="347"/>
    <cellStyle name="20% - Ênfase1 7" xfId="348"/>
    <cellStyle name="20% - Ênfase1 7 2" xfId="349"/>
    <cellStyle name="20% - Ênfase1 7 3" xfId="350"/>
    <cellStyle name="20% - Ênfase1 7 4" xfId="351"/>
    <cellStyle name="20% - Ênfase1 70" xfId="352"/>
    <cellStyle name="20% - Ênfase1 71" xfId="353"/>
    <cellStyle name="20% - Ênfase1 72" xfId="354"/>
    <cellStyle name="20% - Ênfase1 73" xfId="355"/>
    <cellStyle name="20% - Ênfase1 74" xfId="356"/>
    <cellStyle name="20% - Ênfase1 75" xfId="357"/>
    <cellStyle name="20% - Ênfase1 76" xfId="358"/>
    <cellStyle name="20% - Ênfase1 77" xfId="359"/>
    <cellStyle name="20% - Ênfase1 78" xfId="360"/>
    <cellStyle name="20% - Ênfase1 79" xfId="361"/>
    <cellStyle name="20% - Ênfase1 8" xfId="362"/>
    <cellStyle name="20% - Ênfase1 8 2" xfId="363"/>
    <cellStyle name="20% - Ênfase1 8 3" xfId="364"/>
    <cellStyle name="20% - Ênfase1 8 4" xfId="365"/>
    <cellStyle name="20% - Ênfase1 80" xfId="366"/>
    <cellStyle name="20% - Ênfase1 81" xfId="367"/>
    <cellStyle name="20% - Ênfase1 82" xfId="368"/>
    <cellStyle name="20% - Ênfase1 83" xfId="369"/>
    <cellStyle name="20% - Ênfase1 84" xfId="370"/>
    <cellStyle name="20% - Ênfase1 85" xfId="371"/>
    <cellStyle name="20% - Ênfase1 86" xfId="372"/>
    <cellStyle name="20% - Ênfase1 87" xfId="373"/>
    <cellStyle name="20% - Ênfase1 88" xfId="374"/>
    <cellStyle name="20% - Ênfase1 89" xfId="375"/>
    <cellStyle name="20% - Ênfase1 9" xfId="376"/>
    <cellStyle name="20% - Ênfase1 90" xfId="377"/>
    <cellStyle name="20% - Ênfase1 91" xfId="378"/>
    <cellStyle name="20% - Ênfase1 92" xfId="379"/>
    <cellStyle name="20% - Ênfase1 93" xfId="380"/>
    <cellStyle name="20% - Ênfase1 94" xfId="381"/>
    <cellStyle name="20% - Ênfase1 95" xfId="382"/>
    <cellStyle name="20% - Ênfase1 96" xfId="383"/>
    <cellStyle name="20% - Ênfase1 97" xfId="384"/>
    <cellStyle name="20% - Ênfase1 98" xfId="385"/>
    <cellStyle name="20% - Ênfase1 99" xfId="386"/>
    <cellStyle name="20% - Ênfase2 10" xfId="387"/>
    <cellStyle name="20% - Ênfase2 10 2" xfId="40479"/>
    <cellStyle name="20% - Ênfase2 100" xfId="388"/>
    <cellStyle name="20% - Ênfase2 101" xfId="389"/>
    <cellStyle name="20% - Ênfase2 102" xfId="390"/>
    <cellStyle name="20% - Ênfase2 103" xfId="391"/>
    <cellStyle name="20% - Ênfase2 104" xfId="392"/>
    <cellStyle name="20% - Ênfase2 105" xfId="393"/>
    <cellStyle name="20% - Ênfase2 106" xfId="394"/>
    <cellStyle name="20% - Ênfase2 107" xfId="395"/>
    <cellStyle name="20% - Ênfase2 108" xfId="396"/>
    <cellStyle name="20% - Ênfase2 109" xfId="397"/>
    <cellStyle name="20% - Ênfase2 11" xfId="398"/>
    <cellStyle name="20% - Ênfase2 11 2" xfId="40480"/>
    <cellStyle name="20% - Ênfase2 110" xfId="399"/>
    <cellStyle name="20% - Ênfase2 111" xfId="400"/>
    <cellStyle name="20% - Ênfase2 112" xfId="401"/>
    <cellStyle name="20% - Ênfase2 113" xfId="402"/>
    <cellStyle name="20% - Ênfase2 114" xfId="403"/>
    <cellStyle name="20% - Ênfase2 115" xfId="404"/>
    <cellStyle name="20% - Ênfase2 116" xfId="405"/>
    <cellStyle name="20% - Ênfase2 117" xfId="406"/>
    <cellStyle name="20% - Ênfase2 118" xfId="407"/>
    <cellStyle name="20% - Ênfase2 119" xfId="408"/>
    <cellStyle name="20% - Ênfase2 12" xfId="409"/>
    <cellStyle name="20% - Ênfase2 12 2" xfId="40481"/>
    <cellStyle name="20% - Ênfase2 120" xfId="410"/>
    <cellStyle name="20% - Ênfase2 121" xfId="411"/>
    <cellStyle name="20% - Ênfase2 122" xfId="412"/>
    <cellStyle name="20% - Ênfase2 123" xfId="413"/>
    <cellStyle name="20% - Ênfase2 124" xfId="414"/>
    <cellStyle name="20% - Ênfase2 125" xfId="415"/>
    <cellStyle name="20% - Ênfase2 126" xfId="416"/>
    <cellStyle name="20% - Ênfase2 127" xfId="417"/>
    <cellStyle name="20% - Ênfase2 128" xfId="418"/>
    <cellStyle name="20% - Ênfase2 129" xfId="419"/>
    <cellStyle name="20% - Ênfase2 13" xfId="420"/>
    <cellStyle name="20% - Ênfase2 13 2" xfId="40482"/>
    <cellStyle name="20% - Ênfase2 130" xfId="421"/>
    <cellStyle name="20% - Ênfase2 131" xfId="422"/>
    <cellStyle name="20% - Ênfase2 132" xfId="423"/>
    <cellStyle name="20% - Ênfase2 133" xfId="424"/>
    <cellStyle name="20% - Ênfase2 134" xfId="425"/>
    <cellStyle name="20% - Ênfase2 135" xfId="426"/>
    <cellStyle name="20% - Ênfase2 136" xfId="427"/>
    <cellStyle name="20% - Ênfase2 137" xfId="428"/>
    <cellStyle name="20% - Ênfase2 138" xfId="429"/>
    <cellStyle name="20% - Ênfase2 139" xfId="430"/>
    <cellStyle name="20% - Ênfase2 14" xfId="431"/>
    <cellStyle name="20% - Ênfase2 140" xfId="432"/>
    <cellStyle name="20% - Ênfase2 141" xfId="433"/>
    <cellStyle name="20% - Ênfase2 142" xfId="434"/>
    <cellStyle name="20% - Ênfase2 143" xfId="435"/>
    <cellStyle name="20% - Ênfase2 144" xfId="436"/>
    <cellStyle name="20% - Ênfase2 145" xfId="437"/>
    <cellStyle name="20% - Ênfase2 146" xfId="438"/>
    <cellStyle name="20% - Ênfase2 147" xfId="439"/>
    <cellStyle name="20% - Ênfase2 148" xfId="440"/>
    <cellStyle name="20% - Ênfase2 149" xfId="441"/>
    <cellStyle name="20% - Ênfase2 15" xfId="442"/>
    <cellStyle name="20% - Ênfase2 15 2" xfId="443"/>
    <cellStyle name="20% - Ênfase2 15 3" xfId="444"/>
    <cellStyle name="20% - Ênfase2 150" xfId="445"/>
    <cellStyle name="20% - Ênfase2 151" xfId="446"/>
    <cellStyle name="20% - Ênfase2 152" xfId="447"/>
    <cellStyle name="20% - Ênfase2 153" xfId="448"/>
    <cellStyle name="20% - Ênfase2 154" xfId="449"/>
    <cellStyle name="20% - Ênfase2 155" xfId="450"/>
    <cellStyle name="20% - Ênfase2 156" xfId="451"/>
    <cellStyle name="20% - Ênfase2 157" xfId="452"/>
    <cellStyle name="20% - Ênfase2 158" xfId="453"/>
    <cellStyle name="20% - Ênfase2 159" xfId="454"/>
    <cellStyle name="20% - Ênfase2 16" xfId="455"/>
    <cellStyle name="20% - Ênfase2 16 2" xfId="456"/>
    <cellStyle name="20% - Ênfase2 16 3" xfId="457"/>
    <cellStyle name="20% - Ênfase2 160" xfId="458"/>
    <cellStyle name="20% - Ênfase2 161" xfId="459"/>
    <cellStyle name="20% - Ênfase2 162" xfId="460"/>
    <cellStyle name="20% - Ênfase2 163" xfId="461"/>
    <cellStyle name="20% - Ênfase2 164" xfId="462"/>
    <cellStyle name="20% - Ênfase2 165" xfId="463"/>
    <cellStyle name="20% - Ênfase2 166" xfId="464"/>
    <cellStyle name="20% - Ênfase2 167" xfId="465"/>
    <cellStyle name="20% - Ênfase2 168" xfId="466"/>
    <cellStyle name="20% - Ênfase2 169" xfId="467"/>
    <cellStyle name="20% - Ênfase2 17" xfId="468"/>
    <cellStyle name="20% - Ênfase2 17 2" xfId="469"/>
    <cellStyle name="20% - Ênfase2 17 3" xfId="470"/>
    <cellStyle name="20% - Ênfase2 170" xfId="471"/>
    <cellStyle name="20% - Ênfase2 171" xfId="472"/>
    <cellStyle name="20% - Ênfase2 172" xfId="473"/>
    <cellStyle name="20% - Ênfase2 173" xfId="474"/>
    <cellStyle name="20% - Ênfase2 174" xfId="475"/>
    <cellStyle name="20% - Ênfase2 175" xfId="476"/>
    <cellStyle name="20% - Ênfase2 176" xfId="477"/>
    <cellStyle name="20% - Ênfase2 177" xfId="478"/>
    <cellStyle name="20% - Ênfase2 178" xfId="479"/>
    <cellStyle name="20% - Ênfase2 179" xfId="480"/>
    <cellStyle name="20% - Ênfase2 18" xfId="481"/>
    <cellStyle name="20% - Ênfase2 18 2" xfId="482"/>
    <cellStyle name="20% - Ênfase2 18 3" xfId="483"/>
    <cellStyle name="20% - Ênfase2 180" xfId="484"/>
    <cellStyle name="20% - Ênfase2 181" xfId="485"/>
    <cellStyle name="20% - Ênfase2 182" xfId="486"/>
    <cellStyle name="20% - Ênfase2 183" xfId="487"/>
    <cellStyle name="20% - Ênfase2 184" xfId="488"/>
    <cellStyle name="20% - Ênfase2 185" xfId="489"/>
    <cellStyle name="20% - Ênfase2 186" xfId="490"/>
    <cellStyle name="20% - Ênfase2 187" xfId="491"/>
    <cellStyle name="20% - Ênfase2 188" xfId="492"/>
    <cellStyle name="20% - Ênfase2 189" xfId="493"/>
    <cellStyle name="20% - Ênfase2 19" xfId="494"/>
    <cellStyle name="20% - Ênfase2 19 2" xfId="495"/>
    <cellStyle name="20% - Ênfase2 19 3" xfId="496"/>
    <cellStyle name="20% - Ênfase2 190" xfId="497"/>
    <cellStyle name="20% - Ênfase2 2" xfId="498"/>
    <cellStyle name="20% - Ênfase2 2 10" xfId="499"/>
    <cellStyle name="20% - Ênfase2 2 10 2" xfId="500"/>
    <cellStyle name="20% - Ênfase2 2 10 3" xfId="501"/>
    <cellStyle name="20% - Ênfase2 2 10 4" xfId="502"/>
    <cellStyle name="20% - Ênfase2 2 10 5" xfId="503"/>
    <cellStyle name="20% - Ênfase2 2 10 6" xfId="504"/>
    <cellStyle name="20% - Ênfase2 2 10 7" xfId="505"/>
    <cellStyle name="20% - Ênfase2 2 11" xfId="506"/>
    <cellStyle name="20% - Ênfase2 2 11 2" xfId="507"/>
    <cellStyle name="20% - Ênfase2 2 11 3" xfId="508"/>
    <cellStyle name="20% - Ênfase2 2 11 4" xfId="509"/>
    <cellStyle name="20% - Ênfase2 2 11 5" xfId="510"/>
    <cellStyle name="20% - Ênfase2 2 11 6" xfId="511"/>
    <cellStyle name="20% - Ênfase2 2 11 7" xfId="512"/>
    <cellStyle name="20% - Ênfase2 2 12" xfId="513"/>
    <cellStyle name="20% - Ênfase2 2 13" xfId="514"/>
    <cellStyle name="20% - Ênfase2 2 14" xfId="515"/>
    <cellStyle name="20% - Ênfase2 2 15" xfId="516"/>
    <cellStyle name="20% - Ênfase2 2 16" xfId="517"/>
    <cellStyle name="20% - Ênfase2 2 17" xfId="518"/>
    <cellStyle name="20% - Ênfase2 2 18" xfId="519"/>
    <cellStyle name="20% - Ênfase2 2 19" xfId="520"/>
    <cellStyle name="20% - Ênfase2 2 2" xfId="521"/>
    <cellStyle name="20% - Ênfase2 2 20" xfId="522"/>
    <cellStyle name="20% - Ênfase2 2 21" xfId="523"/>
    <cellStyle name="20% - Ênfase2 2 22" xfId="524"/>
    <cellStyle name="20% - Ênfase2 2 23" xfId="525"/>
    <cellStyle name="20% - Ênfase2 2 24" xfId="526"/>
    <cellStyle name="20% - Ênfase2 2 25" xfId="527"/>
    <cellStyle name="20% - Ênfase2 2 26" xfId="528"/>
    <cellStyle name="20% - Ênfase2 2 27" xfId="529"/>
    <cellStyle name="20% - Ênfase2 2 28" xfId="530"/>
    <cellStyle name="20% - Ênfase2 2 29" xfId="531"/>
    <cellStyle name="20% - Ênfase2 2 3" xfId="532"/>
    <cellStyle name="20% - Ênfase2 2 30" xfId="533"/>
    <cellStyle name="20% - Ênfase2 2 31" xfId="534"/>
    <cellStyle name="20% - Ênfase2 2 32" xfId="535"/>
    <cellStyle name="20% - Ênfase2 2 33" xfId="536"/>
    <cellStyle name="20% - Ênfase2 2 34" xfId="537"/>
    <cellStyle name="20% - Ênfase2 2 35" xfId="538"/>
    <cellStyle name="20% - Ênfase2 2 4" xfId="539"/>
    <cellStyle name="20% - Ênfase2 2 5" xfId="540"/>
    <cellStyle name="20% - Ênfase2 2 6" xfId="541"/>
    <cellStyle name="20% - Ênfase2 2 7" xfId="542"/>
    <cellStyle name="20% - Ênfase2 2 8" xfId="543"/>
    <cellStyle name="20% - Ênfase2 2 8 2" xfId="544"/>
    <cellStyle name="20% - Ênfase2 2 8 3" xfId="545"/>
    <cellStyle name="20% - Ênfase2 2 8 4" xfId="546"/>
    <cellStyle name="20% - Ênfase2 2 8 5" xfId="547"/>
    <cellStyle name="20% - Ênfase2 2 8 6" xfId="548"/>
    <cellStyle name="20% - Ênfase2 2 8 7" xfId="549"/>
    <cellStyle name="20% - Ênfase2 2 9" xfId="550"/>
    <cellStyle name="20% - Ênfase2 2 9 2" xfId="551"/>
    <cellStyle name="20% - Ênfase2 2 9 3" xfId="552"/>
    <cellStyle name="20% - Ênfase2 2 9 4" xfId="553"/>
    <cellStyle name="20% - Ênfase2 2 9 5" xfId="554"/>
    <cellStyle name="20% - Ênfase2 2 9 6" xfId="555"/>
    <cellStyle name="20% - Ênfase2 2 9 7" xfId="556"/>
    <cellStyle name="20% - Ênfase2 20" xfId="557"/>
    <cellStyle name="20% - Ênfase2 20 2" xfId="558"/>
    <cellStyle name="20% - Ênfase2 20 3" xfId="559"/>
    <cellStyle name="20% - Ênfase2 21" xfId="560"/>
    <cellStyle name="20% - Ênfase2 22" xfId="561"/>
    <cellStyle name="20% - Ênfase2 23" xfId="562"/>
    <cellStyle name="20% - Ênfase2 24" xfId="563"/>
    <cellStyle name="20% - Ênfase2 24 2" xfId="40947"/>
    <cellStyle name="20% - Ênfase2 25" xfId="564"/>
    <cellStyle name="20% - Ênfase2 25 2" xfId="40982"/>
    <cellStyle name="20% - Ênfase2 26" xfId="565"/>
    <cellStyle name="20% - Ênfase2 26 10" xfId="566"/>
    <cellStyle name="20% - Ênfase2 26 11" xfId="567"/>
    <cellStyle name="20% - Ênfase2 26 12" xfId="568"/>
    <cellStyle name="20% - Ênfase2 26 13" xfId="569"/>
    <cellStyle name="20% - Ênfase2 26 14" xfId="570"/>
    <cellStyle name="20% - Ênfase2 26 15" xfId="571"/>
    <cellStyle name="20% - Ênfase2 26 16" xfId="572"/>
    <cellStyle name="20% - Ênfase2 26 2" xfId="573"/>
    <cellStyle name="20% - Ênfase2 26 3" xfId="574"/>
    <cellStyle name="20% - Ênfase2 26 4" xfId="575"/>
    <cellStyle name="20% - Ênfase2 26 5" xfId="576"/>
    <cellStyle name="20% - Ênfase2 26 6" xfId="577"/>
    <cellStyle name="20% - Ênfase2 26 7" xfId="578"/>
    <cellStyle name="20% - Ênfase2 26 8" xfId="579"/>
    <cellStyle name="20% - Ênfase2 26 9" xfId="580"/>
    <cellStyle name="20% - Ênfase2 27" xfId="581"/>
    <cellStyle name="20% - Ênfase2 27 10" xfId="582"/>
    <cellStyle name="20% - Ênfase2 27 11" xfId="583"/>
    <cellStyle name="20% - Ênfase2 27 12" xfId="584"/>
    <cellStyle name="20% - Ênfase2 27 13" xfId="585"/>
    <cellStyle name="20% - Ênfase2 27 14" xfId="586"/>
    <cellStyle name="20% - Ênfase2 27 15" xfId="587"/>
    <cellStyle name="20% - Ênfase2 27 16" xfId="588"/>
    <cellStyle name="20% - Ênfase2 27 2" xfId="589"/>
    <cellStyle name="20% - Ênfase2 27 3" xfId="590"/>
    <cellStyle name="20% - Ênfase2 27 4" xfId="591"/>
    <cellStyle name="20% - Ênfase2 27 5" xfId="592"/>
    <cellStyle name="20% - Ênfase2 27 6" xfId="593"/>
    <cellStyle name="20% - Ênfase2 27 7" xfId="594"/>
    <cellStyle name="20% - Ênfase2 27 8" xfId="595"/>
    <cellStyle name="20% - Ênfase2 27 9" xfId="596"/>
    <cellStyle name="20% - Ênfase2 28" xfId="597"/>
    <cellStyle name="20% - Ênfase2 28 10" xfId="598"/>
    <cellStyle name="20% - Ênfase2 28 11" xfId="599"/>
    <cellStyle name="20% - Ênfase2 28 12" xfId="600"/>
    <cellStyle name="20% - Ênfase2 28 13" xfId="601"/>
    <cellStyle name="20% - Ênfase2 28 14" xfId="602"/>
    <cellStyle name="20% - Ênfase2 28 15" xfId="603"/>
    <cellStyle name="20% - Ênfase2 28 16" xfId="604"/>
    <cellStyle name="20% - Ênfase2 28 2" xfId="605"/>
    <cellStyle name="20% - Ênfase2 28 3" xfId="606"/>
    <cellStyle name="20% - Ênfase2 28 4" xfId="607"/>
    <cellStyle name="20% - Ênfase2 28 5" xfId="608"/>
    <cellStyle name="20% - Ênfase2 28 6" xfId="609"/>
    <cellStyle name="20% - Ênfase2 28 7" xfId="610"/>
    <cellStyle name="20% - Ênfase2 28 8" xfId="611"/>
    <cellStyle name="20% - Ênfase2 28 9" xfId="612"/>
    <cellStyle name="20% - Ênfase2 29" xfId="613"/>
    <cellStyle name="20% - Ênfase2 29 10" xfId="614"/>
    <cellStyle name="20% - Ênfase2 29 11" xfId="615"/>
    <cellStyle name="20% - Ênfase2 29 12" xfId="616"/>
    <cellStyle name="20% - Ênfase2 29 13" xfId="617"/>
    <cellStyle name="20% - Ênfase2 29 14" xfId="618"/>
    <cellStyle name="20% - Ênfase2 29 15" xfId="619"/>
    <cellStyle name="20% - Ênfase2 29 16" xfId="620"/>
    <cellStyle name="20% - Ênfase2 29 2" xfId="621"/>
    <cellStyle name="20% - Ênfase2 29 3" xfId="622"/>
    <cellStyle name="20% - Ênfase2 29 4" xfId="623"/>
    <cellStyle name="20% - Ênfase2 29 5" xfId="624"/>
    <cellStyle name="20% - Ênfase2 29 6" xfId="625"/>
    <cellStyle name="20% - Ênfase2 29 7" xfId="626"/>
    <cellStyle name="20% - Ênfase2 29 8" xfId="627"/>
    <cellStyle name="20% - Ênfase2 29 9" xfId="628"/>
    <cellStyle name="20% - Ênfase2 3" xfId="629"/>
    <cellStyle name="20% - Ênfase2 3 10" xfId="630"/>
    <cellStyle name="20% - Ênfase2 3 11" xfId="631"/>
    <cellStyle name="20% - Ênfase2 3 2" xfId="632"/>
    <cellStyle name="20% - Ênfase2 3 3" xfId="633"/>
    <cellStyle name="20% - Ênfase2 3 4" xfId="634"/>
    <cellStyle name="20% - Ênfase2 3 5" xfId="635"/>
    <cellStyle name="20% - Ênfase2 3 6" xfId="636"/>
    <cellStyle name="20% - Ênfase2 3 7" xfId="637"/>
    <cellStyle name="20% - Ênfase2 3 8" xfId="638"/>
    <cellStyle name="20% - Ênfase2 3 9" xfId="639"/>
    <cellStyle name="20% - Ênfase2 30" xfId="640"/>
    <cellStyle name="20% - Ênfase2 31" xfId="641"/>
    <cellStyle name="20% - Ênfase2 32" xfId="642"/>
    <cellStyle name="20% - Ênfase2 33" xfId="643"/>
    <cellStyle name="20% - Ênfase2 34" xfId="644"/>
    <cellStyle name="20% - Ênfase2 35" xfId="645"/>
    <cellStyle name="20% - Ênfase2 36" xfId="646"/>
    <cellStyle name="20% - Ênfase2 37" xfId="647"/>
    <cellStyle name="20% - Ênfase2 38" xfId="648"/>
    <cellStyle name="20% - Ênfase2 39" xfId="649"/>
    <cellStyle name="20% - Ênfase2 4" xfId="650"/>
    <cellStyle name="20% - Ênfase2 4 10" xfId="651"/>
    <cellStyle name="20% - Ênfase2 4 11" xfId="652"/>
    <cellStyle name="20% - Ênfase2 4 2" xfId="653"/>
    <cellStyle name="20% - Ênfase2 4 3" xfId="654"/>
    <cellStyle name="20% - Ênfase2 4 4" xfId="655"/>
    <cellStyle name="20% - Ênfase2 4 5" xfId="656"/>
    <cellStyle name="20% - Ênfase2 4 6" xfId="657"/>
    <cellStyle name="20% - Ênfase2 4 7" xfId="658"/>
    <cellStyle name="20% - Ênfase2 4 8" xfId="659"/>
    <cellStyle name="20% - Ênfase2 4 9" xfId="660"/>
    <cellStyle name="20% - Ênfase2 40" xfId="661"/>
    <cellStyle name="20% - Ênfase2 41" xfId="662"/>
    <cellStyle name="20% - Ênfase2 42" xfId="663"/>
    <cellStyle name="20% - Ênfase2 43" xfId="664"/>
    <cellStyle name="20% - Ênfase2 44" xfId="665"/>
    <cellStyle name="20% - Ênfase2 45" xfId="666"/>
    <cellStyle name="20% - Ênfase2 46" xfId="667"/>
    <cellStyle name="20% - Ênfase2 47" xfId="668"/>
    <cellStyle name="20% - Ênfase2 48" xfId="669"/>
    <cellStyle name="20% - Ênfase2 49" xfId="670"/>
    <cellStyle name="20% - Ênfase2 5" xfId="671"/>
    <cellStyle name="20% - Ênfase2 5 2" xfId="672"/>
    <cellStyle name="20% - Ênfase2 5 3" xfId="673"/>
    <cellStyle name="20% - Ênfase2 5 4" xfId="674"/>
    <cellStyle name="20% - Ênfase2 50" xfId="675"/>
    <cellStyle name="20% - Ênfase2 51" xfId="676"/>
    <cellStyle name="20% - Ênfase2 52" xfId="677"/>
    <cellStyle name="20% - Ênfase2 53" xfId="678"/>
    <cellStyle name="20% - Ênfase2 54" xfId="679"/>
    <cellStyle name="20% - Ênfase2 55" xfId="680"/>
    <cellStyle name="20% - Ênfase2 56" xfId="681"/>
    <cellStyle name="20% - Ênfase2 57" xfId="682"/>
    <cellStyle name="20% - Ênfase2 58" xfId="683"/>
    <cellStyle name="20% - Ênfase2 59" xfId="684"/>
    <cellStyle name="20% - Ênfase2 6" xfId="685"/>
    <cellStyle name="20% - Ênfase2 6 2" xfId="686"/>
    <cellStyle name="20% - Ênfase2 6 3" xfId="687"/>
    <cellStyle name="20% - Ênfase2 6 4" xfId="688"/>
    <cellStyle name="20% - Ênfase2 60" xfId="689"/>
    <cellStyle name="20% - Ênfase2 61" xfId="690"/>
    <cellStyle name="20% - Ênfase2 62" xfId="691"/>
    <cellStyle name="20% - Ênfase2 63" xfId="692"/>
    <cellStyle name="20% - Ênfase2 64" xfId="693"/>
    <cellStyle name="20% - Ênfase2 65" xfId="694"/>
    <cellStyle name="20% - Ênfase2 66" xfId="695"/>
    <cellStyle name="20% - Ênfase2 67" xfId="696"/>
    <cellStyle name="20% - Ênfase2 68" xfId="697"/>
    <cellStyle name="20% - Ênfase2 69" xfId="698"/>
    <cellStyle name="20% - Ênfase2 7" xfId="699"/>
    <cellStyle name="20% - Ênfase2 7 2" xfId="700"/>
    <cellStyle name="20% - Ênfase2 7 3" xfId="701"/>
    <cellStyle name="20% - Ênfase2 7 4" xfId="702"/>
    <cellStyle name="20% - Ênfase2 70" xfId="703"/>
    <cellStyle name="20% - Ênfase2 71" xfId="704"/>
    <cellStyle name="20% - Ênfase2 72" xfId="705"/>
    <cellStyle name="20% - Ênfase2 73" xfId="706"/>
    <cellStyle name="20% - Ênfase2 74" xfId="707"/>
    <cellStyle name="20% - Ênfase2 75" xfId="708"/>
    <cellStyle name="20% - Ênfase2 76" xfId="709"/>
    <cellStyle name="20% - Ênfase2 77" xfId="710"/>
    <cellStyle name="20% - Ênfase2 78" xfId="711"/>
    <cellStyle name="20% - Ênfase2 79" xfId="712"/>
    <cellStyle name="20% - Ênfase2 8" xfId="713"/>
    <cellStyle name="20% - Ênfase2 8 2" xfId="714"/>
    <cellStyle name="20% - Ênfase2 8 3" xfId="715"/>
    <cellStyle name="20% - Ênfase2 8 4" xfId="716"/>
    <cellStyle name="20% - Ênfase2 80" xfId="717"/>
    <cellStyle name="20% - Ênfase2 81" xfId="718"/>
    <cellStyle name="20% - Ênfase2 82" xfId="719"/>
    <cellStyle name="20% - Ênfase2 83" xfId="720"/>
    <cellStyle name="20% - Ênfase2 84" xfId="721"/>
    <cellStyle name="20% - Ênfase2 85" xfId="722"/>
    <cellStyle name="20% - Ênfase2 86" xfId="723"/>
    <cellStyle name="20% - Ênfase2 87" xfId="724"/>
    <cellStyle name="20% - Ênfase2 88" xfId="725"/>
    <cellStyle name="20% - Ênfase2 89" xfId="726"/>
    <cellStyle name="20% - Ênfase2 9" xfId="727"/>
    <cellStyle name="20% - Ênfase2 90" xfId="728"/>
    <cellStyle name="20% - Ênfase2 91" xfId="729"/>
    <cellStyle name="20% - Ênfase2 92" xfId="730"/>
    <cellStyle name="20% - Ênfase2 93" xfId="731"/>
    <cellStyle name="20% - Ênfase2 94" xfId="732"/>
    <cellStyle name="20% - Ênfase2 95" xfId="733"/>
    <cellStyle name="20% - Ênfase2 96" xfId="734"/>
    <cellStyle name="20% - Ênfase2 97" xfId="735"/>
    <cellStyle name="20% - Ênfase2 98" xfId="736"/>
    <cellStyle name="20% - Ênfase2 99" xfId="737"/>
    <cellStyle name="20% - Ênfase3 10" xfId="738"/>
    <cellStyle name="20% - Ênfase3 10 2" xfId="40483"/>
    <cellStyle name="20% - Ênfase3 100" xfId="739"/>
    <cellStyle name="20% - Ênfase3 101" xfId="740"/>
    <cellStyle name="20% - Ênfase3 102" xfId="741"/>
    <cellStyle name="20% - Ênfase3 103" xfId="742"/>
    <cellStyle name="20% - Ênfase3 104" xfId="743"/>
    <cellStyle name="20% - Ênfase3 105" xfId="744"/>
    <cellStyle name="20% - Ênfase3 106" xfId="745"/>
    <cellStyle name="20% - Ênfase3 107" xfId="746"/>
    <cellStyle name="20% - Ênfase3 108" xfId="747"/>
    <cellStyle name="20% - Ênfase3 109" xfId="748"/>
    <cellStyle name="20% - Ênfase3 11" xfId="749"/>
    <cellStyle name="20% - Ênfase3 11 2" xfId="40484"/>
    <cellStyle name="20% - Ênfase3 110" xfId="750"/>
    <cellStyle name="20% - Ênfase3 111" xfId="751"/>
    <cellStyle name="20% - Ênfase3 112" xfId="752"/>
    <cellStyle name="20% - Ênfase3 113" xfId="753"/>
    <cellStyle name="20% - Ênfase3 114" xfId="754"/>
    <cellStyle name="20% - Ênfase3 115" xfId="755"/>
    <cellStyle name="20% - Ênfase3 116" xfId="756"/>
    <cellStyle name="20% - Ênfase3 117" xfId="757"/>
    <cellStyle name="20% - Ênfase3 118" xfId="758"/>
    <cellStyle name="20% - Ênfase3 119" xfId="759"/>
    <cellStyle name="20% - Ênfase3 12" xfId="760"/>
    <cellStyle name="20% - Ênfase3 12 2" xfId="40485"/>
    <cellStyle name="20% - Ênfase3 120" xfId="761"/>
    <cellStyle name="20% - Ênfase3 121" xfId="762"/>
    <cellStyle name="20% - Ênfase3 122" xfId="763"/>
    <cellStyle name="20% - Ênfase3 123" xfId="764"/>
    <cellStyle name="20% - Ênfase3 124" xfId="765"/>
    <cellStyle name="20% - Ênfase3 125" xfId="766"/>
    <cellStyle name="20% - Ênfase3 126" xfId="767"/>
    <cellStyle name="20% - Ênfase3 127" xfId="768"/>
    <cellStyle name="20% - Ênfase3 128" xfId="769"/>
    <cellStyle name="20% - Ênfase3 129" xfId="770"/>
    <cellStyle name="20% - Ênfase3 13" xfId="771"/>
    <cellStyle name="20% - Ênfase3 13 2" xfId="40486"/>
    <cellStyle name="20% - Ênfase3 130" xfId="772"/>
    <cellStyle name="20% - Ênfase3 131" xfId="773"/>
    <cellStyle name="20% - Ênfase3 132" xfId="774"/>
    <cellStyle name="20% - Ênfase3 133" xfId="775"/>
    <cellStyle name="20% - Ênfase3 134" xfId="776"/>
    <cellStyle name="20% - Ênfase3 135" xfId="777"/>
    <cellStyle name="20% - Ênfase3 136" xfId="778"/>
    <cellStyle name="20% - Ênfase3 137" xfId="779"/>
    <cellStyle name="20% - Ênfase3 138" xfId="780"/>
    <cellStyle name="20% - Ênfase3 139" xfId="781"/>
    <cellStyle name="20% - Ênfase3 14" xfId="782"/>
    <cellStyle name="20% - Ênfase3 140" xfId="783"/>
    <cellStyle name="20% - Ênfase3 141" xfId="784"/>
    <cellStyle name="20% - Ênfase3 142" xfId="785"/>
    <cellStyle name="20% - Ênfase3 143" xfId="786"/>
    <cellStyle name="20% - Ênfase3 144" xfId="787"/>
    <cellStyle name="20% - Ênfase3 145" xfId="788"/>
    <cellStyle name="20% - Ênfase3 146" xfId="789"/>
    <cellStyle name="20% - Ênfase3 147" xfId="790"/>
    <cellStyle name="20% - Ênfase3 148" xfId="791"/>
    <cellStyle name="20% - Ênfase3 149" xfId="792"/>
    <cellStyle name="20% - Ênfase3 15" xfId="793"/>
    <cellStyle name="20% - Ênfase3 15 2" xfId="794"/>
    <cellStyle name="20% - Ênfase3 15 3" xfId="795"/>
    <cellStyle name="20% - Ênfase3 150" xfId="796"/>
    <cellStyle name="20% - Ênfase3 151" xfId="797"/>
    <cellStyle name="20% - Ênfase3 152" xfId="798"/>
    <cellStyle name="20% - Ênfase3 153" xfId="799"/>
    <cellStyle name="20% - Ênfase3 154" xfId="800"/>
    <cellStyle name="20% - Ênfase3 155" xfId="801"/>
    <cellStyle name="20% - Ênfase3 156" xfId="802"/>
    <cellStyle name="20% - Ênfase3 157" xfId="803"/>
    <cellStyle name="20% - Ênfase3 158" xfId="804"/>
    <cellStyle name="20% - Ênfase3 159" xfId="805"/>
    <cellStyle name="20% - Ênfase3 16" xfId="806"/>
    <cellStyle name="20% - Ênfase3 16 2" xfId="807"/>
    <cellStyle name="20% - Ênfase3 16 3" xfId="808"/>
    <cellStyle name="20% - Ênfase3 160" xfId="809"/>
    <cellStyle name="20% - Ênfase3 161" xfId="810"/>
    <cellStyle name="20% - Ênfase3 162" xfId="811"/>
    <cellStyle name="20% - Ênfase3 163" xfId="812"/>
    <cellStyle name="20% - Ênfase3 164" xfId="813"/>
    <cellStyle name="20% - Ênfase3 165" xfId="814"/>
    <cellStyle name="20% - Ênfase3 166" xfId="815"/>
    <cellStyle name="20% - Ênfase3 167" xfId="816"/>
    <cellStyle name="20% - Ênfase3 168" xfId="817"/>
    <cellStyle name="20% - Ênfase3 169" xfId="818"/>
    <cellStyle name="20% - Ênfase3 17" xfId="819"/>
    <cellStyle name="20% - Ênfase3 17 2" xfId="820"/>
    <cellStyle name="20% - Ênfase3 17 3" xfId="821"/>
    <cellStyle name="20% - Ênfase3 170" xfId="822"/>
    <cellStyle name="20% - Ênfase3 171" xfId="823"/>
    <cellStyle name="20% - Ênfase3 172" xfId="824"/>
    <cellStyle name="20% - Ênfase3 173" xfId="825"/>
    <cellStyle name="20% - Ênfase3 174" xfId="826"/>
    <cellStyle name="20% - Ênfase3 175" xfId="827"/>
    <cellStyle name="20% - Ênfase3 176" xfId="828"/>
    <cellStyle name="20% - Ênfase3 177" xfId="829"/>
    <cellStyle name="20% - Ênfase3 178" xfId="830"/>
    <cellStyle name="20% - Ênfase3 179" xfId="831"/>
    <cellStyle name="20% - Ênfase3 18" xfId="832"/>
    <cellStyle name="20% - Ênfase3 18 2" xfId="833"/>
    <cellStyle name="20% - Ênfase3 18 3" xfId="834"/>
    <cellStyle name="20% - Ênfase3 180" xfId="835"/>
    <cellStyle name="20% - Ênfase3 181" xfId="836"/>
    <cellStyle name="20% - Ênfase3 182" xfId="837"/>
    <cellStyle name="20% - Ênfase3 183" xfId="838"/>
    <cellStyle name="20% - Ênfase3 184" xfId="839"/>
    <cellStyle name="20% - Ênfase3 185" xfId="840"/>
    <cellStyle name="20% - Ênfase3 186" xfId="841"/>
    <cellStyle name="20% - Ênfase3 187" xfId="842"/>
    <cellStyle name="20% - Ênfase3 188" xfId="843"/>
    <cellStyle name="20% - Ênfase3 189" xfId="844"/>
    <cellStyle name="20% - Ênfase3 19" xfId="845"/>
    <cellStyle name="20% - Ênfase3 19 2" xfId="846"/>
    <cellStyle name="20% - Ênfase3 19 3" xfId="847"/>
    <cellStyle name="20% - Ênfase3 190" xfId="848"/>
    <cellStyle name="20% - Ênfase3 2" xfId="849"/>
    <cellStyle name="20% - Ênfase3 2 10" xfId="850"/>
    <cellStyle name="20% - Ênfase3 2 10 2" xfId="851"/>
    <cellStyle name="20% - Ênfase3 2 10 3" xfId="852"/>
    <cellStyle name="20% - Ênfase3 2 10 4" xfId="853"/>
    <cellStyle name="20% - Ênfase3 2 10 5" xfId="854"/>
    <cellStyle name="20% - Ênfase3 2 10 6" xfId="855"/>
    <cellStyle name="20% - Ênfase3 2 10 7" xfId="856"/>
    <cellStyle name="20% - Ênfase3 2 11" xfId="857"/>
    <cellStyle name="20% - Ênfase3 2 11 2" xfId="858"/>
    <cellStyle name="20% - Ênfase3 2 11 3" xfId="859"/>
    <cellStyle name="20% - Ênfase3 2 11 4" xfId="860"/>
    <cellStyle name="20% - Ênfase3 2 11 5" xfId="861"/>
    <cellStyle name="20% - Ênfase3 2 11 6" xfId="862"/>
    <cellStyle name="20% - Ênfase3 2 11 7" xfId="863"/>
    <cellStyle name="20% - Ênfase3 2 12" xfId="864"/>
    <cellStyle name="20% - Ênfase3 2 13" xfId="865"/>
    <cellStyle name="20% - Ênfase3 2 14" xfId="866"/>
    <cellStyle name="20% - Ênfase3 2 15" xfId="867"/>
    <cellStyle name="20% - Ênfase3 2 16" xfId="868"/>
    <cellStyle name="20% - Ênfase3 2 17" xfId="869"/>
    <cellStyle name="20% - Ênfase3 2 18" xfId="870"/>
    <cellStyle name="20% - Ênfase3 2 19" xfId="871"/>
    <cellStyle name="20% - Ênfase3 2 2" xfId="872"/>
    <cellStyle name="20% - Ênfase3 2 20" xfId="873"/>
    <cellStyle name="20% - Ênfase3 2 21" xfId="874"/>
    <cellStyle name="20% - Ênfase3 2 22" xfId="875"/>
    <cellStyle name="20% - Ênfase3 2 23" xfId="876"/>
    <cellStyle name="20% - Ênfase3 2 24" xfId="877"/>
    <cellStyle name="20% - Ênfase3 2 25" xfId="878"/>
    <cellStyle name="20% - Ênfase3 2 26" xfId="879"/>
    <cellStyle name="20% - Ênfase3 2 27" xfId="880"/>
    <cellStyle name="20% - Ênfase3 2 28" xfId="881"/>
    <cellStyle name="20% - Ênfase3 2 29" xfId="882"/>
    <cellStyle name="20% - Ênfase3 2 3" xfId="883"/>
    <cellStyle name="20% - Ênfase3 2 30" xfId="884"/>
    <cellStyle name="20% - Ênfase3 2 31" xfId="885"/>
    <cellStyle name="20% - Ênfase3 2 32" xfId="886"/>
    <cellStyle name="20% - Ênfase3 2 33" xfId="887"/>
    <cellStyle name="20% - Ênfase3 2 34" xfId="888"/>
    <cellStyle name="20% - Ênfase3 2 35" xfId="889"/>
    <cellStyle name="20% - Ênfase3 2 4" xfId="890"/>
    <cellStyle name="20% - Ênfase3 2 5" xfId="891"/>
    <cellStyle name="20% - Ênfase3 2 6" xfId="892"/>
    <cellStyle name="20% - Ênfase3 2 7" xfId="893"/>
    <cellStyle name="20% - Ênfase3 2 8" xfId="894"/>
    <cellStyle name="20% - Ênfase3 2 8 2" xfId="895"/>
    <cellStyle name="20% - Ênfase3 2 8 3" xfId="896"/>
    <cellStyle name="20% - Ênfase3 2 8 4" xfId="897"/>
    <cellStyle name="20% - Ênfase3 2 8 5" xfId="898"/>
    <cellStyle name="20% - Ênfase3 2 8 6" xfId="899"/>
    <cellStyle name="20% - Ênfase3 2 8 7" xfId="900"/>
    <cellStyle name="20% - Ênfase3 2 9" xfId="901"/>
    <cellStyle name="20% - Ênfase3 2 9 2" xfId="902"/>
    <cellStyle name="20% - Ênfase3 2 9 3" xfId="903"/>
    <cellStyle name="20% - Ênfase3 2 9 4" xfId="904"/>
    <cellStyle name="20% - Ênfase3 2 9 5" xfId="905"/>
    <cellStyle name="20% - Ênfase3 2 9 6" xfId="906"/>
    <cellStyle name="20% - Ênfase3 2 9 7" xfId="907"/>
    <cellStyle name="20% - Ênfase3 20" xfId="908"/>
    <cellStyle name="20% - Ênfase3 20 2" xfId="909"/>
    <cellStyle name="20% - Ênfase3 20 3" xfId="910"/>
    <cellStyle name="20% - Ênfase3 21" xfId="911"/>
    <cellStyle name="20% - Ênfase3 22" xfId="912"/>
    <cellStyle name="20% - Ênfase3 23" xfId="913"/>
    <cellStyle name="20% - Ênfase3 24" xfId="914"/>
    <cellStyle name="20% - Ênfase3 24 2" xfId="40948"/>
    <cellStyle name="20% - Ênfase3 25" xfId="915"/>
    <cellStyle name="20% - Ênfase3 25 2" xfId="40983"/>
    <cellStyle name="20% - Ênfase3 26" xfId="916"/>
    <cellStyle name="20% - Ênfase3 26 10" xfId="917"/>
    <cellStyle name="20% - Ênfase3 26 11" xfId="918"/>
    <cellStyle name="20% - Ênfase3 26 12" xfId="919"/>
    <cellStyle name="20% - Ênfase3 26 13" xfId="920"/>
    <cellStyle name="20% - Ênfase3 26 14" xfId="921"/>
    <cellStyle name="20% - Ênfase3 26 15" xfId="922"/>
    <cellStyle name="20% - Ênfase3 26 16" xfId="923"/>
    <cellStyle name="20% - Ênfase3 26 2" xfId="924"/>
    <cellStyle name="20% - Ênfase3 26 3" xfId="925"/>
    <cellStyle name="20% - Ênfase3 26 4" xfId="926"/>
    <cellStyle name="20% - Ênfase3 26 5" xfId="927"/>
    <cellStyle name="20% - Ênfase3 26 6" xfId="928"/>
    <cellStyle name="20% - Ênfase3 26 7" xfId="929"/>
    <cellStyle name="20% - Ênfase3 26 8" xfId="930"/>
    <cellStyle name="20% - Ênfase3 26 9" xfId="931"/>
    <cellStyle name="20% - Ênfase3 27" xfId="932"/>
    <cellStyle name="20% - Ênfase3 27 10" xfId="933"/>
    <cellStyle name="20% - Ênfase3 27 11" xfId="934"/>
    <cellStyle name="20% - Ênfase3 27 12" xfId="935"/>
    <cellStyle name="20% - Ênfase3 27 13" xfId="936"/>
    <cellStyle name="20% - Ênfase3 27 14" xfId="937"/>
    <cellStyle name="20% - Ênfase3 27 15" xfId="938"/>
    <cellStyle name="20% - Ênfase3 27 16" xfId="939"/>
    <cellStyle name="20% - Ênfase3 27 2" xfId="940"/>
    <cellStyle name="20% - Ênfase3 27 3" xfId="941"/>
    <cellStyle name="20% - Ênfase3 27 4" xfId="942"/>
    <cellStyle name="20% - Ênfase3 27 5" xfId="943"/>
    <cellStyle name="20% - Ênfase3 27 6" xfId="944"/>
    <cellStyle name="20% - Ênfase3 27 7" xfId="945"/>
    <cellStyle name="20% - Ênfase3 27 8" xfId="946"/>
    <cellStyle name="20% - Ênfase3 27 9" xfId="947"/>
    <cellStyle name="20% - Ênfase3 28" xfId="948"/>
    <cellStyle name="20% - Ênfase3 28 10" xfId="949"/>
    <cellStyle name="20% - Ênfase3 28 11" xfId="950"/>
    <cellStyle name="20% - Ênfase3 28 12" xfId="951"/>
    <cellStyle name="20% - Ênfase3 28 13" xfId="952"/>
    <cellStyle name="20% - Ênfase3 28 14" xfId="953"/>
    <cellStyle name="20% - Ênfase3 28 15" xfId="954"/>
    <cellStyle name="20% - Ênfase3 28 16" xfId="955"/>
    <cellStyle name="20% - Ênfase3 28 2" xfId="956"/>
    <cellStyle name="20% - Ênfase3 28 3" xfId="957"/>
    <cellStyle name="20% - Ênfase3 28 4" xfId="958"/>
    <cellStyle name="20% - Ênfase3 28 5" xfId="959"/>
    <cellStyle name="20% - Ênfase3 28 6" xfId="960"/>
    <cellStyle name="20% - Ênfase3 28 7" xfId="961"/>
    <cellStyle name="20% - Ênfase3 28 8" xfId="962"/>
    <cellStyle name="20% - Ênfase3 28 9" xfId="963"/>
    <cellStyle name="20% - Ênfase3 29" xfId="964"/>
    <cellStyle name="20% - Ênfase3 29 10" xfId="965"/>
    <cellStyle name="20% - Ênfase3 29 11" xfId="966"/>
    <cellStyle name="20% - Ênfase3 29 12" xfId="967"/>
    <cellStyle name="20% - Ênfase3 29 13" xfId="968"/>
    <cellStyle name="20% - Ênfase3 29 14" xfId="969"/>
    <cellStyle name="20% - Ênfase3 29 15" xfId="970"/>
    <cellStyle name="20% - Ênfase3 29 16" xfId="971"/>
    <cellStyle name="20% - Ênfase3 29 2" xfId="972"/>
    <cellStyle name="20% - Ênfase3 29 3" xfId="973"/>
    <cellStyle name="20% - Ênfase3 29 4" xfId="974"/>
    <cellStyle name="20% - Ênfase3 29 5" xfId="975"/>
    <cellStyle name="20% - Ênfase3 29 6" xfId="976"/>
    <cellStyle name="20% - Ênfase3 29 7" xfId="977"/>
    <cellStyle name="20% - Ênfase3 29 8" xfId="978"/>
    <cellStyle name="20% - Ênfase3 29 9" xfId="979"/>
    <cellStyle name="20% - Ênfase3 3" xfId="980"/>
    <cellStyle name="20% - Ênfase3 3 10" xfId="981"/>
    <cellStyle name="20% - Ênfase3 3 11" xfId="982"/>
    <cellStyle name="20% - Ênfase3 3 2" xfId="983"/>
    <cellStyle name="20% - Ênfase3 3 3" xfId="984"/>
    <cellStyle name="20% - Ênfase3 3 4" xfId="985"/>
    <cellStyle name="20% - Ênfase3 3 5" xfId="986"/>
    <cellStyle name="20% - Ênfase3 3 6" xfId="987"/>
    <cellStyle name="20% - Ênfase3 3 7" xfId="988"/>
    <cellStyle name="20% - Ênfase3 3 8" xfId="989"/>
    <cellStyle name="20% - Ênfase3 3 9" xfId="990"/>
    <cellStyle name="20% - Ênfase3 30" xfId="991"/>
    <cellStyle name="20% - Ênfase3 31" xfId="992"/>
    <cellStyle name="20% - Ênfase3 32" xfId="993"/>
    <cellStyle name="20% - Ênfase3 33" xfId="994"/>
    <cellStyle name="20% - Ênfase3 34" xfId="995"/>
    <cellStyle name="20% - Ênfase3 35" xfId="996"/>
    <cellStyle name="20% - Ênfase3 36" xfId="997"/>
    <cellStyle name="20% - Ênfase3 37" xfId="998"/>
    <cellStyle name="20% - Ênfase3 38" xfId="999"/>
    <cellStyle name="20% - Ênfase3 39" xfId="1000"/>
    <cellStyle name="20% - Ênfase3 4" xfId="1001"/>
    <cellStyle name="20% - Ênfase3 4 10" xfId="1002"/>
    <cellStyle name="20% - Ênfase3 4 11" xfId="1003"/>
    <cellStyle name="20% - Ênfase3 4 2" xfId="1004"/>
    <cellStyle name="20% - Ênfase3 4 3" xfId="1005"/>
    <cellStyle name="20% - Ênfase3 4 4" xfId="1006"/>
    <cellStyle name="20% - Ênfase3 4 5" xfId="1007"/>
    <cellStyle name="20% - Ênfase3 4 6" xfId="1008"/>
    <cellStyle name="20% - Ênfase3 4 7" xfId="1009"/>
    <cellStyle name="20% - Ênfase3 4 8" xfId="1010"/>
    <cellStyle name="20% - Ênfase3 4 9" xfId="1011"/>
    <cellStyle name="20% - Ênfase3 40" xfId="1012"/>
    <cellStyle name="20% - Ênfase3 41" xfId="1013"/>
    <cellStyle name="20% - Ênfase3 42" xfId="1014"/>
    <cellStyle name="20% - Ênfase3 43" xfId="1015"/>
    <cellStyle name="20% - Ênfase3 44" xfId="1016"/>
    <cellStyle name="20% - Ênfase3 45" xfId="1017"/>
    <cellStyle name="20% - Ênfase3 46" xfId="1018"/>
    <cellStyle name="20% - Ênfase3 47" xfId="1019"/>
    <cellStyle name="20% - Ênfase3 48" xfId="1020"/>
    <cellStyle name="20% - Ênfase3 49" xfId="1021"/>
    <cellStyle name="20% - Ênfase3 5" xfId="1022"/>
    <cellStyle name="20% - Ênfase3 5 2" xfId="1023"/>
    <cellStyle name="20% - Ênfase3 5 3" xfId="1024"/>
    <cellStyle name="20% - Ênfase3 5 4" xfId="1025"/>
    <cellStyle name="20% - Ênfase3 50" xfId="1026"/>
    <cellStyle name="20% - Ênfase3 51" xfId="1027"/>
    <cellStyle name="20% - Ênfase3 52" xfId="1028"/>
    <cellStyle name="20% - Ênfase3 53" xfId="1029"/>
    <cellStyle name="20% - Ênfase3 54" xfId="1030"/>
    <cellStyle name="20% - Ênfase3 55" xfId="1031"/>
    <cellStyle name="20% - Ênfase3 56" xfId="1032"/>
    <cellStyle name="20% - Ênfase3 57" xfId="1033"/>
    <cellStyle name="20% - Ênfase3 58" xfId="1034"/>
    <cellStyle name="20% - Ênfase3 59" xfId="1035"/>
    <cellStyle name="20% - Ênfase3 6" xfId="1036"/>
    <cellStyle name="20% - Ênfase3 6 2" xfId="1037"/>
    <cellStyle name="20% - Ênfase3 6 3" xfId="1038"/>
    <cellStyle name="20% - Ênfase3 6 4" xfId="1039"/>
    <cellStyle name="20% - Ênfase3 60" xfId="1040"/>
    <cellStyle name="20% - Ênfase3 61" xfId="1041"/>
    <cellStyle name="20% - Ênfase3 62" xfId="1042"/>
    <cellStyle name="20% - Ênfase3 63" xfId="1043"/>
    <cellStyle name="20% - Ênfase3 64" xfId="1044"/>
    <cellStyle name="20% - Ênfase3 65" xfId="1045"/>
    <cellStyle name="20% - Ênfase3 66" xfId="1046"/>
    <cellStyle name="20% - Ênfase3 67" xfId="1047"/>
    <cellStyle name="20% - Ênfase3 68" xfId="1048"/>
    <cellStyle name="20% - Ênfase3 69" xfId="1049"/>
    <cellStyle name="20% - Ênfase3 7" xfId="1050"/>
    <cellStyle name="20% - Ênfase3 7 2" xfId="1051"/>
    <cellStyle name="20% - Ênfase3 7 3" xfId="1052"/>
    <cellStyle name="20% - Ênfase3 7 4" xfId="1053"/>
    <cellStyle name="20% - Ênfase3 70" xfId="1054"/>
    <cellStyle name="20% - Ênfase3 71" xfId="1055"/>
    <cellStyle name="20% - Ênfase3 72" xfId="1056"/>
    <cellStyle name="20% - Ênfase3 73" xfId="1057"/>
    <cellStyle name="20% - Ênfase3 74" xfId="1058"/>
    <cellStyle name="20% - Ênfase3 75" xfId="1059"/>
    <cellStyle name="20% - Ênfase3 76" xfId="1060"/>
    <cellStyle name="20% - Ênfase3 77" xfId="1061"/>
    <cellStyle name="20% - Ênfase3 78" xfId="1062"/>
    <cellStyle name="20% - Ênfase3 79" xfId="1063"/>
    <cellStyle name="20% - Ênfase3 8" xfId="1064"/>
    <cellStyle name="20% - Ênfase3 8 2" xfId="1065"/>
    <cellStyle name="20% - Ênfase3 8 3" xfId="1066"/>
    <cellStyle name="20% - Ênfase3 8 4" xfId="1067"/>
    <cellStyle name="20% - Ênfase3 80" xfId="1068"/>
    <cellStyle name="20% - Ênfase3 81" xfId="1069"/>
    <cellStyle name="20% - Ênfase3 82" xfId="1070"/>
    <cellStyle name="20% - Ênfase3 83" xfId="1071"/>
    <cellStyle name="20% - Ênfase3 84" xfId="1072"/>
    <cellStyle name="20% - Ênfase3 85" xfId="1073"/>
    <cellStyle name="20% - Ênfase3 86" xfId="1074"/>
    <cellStyle name="20% - Ênfase3 87" xfId="1075"/>
    <cellStyle name="20% - Ênfase3 88" xfId="1076"/>
    <cellStyle name="20% - Ênfase3 89" xfId="1077"/>
    <cellStyle name="20% - Ênfase3 9" xfId="1078"/>
    <cellStyle name="20% - Ênfase3 90" xfId="1079"/>
    <cellStyle name="20% - Ênfase3 91" xfId="1080"/>
    <cellStyle name="20% - Ênfase3 92" xfId="1081"/>
    <cellStyle name="20% - Ênfase3 93" xfId="1082"/>
    <cellStyle name="20% - Ênfase3 94" xfId="1083"/>
    <cellStyle name="20% - Ênfase3 95" xfId="1084"/>
    <cellStyle name="20% - Ênfase3 96" xfId="1085"/>
    <cellStyle name="20% - Ênfase3 97" xfId="1086"/>
    <cellStyle name="20% - Ênfase3 98" xfId="1087"/>
    <cellStyle name="20% - Ênfase3 99" xfId="1088"/>
    <cellStyle name="20% - Ênfase4 10" xfId="1089"/>
    <cellStyle name="20% - Ênfase4 10 2" xfId="40487"/>
    <cellStyle name="20% - Ênfase4 100" xfId="1090"/>
    <cellStyle name="20% - Ênfase4 101" xfId="1091"/>
    <cellStyle name="20% - Ênfase4 102" xfId="1092"/>
    <cellStyle name="20% - Ênfase4 103" xfId="1093"/>
    <cellStyle name="20% - Ênfase4 104" xfId="1094"/>
    <cellStyle name="20% - Ênfase4 105" xfId="1095"/>
    <cellStyle name="20% - Ênfase4 106" xfId="1096"/>
    <cellStyle name="20% - Ênfase4 107" xfId="1097"/>
    <cellStyle name="20% - Ênfase4 108" xfId="1098"/>
    <cellStyle name="20% - Ênfase4 109" xfId="1099"/>
    <cellStyle name="20% - Ênfase4 11" xfId="1100"/>
    <cellStyle name="20% - Ênfase4 11 2" xfId="40488"/>
    <cellStyle name="20% - Ênfase4 110" xfId="1101"/>
    <cellStyle name="20% - Ênfase4 111" xfId="1102"/>
    <cellStyle name="20% - Ênfase4 112" xfId="1103"/>
    <cellStyle name="20% - Ênfase4 113" xfId="1104"/>
    <cellStyle name="20% - Ênfase4 114" xfId="1105"/>
    <cellStyle name="20% - Ênfase4 115" xfId="1106"/>
    <cellStyle name="20% - Ênfase4 116" xfId="1107"/>
    <cellStyle name="20% - Ênfase4 117" xfId="1108"/>
    <cellStyle name="20% - Ênfase4 118" xfId="1109"/>
    <cellStyle name="20% - Ênfase4 119" xfId="1110"/>
    <cellStyle name="20% - Ênfase4 12" xfId="1111"/>
    <cellStyle name="20% - Ênfase4 12 2" xfId="40489"/>
    <cellStyle name="20% - Ênfase4 120" xfId="1112"/>
    <cellStyle name="20% - Ênfase4 121" xfId="1113"/>
    <cellStyle name="20% - Ênfase4 122" xfId="1114"/>
    <cellStyle name="20% - Ênfase4 123" xfId="1115"/>
    <cellStyle name="20% - Ênfase4 124" xfId="1116"/>
    <cellStyle name="20% - Ênfase4 125" xfId="1117"/>
    <cellStyle name="20% - Ênfase4 126" xfId="1118"/>
    <cellStyle name="20% - Ênfase4 127" xfId="1119"/>
    <cellStyle name="20% - Ênfase4 128" xfId="1120"/>
    <cellStyle name="20% - Ênfase4 129" xfId="1121"/>
    <cellStyle name="20% - Ênfase4 13" xfId="1122"/>
    <cellStyle name="20% - Ênfase4 13 2" xfId="40490"/>
    <cellStyle name="20% - Ênfase4 130" xfId="1123"/>
    <cellStyle name="20% - Ênfase4 131" xfId="1124"/>
    <cellStyle name="20% - Ênfase4 132" xfId="1125"/>
    <cellStyle name="20% - Ênfase4 133" xfId="1126"/>
    <cellStyle name="20% - Ênfase4 134" xfId="1127"/>
    <cellStyle name="20% - Ênfase4 135" xfId="1128"/>
    <cellStyle name="20% - Ênfase4 136" xfId="1129"/>
    <cellStyle name="20% - Ênfase4 137" xfId="1130"/>
    <cellStyle name="20% - Ênfase4 138" xfId="1131"/>
    <cellStyle name="20% - Ênfase4 139" xfId="1132"/>
    <cellStyle name="20% - Ênfase4 14" xfId="1133"/>
    <cellStyle name="20% - Ênfase4 140" xfId="1134"/>
    <cellStyle name="20% - Ênfase4 141" xfId="1135"/>
    <cellStyle name="20% - Ênfase4 142" xfId="1136"/>
    <cellStyle name="20% - Ênfase4 143" xfId="1137"/>
    <cellStyle name="20% - Ênfase4 144" xfId="1138"/>
    <cellStyle name="20% - Ênfase4 145" xfId="1139"/>
    <cellStyle name="20% - Ênfase4 146" xfId="1140"/>
    <cellStyle name="20% - Ênfase4 147" xfId="1141"/>
    <cellStyle name="20% - Ênfase4 148" xfId="1142"/>
    <cellStyle name="20% - Ênfase4 149" xfId="1143"/>
    <cellStyle name="20% - Ênfase4 15" xfId="1144"/>
    <cellStyle name="20% - Ênfase4 15 2" xfId="1145"/>
    <cellStyle name="20% - Ênfase4 15 3" xfId="1146"/>
    <cellStyle name="20% - Ênfase4 150" xfId="1147"/>
    <cellStyle name="20% - Ênfase4 151" xfId="1148"/>
    <cellStyle name="20% - Ênfase4 152" xfId="1149"/>
    <cellStyle name="20% - Ênfase4 153" xfId="1150"/>
    <cellStyle name="20% - Ênfase4 154" xfId="1151"/>
    <cellStyle name="20% - Ênfase4 155" xfId="1152"/>
    <cellStyle name="20% - Ênfase4 156" xfId="1153"/>
    <cellStyle name="20% - Ênfase4 157" xfId="1154"/>
    <cellStyle name="20% - Ênfase4 158" xfId="1155"/>
    <cellStyle name="20% - Ênfase4 159" xfId="1156"/>
    <cellStyle name="20% - Ênfase4 16" xfId="1157"/>
    <cellStyle name="20% - Ênfase4 16 2" xfId="1158"/>
    <cellStyle name="20% - Ênfase4 16 3" xfId="1159"/>
    <cellStyle name="20% - Ênfase4 160" xfId="1160"/>
    <cellStyle name="20% - Ênfase4 161" xfId="1161"/>
    <cellStyle name="20% - Ênfase4 162" xfId="1162"/>
    <cellStyle name="20% - Ênfase4 163" xfId="1163"/>
    <cellStyle name="20% - Ênfase4 164" xfId="1164"/>
    <cellStyle name="20% - Ênfase4 165" xfId="1165"/>
    <cellStyle name="20% - Ênfase4 166" xfId="1166"/>
    <cellStyle name="20% - Ênfase4 167" xfId="1167"/>
    <cellStyle name="20% - Ênfase4 168" xfId="1168"/>
    <cellStyle name="20% - Ênfase4 169" xfId="1169"/>
    <cellStyle name="20% - Ênfase4 17" xfId="1170"/>
    <cellStyle name="20% - Ênfase4 17 2" xfId="1171"/>
    <cellStyle name="20% - Ênfase4 17 3" xfId="1172"/>
    <cellStyle name="20% - Ênfase4 170" xfId="1173"/>
    <cellStyle name="20% - Ênfase4 171" xfId="1174"/>
    <cellStyle name="20% - Ênfase4 172" xfId="1175"/>
    <cellStyle name="20% - Ênfase4 173" xfId="1176"/>
    <cellStyle name="20% - Ênfase4 174" xfId="1177"/>
    <cellStyle name="20% - Ênfase4 175" xfId="1178"/>
    <cellStyle name="20% - Ênfase4 176" xfId="1179"/>
    <cellStyle name="20% - Ênfase4 177" xfId="1180"/>
    <cellStyle name="20% - Ênfase4 178" xfId="1181"/>
    <cellStyle name="20% - Ênfase4 179" xfId="1182"/>
    <cellStyle name="20% - Ênfase4 18" xfId="1183"/>
    <cellStyle name="20% - Ênfase4 18 2" xfId="1184"/>
    <cellStyle name="20% - Ênfase4 18 3" xfId="1185"/>
    <cellStyle name="20% - Ênfase4 180" xfId="1186"/>
    <cellStyle name="20% - Ênfase4 181" xfId="1187"/>
    <cellStyle name="20% - Ênfase4 182" xfId="1188"/>
    <cellStyle name="20% - Ênfase4 183" xfId="1189"/>
    <cellStyle name="20% - Ênfase4 184" xfId="1190"/>
    <cellStyle name="20% - Ênfase4 185" xfId="1191"/>
    <cellStyle name="20% - Ênfase4 186" xfId="1192"/>
    <cellStyle name="20% - Ênfase4 187" xfId="1193"/>
    <cellStyle name="20% - Ênfase4 188" xfId="1194"/>
    <cellStyle name="20% - Ênfase4 189" xfId="1195"/>
    <cellStyle name="20% - Ênfase4 19" xfId="1196"/>
    <cellStyle name="20% - Ênfase4 19 2" xfId="1197"/>
    <cellStyle name="20% - Ênfase4 19 3" xfId="1198"/>
    <cellStyle name="20% - Ênfase4 190" xfId="1199"/>
    <cellStyle name="20% - Ênfase4 2" xfId="1200"/>
    <cellStyle name="20% - Ênfase4 2 10" xfId="1201"/>
    <cellStyle name="20% - Ênfase4 2 10 2" xfId="1202"/>
    <cellStyle name="20% - Ênfase4 2 10 3" xfId="1203"/>
    <cellStyle name="20% - Ênfase4 2 10 4" xfId="1204"/>
    <cellStyle name="20% - Ênfase4 2 10 5" xfId="1205"/>
    <cellStyle name="20% - Ênfase4 2 10 6" xfId="1206"/>
    <cellStyle name="20% - Ênfase4 2 10 7" xfId="1207"/>
    <cellStyle name="20% - Ênfase4 2 11" xfId="1208"/>
    <cellStyle name="20% - Ênfase4 2 11 2" xfId="1209"/>
    <cellStyle name="20% - Ênfase4 2 11 3" xfId="1210"/>
    <cellStyle name="20% - Ênfase4 2 11 4" xfId="1211"/>
    <cellStyle name="20% - Ênfase4 2 11 5" xfId="1212"/>
    <cellStyle name="20% - Ênfase4 2 11 6" xfId="1213"/>
    <cellStyle name="20% - Ênfase4 2 11 7" xfId="1214"/>
    <cellStyle name="20% - Ênfase4 2 12" xfId="1215"/>
    <cellStyle name="20% - Ênfase4 2 13" xfId="1216"/>
    <cellStyle name="20% - Ênfase4 2 14" xfId="1217"/>
    <cellStyle name="20% - Ênfase4 2 15" xfId="1218"/>
    <cellStyle name="20% - Ênfase4 2 16" xfId="1219"/>
    <cellStyle name="20% - Ênfase4 2 17" xfId="1220"/>
    <cellStyle name="20% - Ênfase4 2 18" xfId="1221"/>
    <cellStyle name="20% - Ênfase4 2 19" xfId="1222"/>
    <cellStyle name="20% - Ênfase4 2 2" xfId="1223"/>
    <cellStyle name="20% - Ênfase4 2 20" xfId="1224"/>
    <cellStyle name="20% - Ênfase4 2 21" xfId="1225"/>
    <cellStyle name="20% - Ênfase4 2 22" xfId="1226"/>
    <cellStyle name="20% - Ênfase4 2 23" xfId="1227"/>
    <cellStyle name="20% - Ênfase4 2 24" xfId="1228"/>
    <cellStyle name="20% - Ênfase4 2 25" xfId="1229"/>
    <cellStyle name="20% - Ênfase4 2 26" xfId="1230"/>
    <cellStyle name="20% - Ênfase4 2 27" xfId="1231"/>
    <cellStyle name="20% - Ênfase4 2 28" xfId="1232"/>
    <cellStyle name="20% - Ênfase4 2 29" xfId="1233"/>
    <cellStyle name="20% - Ênfase4 2 3" xfId="1234"/>
    <cellStyle name="20% - Ênfase4 2 30" xfId="1235"/>
    <cellStyle name="20% - Ênfase4 2 31" xfId="1236"/>
    <cellStyle name="20% - Ênfase4 2 32" xfId="1237"/>
    <cellStyle name="20% - Ênfase4 2 33" xfId="1238"/>
    <cellStyle name="20% - Ênfase4 2 34" xfId="1239"/>
    <cellStyle name="20% - Ênfase4 2 35" xfId="1240"/>
    <cellStyle name="20% - Ênfase4 2 4" xfId="1241"/>
    <cellStyle name="20% - Ênfase4 2 5" xfId="1242"/>
    <cellStyle name="20% - Ênfase4 2 6" xfId="1243"/>
    <cellStyle name="20% - Ênfase4 2 7" xfId="1244"/>
    <cellStyle name="20% - Ênfase4 2 8" xfId="1245"/>
    <cellStyle name="20% - Ênfase4 2 8 2" xfId="1246"/>
    <cellStyle name="20% - Ênfase4 2 8 3" xfId="1247"/>
    <cellStyle name="20% - Ênfase4 2 8 4" xfId="1248"/>
    <cellStyle name="20% - Ênfase4 2 8 5" xfId="1249"/>
    <cellStyle name="20% - Ênfase4 2 8 6" xfId="1250"/>
    <cellStyle name="20% - Ênfase4 2 8 7" xfId="1251"/>
    <cellStyle name="20% - Ênfase4 2 9" xfId="1252"/>
    <cellStyle name="20% - Ênfase4 2 9 2" xfId="1253"/>
    <cellStyle name="20% - Ênfase4 2 9 3" xfId="1254"/>
    <cellStyle name="20% - Ênfase4 2 9 4" xfId="1255"/>
    <cellStyle name="20% - Ênfase4 2 9 5" xfId="1256"/>
    <cellStyle name="20% - Ênfase4 2 9 6" xfId="1257"/>
    <cellStyle name="20% - Ênfase4 2 9 7" xfId="1258"/>
    <cellStyle name="20% - Ênfase4 20" xfId="1259"/>
    <cellStyle name="20% - Ênfase4 20 2" xfId="1260"/>
    <cellStyle name="20% - Ênfase4 20 3" xfId="1261"/>
    <cellStyle name="20% - Ênfase4 21" xfId="1262"/>
    <cellStyle name="20% - Ênfase4 22" xfId="1263"/>
    <cellStyle name="20% - Ênfase4 23" xfId="1264"/>
    <cellStyle name="20% - Ênfase4 24" xfId="1265"/>
    <cellStyle name="20% - Ênfase4 24 2" xfId="40949"/>
    <cellStyle name="20% - Ênfase4 25" xfId="1266"/>
    <cellStyle name="20% - Ênfase4 25 2" xfId="40984"/>
    <cellStyle name="20% - Ênfase4 26" xfId="1267"/>
    <cellStyle name="20% - Ênfase4 26 10" xfId="1268"/>
    <cellStyle name="20% - Ênfase4 26 11" xfId="1269"/>
    <cellStyle name="20% - Ênfase4 26 12" xfId="1270"/>
    <cellStyle name="20% - Ênfase4 26 13" xfId="1271"/>
    <cellStyle name="20% - Ênfase4 26 14" xfId="1272"/>
    <cellStyle name="20% - Ênfase4 26 15" xfId="1273"/>
    <cellStyle name="20% - Ênfase4 26 16" xfId="1274"/>
    <cellStyle name="20% - Ênfase4 26 2" xfId="1275"/>
    <cellStyle name="20% - Ênfase4 26 3" xfId="1276"/>
    <cellStyle name="20% - Ênfase4 26 4" xfId="1277"/>
    <cellStyle name="20% - Ênfase4 26 5" xfId="1278"/>
    <cellStyle name="20% - Ênfase4 26 6" xfId="1279"/>
    <cellStyle name="20% - Ênfase4 26 7" xfId="1280"/>
    <cellStyle name="20% - Ênfase4 26 8" xfId="1281"/>
    <cellStyle name="20% - Ênfase4 26 9" xfId="1282"/>
    <cellStyle name="20% - Ênfase4 27" xfId="1283"/>
    <cellStyle name="20% - Ênfase4 27 10" xfId="1284"/>
    <cellStyle name="20% - Ênfase4 27 11" xfId="1285"/>
    <cellStyle name="20% - Ênfase4 27 12" xfId="1286"/>
    <cellStyle name="20% - Ênfase4 27 13" xfId="1287"/>
    <cellStyle name="20% - Ênfase4 27 14" xfId="1288"/>
    <cellStyle name="20% - Ênfase4 27 15" xfId="1289"/>
    <cellStyle name="20% - Ênfase4 27 16" xfId="1290"/>
    <cellStyle name="20% - Ênfase4 27 2" xfId="1291"/>
    <cellStyle name="20% - Ênfase4 27 3" xfId="1292"/>
    <cellStyle name="20% - Ênfase4 27 4" xfId="1293"/>
    <cellStyle name="20% - Ênfase4 27 5" xfId="1294"/>
    <cellStyle name="20% - Ênfase4 27 6" xfId="1295"/>
    <cellStyle name="20% - Ênfase4 27 7" xfId="1296"/>
    <cellStyle name="20% - Ênfase4 27 8" xfId="1297"/>
    <cellStyle name="20% - Ênfase4 27 9" xfId="1298"/>
    <cellStyle name="20% - Ênfase4 28" xfId="1299"/>
    <cellStyle name="20% - Ênfase4 28 10" xfId="1300"/>
    <cellStyle name="20% - Ênfase4 28 11" xfId="1301"/>
    <cellStyle name="20% - Ênfase4 28 12" xfId="1302"/>
    <cellStyle name="20% - Ênfase4 28 13" xfId="1303"/>
    <cellStyle name="20% - Ênfase4 28 14" xfId="1304"/>
    <cellStyle name="20% - Ênfase4 28 15" xfId="1305"/>
    <cellStyle name="20% - Ênfase4 28 16" xfId="1306"/>
    <cellStyle name="20% - Ênfase4 28 2" xfId="1307"/>
    <cellStyle name="20% - Ênfase4 28 3" xfId="1308"/>
    <cellStyle name="20% - Ênfase4 28 4" xfId="1309"/>
    <cellStyle name="20% - Ênfase4 28 5" xfId="1310"/>
    <cellStyle name="20% - Ênfase4 28 6" xfId="1311"/>
    <cellStyle name="20% - Ênfase4 28 7" xfId="1312"/>
    <cellStyle name="20% - Ênfase4 28 8" xfId="1313"/>
    <cellStyle name="20% - Ênfase4 28 9" xfId="1314"/>
    <cellStyle name="20% - Ênfase4 29" xfId="1315"/>
    <cellStyle name="20% - Ênfase4 29 10" xfId="1316"/>
    <cellStyle name="20% - Ênfase4 29 11" xfId="1317"/>
    <cellStyle name="20% - Ênfase4 29 12" xfId="1318"/>
    <cellStyle name="20% - Ênfase4 29 13" xfId="1319"/>
    <cellStyle name="20% - Ênfase4 29 14" xfId="1320"/>
    <cellStyle name="20% - Ênfase4 29 15" xfId="1321"/>
    <cellStyle name="20% - Ênfase4 29 16" xfId="1322"/>
    <cellStyle name="20% - Ênfase4 29 2" xfId="1323"/>
    <cellStyle name="20% - Ênfase4 29 3" xfId="1324"/>
    <cellStyle name="20% - Ênfase4 29 4" xfId="1325"/>
    <cellStyle name="20% - Ênfase4 29 5" xfId="1326"/>
    <cellStyle name="20% - Ênfase4 29 6" xfId="1327"/>
    <cellStyle name="20% - Ênfase4 29 7" xfId="1328"/>
    <cellStyle name="20% - Ênfase4 29 8" xfId="1329"/>
    <cellStyle name="20% - Ênfase4 29 9" xfId="1330"/>
    <cellStyle name="20% - Ênfase4 3" xfId="1331"/>
    <cellStyle name="20% - Ênfase4 3 10" xfId="1332"/>
    <cellStyle name="20% - Ênfase4 3 11" xfId="1333"/>
    <cellStyle name="20% - Ênfase4 3 2" xfId="1334"/>
    <cellStyle name="20% - Ênfase4 3 3" xfId="1335"/>
    <cellStyle name="20% - Ênfase4 3 4" xfId="1336"/>
    <cellStyle name="20% - Ênfase4 3 5" xfId="1337"/>
    <cellStyle name="20% - Ênfase4 3 6" xfId="1338"/>
    <cellStyle name="20% - Ênfase4 3 7" xfId="1339"/>
    <cellStyle name="20% - Ênfase4 3 8" xfId="1340"/>
    <cellStyle name="20% - Ênfase4 3 9" xfId="1341"/>
    <cellStyle name="20% - Ênfase4 30" xfId="1342"/>
    <cellStyle name="20% - Ênfase4 31" xfId="1343"/>
    <cellStyle name="20% - Ênfase4 32" xfId="1344"/>
    <cellStyle name="20% - Ênfase4 33" xfId="1345"/>
    <cellStyle name="20% - Ênfase4 34" xfId="1346"/>
    <cellStyle name="20% - Ênfase4 35" xfId="1347"/>
    <cellStyle name="20% - Ênfase4 36" xfId="1348"/>
    <cellStyle name="20% - Ênfase4 37" xfId="1349"/>
    <cellStyle name="20% - Ênfase4 38" xfId="1350"/>
    <cellStyle name="20% - Ênfase4 39" xfId="1351"/>
    <cellStyle name="20% - Ênfase4 4" xfId="1352"/>
    <cellStyle name="20% - Ênfase4 4 10" xfId="1353"/>
    <cellStyle name="20% - Ênfase4 4 11" xfId="1354"/>
    <cellStyle name="20% - Ênfase4 4 2" xfId="1355"/>
    <cellStyle name="20% - Ênfase4 4 3" xfId="1356"/>
    <cellStyle name="20% - Ênfase4 4 4" xfId="1357"/>
    <cellStyle name="20% - Ênfase4 4 5" xfId="1358"/>
    <cellStyle name="20% - Ênfase4 4 6" xfId="1359"/>
    <cellStyle name="20% - Ênfase4 4 7" xfId="1360"/>
    <cellStyle name="20% - Ênfase4 4 8" xfId="1361"/>
    <cellStyle name="20% - Ênfase4 4 9" xfId="1362"/>
    <cellStyle name="20% - Ênfase4 40" xfId="1363"/>
    <cellStyle name="20% - Ênfase4 41" xfId="1364"/>
    <cellStyle name="20% - Ênfase4 42" xfId="1365"/>
    <cellStyle name="20% - Ênfase4 43" xfId="1366"/>
    <cellStyle name="20% - Ênfase4 44" xfId="1367"/>
    <cellStyle name="20% - Ênfase4 45" xfId="1368"/>
    <cellStyle name="20% - Ênfase4 46" xfId="1369"/>
    <cellStyle name="20% - Ênfase4 47" xfId="1370"/>
    <cellStyle name="20% - Ênfase4 48" xfId="1371"/>
    <cellStyle name="20% - Ênfase4 49" xfId="1372"/>
    <cellStyle name="20% - Ênfase4 5" xfId="1373"/>
    <cellStyle name="20% - Ênfase4 5 2" xfId="1374"/>
    <cellStyle name="20% - Ênfase4 5 3" xfId="1375"/>
    <cellStyle name="20% - Ênfase4 5 4" xfId="1376"/>
    <cellStyle name="20% - Ênfase4 50" xfId="1377"/>
    <cellStyle name="20% - Ênfase4 51" xfId="1378"/>
    <cellStyle name="20% - Ênfase4 52" xfId="1379"/>
    <cellStyle name="20% - Ênfase4 53" xfId="1380"/>
    <cellStyle name="20% - Ênfase4 54" xfId="1381"/>
    <cellStyle name="20% - Ênfase4 55" xfId="1382"/>
    <cellStyle name="20% - Ênfase4 56" xfId="1383"/>
    <cellStyle name="20% - Ênfase4 57" xfId="1384"/>
    <cellStyle name="20% - Ênfase4 58" xfId="1385"/>
    <cellStyle name="20% - Ênfase4 59" xfId="1386"/>
    <cellStyle name="20% - Ênfase4 6" xfId="1387"/>
    <cellStyle name="20% - Ênfase4 6 2" xfId="1388"/>
    <cellStyle name="20% - Ênfase4 6 3" xfId="1389"/>
    <cellStyle name="20% - Ênfase4 6 4" xfId="1390"/>
    <cellStyle name="20% - Ênfase4 60" xfId="1391"/>
    <cellStyle name="20% - Ênfase4 61" xfId="1392"/>
    <cellStyle name="20% - Ênfase4 62" xfId="1393"/>
    <cellStyle name="20% - Ênfase4 63" xfId="1394"/>
    <cellStyle name="20% - Ênfase4 64" xfId="1395"/>
    <cellStyle name="20% - Ênfase4 65" xfId="1396"/>
    <cellStyle name="20% - Ênfase4 66" xfId="1397"/>
    <cellStyle name="20% - Ênfase4 67" xfId="1398"/>
    <cellStyle name="20% - Ênfase4 68" xfId="1399"/>
    <cellStyle name="20% - Ênfase4 69" xfId="1400"/>
    <cellStyle name="20% - Ênfase4 7" xfId="1401"/>
    <cellStyle name="20% - Ênfase4 7 2" xfId="1402"/>
    <cellStyle name="20% - Ênfase4 7 3" xfId="1403"/>
    <cellStyle name="20% - Ênfase4 7 4" xfId="1404"/>
    <cellStyle name="20% - Ênfase4 70" xfId="1405"/>
    <cellStyle name="20% - Ênfase4 71" xfId="1406"/>
    <cellStyle name="20% - Ênfase4 72" xfId="1407"/>
    <cellStyle name="20% - Ênfase4 73" xfId="1408"/>
    <cellStyle name="20% - Ênfase4 74" xfId="1409"/>
    <cellStyle name="20% - Ênfase4 75" xfId="1410"/>
    <cellStyle name="20% - Ênfase4 76" xfId="1411"/>
    <cellStyle name="20% - Ênfase4 77" xfId="1412"/>
    <cellStyle name="20% - Ênfase4 78" xfId="1413"/>
    <cellStyle name="20% - Ênfase4 79" xfId="1414"/>
    <cellStyle name="20% - Ênfase4 8" xfId="1415"/>
    <cellStyle name="20% - Ênfase4 8 2" xfId="1416"/>
    <cellStyle name="20% - Ênfase4 8 3" xfId="1417"/>
    <cellStyle name="20% - Ênfase4 8 4" xfId="1418"/>
    <cellStyle name="20% - Ênfase4 80" xfId="1419"/>
    <cellStyle name="20% - Ênfase4 81" xfId="1420"/>
    <cellStyle name="20% - Ênfase4 82" xfId="1421"/>
    <cellStyle name="20% - Ênfase4 83" xfId="1422"/>
    <cellStyle name="20% - Ênfase4 84" xfId="1423"/>
    <cellStyle name="20% - Ênfase4 85" xfId="1424"/>
    <cellStyle name="20% - Ênfase4 86" xfId="1425"/>
    <cellStyle name="20% - Ênfase4 87" xfId="1426"/>
    <cellStyle name="20% - Ênfase4 88" xfId="1427"/>
    <cellStyle name="20% - Ênfase4 89" xfId="1428"/>
    <cellStyle name="20% - Ênfase4 9" xfId="1429"/>
    <cellStyle name="20% - Ênfase4 90" xfId="1430"/>
    <cellStyle name="20% - Ênfase4 91" xfId="1431"/>
    <cellStyle name="20% - Ênfase4 92" xfId="1432"/>
    <cellStyle name="20% - Ênfase4 93" xfId="1433"/>
    <cellStyle name="20% - Ênfase4 94" xfId="1434"/>
    <cellStyle name="20% - Ênfase4 95" xfId="1435"/>
    <cellStyle name="20% - Ênfase4 96" xfId="1436"/>
    <cellStyle name="20% - Ênfase4 97" xfId="1437"/>
    <cellStyle name="20% - Ênfase4 98" xfId="1438"/>
    <cellStyle name="20% - Ênfase4 99" xfId="1439"/>
    <cellStyle name="20% - Ênfase5 10" xfId="1440"/>
    <cellStyle name="20% - Ênfase5 10 2" xfId="40491"/>
    <cellStyle name="20% - Ênfase5 100" xfId="1441"/>
    <cellStyle name="20% - Ênfase5 101" xfId="1442"/>
    <cellStyle name="20% - Ênfase5 102" xfId="1443"/>
    <cellStyle name="20% - Ênfase5 103" xfId="1444"/>
    <cellStyle name="20% - Ênfase5 104" xfId="1445"/>
    <cellStyle name="20% - Ênfase5 105" xfId="1446"/>
    <cellStyle name="20% - Ênfase5 106" xfId="1447"/>
    <cellStyle name="20% - Ênfase5 107" xfId="1448"/>
    <cellStyle name="20% - Ênfase5 108" xfId="1449"/>
    <cellStyle name="20% - Ênfase5 109" xfId="1450"/>
    <cellStyle name="20% - Ênfase5 11" xfId="1451"/>
    <cellStyle name="20% - Ênfase5 11 2" xfId="40492"/>
    <cellStyle name="20% - Ênfase5 110" xfId="1452"/>
    <cellStyle name="20% - Ênfase5 111" xfId="1453"/>
    <cellStyle name="20% - Ênfase5 112" xfId="1454"/>
    <cellStyle name="20% - Ênfase5 113" xfId="1455"/>
    <cellStyle name="20% - Ênfase5 114" xfId="1456"/>
    <cellStyle name="20% - Ênfase5 115" xfId="1457"/>
    <cellStyle name="20% - Ênfase5 116" xfId="1458"/>
    <cellStyle name="20% - Ênfase5 117" xfId="1459"/>
    <cellStyle name="20% - Ênfase5 118" xfId="1460"/>
    <cellStyle name="20% - Ênfase5 119" xfId="1461"/>
    <cellStyle name="20% - Ênfase5 12" xfId="1462"/>
    <cellStyle name="20% - Ênfase5 12 2" xfId="40493"/>
    <cellStyle name="20% - Ênfase5 120" xfId="1463"/>
    <cellStyle name="20% - Ênfase5 121" xfId="1464"/>
    <cellStyle name="20% - Ênfase5 122" xfId="1465"/>
    <cellStyle name="20% - Ênfase5 123" xfId="1466"/>
    <cellStyle name="20% - Ênfase5 124" xfId="1467"/>
    <cellStyle name="20% - Ênfase5 125" xfId="1468"/>
    <cellStyle name="20% - Ênfase5 126" xfId="1469"/>
    <cellStyle name="20% - Ênfase5 127" xfId="1470"/>
    <cellStyle name="20% - Ênfase5 128" xfId="1471"/>
    <cellStyle name="20% - Ênfase5 129" xfId="1472"/>
    <cellStyle name="20% - Ênfase5 13" xfId="1473"/>
    <cellStyle name="20% - Ênfase5 13 2" xfId="40494"/>
    <cellStyle name="20% - Ênfase5 130" xfId="1474"/>
    <cellStyle name="20% - Ênfase5 131" xfId="1475"/>
    <cellStyle name="20% - Ênfase5 132" xfId="1476"/>
    <cellStyle name="20% - Ênfase5 133" xfId="1477"/>
    <cellStyle name="20% - Ênfase5 134" xfId="1478"/>
    <cellStyle name="20% - Ênfase5 135" xfId="1479"/>
    <cellStyle name="20% - Ênfase5 136" xfId="1480"/>
    <cellStyle name="20% - Ênfase5 137" xfId="1481"/>
    <cellStyle name="20% - Ênfase5 138" xfId="1482"/>
    <cellStyle name="20% - Ênfase5 139" xfId="1483"/>
    <cellStyle name="20% - Ênfase5 14" xfId="1484"/>
    <cellStyle name="20% - Ênfase5 140" xfId="1485"/>
    <cellStyle name="20% - Ênfase5 141" xfId="1486"/>
    <cellStyle name="20% - Ênfase5 142" xfId="1487"/>
    <cellStyle name="20% - Ênfase5 143" xfId="1488"/>
    <cellStyle name="20% - Ênfase5 144" xfId="1489"/>
    <cellStyle name="20% - Ênfase5 145" xfId="1490"/>
    <cellStyle name="20% - Ênfase5 146" xfId="1491"/>
    <cellStyle name="20% - Ênfase5 147" xfId="1492"/>
    <cellStyle name="20% - Ênfase5 148" xfId="1493"/>
    <cellStyle name="20% - Ênfase5 149" xfId="1494"/>
    <cellStyle name="20% - Ênfase5 15" xfId="1495"/>
    <cellStyle name="20% - Ênfase5 15 2" xfId="1496"/>
    <cellStyle name="20% - Ênfase5 15 3" xfId="1497"/>
    <cellStyle name="20% - Ênfase5 150" xfId="1498"/>
    <cellStyle name="20% - Ênfase5 151" xfId="1499"/>
    <cellStyle name="20% - Ênfase5 152" xfId="1500"/>
    <cellStyle name="20% - Ênfase5 153" xfId="1501"/>
    <cellStyle name="20% - Ênfase5 154" xfId="1502"/>
    <cellStyle name="20% - Ênfase5 155" xfId="1503"/>
    <cellStyle name="20% - Ênfase5 156" xfId="1504"/>
    <cellStyle name="20% - Ênfase5 157" xfId="1505"/>
    <cellStyle name="20% - Ênfase5 158" xfId="1506"/>
    <cellStyle name="20% - Ênfase5 159" xfId="1507"/>
    <cellStyle name="20% - Ênfase5 16" xfId="1508"/>
    <cellStyle name="20% - Ênfase5 16 2" xfId="1509"/>
    <cellStyle name="20% - Ênfase5 16 3" xfId="1510"/>
    <cellStyle name="20% - Ênfase5 160" xfId="1511"/>
    <cellStyle name="20% - Ênfase5 161" xfId="1512"/>
    <cellStyle name="20% - Ênfase5 162" xfId="1513"/>
    <cellStyle name="20% - Ênfase5 163" xfId="1514"/>
    <cellStyle name="20% - Ênfase5 164" xfId="1515"/>
    <cellStyle name="20% - Ênfase5 165" xfId="1516"/>
    <cellStyle name="20% - Ênfase5 166" xfId="1517"/>
    <cellStyle name="20% - Ênfase5 167" xfId="1518"/>
    <cellStyle name="20% - Ênfase5 168" xfId="1519"/>
    <cellStyle name="20% - Ênfase5 169" xfId="1520"/>
    <cellStyle name="20% - Ênfase5 17" xfId="1521"/>
    <cellStyle name="20% - Ênfase5 17 2" xfId="1522"/>
    <cellStyle name="20% - Ênfase5 17 3" xfId="1523"/>
    <cellStyle name="20% - Ênfase5 170" xfId="1524"/>
    <cellStyle name="20% - Ênfase5 171" xfId="1525"/>
    <cellStyle name="20% - Ênfase5 172" xfId="1526"/>
    <cellStyle name="20% - Ênfase5 173" xfId="1527"/>
    <cellStyle name="20% - Ênfase5 174" xfId="1528"/>
    <cellStyle name="20% - Ênfase5 175" xfId="1529"/>
    <cellStyle name="20% - Ênfase5 176" xfId="1530"/>
    <cellStyle name="20% - Ênfase5 177" xfId="1531"/>
    <cellStyle name="20% - Ênfase5 178" xfId="1532"/>
    <cellStyle name="20% - Ênfase5 179" xfId="1533"/>
    <cellStyle name="20% - Ênfase5 18" xfId="1534"/>
    <cellStyle name="20% - Ênfase5 18 2" xfId="1535"/>
    <cellStyle name="20% - Ênfase5 18 3" xfId="1536"/>
    <cellStyle name="20% - Ênfase5 180" xfId="1537"/>
    <cellStyle name="20% - Ênfase5 181" xfId="1538"/>
    <cellStyle name="20% - Ênfase5 182" xfId="1539"/>
    <cellStyle name="20% - Ênfase5 183" xfId="1540"/>
    <cellStyle name="20% - Ênfase5 184" xfId="1541"/>
    <cellStyle name="20% - Ênfase5 185" xfId="1542"/>
    <cellStyle name="20% - Ênfase5 186" xfId="1543"/>
    <cellStyle name="20% - Ênfase5 187" xfId="1544"/>
    <cellStyle name="20% - Ênfase5 188" xfId="1545"/>
    <cellStyle name="20% - Ênfase5 189" xfId="1546"/>
    <cellStyle name="20% - Ênfase5 19" xfId="1547"/>
    <cellStyle name="20% - Ênfase5 19 2" xfId="1548"/>
    <cellStyle name="20% - Ênfase5 19 3" xfId="1549"/>
    <cellStyle name="20% - Ênfase5 190" xfId="1550"/>
    <cellStyle name="20% - Ênfase5 2" xfId="1551"/>
    <cellStyle name="20% - Ênfase5 2 10" xfId="1552"/>
    <cellStyle name="20% - Ênfase5 2 11" xfId="1553"/>
    <cellStyle name="20% - Ênfase5 2 12" xfId="1554"/>
    <cellStyle name="20% - Ênfase5 2 13" xfId="1555"/>
    <cellStyle name="20% - Ênfase5 2 14" xfId="1556"/>
    <cellStyle name="20% - Ênfase5 2 15" xfId="1557"/>
    <cellStyle name="20% - Ênfase5 2 16" xfId="1558"/>
    <cellStyle name="20% - Ênfase5 2 17" xfId="1559"/>
    <cellStyle name="20% - Ênfase5 2 18" xfId="1560"/>
    <cellStyle name="20% - Ênfase5 2 19" xfId="1561"/>
    <cellStyle name="20% - Ênfase5 2 2" xfId="1562"/>
    <cellStyle name="20% - Ênfase5 2 20" xfId="1563"/>
    <cellStyle name="20% - Ênfase5 2 21" xfId="1564"/>
    <cellStyle name="20% - Ênfase5 2 22" xfId="1565"/>
    <cellStyle name="20% - Ênfase5 2 23" xfId="1566"/>
    <cellStyle name="20% - Ênfase5 2 24" xfId="1567"/>
    <cellStyle name="20% - Ênfase5 2 25" xfId="1568"/>
    <cellStyle name="20% - Ênfase5 2 26" xfId="1569"/>
    <cellStyle name="20% - Ênfase5 2 27" xfId="1570"/>
    <cellStyle name="20% - Ênfase5 2 28" xfId="1571"/>
    <cellStyle name="20% - Ênfase5 2 29" xfId="1572"/>
    <cellStyle name="20% - Ênfase5 2 3" xfId="1573"/>
    <cellStyle name="20% - Ênfase5 2 30" xfId="1574"/>
    <cellStyle name="20% - Ênfase5 2 31" xfId="1575"/>
    <cellStyle name="20% - Ênfase5 2 32" xfId="1576"/>
    <cellStyle name="20% - Ênfase5 2 33" xfId="1577"/>
    <cellStyle name="20% - Ênfase5 2 34" xfId="1578"/>
    <cellStyle name="20% - Ênfase5 2 35" xfId="1579"/>
    <cellStyle name="20% - Ênfase5 2 4" xfId="1580"/>
    <cellStyle name="20% - Ênfase5 2 5" xfId="1581"/>
    <cellStyle name="20% - Ênfase5 2 6" xfId="1582"/>
    <cellStyle name="20% - Ênfase5 2 7" xfId="1583"/>
    <cellStyle name="20% - Ênfase5 2 8" xfId="1584"/>
    <cellStyle name="20% - Ênfase5 2 9" xfId="1585"/>
    <cellStyle name="20% - Ênfase5 20" xfId="1586"/>
    <cellStyle name="20% - Ênfase5 20 2" xfId="1587"/>
    <cellStyle name="20% - Ênfase5 20 3" xfId="1588"/>
    <cellStyle name="20% - Ênfase5 21" xfId="1589"/>
    <cellStyle name="20% - Ênfase5 22" xfId="1590"/>
    <cellStyle name="20% - Ênfase5 23" xfId="1591"/>
    <cellStyle name="20% - Ênfase5 24" xfId="1592"/>
    <cellStyle name="20% - Ênfase5 25" xfId="1593"/>
    <cellStyle name="20% - Ênfase5 26" xfId="1594"/>
    <cellStyle name="20% - Ênfase5 27" xfId="1595"/>
    <cellStyle name="20% - Ênfase5 28" xfId="1596"/>
    <cellStyle name="20% - Ênfase5 29" xfId="1597"/>
    <cellStyle name="20% - Ênfase5 3" xfId="1598"/>
    <cellStyle name="20% - Ênfase5 3 2" xfId="1599"/>
    <cellStyle name="20% - Ênfase5 3 3" xfId="1600"/>
    <cellStyle name="20% - Ênfase5 3 4" xfId="1601"/>
    <cellStyle name="20% - Ênfase5 3 5" xfId="1602"/>
    <cellStyle name="20% - Ênfase5 3 6" xfId="1603"/>
    <cellStyle name="20% - Ênfase5 3 7" xfId="1604"/>
    <cellStyle name="20% - Ênfase5 30" xfId="1605"/>
    <cellStyle name="20% - Ênfase5 31" xfId="1606"/>
    <cellStyle name="20% - Ênfase5 32" xfId="1607"/>
    <cellStyle name="20% - Ênfase5 33" xfId="1608"/>
    <cellStyle name="20% - Ênfase5 34" xfId="1609"/>
    <cellStyle name="20% - Ênfase5 35" xfId="1610"/>
    <cellStyle name="20% - Ênfase5 36" xfId="1611"/>
    <cellStyle name="20% - Ênfase5 37" xfId="1612"/>
    <cellStyle name="20% - Ênfase5 38" xfId="1613"/>
    <cellStyle name="20% - Ênfase5 39" xfId="1614"/>
    <cellStyle name="20% - Ênfase5 4" xfId="1615"/>
    <cellStyle name="20% - Ênfase5 4 2" xfId="1616"/>
    <cellStyle name="20% - Ênfase5 4 3" xfId="1617"/>
    <cellStyle name="20% - Ênfase5 4 4" xfId="1618"/>
    <cellStyle name="20% - Ênfase5 4 5" xfId="1619"/>
    <cellStyle name="20% - Ênfase5 4 6" xfId="1620"/>
    <cellStyle name="20% - Ênfase5 4 7" xfId="1621"/>
    <cellStyle name="20% - Ênfase5 40" xfId="1622"/>
    <cellStyle name="20% - Ênfase5 41" xfId="1623"/>
    <cellStyle name="20% - Ênfase5 42" xfId="1624"/>
    <cellStyle name="20% - Ênfase5 43" xfId="1625"/>
    <cellStyle name="20% - Ênfase5 44" xfId="1626"/>
    <cellStyle name="20% - Ênfase5 45" xfId="1627"/>
    <cellStyle name="20% - Ênfase5 46" xfId="1628"/>
    <cellStyle name="20% - Ênfase5 47" xfId="1629"/>
    <cellStyle name="20% - Ênfase5 48" xfId="1630"/>
    <cellStyle name="20% - Ênfase5 49" xfId="1631"/>
    <cellStyle name="20% - Ênfase5 5" xfId="1632"/>
    <cellStyle name="20% - Ênfase5 5 2" xfId="1633"/>
    <cellStyle name="20% - Ênfase5 5 3" xfId="1634"/>
    <cellStyle name="20% - Ênfase5 5 4" xfId="1635"/>
    <cellStyle name="20% - Ênfase5 50" xfId="1636"/>
    <cellStyle name="20% - Ênfase5 51" xfId="1637"/>
    <cellStyle name="20% - Ênfase5 52" xfId="1638"/>
    <cellStyle name="20% - Ênfase5 53" xfId="1639"/>
    <cellStyle name="20% - Ênfase5 54" xfId="1640"/>
    <cellStyle name="20% - Ênfase5 55" xfId="1641"/>
    <cellStyle name="20% - Ênfase5 56" xfId="1642"/>
    <cellStyle name="20% - Ênfase5 57" xfId="1643"/>
    <cellStyle name="20% - Ênfase5 58" xfId="1644"/>
    <cellStyle name="20% - Ênfase5 59" xfId="1645"/>
    <cellStyle name="20% - Ênfase5 6" xfId="1646"/>
    <cellStyle name="20% - Ênfase5 6 2" xfId="1647"/>
    <cellStyle name="20% - Ênfase5 6 3" xfId="1648"/>
    <cellStyle name="20% - Ênfase5 6 4" xfId="1649"/>
    <cellStyle name="20% - Ênfase5 60" xfId="1650"/>
    <cellStyle name="20% - Ênfase5 61" xfId="1651"/>
    <cellStyle name="20% - Ênfase5 62" xfId="1652"/>
    <cellStyle name="20% - Ênfase5 63" xfId="1653"/>
    <cellStyle name="20% - Ênfase5 64" xfId="1654"/>
    <cellStyle name="20% - Ênfase5 65" xfId="1655"/>
    <cellStyle name="20% - Ênfase5 66" xfId="1656"/>
    <cellStyle name="20% - Ênfase5 67" xfId="1657"/>
    <cellStyle name="20% - Ênfase5 68" xfId="1658"/>
    <cellStyle name="20% - Ênfase5 69" xfId="1659"/>
    <cellStyle name="20% - Ênfase5 7" xfId="1660"/>
    <cellStyle name="20% - Ênfase5 7 2" xfId="1661"/>
    <cellStyle name="20% - Ênfase5 7 3" xfId="1662"/>
    <cellStyle name="20% - Ênfase5 7 4" xfId="1663"/>
    <cellStyle name="20% - Ênfase5 70" xfId="1664"/>
    <cellStyle name="20% - Ênfase5 71" xfId="1665"/>
    <cellStyle name="20% - Ênfase5 72" xfId="1666"/>
    <cellStyle name="20% - Ênfase5 73" xfId="1667"/>
    <cellStyle name="20% - Ênfase5 74" xfId="1668"/>
    <cellStyle name="20% - Ênfase5 75" xfId="1669"/>
    <cellStyle name="20% - Ênfase5 76" xfId="1670"/>
    <cellStyle name="20% - Ênfase5 77" xfId="1671"/>
    <cellStyle name="20% - Ênfase5 78" xfId="1672"/>
    <cellStyle name="20% - Ênfase5 79" xfId="1673"/>
    <cellStyle name="20% - Ênfase5 8" xfId="1674"/>
    <cellStyle name="20% - Ênfase5 8 2" xfId="1675"/>
    <cellStyle name="20% - Ênfase5 8 3" xfId="1676"/>
    <cellStyle name="20% - Ênfase5 8 4" xfId="1677"/>
    <cellStyle name="20% - Ênfase5 80" xfId="1678"/>
    <cellStyle name="20% - Ênfase5 81" xfId="1679"/>
    <cellStyle name="20% - Ênfase5 82" xfId="1680"/>
    <cellStyle name="20% - Ênfase5 83" xfId="1681"/>
    <cellStyle name="20% - Ênfase5 84" xfId="1682"/>
    <cellStyle name="20% - Ênfase5 85" xfId="1683"/>
    <cellStyle name="20% - Ênfase5 86" xfId="1684"/>
    <cellStyle name="20% - Ênfase5 87" xfId="1685"/>
    <cellStyle name="20% - Ênfase5 88" xfId="1686"/>
    <cellStyle name="20% - Ênfase5 89" xfId="1687"/>
    <cellStyle name="20% - Ênfase5 9" xfId="1688"/>
    <cellStyle name="20% - Ênfase5 90" xfId="1689"/>
    <cellStyle name="20% - Ênfase5 91" xfId="1690"/>
    <cellStyle name="20% - Ênfase5 92" xfId="1691"/>
    <cellStyle name="20% - Ênfase5 93" xfId="1692"/>
    <cellStyle name="20% - Ênfase5 94" xfId="1693"/>
    <cellStyle name="20% - Ênfase5 95" xfId="1694"/>
    <cellStyle name="20% - Ênfase5 96" xfId="1695"/>
    <cellStyle name="20% - Ênfase5 97" xfId="1696"/>
    <cellStyle name="20% - Ênfase5 98" xfId="1697"/>
    <cellStyle name="20% - Ênfase5 99" xfId="1698"/>
    <cellStyle name="20% - Ênfase6 10" xfId="1699"/>
    <cellStyle name="20% - Ênfase6 10 2" xfId="40495"/>
    <cellStyle name="20% - Ênfase6 100" xfId="1700"/>
    <cellStyle name="20% - Ênfase6 101" xfId="1701"/>
    <cellStyle name="20% - Ênfase6 102" xfId="1702"/>
    <cellStyle name="20% - Ênfase6 103" xfId="1703"/>
    <cellStyle name="20% - Ênfase6 104" xfId="1704"/>
    <cellStyle name="20% - Ênfase6 105" xfId="1705"/>
    <cellStyle name="20% - Ênfase6 106" xfId="1706"/>
    <cellStyle name="20% - Ênfase6 107" xfId="1707"/>
    <cellStyle name="20% - Ênfase6 108" xfId="1708"/>
    <cellStyle name="20% - Ênfase6 109" xfId="1709"/>
    <cellStyle name="20% - Ênfase6 11" xfId="1710"/>
    <cellStyle name="20% - Ênfase6 11 2" xfId="40496"/>
    <cellStyle name="20% - Ênfase6 110" xfId="1711"/>
    <cellStyle name="20% - Ênfase6 111" xfId="1712"/>
    <cellStyle name="20% - Ênfase6 112" xfId="1713"/>
    <cellStyle name="20% - Ênfase6 113" xfId="1714"/>
    <cellStyle name="20% - Ênfase6 114" xfId="1715"/>
    <cellStyle name="20% - Ênfase6 115" xfId="1716"/>
    <cellStyle name="20% - Ênfase6 116" xfId="1717"/>
    <cellStyle name="20% - Ênfase6 117" xfId="1718"/>
    <cellStyle name="20% - Ênfase6 118" xfId="1719"/>
    <cellStyle name="20% - Ênfase6 119" xfId="1720"/>
    <cellStyle name="20% - Ênfase6 12" xfId="1721"/>
    <cellStyle name="20% - Ênfase6 12 2" xfId="40497"/>
    <cellStyle name="20% - Ênfase6 120" xfId="1722"/>
    <cellStyle name="20% - Ênfase6 121" xfId="1723"/>
    <cellStyle name="20% - Ênfase6 122" xfId="1724"/>
    <cellStyle name="20% - Ênfase6 123" xfId="1725"/>
    <cellStyle name="20% - Ênfase6 124" xfId="1726"/>
    <cellStyle name="20% - Ênfase6 125" xfId="1727"/>
    <cellStyle name="20% - Ênfase6 126" xfId="1728"/>
    <cellStyle name="20% - Ênfase6 127" xfId="1729"/>
    <cellStyle name="20% - Ênfase6 128" xfId="1730"/>
    <cellStyle name="20% - Ênfase6 129" xfId="1731"/>
    <cellStyle name="20% - Ênfase6 13" xfId="1732"/>
    <cellStyle name="20% - Ênfase6 13 2" xfId="40498"/>
    <cellStyle name="20% - Ênfase6 130" xfId="1733"/>
    <cellStyle name="20% - Ênfase6 131" xfId="1734"/>
    <cellStyle name="20% - Ênfase6 132" xfId="1735"/>
    <cellStyle name="20% - Ênfase6 133" xfId="1736"/>
    <cellStyle name="20% - Ênfase6 134" xfId="1737"/>
    <cellStyle name="20% - Ênfase6 135" xfId="1738"/>
    <cellStyle name="20% - Ênfase6 136" xfId="1739"/>
    <cellStyle name="20% - Ênfase6 137" xfId="1740"/>
    <cellStyle name="20% - Ênfase6 138" xfId="1741"/>
    <cellStyle name="20% - Ênfase6 139" xfId="1742"/>
    <cellStyle name="20% - Ênfase6 14" xfId="1743"/>
    <cellStyle name="20% - Ênfase6 140" xfId="1744"/>
    <cellStyle name="20% - Ênfase6 141" xfId="1745"/>
    <cellStyle name="20% - Ênfase6 142" xfId="1746"/>
    <cellStyle name="20% - Ênfase6 143" xfId="1747"/>
    <cellStyle name="20% - Ênfase6 144" xfId="1748"/>
    <cellStyle name="20% - Ênfase6 145" xfId="1749"/>
    <cellStyle name="20% - Ênfase6 146" xfId="1750"/>
    <cellStyle name="20% - Ênfase6 147" xfId="1751"/>
    <cellStyle name="20% - Ênfase6 148" xfId="1752"/>
    <cellStyle name="20% - Ênfase6 149" xfId="1753"/>
    <cellStyle name="20% - Ênfase6 15" xfId="1754"/>
    <cellStyle name="20% - Ênfase6 15 2" xfId="1755"/>
    <cellStyle name="20% - Ênfase6 15 3" xfId="1756"/>
    <cellStyle name="20% - Ênfase6 150" xfId="1757"/>
    <cellStyle name="20% - Ênfase6 151" xfId="1758"/>
    <cellStyle name="20% - Ênfase6 152" xfId="1759"/>
    <cellStyle name="20% - Ênfase6 153" xfId="1760"/>
    <cellStyle name="20% - Ênfase6 154" xfId="1761"/>
    <cellStyle name="20% - Ênfase6 155" xfId="1762"/>
    <cellStyle name="20% - Ênfase6 156" xfId="1763"/>
    <cellStyle name="20% - Ênfase6 157" xfId="1764"/>
    <cellStyle name="20% - Ênfase6 158" xfId="1765"/>
    <cellStyle name="20% - Ênfase6 159" xfId="1766"/>
    <cellStyle name="20% - Ênfase6 16" xfId="1767"/>
    <cellStyle name="20% - Ênfase6 16 2" xfId="1768"/>
    <cellStyle name="20% - Ênfase6 16 3" xfId="1769"/>
    <cellStyle name="20% - Ênfase6 160" xfId="1770"/>
    <cellStyle name="20% - Ênfase6 161" xfId="1771"/>
    <cellStyle name="20% - Ênfase6 162" xfId="1772"/>
    <cellStyle name="20% - Ênfase6 163" xfId="1773"/>
    <cellStyle name="20% - Ênfase6 164" xfId="1774"/>
    <cellStyle name="20% - Ênfase6 165" xfId="1775"/>
    <cellStyle name="20% - Ênfase6 166" xfId="1776"/>
    <cellStyle name="20% - Ênfase6 167" xfId="1777"/>
    <cellStyle name="20% - Ênfase6 168" xfId="1778"/>
    <cellStyle name="20% - Ênfase6 169" xfId="1779"/>
    <cellStyle name="20% - Ênfase6 17" xfId="1780"/>
    <cellStyle name="20% - Ênfase6 17 2" xfId="1781"/>
    <cellStyle name="20% - Ênfase6 17 3" xfId="1782"/>
    <cellStyle name="20% - Ênfase6 170" xfId="1783"/>
    <cellStyle name="20% - Ênfase6 171" xfId="1784"/>
    <cellStyle name="20% - Ênfase6 172" xfId="1785"/>
    <cellStyle name="20% - Ênfase6 173" xfId="1786"/>
    <cellStyle name="20% - Ênfase6 174" xfId="1787"/>
    <cellStyle name="20% - Ênfase6 175" xfId="1788"/>
    <cellStyle name="20% - Ênfase6 176" xfId="1789"/>
    <cellStyle name="20% - Ênfase6 177" xfId="1790"/>
    <cellStyle name="20% - Ênfase6 178" xfId="1791"/>
    <cellStyle name="20% - Ênfase6 179" xfId="1792"/>
    <cellStyle name="20% - Ênfase6 18" xfId="1793"/>
    <cellStyle name="20% - Ênfase6 18 2" xfId="1794"/>
    <cellStyle name="20% - Ênfase6 18 3" xfId="1795"/>
    <cellStyle name="20% - Ênfase6 180" xfId="1796"/>
    <cellStyle name="20% - Ênfase6 181" xfId="1797"/>
    <cellStyle name="20% - Ênfase6 182" xfId="1798"/>
    <cellStyle name="20% - Ênfase6 183" xfId="1799"/>
    <cellStyle name="20% - Ênfase6 184" xfId="1800"/>
    <cellStyle name="20% - Ênfase6 185" xfId="1801"/>
    <cellStyle name="20% - Ênfase6 186" xfId="1802"/>
    <cellStyle name="20% - Ênfase6 187" xfId="1803"/>
    <cellStyle name="20% - Ênfase6 188" xfId="1804"/>
    <cellStyle name="20% - Ênfase6 189" xfId="1805"/>
    <cellStyle name="20% - Ênfase6 19" xfId="1806"/>
    <cellStyle name="20% - Ênfase6 19 2" xfId="1807"/>
    <cellStyle name="20% - Ênfase6 19 3" xfId="1808"/>
    <cellStyle name="20% - Ênfase6 190" xfId="1809"/>
    <cellStyle name="20% - Ênfase6 2" xfId="1810"/>
    <cellStyle name="20% - Ênfase6 2 10" xfId="1811"/>
    <cellStyle name="20% - Ênfase6 2 10 2" xfId="1812"/>
    <cellStyle name="20% - Ênfase6 2 10 3" xfId="1813"/>
    <cellStyle name="20% - Ênfase6 2 10 4" xfId="1814"/>
    <cellStyle name="20% - Ênfase6 2 10 5" xfId="1815"/>
    <cellStyle name="20% - Ênfase6 2 10 6" xfId="1816"/>
    <cellStyle name="20% - Ênfase6 2 10 7" xfId="1817"/>
    <cellStyle name="20% - Ênfase6 2 11" xfId="1818"/>
    <cellStyle name="20% - Ênfase6 2 11 2" xfId="1819"/>
    <cellStyle name="20% - Ênfase6 2 11 3" xfId="1820"/>
    <cellStyle name="20% - Ênfase6 2 11 4" xfId="1821"/>
    <cellStyle name="20% - Ênfase6 2 11 5" xfId="1822"/>
    <cellStyle name="20% - Ênfase6 2 11 6" xfId="1823"/>
    <cellStyle name="20% - Ênfase6 2 11 7" xfId="1824"/>
    <cellStyle name="20% - Ênfase6 2 12" xfId="1825"/>
    <cellStyle name="20% - Ênfase6 2 13" xfId="1826"/>
    <cellStyle name="20% - Ênfase6 2 14" xfId="1827"/>
    <cellStyle name="20% - Ênfase6 2 15" xfId="1828"/>
    <cellStyle name="20% - Ênfase6 2 16" xfId="1829"/>
    <cellStyle name="20% - Ênfase6 2 17" xfId="1830"/>
    <cellStyle name="20% - Ênfase6 2 18" xfId="1831"/>
    <cellStyle name="20% - Ênfase6 2 19" xfId="1832"/>
    <cellStyle name="20% - Ênfase6 2 2" xfId="1833"/>
    <cellStyle name="20% - Ênfase6 2 20" xfId="1834"/>
    <cellStyle name="20% - Ênfase6 2 21" xfId="1835"/>
    <cellStyle name="20% - Ênfase6 2 22" xfId="1836"/>
    <cellStyle name="20% - Ênfase6 2 23" xfId="1837"/>
    <cellStyle name="20% - Ênfase6 2 24" xfId="1838"/>
    <cellStyle name="20% - Ênfase6 2 25" xfId="1839"/>
    <cellStyle name="20% - Ênfase6 2 26" xfId="1840"/>
    <cellStyle name="20% - Ênfase6 2 27" xfId="1841"/>
    <cellStyle name="20% - Ênfase6 2 28" xfId="1842"/>
    <cellStyle name="20% - Ênfase6 2 29" xfId="1843"/>
    <cellStyle name="20% - Ênfase6 2 3" xfId="1844"/>
    <cellStyle name="20% - Ênfase6 2 30" xfId="1845"/>
    <cellStyle name="20% - Ênfase6 2 31" xfId="1846"/>
    <cellStyle name="20% - Ênfase6 2 32" xfId="1847"/>
    <cellStyle name="20% - Ênfase6 2 33" xfId="1848"/>
    <cellStyle name="20% - Ênfase6 2 34" xfId="1849"/>
    <cellStyle name="20% - Ênfase6 2 35" xfId="1850"/>
    <cellStyle name="20% - Ênfase6 2 4" xfId="1851"/>
    <cellStyle name="20% - Ênfase6 2 5" xfId="1852"/>
    <cellStyle name="20% - Ênfase6 2 6" xfId="1853"/>
    <cellStyle name="20% - Ênfase6 2 7" xfId="1854"/>
    <cellStyle name="20% - Ênfase6 2 8" xfId="1855"/>
    <cellStyle name="20% - Ênfase6 2 8 2" xfId="1856"/>
    <cellStyle name="20% - Ênfase6 2 8 3" xfId="1857"/>
    <cellStyle name="20% - Ênfase6 2 8 4" xfId="1858"/>
    <cellStyle name="20% - Ênfase6 2 8 5" xfId="1859"/>
    <cellStyle name="20% - Ênfase6 2 8 6" xfId="1860"/>
    <cellStyle name="20% - Ênfase6 2 8 7" xfId="1861"/>
    <cellStyle name="20% - Ênfase6 2 9" xfId="1862"/>
    <cellStyle name="20% - Ênfase6 2 9 2" xfId="1863"/>
    <cellStyle name="20% - Ênfase6 2 9 3" xfId="1864"/>
    <cellStyle name="20% - Ênfase6 2 9 4" xfId="1865"/>
    <cellStyle name="20% - Ênfase6 2 9 5" xfId="1866"/>
    <cellStyle name="20% - Ênfase6 2 9 6" xfId="1867"/>
    <cellStyle name="20% - Ênfase6 2 9 7" xfId="1868"/>
    <cellStyle name="20% - Ênfase6 20" xfId="1869"/>
    <cellStyle name="20% - Ênfase6 20 2" xfId="1870"/>
    <cellStyle name="20% - Ênfase6 20 3" xfId="1871"/>
    <cellStyle name="20% - Ênfase6 21" xfId="1872"/>
    <cellStyle name="20% - Ênfase6 22" xfId="1873"/>
    <cellStyle name="20% - Ênfase6 23" xfId="1874"/>
    <cellStyle name="20% - Ênfase6 24" xfId="1875"/>
    <cellStyle name="20% - Ênfase6 24 2" xfId="40950"/>
    <cellStyle name="20% - Ênfase6 25" xfId="1876"/>
    <cellStyle name="20% - Ênfase6 25 2" xfId="40985"/>
    <cellStyle name="20% - Ênfase6 26" xfId="1877"/>
    <cellStyle name="20% - Ênfase6 26 10" xfId="1878"/>
    <cellStyle name="20% - Ênfase6 26 11" xfId="1879"/>
    <cellStyle name="20% - Ênfase6 26 12" xfId="1880"/>
    <cellStyle name="20% - Ênfase6 26 13" xfId="1881"/>
    <cellStyle name="20% - Ênfase6 26 14" xfId="1882"/>
    <cellStyle name="20% - Ênfase6 26 15" xfId="1883"/>
    <cellStyle name="20% - Ênfase6 26 16" xfId="1884"/>
    <cellStyle name="20% - Ênfase6 26 2" xfId="1885"/>
    <cellStyle name="20% - Ênfase6 26 3" xfId="1886"/>
    <cellStyle name="20% - Ênfase6 26 4" xfId="1887"/>
    <cellStyle name="20% - Ênfase6 26 5" xfId="1888"/>
    <cellStyle name="20% - Ênfase6 26 6" xfId="1889"/>
    <cellStyle name="20% - Ênfase6 26 7" xfId="1890"/>
    <cellStyle name="20% - Ênfase6 26 8" xfId="1891"/>
    <cellStyle name="20% - Ênfase6 26 9" xfId="1892"/>
    <cellStyle name="20% - Ênfase6 27" xfId="1893"/>
    <cellStyle name="20% - Ênfase6 27 10" xfId="1894"/>
    <cellStyle name="20% - Ênfase6 27 11" xfId="1895"/>
    <cellStyle name="20% - Ênfase6 27 12" xfId="1896"/>
    <cellStyle name="20% - Ênfase6 27 13" xfId="1897"/>
    <cellStyle name="20% - Ênfase6 27 14" xfId="1898"/>
    <cellStyle name="20% - Ênfase6 27 15" xfId="1899"/>
    <cellStyle name="20% - Ênfase6 27 16" xfId="1900"/>
    <cellStyle name="20% - Ênfase6 27 2" xfId="1901"/>
    <cellStyle name="20% - Ênfase6 27 3" xfId="1902"/>
    <cellStyle name="20% - Ênfase6 27 4" xfId="1903"/>
    <cellStyle name="20% - Ênfase6 27 5" xfId="1904"/>
    <cellStyle name="20% - Ênfase6 27 6" xfId="1905"/>
    <cellStyle name="20% - Ênfase6 27 7" xfId="1906"/>
    <cellStyle name="20% - Ênfase6 27 8" xfId="1907"/>
    <cellStyle name="20% - Ênfase6 27 9" xfId="1908"/>
    <cellStyle name="20% - Ênfase6 28" xfId="1909"/>
    <cellStyle name="20% - Ênfase6 28 10" xfId="1910"/>
    <cellStyle name="20% - Ênfase6 28 11" xfId="1911"/>
    <cellStyle name="20% - Ênfase6 28 12" xfId="1912"/>
    <cellStyle name="20% - Ênfase6 28 13" xfId="1913"/>
    <cellStyle name="20% - Ênfase6 28 14" xfId="1914"/>
    <cellStyle name="20% - Ênfase6 28 15" xfId="1915"/>
    <cellStyle name="20% - Ênfase6 28 16" xfId="1916"/>
    <cellStyle name="20% - Ênfase6 28 2" xfId="1917"/>
    <cellStyle name="20% - Ênfase6 28 3" xfId="1918"/>
    <cellStyle name="20% - Ênfase6 28 4" xfId="1919"/>
    <cellStyle name="20% - Ênfase6 28 5" xfId="1920"/>
    <cellStyle name="20% - Ênfase6 28 6" xfId="1921"/>
    <cellStyle name="20% - Ênfase6 28 7" xfId="1922"/>
    <cellStyle name="20% - Ênfase6 28 8" xfId="1923"/>
    <cellStyle name="20% - Ênfase6 28 9" xfId="1924"/>
    <cellStyle name="20% - Ênfase6 29" xfId="1925"/>
    <cellStyle name="20% - Ênfase6 29 10" xfId="1926"/>
    <cellStyle name="20% - Ênfase6 29 11" xfId="1927"/>
    <cellStyle name="20% - Ênfase6 29 12" xfId="1928"/>
    <cellStyle name="20% - Ênfase6 29 13" xfId="1929"/>
    <cellStyle name="20% - Ênfase6 29 14" xfId="1930"/>
    <cellStyle name="20% - Ênfase6 29 15" xfId="1931"/>
    <cellStyle name="20% - Ênfase6 29 16" xfId="1932"/>
    <cellStyle name="20% - Ênfase6 29 2" xfId="1933"/>
    <cellStyle name="20% - Ênfase6 29 3" xfId="1934"/>
    <cellStyle name="20% - Ênfase6 29 4" xfId="1935"/>
    <cellStyle name="20% - Ênfase6 29 5" xfId="1936"/>
    <cellStyle name="20% - Ênfase6 29 6" xfId="1937"/>
    <cellStyle name="20% - Ênfase6 29 7" xfId="1938"/>
    <cellStyle name="20% - Ênfase6 29 8" xfId="1939"/>
    <cellStyle name="20% - Ênfase6 29 9" xfId="1940"/>
    <cellStyle name="20% - Ênfase6 3" xfId="1941"/>
    <cellStyle name="20% - Ênfase6 3 10" xfId="1942"/>
    <cellStyle name="20% - Ênfase6 3 11" xfId="1943"/>
    <cellStyle name="20% - Ênfase6 3 2" xfId="1944"/>
    <cellStyle name="20% - Ênfase6 3 3" xfId="1945"/>
    <cellStyle name="20% - Ênfase6 3 4" xfId="1946"/>
    <cellStyle name="20% - Ênfase6 3 5" xfId="1947"/>
    <cellStyle name="20% - Ênfase6 3 6" xfId="1948"/>
    <cellStyle name="20% - Ênfase6 3 7" xfId="1949"/>
    <cellStyle name="20% - Ênfase6 3 8" xfId="1950"/>
    <cellStyle name="20% - Ênfase6 3 9" xfId="1951"/>
    <cellStyle name="20% - Ênfase6 30" xfId="1952"/>
    <cellStyle name="20% - Ênfase6 31" xfId="1953"/>
    <cellStyle name="20% - Ênfase6 32" xfId="1954"/>
    <cellStyle name="20% - Ênfase6 33" xfId="1955"/>
    <cellStyle name="20% - Ênfase6 34" xfId="1956"/>
    <cellStyle name="20% - Ênfase6 35" xfId="1957"/>
    <cellStyle name="20% - Ênfase6 36" xfId="1958"/>
    <cellStyle name="20% - Ênfase6 37" xfId="1959"/>
    <cellStyle name="20% - Ênfase6 38" xfId="1960"/>
    <cellStyle name="20% - Ênfase6 39" xfId="1961"/>
    <cellStyle name="20% - Ênfase6 4" xfId="1962"/>
    <cellStyle name="20% - Ênfase6 4 10" xfId="1963"/>
    <cellStyle name="20% - Ênfase6 4 11" xfId="1964"/>
    <cellStyle name="20% - Ênfase6 4 2" xfId="1965"/>
    <cellStyle name="20% - Ênfase6 4 3" xfId="1966"/>
    <cellStyle name="20% - Ênfase6 4 4" xfId="1967"/>
    <cellStyle name="20% - Ênfase6 4 5" xfId="1968"/>
    <cellStyle name="20% - Ênfase6 4 6" xfId="1969"/>
    <cellStyle name="20% - Ênfase6 4 7" xfId="1970"/>
    <cellStyle name="20% - Ênfase6 4 8" xfId="1971"/>
    <cellStyle name="20% - Ênfase6 4 9" xfId="1972"/>
    <cellStyle name="20% - Ênfase6 40" xfId="1973"/>
    <cellStyle name="20% - Ênfase6 41" xfId="1974"/>
    <cellStyle name="20% - Ênfase6 42" xfId="1975"/>
    <cellStyle name="20% - Ênfase6 43" xfId="1976"/>
    <cellStyle name="20% - Ênfase6 44" xfId="1977"/>
    <cellStyle name="20% - Ênfase6 45" xfId="1978"/>
    <cellStyle name="20% - Ênfase6 46" xfId="1979"/>
    <cellStyle name="20% - Ênfase6 47" xfId="1980"/>
    <cellStyle name="20% - Ênfase6 48" xfId="1981"/>
    <cellStyle name="20% - Ênfase6 49" xfId="1982"/>
    <cellStyle name="20% - Ênfase6 5" xfId="1983"/>
    <cellStyle name="20% - Ênfase6 5 2" xfId="1984"/>
    <cellStyle name="20% - Ênfase6 5 3" xfId="1985"/>
    <cellStyle name="20% - Ênfase6 5 4" xfId="1986"/>
    <cellStyle name="20% - Ênfase6 50" xfId="1987"/>
    <cellStyle name="20% - Ênfase6 51" xfId="1988"/>
    <cellStyle name="20% - Ênfase6 52" xfId="1989"/>
    <cellStyle name="20% - Ênfase6 53" xfId="1990"/>
    <cellStyle name="20% - Ênfase6 54" xfId="1991"/>
    <cellStyle name="20% - Ênfase6 55" xfId="1992"/>
    <cellStyle name="20% - Ênfase6 56" xfId="1993"/>
    <cellStyle name="20% - Ênfase6 57" xfId="1994"/>
    <cellStyle name="20% - Ênfase6 58" xfId="1995"/>
    <cellStyle name="20% - Ênfase6 59" xfId="1996"/>
    <cellStyle name="20% - Ênfase6 6" xfId="1997"/>
    <cellStyle name="20% - Ênfase6 6 2" xfId="1998"/>
    <cellStyle name="20% - Ênfase6 6 3" xfId="1999"/>
    <cellStyle name="20% - Ênfase6 6 4" xfId="2000"/>
    <cellStyle name="20% - Ênfase6 60" xfId="2001"/>
    <cellStyle name="20% - Ênfase6 61" xfId="2002"/>
    <cellStyle name="20% - Ênfase6 62" xfId="2003"/>
    <cellStyle name="20% - Ênfase6 63" xfId="2004"/>
    <cellStyle name="20% - Ênfase6 64" xfId="2005"/>
    <cellStyle name="20% - Ênfase6 65" xfId="2006"/>
    <cellStyle name="20% - Ênfase6 66" xfId="2007"/>
    <cellStyle name="20% - Ênfase6 67" xfId="2008"/>
    <cellStyle name="20% - Ênfase6 68" xfId="2009"/>
    <cellStyle name="20% - Ênfase6 69" xfId="2010"/>
    <cellStyle name="20% - Ênfase6 7" xfId="2011"/>
    <cellStyle name="20% - Ênfase6 7 2" xfId="2012"/>
    <cellStyle name="20% - Ênfase6 7 3" xfId="2013"/>
    <cellStyle name="20% - Ênfase6 7 4" xfId="2014"/>
    <cellStyle name="20% - Ênfase6 70" xfId="2015"/>
    <cellStyle name="20% - Ênfase6 71" xfId="2016"/>
    <cellStyle name="20% - Ênfase6 72" xfId="2017"/>
    <cellStyle name="20% - Ênfase6 73" xfId="2018"/>
    <cellStyle name="20% - Ênfase6 74" xfId="2019"/>
    <cellStyle name="20% - Ênfase6 75" xfId="2020"/>
    <cellStyle name="20% - Ênfase6 76" xfId="2021"/>
    <cellStyle name="20% - Ênfase6 77" xfId="2022"/>
    <cellStyle name="20% - Ênfase6 78" xfId="2023"/>
    <cellStyle name="20% - Ênfase6 79" xfId="2024"/>
    <cellStyle name="20% - Ênfase6 8" xfId="2025"/>
    <cellStyle name="20% - Ênfase6 8 2" xfId="2026"/>
    <cellStyle name="20% - Ênfase6 8 3" xfId="2027"/>
    <cellStyle name="20% - Ênfase6 8 4" xfId="2028"/>
    <cellStyle name="20% - Ênfase6 80" xfId="2029"/>
    <cellStyle name="20% - Ênfase6 81" xfId="2030"/>
    <cellStyle name="20% - Ênfase6 82" xfId="2031"/>
    <cellStyle name="20% - Ênfase6 83" xfId="2032"/>
    <cellStyle name="20% - Ênfase6 84" xfId="2033"/>
    <cellStyle name="20% - Ênfase6 85" xfId="2034"/>
    <cellStyle name="20% - Ênfase6 86" xfId="2035"/>
    <cellStyle name="20% - Ênfase6 87" xfId="2036"/>
    <cellStyle name="20% - Ênfase6 88" xfId="2037"/>
    <cellStyle name="20% - Ênfase6 89" xfId="2038"/>
    <cellStyle name="20% - Ênfase6 9" xfId="2039"/>
    <cellStyle name="20% - Ênfase6 90" xfId="2040"/>
    <cellStyle name="20% - Ênfase6 91" xfId="2041"/>
    <cellStyle name="20% - Ênfase6 92" xfId="2042"/>
    <cellStyle name="20% - Ênfase6 93" xfId="2043"/>
    <cellStyle name="20% - Ênfase6 94" xfId="2044"/>
    <cellStyle name="20% - Ênfase6 95" xfId="2045"/>
    <cellStyle name="20% - Ênfase6 96" xfId="2046"/>
    <cellStyle name="20% - Ênfase6 97" xfId="2047"/>
    <cellStyle name="20% - Ênfase6 98" xfId="2048"/>
    <cellStyle name="20% - Ênfase6 99" xfId="2049"/>
    <cellStyle name="40% - Accent1" xfId="41095"/>
    <cellStyle name="40% - Accent2" xfId="41096"/>
    <cellStyle name="40% - Accent3" xfId="41097"/>
    <cellStyle name="40% - Accent4" xfId="41098"/>
    <cellStyle name="40% - Accent5" xfId="41099"/>
    <cellStyle name="40% - Accent6" xfId="41100"/>
    <cellStyle name="40% - Ênfase1 10" xfId="2050"/>
    <cellStyle name="40% - Ênfase1 10 2" xfId="40499"/>
    <cellStyle name="40% - Ênfase1 100" xfId="2051"/>
    <cellStyle name="40% - Ênfase1 101" xfId="2052"/>
    <cellStyle name="40% - Ênfase1 102" xfId="2053"/>
    <cellStyle name="40% - Ênfase1 103" xfId="2054"/>
    <cellStyle name="40% - Ênfase1 104" xfId="2055"/>
    <cellStyle name="40% - Ênfase1 105" xfId="2056"/>
    <cellStyle name="40% - Ênfase1 106" xfId="2057"/>
    <cellStyle name="40% - Ênfase1 107" xfId="2058"/>
    <cellStyle name="40% - Ênfase1 108" xfId="2059"/>
    <cellStyle name="40% - Ênfase1 109" xfId="2060"/>
    <cellStyle name="40% - Ênfase1 11" xfId="2061"/>
    <cellStyle name="40% - Ênfase1 11 2" xfId="40500"/>
    <cellStyle name="40% - Ênfase1 110" xfId="2062"/>
    <cellStyle name="40% - Ênfase1 111" xfId="2063"/>
    <cellStyle name="40% - Ênfase1 112" xfId="2064"/>
    <cellStyle name="40% - Ênfase1 113" xfId="2065"/>
    <cellStyle name="40% - Ênfase1 114" xfId="2066"/>
    <cellStyle name="40% - Ênfase1 115" xfId="2067"/>
    <cellStyle name="40% - Ênfase1 116" xfId="2068"/>
    <cellStyle name="40% - Ênfase1 117" xfId="2069"/>
    <cellStyle name="40% - Ênfase1 118" xfId="2070"/>
    <cellStyle name="40% - Ênfase1 119" xfId="2071"/>
    <cellStyle name="40% - Ênfase1 12" xfId="2072"/>
    <cellStyle name="40% - Ênfase1 12 2" xfId="40501"/>
    <cellStyle name="40% - Ênfase1 120" xfId="2073"/>
    <cellStyle name="40% - Ênfase1 121" xfId="2074"/>
    <cellStyle name="40% - Ênfase1 122" xfId="2075"/>
    <cellStyle name="40% - Ênfase1 123" xfId="2076"/>
    <cellStyle name="40% - Ênfase1 124" xfId="2077"/>
    <cellStyle name="40% - Ênfase1 125" xfId="2078"/>
    <cellStyle name="40% - Ênfase1 126" xfId="2079"/>
    <cellStyle name="40% - Ênfase1 127" xfId="2080"/>
    <cellStyle name="40% - Ênfase1 128" xfId="2081"/>
    <cellStyle name="40% - Ênfase1 129" xfId="2082"/>
    <cellStyle name="40% - Ênfase1 13" xfId="2083"/>
    <cellStyle name="40% - Ênfase1 13 2" xfId="40502"/>
    <cellStyle name="40% - Ênfase1 130" xfId="2084"/>
    <cellStyle name="40% - Ênfase1 131" xfId="2085"/>
    <cellStyle name="40% - Ênfase1 132" xfId="2086"/>
    <cellStyle name="40% - Ênfase1 133" xfId="2087"/>
    <cellStyle name="40% - Ênfase1 134" xfId="2088"/>
    <cellStyle name="40% - Ênfase1 135" xfId="2089"/>
    <cellStyle name="40% - Ênfase1 136" xfId="2090"/>
    <cellStyle name="40% - Ênfase1 137" xfId="2091"/>
    <cellStyle name="40% - Ênfase1 138" xfId="2092"/>
    <cellStyle name="40% - Ênfase1 139" xfId="2093"/>
    <cellStyle name="40% - Ênfase1 14" xfId="2094"/>
    <cellStyle name="40% - Ênfase1 140" xfId="2095"/>
    <cellStyle name="40% - Ênfase1 141" xfId="2096"/>
    <cellStyle name="40% - Ênfase1 142" xfId="2097"/>
    <cellStyle name="40% - Ênfase1 143" xfId="2098"/>
    <cellStyle name="40% - Ênfase1 144" xfId="2099"/>
    <cellStyle name="40% - Ênfase1 145" xfId="2100"/>
    <cellStyle name="40% - Ênfase1 146" xfId="2101"/>
    <cellStyle name="40% - Ênfase1 147" xfId="2102"/>
    <cellStyle name="40% - Ênfase1 148" xfId="2103"/>
    <cellStyle name="40% - Ênfase1 149" xfId="2104"/>
    <cellStyle name="40% - Ênfase1 15" xfId="2105"/>
    <cellStyle name="40% - Ênfase1 15 2" xfId="2106"/>
    <cellStyle name="40% - Ênfase1 15 3" xfId="2107"/>
    <cellStyle name="40% - Ênfase1 150" xfId="2108"/>
    <cellStyle name="40% - Ênfase1 151" xfId="2109"/>
    <cellStyle name="40% - Ênfase1 152" xfId="2110"/>
    <cellStyle name="40% - Ênfase1 153" xfId="2111"/>
    <cellStyle name="40% - Ênfase1 154" xfId="2112"/>
    <cellStyle name="40% - Ênfase1 155" xfId="2113"/>
    <cellStyle name="40% - Ênfase1 156" xfId="2114"/>
    <cellStyle name="40% - Ênfase1 157" xfId="2115"/>
    <cellStyle name="40% - Ênfase1 158" xfId="2116"/>
    <cellStyle name="40% - Ênfase1 159" xfId="2117"/>
    <cellStyle name="40% - Ênfase1 16" xfId="2118"/>
    <cellStyle name="40% - Ênfase1 16 2" xfId="2119"/>
    <cellStyle name="40% - Ênfase1 16 3" xfId="2120"/>
    <cellStyle name="40% - Ênfase1 160" xfId="2121"/>
    <cellStyle name="40% - Ênfase1 161" xfId="2122"/>
    <cellStyle name="40% - Ênfase1 162" xfId="2123"/>
    <cellStyle name="40% - Ênfase1 163" xfId="2124"/>
    <cellStyle name="40% - Ênfase1 164" xfId="2125"/>
    <cellStyle name="40% - Ênfase1 165" xfId="2126"/>
    <cellStyle name="40% - Ênfase1 166" xfId="2127"/>
    <cellStyle name="40% - Ênfase1 167" xfId="2128"/>
    <cellStyle name="40% - Ênfase1 168" xfId="2129"/>
    <cellStyle name="40% - Ênfase1 169" xfId="2130"/>
    <cellStyle name="40% - Ênfase1 17" xfId="2131"/>
    <cellStyle name="40% - Ênfase1 17 2" xfId="2132"/>
    <cellStyle name="40% - Ênfase1 17 3" xfId="2133"/>
    <cellStyle name="40% - Ênfase1 170" xfId="2134"/>
    <cellStyle name="40% - Ênfase1 171" xfId="2135"/>
    <cellStyle name="40% - Ênfase1 172" xfId="2136"/>
    <cellStyle name="40% - Ênfase1 173" xfId="2137"/>
    <cellStyle name="40% - Ênfase1 174" xfId="2138"/>
    <cellStyle name="40% - Ênfase1 175" xfId="2139"/>
    <cellStyle name="40% - Ênfase1 176" xfId="2140"/>
    <cellStyle name="40% - Ênfase1 177" xfId="2141"/>
    <cellStyle name="40% - Ênfase1 178" xfId="2142"/>
    <cellStyle name="40% - Ênfase1 179" xfId="2143"/>
    <cellStyle name="40% - Ênfase1 18" xfId="2144"/>
    <cellStyle name="40% - Ênfase1 18 2" xfId="2145"/>
    <cellStyle name="40% - Ênfase1 18 3" xfId="2146"/>
    <cellStyle name="40% - Ênfase1 180" xfId="2147"/>
    <cellStyle name="40% - Ênfase1 181" xfId="2148"/>
    <cellStyle name="40% - Ênfase1 182" xfId="2149"/>
    <cellStyle name="40% - Ênfase1 183" xfId="2150"/>
    <cellStyle name="40% - Ênfase1 184" xfId="2151"/>
    <cellStyle name="40% - Ênfase1 185" xfId="2152"/>
    <cellStyle name="40% - Ênfase1 186" xfId="2153"/>
    <cellStyle name="40% - Ênfase1 187" xfId="2154"/>
    <cellStyle name="40% - Ênfase1 188" xfId="2155"/>
    <cellStyle name="40% - Ênfase1 189" xfId="2156"/>
    <cellStyle name="40% - Ênfase1 19" xfId="2157"/>
    <cellStyle name="40% - Ênfase1 19 2" xfId="2158"/>
    <cellStyle name="40% - Ênfase1 19 3" xfId="2159"/>
    <cellStyle name="40% - Ênfase1 190" xfId="2160"/>
    <cellStyle name="40% - Ênfase1 2" xfId="2161"/>
    <cellStyle name="40% - Ênfase1 2 10" xfId="2162"/>
    <cellStyle name="40% - Ênfase1 2 10 2" xfId="2163"/>
    <cellStyle name="40% - Ênfase1 2 10 3" xfId="2164"/>
    <cellStyle name="40% - Ênfase1 2 10 4" xfId="2165"/>
    <cellStyle name="40% - Ênfase1 2 10 5" xfId="2166"/>
    <cellStyle name="40% - Ênfase1 2 10 6" xfId="2167"/>
    <cellStyle name="40% - Ênfase1 2 10 7" xfId="2168"/>
    <cellStyle name="40% - Ênfase1 2 11" xfId="2169"/>
    <cellStyle name="40% - Ênfase1 2 11 2" xfId="2170"/>
    <cellStyle name="40% - Ênfase1 2 11 3" xfId="2171"/>
    <cellStyle name="40% - Ênfase1 2 11 4" xfId="2172"/>
    <cellStyle name="40% - Ênfase1 2 11 5" xfId="2173"/>
    <cellStyle name="40% - Ênfase1 2 11 6" xfId="2174"/>
    <cellStyle name="40% - Ênfase1 2 11 7" xfId="2175"/>
    <cellStyle name="40% - Ênfase1 2 12" xfId="2176"/>
    <cellStyle name="40% - Ênfase1 2 13" xfId="2177"/>
    <cellStyle name="40% - Ênfase1 2 14" xfId="2178"/>
    <cellStyle name="40% - Ênfase1 2 15" xfId="2179"/>
    <cellStyle name="40% - Ênfase1 2 16" xfId="2180"/>
    <cellStyle name="40% - Ênfase1 2 17" xfId="2181"/>
    <cellStyle name="40% - Ênfase1 2 18" xfId="2182"/>
    <cellStyle name="40% - Ênfase1 2 19" xfId="2183"/>
    <cellStyle name="40% - Ênfase1 2 2" xfId="2184"/>
    <cellStyle name="40% - Ênfase1 2 20" xfId="2185"/>
    <cellStyle name="40% - Ênfase1 2 21" xfId="2186"/>
    <cellStyle name="40% - Ênfase1 2 22" xfId="2187"/>
    <cellStyle name="40% - Ênfase1 2 23" xfId="2188"/>
    <cellStyle name="40% - Ênfase1 2 24" xfId="2189"/>
    <cellStyle name="40% - Ênfase1 2 25" xfId="2190"/>
    <cellStyle name="40% - Ênfase1 2 26" xfId="2191"/>
    <cellStyle name="40% - Ênfase1 2 27" xfId="2192"/>
    <cellStyle name="40% - Ênfase1 2 28" xfId="2193"/>
    <cellStyle name="40% - Ênfase1 2 29" xfId="2194"/>
    <cellStyle name="40% - Ênfase1 2 3" xfId="2195"/>
    <cellStyle name="40% - Ênfase1 2 30" xfId="2196"/>
    <cellStyle name="40% - Ênfase1 2 31" xfId="2197"/>
    <cellStyle name="40% - Ênfase1 2 32" xfId="2198"/>
    <cellStyle name="40% - Ênfase1 2 33" xfId="2199"/>
    <cellStyle name="40% - Ênfase1 2 34" xfId="2200"/>
    <cellStyle name="40% - Ênfase1 2 35" xfId="2201"/>
    <cellStyle name="40% - Ênfase1 2 4" xfId="2202"/>
    <cellStyle name="40% - Ênfase1 2 5" xfId="2203"/>
    <cellStyle name="40% - Ênfase1 2 6" xfId="2204"/>
    <cellStyle name="40% - Ênfase1 2 7" xfId="2205"/>
    <cellStyle name="40% - Ênfase1 2 8" xfId="2206"/>
    <cellStyle name="40% - Ênfase1 2 8 2" xfId="2207"/>
    <cellStyle name="40% - Ênfase1 2 8 3" xfId="2208"/>
    <cellStyle name="40% - Ênfase1 2 8 4" xfId="2209"/>
    <cellStyle name="40% - Ênfase1 2 8 5" xfId="2210"/>
    <cellStyle name="40% - Ênfase1 2 8 6" xfId="2211"/>
    <cellStyle name="40% - Ênfase1 2 8 7" xfId="2212"/>
    <cellStyle name="40% - Ênfase1 2 9" xfId="2213"/>
    <cellStyle name="40% - Ênfase1 2 9 2" xfId="2214"/>
    <cellStyle name="40% - Ênfase1 2 9 3" xfId="2215"/>
    <cellStyle name="40% - Ênfase1 2 9 4" xfId="2216"/>
    <cellStyle name="40% - Ênfase1 2 9 5" xfId="2217"/>
    <cellStyle name="40% - Ênfase1 2 9 6" xfId="2218"/>
    <cellStyle name="40% - Ênfase1 2 9 7" xfId="2219"/>
    <cellStyle name="40% - Ênfase1 20" xfId="2220"/>
    <cellStyle name="40% - Ênfase1 20 2" xfId="2221"/>
    <cellStyle name="40% - Ênfase1 20 3" xfId="2222"/>
    <cellStyle name="40% - Ênfase1 21" xfId="2223"/>
    <cellStyle name="40% - Ênfase1 22" xfId="2224"/>
    <cellStyle name="40% - Ênfase1 23" xfId="2225"/>
    <cellStyle name="40% - Ênfase1 24" xfId="2226"/>
    <cellStyle name="40% - Ênfase1 24 2" xfId="40951"/>
    <cellStyle name="40% - Ênfase1 25" xfId="2227"/>
    <cellStyle name="40% - Ênfase1 25 2" xfId="40986"/>
    <cellStyle name="40% - Ênfase1 26" xfId="2228"/>
    <cellStyle name="40% - Ênfase1 26 10" xfId="2229"/>
    <cellStyle name="40% - Ênfase1 26 11" xfId="2230"/>
    <cellStyle name="40% - Ênfase1 26 12" xfId="2231"/>
    <cellStyle name="40% - Ênfase1 26 13" xfId="2232"/>
    <cellStyle name="40% - Ênfase1 26 14" xfId="2233"/>
    <cellStyle name="40% - Ênfase1 26 15" xfId="2234"/>
    <cellStyle name="40% - Ênfase1 26 16" xfId="2235"/>
    <cellStyle name="40% - Ênfase1 26 2" xfId="2236"/>
    <cellStyle name="40% - Ênfase1 26 3" xfId="2237"/>
    <cellStyle name="40% - Ênfase1 26 4" xfId="2238"/>
    <cellStyle name="40% - Ênfase1 26 5" xfId="2239"/>
    <cellStyle name="40% - Ênfase1 26 6" xfId="2240"/>
    <cellStyle name="40% - Ênfase1 26 7" xfId="2241"/>
    <cellStyle name="40% - Ênfase1 26 8" xfId="2242"/>
    <cellStyle name="40% - Ênfase1 26 9" xfId="2243"/>
    <cellStyle name="40% - Ênfase1 27" xfId="2244"/>
    <cellStyle name="40% - Ênfase1 27 10" xfId="2245"/>
    <cellStyle name="40% - Ênfase1 27 11" xfId="2246"/>
    <cellStyle name="40% - Ênfase1 27 12" xfId="2247"/>
    <cellStyle name="40% - Ênfase1 27 13" xfId="2248"/>
    <cellStyle name="40% - Ênfase1 27 14" xfId="2249"/>
    <cellStyle name="40% - Ênfase1 27 15" xfId="2250"/>
    <cellStyle name="40% - Ênfase1 27 16" xfId="2251"/>
    <cellStyle name="40% - Ênfase1 27 2" xfId="2252"/>
    <cellStyle name="40% - Ênfase1 27 3" xfId="2253"/>
    <cellStyle name="40% - Ênfase1 27 4" xfId="2254"/>
    <cellStyle name="40% - Ênfase1 27 5" xfId="2255"/>
    <cellStyle name="40% - Ênfase1 27 6" xfId="2256"/>
    <cellStyle name="40% - Ênfase1 27 7" xfId="2257"/>
    <cellStyle name="40% - Ênfase1 27 8" xfId="2258"/>
    <cellStyle name="40% - Ênfase1 27 9" xfId="2259"/>
    <cellStyle name="40% - Ênfase1 28" xfId="2260"/>
    <cellStyle name="40% - Ênfase1 28 10" xfId="2261"/>
    <cellStyle name="40% - Ênfase1 28 11" xfId="2262"/>
    <cellStyle name="40% - Ênfase1 28 12" xfId="2263"/>
    <cellStyle name="40% - Ênfase1 28 13" xfId="2264"/>
    <cellStyle name="40% - Ênfase1 28 14" xfId="2265"/>
    <cellStyle name="40% - Ênfase1 28 15" xfId="2266"/>
    <cellStyle name="40% - Ênfase1 28 16" xfId="2267"/>
    <cellStyle name="40% - Ênfase1 28 2" xfId="2268"/>
    <cellStyle name="40% - Ênfase1 28 3" xfId="2269"/>
    <cellStyle name="40% - Ênfase1 28 4" xfId="2270"/>
    <cellStyle name="40% - Ênfase1 28 5" xfId="2271"/>
    <cellStyle name="40% - Ênfase1 28 6" xfId="2272"/>
    <cellStyle name="40% - Ênfase1 28 7" xfId="2273"/>
    <cellStyle name="40% - Ênfase1 28 8" xfId="2274"/>
    <cellStyle name="40% - Ênfase1 28 9" xfId="2275"/>
    <cellStyle name="40% - Ênfase1 29" xfId="2276"/>
    <cellStyle name="40% - Ênfase1 29 10" xfId="2277"/>
    <cellStyle name="40% - Ênfase1 29 11" xfId="2278"/>
    <cellStyle name="40% - Ênfase1 29 12" xfId="2279"/>
    <cellStyle name="40% - Ênfase1 29 13" xfId="2280"/>
    <cellStyle name="40% - Ênfase1 29 14" xfId="2281"/>
    <cellStyle name="40% - Ênfase1 29 15" xfId="2282"/>
    <cellStyle name="40% - Ênfase1 29 16" xfId="2283"/>
    <cellStyle name="40% - Ênfase1 29 2" xfId="2284"/>
    <cellStyle name="40% - Ênfase1 29 3" xfId="2285"/>
    <cellStyle name="40% - Ênfase1 29 4" xfId="2286"/>
    <cellStyle name="40% - Ênfase1 29 5" xfId="2287"/>
    <cellStyle name="40% - Ênfase1 29 6" xfId="2288"/>
    <cellStyle name="40% - Ênfase1 29 7" xfId="2289"/>
    <cellStyle name="40% - Ênfase1 29 8" xfId="2290"/>
    <cellStyle name="40% - Ênfase1 29 9" xfId="2291"/>
    <cellStyle name="40% - Ênfase1 3" xfId="2292"/>
    <cellStyle name="40% - Ênfase1 3 10" xfId="2293"/>
    <cellStyle name="40% - Ênfase1 3 11" xfId="2294"/>
    <cellStyle name="40% - Ênfase1 3 2" xfId="2295"/>
    <cellStyle name="40% - Ênfase1 3 3" xfId="2296"/>
    <cellStyle name="40% - Ênfase1 3 4" xfId="2297"/>
    <cellStyle name="40% - Ênfase1 3 5" xfId="2298"/>
    <cellStyle name="40% - Ênfase1 3 6" xfId="2299"/>
    <cellStyle name="40% - Ênfase1 3 7" xfId="2300"/>
    <cellStyle name="40% - Ênfase1 3 8" xfId="2301"/>
    <cellStyle name="40% - Ênfase1 3 9" xfId="2302"/>
    <cellStyle name="40% - Ênfase1 30" xfId="2303"/>
    <cellStyle name="40% - Ênfase1 31" xfId="2304"/>
    <cellStyle name="40% - Ênfase1 32" xfId="2305"/>
    <cellStyle name="40% - Ênfase1 33" xfId="2306"/>
    <cellStyle name="40% - Ênfase1 34" xfId="2307"/>
    <cellStyle name="40% - Ênfase1 35" xfId="2308"/>
    <cellStyle name="40% - Ênfase1 36" xfId="2309"/>
    <cellStyle name="40% - Ênfase1 37" xfId="2310"/>
    <cellStyle name="40% - Ênfase1 38" xfId="2311"/>
    <cellStyle name="40% - Ênfase1 39" xfId="2312"/>
    <cellStyle name="40% - Ênfase1 4" xfId="2313"/>
    <cellStyle name="40% - Ênfase1 4 10" xfId="2314"/>
    <cellStyle name="40% - Ênfase1 4 11" xfId="2315"/>
    <cellStyle name="40% - Ênfase1 4 2" xfId="2316"/>
    <cellStyle name="40% - Ênfase1 4 3" xfId="2317"/>
    <cellStyle name="40% - Ênfase1 4 4" xfId="2318"/>
    <cellStyle name="40% - Ênfase1 4 5" xfId="2319"/>
    <cellStyle name="40% - Ênfase1 4 6" xfId="2320"/>
    <cellStyle name="40% - Ênfase1 4 7" xfId="2321"/>
    <cellStyle name="40% - Ênfase1 4 8" xfId="2322"/>
    <cellStyle name="40% - Ênfase1 4 9" xfId="2323"/>
    <cellStyle name="40% - Ênfase1 40" xfId="2324"/>
    <cellStyle name="40% - Ênfase1 41" xfId="2325"/>
    <cellStyle name="40% - Ênfase1 42" xfId="2326"/>
    <cellStyle name="40% - Ênfase1 43" xfId="2327"/>
    <cellStyle name="40% - Ênfase1 44" xfId="2328"/>
    <cellStyle name="40% - Ênfase1 45" xfId="2329"/>
    <cellStyle name="40% - Ênfase1 46" xfId="2330"/>
    <cellStyle name="40% - Ênfase1 47" xfId="2331"/>
    <cellStyle name="40% - Ênfase1 48" xfId="2332"/>
    <cellStyle name="40% - Ênfase1 49" xfId="2333"/>
    <cellStyle name="40% - Ênfase1 5" xfId="2334"/>
    <cellStyle name="40% - Ênfase1 5 2" xfId="2335"/>
    <cellStyle name="40% - Ênfase1 5 3" xfId="2336"/>
    <cellStyle name="40% - Ênfase1 5 4" xfId="2337"/>
    <cellStyle name="40% - Ênfase1 50" xfId="2338"/>
    <cellStyle name="40% - Ênfase1 51" xfId="2339"/>
    <cellStyle name="40% - Ênfase1 52" xfId="2340"/>
    <cellStyle name="40% - Ênfase1 53" xfId="2341"/>
    <cellStyle name="40% - Ênfase1 54" xfId="2342"/>
    <cellStyle name="40% - Ênfase1 55" xfId="2343"/>
    <cellStyle name="40% - Ênfase1 56" xfId="2344"/>
    <cellStyle name="40% - Ênfase1 57" xfId="2345"/>
    <cellStyle name="40% - Ênfase1 58" xfId="2346"/>
    <cellStyle name="40% - Ênfase1 59" xfId="2347"/>
    <cellStyle name="40% - Ênfase1 6" xfId="2348"/>
    <cellStyle name="40% - Ênfase1 6 2" xfId="2349"/>
    <cellStyle name="40% - Ênfase1 6 3" xfId="2350"/>
    <cellStyle name="40% - Ênfase1 6 4" xfId="2351"/>
    <cellStyle name="40% - Ênfase1 60" xfId="2352"/>
    <cellStyle name="40% - Ênfase1 61" xfId="2353"/>
    <cellStyle name="40% - Ênfase1 62" xfId="2354"/>
    <cellStyle name="40% - Ênfase1 63" xfId="2355"/>
    <cellStyle name="40% - Ênfase1 64" xfId="2356"/>
    <cellStyle name="40% - Ênfase1 65" xfId="2357"/>
    <cellStyle name="40% - Ênfase1 66" xfId="2358"/>
    <cellStyle name="40% - Ênfase1 67" xfId="2359"/>
    <cellStyle name="40% - Ênfase1 68" xfId="2360"/>
    <cellStyle name="40% - Ênfase1 69" xfId="2361"/>
    <cellStyle name="40% - Ênfase1 7" xfId="2362"/>
    <cellStyle name="40% - Ênfase1 7 2" xfId="2363"/>
    <cellStyle name="40% - Ênfase1 7 3" xfId="2364"/>
    <cellStyle name="40% - Ênfase1 7 4" xfId="2365"/>
    <cellStyle name="40% - Ênfase1 70" xfId="2366"/>
    <cellStyle name="40% - Ênfase1 71" xfId="2367"/>
    <cellStyle name="40% - Ênfase1 72" xfId="2368"/>
    <cellStyle name="40% - Ênfase1 73" xfId="2369"/>
    <cellStyle name="40% - Ênfase1 74" xfId="2370"/>
    <cellStyle name="40% - Ênfase1 75" xfId="2371"/>
    <cellStyle name="40% - Ênfase1 76" xfId="2372"/>
    <cellStyle name="40% - Ênfase1 77" xfId="2373"/>
    <cellStyle name="40% - Ênfase1 78" xfId="2374"/>
    <cellStyle name="40% - Ênfase1 79" xfId="2375"/>
    <cellStyle name="40% - Ênfase1 8" xfId="2376"/>
    <cellStyle name="40% - Ênfase1 8 2" xfId="2377"/>
    <cellStyle name="40% - Ênfase1 8 3" xfId="2378"/>
    <cellStyle name="40% - Ênfase1 8 4" xfId="2379"/>
    <cellStyle name="40% - Ênfase1 80" xfId="2380"/>
    <cellStyle name="40% - Ênfase1 81" xfId="2381"/>
    <cellStyle name="40% - Ênfase1 82" xfId="2382"/>
    <cellStyle name="40% - Ênfase1 83" xfId="2383"/>
    <cellStyle name="40% - Ênfase1 84" xfId="2384"/>
    <cellStyle name="40% - Ênfase1 85" xfId="2385"/>
    <cellStyle name="40% - Ênfase1 86" xfId="2386"/>
    <cellStyle name="40% - Ênfase1 87" xfId="2387"/>
    <cellStyle name="40% - Ênfase1 88" xfId="2388"/>
    <cellStyle name="40% - Ênfase1 89" xfId="2389"/>
    <cellStyle name="40% - Ênfase1 9" xfId="2390"/>
    <cellStyle name="40% - Ênfase1 90" xfId="2391"/>
    <cellStyle name="40% - Ênfase1 91" xfId="2392"/>
    <cellStyle name="40% - Ênfase1 92" xfId="2393"/>
    <cellStyle name="40% - Ênfase1 93" xfId="2394"/>
    <cellStyle name="40% - Ênfase1 94" xfId="2395"/>
    <cellStyle name="40% - Ênfase1 95" xfId="2396"/>
    <cellStyle name="40% - Ênfase1 96" xfId="2397"/>
    <cellStyle name="40% - Ênfase1 97" xfId="2398"/>
    <cellStyle name="40% - Ênfase1 98" xfId="2399"/>
    <cellStyle name="40% - Ênfase1 99" xfId="2400"/>
    <cellStyle name="40% - Ênfase2 10" xfId="2401"/>
    <cellStyle name="40% - Ênfase2 10 2" xfId="40503"/>
    <cellStyle name="40% - Ênfase2 100" xfId="2402"/>
    <cellStyle name="40% - Ênfase2 101" xfId="2403"/>
    <cellStyle name="40% - Ênfase2 102" xfId="2404"/>
    <cellStyle name="40% - Ênfase2 103" xfId="2405"/>
    <cellStyle name="40% - Ênfase2 104" xfId="2406"/>
    <cellStyle name="40% - Ênfase2 105" xfId="2407"/>
    <cellStyle name="40% - Ênfase2 106" xfId="2408"/>
    <cellStyle name="40% - Ênfase2 107" xfId="2409"/>
    <cellStyle name="40% - Ênfase2 108" xfId="2410"/>
    <cellStyle name="40% - Ênfase2 109" xfId="2411"/>
    <cellStyle name="40% - Ênfase2 11" xfId="2412"/>
    <cellStyle name="40% - Ênfase2 11 2" xfId="40504"/>
    <cellStyle name="40% - Ênfase2 110" xfId="2413"/>
    <cellStyle name="40% - Ênfase2 111" xfId="2414"/>
    <cellStyle name="40% - Ênfase2 112" xfId="2415"/>
    <cellStyle name="40% - Ênfase2 113" xfId="2416"/>
    <cellStyle name="40% - Ênfase2 114" xfId="2417"/>
    <cellStyle name="40% - Ênfase2 115" xfId="2418"/>
    <cellStyle name="40% - Ênfase2 116" xfId="2419"/>
    <cellStyle name="40% - Ênfase2 117" xfId="2420"/>
    <cellStyle name="40% - Ênfase2 118" xfId="2421"/>
    <cellStyle name="40% - Ênfase2 119" xfId="2422"/>
    <cellStyle name="40% - Ênfase2 12" xfId="2423"/>
    <cellStyle name="40% - Ênfase2 12 2" xfId="40505"/>
    <cellStyle name="40% - Ênfase2 120" xfId="2424"/>
    <cellStyle name="40% - Ênfase2 121" xfId="2425"/>
    <cellStyle name="40% - Ênfase2 122" xfId="2426"/>
    <cellStyle name="40% - Ênfase2 123" xfId="2427"/>
    <cellStyle name="40% - Ênfase2 124" xfId="2428"/>
    <cellStyle name="40% - Ênfase2 125" xfId="2429"/>
    <cellStyle name="40% - Ênfase2 126" xfId="2430"/>
    <cellStyle name="40% - Ênfase2 127" xfId="2431"/>
    <cellStyle name="40% - Ênfase2 128" xfId="2432"/>
    <cellStyle name="40% - Ênfase2 129" xfId="2433"/>
    <cellStyle name="40% - Ênfase2 13" xfId="2434"/>
    <cellStyle name="40% - Ênfase2 13 2" xfId="40506"/>
    <cellStyle name="40% - Ênfase2 130" xfId="2435"/>
    <cellStyle name="40% - Ênfase2 131" xfId="2436"/>
    <cellStyle name="40% - Ênfase2 132" xfId="2437"/>
    <cellStyle name="40% - Ênfase2 133" xfId="2438"/>
    <cellStyle name="40% - Ênfase2 134" xfId="2439"/>
    <cellStyle name="40% - Ênfase2 135" xfId="2440"/>
    <cellStyle name="40% - Ênfase2 136" xfId="2441"/>
    <cellStyle name="40% - Ênfase2 137" xfId="2442"/>
    <cellStyle name="40% - Ênfase2 138" xfId="2443"/>
    <cellStyle name="40% - Ênfase2 139" xfId="2444"/>
    <cellStyle name="40% - Ênfase2 14" xfId="2445"/>
    <cellStyle name="40% - Ênfase2 140" xfId="2446"/>
    <cellStyle name="40% - Ênfase2 141" xfId="2447"/>
    <cellStyle name="40% - Ênfase2 142" xfId="2448"/>
    <cellStyle name="40% - Ênfase2 143" xfId="2449"/>
    <cellStyle name="40% - Ênfase2 144" xfId="2450"/>
    <cellStyle name="40% - Ênfase2 145" xfId="2451"/>
    <cellStyle name="40% - Ênfase2 146" xfId="2452"/>
    <cellStyle name="40% - Ênfase2 147" xfId="2453"/>
    <cellStyle name="40% - Ênfase2 148" xfId="2454"/>
    <cellStyle name="40% - Ênfase2 149" xfId="2455"/>
    <cellStyle name="40% - Ênfase2 15" xfId="2456"/>
    <cellStyle name="40% - Ênfase2 15 2" xfId="2457"/>
    <cellStyle name="40% - Ênfase2 15 3" xfId="2458"/>
    <cellStyle name="40% - Ênfase2 150" xfId="2459"/>
    <cellStyle name="40% - Ênfase2 151" xfId="2460"/>
    <cellStyle name="40% - Ênfase2 152" xfId="2461"/>
    <cellStyle name="40% - Ênfase2 153" xfId="2462"/>
    <cellStyle name="40% - Ênfase2 154" xfId="2463"/>
    <cellStyle name="40% - Ênfase2 155" xfId="2464"/>
    <cellStyle name="40% - Ênfase2 156" xfId="2465"/>
    <cellStyle name="40% - Ênfase2 157" xfId="2466"/>
    <cellStyle name="40% - Ênfase2 158" xfId="2467"/>
    <cellStyle name="40% - Ênfase2 159" xfId="2468"/>
    <cellStyle name="40% - Ênfase2 16" xfId="2469"/>
    <cellStyle name="40% - Ênfase2 16 2" xfId="2470"/>
    <cellStyle name="40% - Ênfase2 16 3" xfId="2471"/>
    <cellStyle name="40% - Ênfase2 160" xfId="2472"/>
    <cellStyle name="40% - Ênfase2 161" xfId="2473"/>
    <cellStyle name="40% - Ênfase2 162" xfId="2474"/>
    <cellStyle name="40% - Ênfase2 163" xfId="2475"/>
    <cellStyle name="40% - Ênfase2 164" xfId="2476"/>
    <cellStyle name="40% - Ênfase2 165" xfId="2477"/>
    <cellStyle name="40% - Ênfase2 166" xfId="2478"/>
    <cellStyle name="40% - Ênfase2 167" xfId="2479"/>
    <cellStyle name="40% - Ênfase2 168" xfId="2480"/>
    <cellStyle name="40% - Ênfase2 169" xfId="2481"/>
    <cellStyle name="40% - Ênfase2 17" xfId="2482"/>
    <cellStyle name="40% - Ênfase2 17 2" xfId="2483"/>
    <cellStyle name="40% - Ênfase2 17 3" xfId="2484"/>
    <cellStyle name="40% - Ênfase2 170" xfId="2485"/>
    <cellStyle name="40% - Ênfase2 171" xfId="2486"/>
    <cellStyle name="40% - Ênfase2 172" xfId="2487"/>
    <cellStyle name="40% - Ênfase2 173" xfId="2488"/>
    <cellStyle name="40% - Ênfase2 174" xfId="2489"/>
    <cellStyle name="40% - Ênfase2 175" xfId="2490"/>
    <cellStyle name="40% - Ênfase2 176" xfId="2491"/>
    <cellStyle name="40% - Ênfase2 177" xfId="2492"/>
    <cellStyle name="40% - Ênfase2 178" xfId="2493"/>
    <cellStyle name="40% - Ênfase2 179" xfId="2494"/>
    <cellStyle name="40% - Ênfase2 18" xfId="2495"/>
    <cellStyle name="40% - Ênfase2 18 2" xfId="2496"/>
    <cellStyle name="40% - Ênfase2 18 3" xfId="2497"/>
    <cellStyle name="40% - Ênfase2 180" xfId="2498"/>
    <cellStyle name="40% - Ênfase2 181" xfId="2499"/>
    <cellStyle name="40% - Ênfase2 182" xfId="2500"/>
    <cellStyle name="40% - Ênfase2 183" xfId="2501"/>
    <cellStyle name="40% - Ênfase2 184" xfId="2502"/>
    <cellStyle name="40% - Ênfase2 185" xfId="2503"/>
    <cellStyle name="40% - Ênfase2 186" xfId="2504"/>
    <cellStyle name="40% - Ênfase2 187" xfId="2505"/>
    <cellStyle name="40% - Ênfase2 188" xfId="2506"/>
    <cellStyle name="40% - Ênfase2 189" xfId="2507"/>
    <cellStyle name="40% - Ênfase2 19" xfId="2508"/>
    <cellStyle name="40% - Ênfase2 19 2" xfId="2509"/>
    <cellStyle name="40% - Ênfase2 19 3" xfId="2510"/>
    <cellStyle name="40% - Ênfase2 190" xfId="2511"/>
    <cellStyle name="40% - Ênfase2 2" xfId="2512"/>
    <cellStyle name="40% - Ênfase2 2 10" xfId="2513"/>
    <cellStyle name="40% - Ênfase2 2 11" xfId="2514"/>
    <cellStyle name="40% - Ênfase2 2 12" xfId="2515"/>
    <cellStyle name="40% - Ênfase2 2 13" xfId="2516"/>
    <cellStyle name="40% - Ênfase2 2 14" xfId="2517"/>
    <cellStyle name="40% - Ênfase2 2 15" xfId="2518"/>
    <cellStyle name="40% - Ênfase2 2 16" xfId="2519"/>
    <cellStyle name="40% - Ênfase2 2 17" xfId="2520"/>
    <cellStyle name="40% - Ênfase2 2 18" xfId="2521"/>
    <cellStyle name="40% - Ênfase2 2 19" xfId="2522"/>
    <cellStyle name="40% - Ênfase2 2 2" xfId="2523"/>
    <cellStyle name="40% - Ênfase2 2 20" xfId="2524"/>
    <cellStyle name="40% - Ênfase2 2 21" xfId="2525"/>
    <cellStyle name="40% - Ênfase2 2 22" xfId="2526"/>
    <cellStyle name="40% - Ênfase2 2 23" xfId="2527"/>
    <cellStyle name="40% - Ênfase2 2 24" xfId="2528"/>
    <cellStyle name="40% - Ênfase2 2 25" xfId="2529"/>
    <cellStyle name="40% - Ênfase2 2 26" xfId="2530"/>
    <cellStyle name="40% - Ênfase2 2 27" xfId="2531"/>
    <cellStyle name="40% - Ênfase2 2 28" xfId="2532"/>
    <cellStyle name="40% - Ênfase2 2 29" xfId="2533"/>
    <cellStyle name="40% - Ênfase2 2 3" xfId="2534"/>
    <cellStyle name="40% - Ênfase2 2 30" xfId="2535"/>
    <cellStyle name="40% - Ênfase2 2 31" xfId="2536"/>
    <cellStyle name="40% - Ênfase2 2 32" xfId="2537"/>
    <cellStyle name="40% - Ênfase2 2 33" xfId="2538"/>
    <cellStyle name="40% - Ênfase2 2 34" xfId="2539"/>
    <cellStyle name="40% - Ênfase2 2 35" xfId="2540"/>
    <cellStyle name="40% - Ênfase2 2 4" xfId="2541"/>
    <cellStyle name="40% - Ênfase2 2 5" xfId="2542"/>
    <cellStyle name="40% - Ênfase2 2 6" xfId="2543"/>
    <cellStyle name="40% - Ênfase2 2 7" xfId="2544"/>
    <cellStyle name="40% - Ênfase2 2 8" xfId="2545"/>
    <cellStyle name="40% - Ênfase2 2 9" xfId="2546"/>
    <cellStyle name="40% - Ênfase2 20" xfId="2547"/>
    <cellStyle name="40% - Ênfase2 20 2" xfId="2548"/>
    <cellStyle name="40% - Ênfase2 20 3" xfId="2549"/>
    <cellStyle name="40% - Ênfase2 21" xfId="2550"/>
    <cellStyle name="40% - Ênfase2 22" xfId="2551"/>
    <cellStyle name="40% - Ênfase2 23" xfId="2552"/>
    <cellStyle name="40% - Ênfase2 24" xfId="2553"/>
    <cellStyle name="40% - Ênfase2 25" xfId="2554"/>
    <cellStyle name="40% - Ênfase2 26" xfId="2555"/>
    <cellStyle name="40% - Ênfase2 27" xfId="2556"/>
    <cellStyle name="40% - Ênfase2 28" xfId="2557"/>
    <cellStyle name="40% - Ênfase2 29" xfId="2558"/>
    <cellStyle name="40% - Ênfase2 3" xfId="2559"/>
    <cellStyle name="40% - Ênfase2 3 2" xfId="2560"/>
    <cellStyle name="40% - Ênfase2 3 3" xfId="2561"/>
    <cellStyle name="40% - Ênfase2 3 4" xfId="2562"/>
    <cellStyle name="40% - Ênfase2 3 5" xfId="2563"/>
    <cellStyle name="40% - Ênfase2 3 6" xfId="2564"/>
    <cellStyle name="40% - Ênfase2 3 7" xfId="2565"/>
    <cellStyle name="40% - Ênfase2 30" xfId="2566"/>
    <cellStyle name="40% - Ênfase2 31" xfId="2567"/>
    <cellStyle name="40% - Ênfase2 32" xfId="2568"/>
    <cellStyle name="40% - Ênfase2 33" xfId="2569"/>
    <cellStyle name="40% - Ênfase2 34" xfId="2570"/>
    <cellStyle name="40% - Ênfase2 35" xfId="2571"/>
    <cellStyle name="40% - Ênfase2 36" xfId="2572"/>
    <cellStyle name="40% - Ênfase2 37" xfId="2573"/>
    <cellStyle name="40% - Ênfase2 38" xfId="2574"/>
    <cellStyle name="40% - Ênfase2 39" xfId="2575"/>
    <cellStyle name="40% - Ênfase2 4" xfId="2576"/>
    <cellStyle name="40% - Ênfase2 4 2" xfId="2577"/>
    <cellStyle name="40% - Ênfase2 4 3" xfId="2578"/>
    <cellStyle name="40% - Ênfase2 4 4" xfId="2579"/>
    <cellStyle name="40% - Ênfase2 4 5" xfId="2580"/>
    <cellStyle name="40% - Ênfase2 4 6" xfId="2581"/>
    <cellStyle name="40% - Ênfase2 4 7" xfId="2582"/>
    <cellStyle name="40% - Ênfase2 40" xfId="2583"/>
    <cellStyle name="40% - Ênfase2 41" xfId="2584"/>
    <cellStyle name="40% - Ênfase2 42" xfId="2585"/>
    <cellStyle name="40% - Ênfase2 43" xfId="2586"/>
    <cellStyle name="40% - Ênfase2 44" xfId="2587"/>
    <cellStyle name="40% - Ênfase2 45" xfId="2588"/>
    <cellStyle name="40% - Ênfase2 46" xfId="2589"/>
    <cellStyle name="40% - Ênfase2 47" xfId="2590"/>
    <cellStyle name="40% - Ênfase2 48" xfId="2591"/>
    <cellStyle name="40% - Ênfase2 49" xfId="2592"/>
    <cellStyle name="40% - Ênfase2 5" xfId="2593"/>
    <cellStyle name="40% - Ênfase2 5 2" xfId="2594"/>
    <cellStyle name="40% - Ênfase2 5 3" xfId="2595"/>
    <cellStyle name="40% - Ênfase2 5 4" xfId="2596"/>
    <cellStyle name="40% - Ênfase2 50" xfId="2597"/>
    <cellStyle name="40% - Ênfase2 51" xfId="2598"/>
    <cellStyle name="40% - Ênfase2 52" xfId="2599"/>
    <cellStyle name="40% - Ênfase2 53" xfId="2600"/>
    <cellStyle name="40% - Ênfase2 54" xfId="2601"/>
    <cellStyle name="40% - Ênfase2 55" xfId="2602"/>
    <cellStyle name="40% - Ênfase2 56" xfId="2603"/>
    <cellStyle name="40% - Ênfase2 57" xfId="2604"/>
    <cellStyle name="40% - Ênfase2 58" xfId="2605"/>
    <cellStyle name="40% - Ênfase2 59" xfId="2606"/>
    <cellStyle name="40% - Ênfase2 6" xfId="2607"/>
    <cellStyle name="40% - Ênfase2 6 2" xfId="2608"/>
    <cellStyle name="40% - Ênfase2 6 3" xfId="2609"/>
    <cellStyle name="40% - Ênfase2 6 4" xfId="2610"/>
    <cellStyle name="40% - Ênfase2 60" xfId="2611"/>
    <cellStyle name="40% - Ênfase2 61" xfId="2612"/>
    <cellStyle name="40% - Ênfase2 62" xfId="2613"/>
    <cellStyle name="40% - Ênfase2 63" xfId="2614"/>
    <cellStyle name="40% - Ênfase2 64" xfId="2615"/>
    <cellStyle name="40% - Ênfase2 65" xfId="2616"/>
    <cellStyle name="40% - Ênfase2 66" xfId="2617"/>
    <cellStyle name="40% - Ênfase2 67" xfId="2618"/>
    <cellStyle name="40% - Ênfase2 68" xfId="2619"/>
    <cellStyle name="40% - Ênfase2 69" xfId="2620"/>
    <cellStyle name="40% - Ênfase2 7" xfId="2621"/>
    <cellStyle name="40% - Ênfase2 7 2" xfId="2622"/>
    <cellStyle name="40% - Ênfase2 7 3" xfId="2623"/>
    <cellStyle name="40% - Ênfase2 7 4" xfId="2624"/>
    <cellStyle name="40% - Ênfase2 70" xfId="2625"/>
    <cellStyle name="40% - Ênfase2 71" xfId="2626"/>
    <cellStyle name="40% - Ênfase2 72" xfId="2627"/>
    <cellStyle name="40% - Ênfase2 73" xfId="2628"/>
    <cellStyle name="40% - Ênfase2 74" xfId="2629"/>
    <cellStyle name="40% - Ênfase2 75" xfId="2630"/>
    <cellStyle name="40% - Ênfase2 76" xfId="2631"/>
    <cellStyle name="40% - Ênfase2 77" xfId="2632"/>
    <cellStyle name="40% - Ênfase2 78" xfId="2633"/>
    <cellStyle name="40% - Ênfase2 79" xfId="2634"/>
    <cellStyle name="40% - Ênfase2 8" xfId="2635"/>
    <cellStyle name="40% - Ênfase2 8 2" xfId="2636"/>
    <cellStyle name="40% - Ênfase2 8 3" xfId="2637"/>
    <cellStyle name="40% - Ênfase2 8 4" xfId="2638"/>
    <cellStyle name="40% - Ênfase2 80" xfId="2639"/>
    <cellStyle name="40% - Ênfase2 81" xfId="2640"/>
    <cellStyle name="40% - Ênfase2 82" xfId="2641"/>
    <cellStyle name="40% - Ênfase2 83" xfId="2642"/>
    <cellStyle name="40% - Ênfase2 84" xfId="2643"/>
    <cellStyle name="40% - Ênfase2 85" xfId="2644"/>
    <cellStyle name="40% - Ênfase2 86" xfId="2645"/>
    <cellStyle name="40% - Ênfase2 87" xfId="2646"/>
    <cellStyle name="40% - Ênfase2 88" xfId="2647"/>
    <cellStyle name="40% - Ênfase2 89" xfId="2648"/>
    <cellStyle name="40% - Ênfase2 9" xfId="2649"/>
    <cellStyle name="40% - Ênfase2 90" xfId="2650"/>
    <cellStyle name="40% - Ênfase2 91" xfId="2651"/>
    <cellStyle name="40% - Ênfase2 92" xfId="2652"/>
    <cellStyle name="40% - Ênfase2 93" xfId="2653"/>
    <cellStyle name="40% - Ênfase2 94" xfId="2654"/>
    <cellStyle name="40% - Ênfase2 95" xfId="2655"/>
    <cellStyle name="40% - Ênfase2 96" xfId="2656"/>
    <cellStyle name="40% - Ênfase2 97" xfId="2657"/>
    <cellStyle name="40% - Ênfase2 98" xfId="2658"/>
    <cellStyle name="40% - Ênfase2 99" xfId="2659"/>
    <cellStyle name="40% - Ênfase3 10" xfId="2660"/>
    <cellStyle name="40% - Ênfase3 10 2" xfId="40507"/>
    <cellStyle name="40% - Ênfase3 100" xfId="2661"/>
    <cellStyle name="40% - Ênfase3 101" xfId="2662"/>
    <cellStyle name="40% - Ênfase3 102" xfId="2663"/>
    <cellStyle name="40% - Ênfase3 103" xfId="2664"/>
    <cellStyle name="40% - Ênfase3 104" xfId="2665"/>
    <cellStyle name="40% - Ênfase3 105" xfId="2666"/>
    <cellStyle name="40% - Ênfase3 106" xfId="2667"/>
    <cellStyle name="40% - Ênfase3 107" xfId="2668"/>
    <cellStyle name="40% - Ênfase3 108" xfId="2669"/>
    <cellStyle name="40% - Ênfase3 109" xfId="2670"/>
    <cellStyle name="40% - Ênfase3 11" xfId="2671"/>
    <cellStyle name="40% - Ênfase3 11 2" xfId="40508"/>
    <cellStyle name="40% - Ênfase3 110" xfId="2672"/>
    <cellStyle name="40% - Ênfase3 111" xfId="2673"/>
    <cellStyle name="40% - Ênfase3 112" xfId="2674"/>
    <cellStyle name="40% - Ênfase3 113" xfId="2675"/>
    <cellStyle name="40% - Ênfase3 114" xfId="2676"/>
    <cellStyle name="40% - Ênfase3 115" xfId="2677"/>
    <cellStyle name="40% - Ênfase3 116" xfId="2678"/>
    <cellStyle name="40% - Ênfase3 117" xfId="2679"/>
    <cellStyle name="40% - Ênfase3 118" xfId="2680"/>
    <cellStyle name="40% - Ênfase3 119" xfId="2681"/>
    <cellStyle name="40% - Ênfase3 12" xfId="2682"/>
    <cellStyle name="40% - Ênfase3 12 2" xfId="40509"/>
    <cellStyle name="40% - Ênfase3 120" xfId="2683"/>
    <cellStyle name="40% - Ênfase3 121" xfId="2684"/>
    <cellStyle name="40% - Ênfase3 122" xfId="2685"/>
    <cellStyle name="40% - Ênfase3 123" xfId="2686"/>
    <cellStyle name="40% - Ênfase3 124" xfId="2687"/>
    <cellStyle name="40% - Ênfase3 125" xfId="2688"/>
    <cellStyle name="40% - Ênfase3 126" xfId="2689"/>
    <cellStyle name="40% - Ênfase3 127" xfId="2690"/>
    <cellStyle name="40% - Ênfase3 128" xfId="2691"/>
    <cellStyle name="40% - Ênfase3 129" xfId="2692"/>
    <cellStyle name="40% - Ênfase3 13" xfId="2693"/>
    <cellStyle name="40% - Ênfase3 13 2" xfId="40510"/>
    <cellStyle name="40% - Ênfase3 130" xfId="2694"/>
    <cellStyle name="40% - Ênfase3 131" xfId="2695"/>
    <cellStyle name="40% - Ênfase3 132" xfId="2696"/>
    <cellStyle name="40% - Ênfase3 133" xfId="2697"/>
    <cellStyle name="40% - Ênfase3 134" xfId="2698"/>
    <cellStyle name="40% - Ênfase3 135" xfId="2699"/>
    <cellStyle name="40% - Ênfase3 136" xfId="2700"/>
    <cellStyle name="40% - Ênfase3 137" xfId="2701"/>
    <cellStyle name="40% - Ênfase3 138" xfId="2702"/>
    <cellStyle name="40% - Ênfase3 139" xfId="2703"/>
    <cellStyle name="40% - Ênfase3 14" xfId="2704"/>
    <cellStyle name="40% - Ênfase3 140" xfId="2705"/>
    <cellStyle name="40% - Ênfase3 141" xfId="2706"/>
    <cellStyle name="40% - Ênfase3 142" xfId="2707"/>
    <cellStyle name="40% - Ênfase3 143" xfId="2708"/>
    <cellStyle name="40% - Ênfase3 144" xfId="2709"/>
    <cellStyle name="40% - Ênfase3 145" xfId="2710"/>
    <cellStyle name="40% - Ênfase3 146" xfId="2711"/>
    <cellStyle name="40% - Ênfase3 147" xfId="2712"/>
    <cellStyle name="40% - Ênfase3 148" xfId="2713"/>
    <cellStyle name="40% - Ênfase3 149" xfId="2714"/>
    <cellStyle name="40% - Ênfase3 15" xfId="2715"/>
    <cellStyle name="40% - Ênfase3 15 2" xfId="2716"/>
    <cellStyle name="40% - Ênfase3 15 3" xfId="2717"/>
    <cellStyle name="40% - Ênfase3 150" xfId="2718"/>
    <cellStyle name="40% - Ênfase3 151" xfId="2719"/>
    <cellStyle name="40% - Ênfase3 152" xfId="2720"/>
    <cellStyle name="40% - Ênfase3 153" xfId="2721"/>
    <cellStyle name="40% - Ênfase3 154" xfId="2722"/>
    <cellStyle name="40% - Ênfase3 155" xfId="2723"/>
    <cellStyle name="40% - Ênfase3 156" xfId="2724"/>
    <cellStyle name="40% - Ênfase3 157" xfId="2725"/>
    <cellStyle name="40% - Ênfase3 158" xfId="2726"/>
    <cellStyle name="40% - Ênfase3 159" xfId="2727"/>
    <cellStyle name="40% - Ênfase3 16" xfId="2728"/>
    <cellStyle name="40% - Ênfase3 16 2" xfId="2729"/>
    <cellStyle name="40% - Ênfase3 16 3" xfId="2730"/>
    <cellStyle name="40% - Ênfase3 160" xfId="2731"/>
    <cellStyle name="40% - Ênfase3 161" xfId="2732"/>
    <cellStyle name="40% - Ênfase3 162" xfId="2733"/>
    <cellStyle name="40% - Ênfase3 163" xfId="2734"/>
    <cellStyle name="40% - Ênfase3 164" xfId="2735"/>
    <cellStyle name="40% - Ênfase3 165" xfId="2736"/>
    <cellStyle name="40% - Ênfase3 166" xfId="2737"/>
    <cellStyle name="40% - Ênfase3 167" xfId="2738"/>
    <cellStyle name="40% - Ênfase3 168" xfId="2739"/>
    <cellStyle name="40% - Ênfase3 169" xfId="2740"/>
    <cellStyle name="40% - Ênfase3 17" xfId="2741"/>
    <cellStyle name="40% - Ênfase3 17 2" xfId="2742"/>
    <cellStyle name="40% - Ênfase3 17 3" xfId="2743"/>
    <cellStyle name="40% - Ênfase3 170" xfId="2744"/>
    <cellStyle name="40% - Ênfase3 171" xfId="2745"/>
    <cellStyle name="40% - Ênfase3 172" xfId="2746"/>
    <cellStyle name="40% - Ênfase3 173" xfId="2747"/>
    <cellStyle name="40% - Ênfase3 174" xfId="2748"/>
    <cellStyle name="40% - Ênfase3 175" xfId="2749"/>
    <cellStyle name="40% - Ênfase3 176" xfId="2750"/>
    <cellStyle name="40% - Ênfase3 177" xfId="2751"/>
    <cellStyle name="40% - Ênfase3 178" xfId="2752"/>
    <cellStyle name="40% - Ênfase3 179" xfId="2753"/>
    <cellStyle name="40% - Ênfase3 18" xfId="2754"/>
    <cellStyle name="40% - Ênfase3 18 2" xfId="2755"/>
    <cellStyle name="40% - Ênfase3 18 3" xfId="2756"/>
    <cellStyle name="40% - Ênfase3 180" xfId="2757"/>
    <cellStyle name="40% - Ênfase3 181" xfId="2758"/>
    <cellStyle name="40% - Ênfase3 182" xfId="2759"/>
    <cellStyle name="40% - Ênfase3 183" xfId="2760"/>
    <cellStyle name="40% - Ênfase3 184" xfId="2761"/>
    <cellStyle name="40% - Ênfase3 185" xfId="2762"/>
    <cellStyle name="40% - Ênfase3 186" xfId="2763"/>
    <cellStyle name="40% - Ênfase3 187" xfId="2764"/>
    <cellStyle name="40% - Ênfase3 188" xfId="2765"/>
    <cellStyle name="40% - Ênfase3 189" xfId="2766"/>
    <cellStyle name="40% - Ênfase3 19" xfId="2767"/>
    <cellStyle name="40% - Ênfase3 19 2" xfId="2768"/>
    <cellStyle name="40% - Ênfase3 19 3" xfId="2769"/>
    <cellStyle name="40% - Ênfase3 190" xfId="2770"/>
    <cellStyle name="40% - Ênfase3 2" xfId="2771"/>
    <cellStyle name="40% - Ênfase3 2 10" xfId="2772"/>
    <cellStyle name="40% - Ênfase3 2 10 2" xfId="2773"/>
    <cellStyle name="40% - Ênfase3 2 10 3" xfId="2774"/>
    <cellStyle name="40% - Ênfase3 2 10 4" xfId="2775"/>
    <cellStyle name="40% - Ênfase3 2 10 5" xfId="2776"/>
    <cellStyle name="40% - Ênfase3 2 10 6" xfId="2777"/>
    <cellStyle name="40% - Ênfase3 2 10 7" xfId="2778"/>
    <cellStyle name="40% - Ênfase3 2 11" xfId="2779"/>
    <cellStyle name="40% - Ênfase3 2 11 2" xfId="2780"/>
    <cellStyle name="40% - Ênfase3 2 11 3" xfId="2781"/>
    <cellStyle name="40% - Ênfase3 2 11 4" xfId="2782"/>
    <cellStyle name="40% - Ênfase3 2 11 5" xfId="2783"/>
    <cellStyle name="40% - Ênfase3 2 11 6" xfId="2784"/>
    <cellStyle name="40% - Ênfase3 2 11 7" xfId="2785"/>
    <cellStyle name="40% - Ênfase3 2 12" xfId="2786"/>
    <cellStyle name="40% - Ênfase3 2 13" xfId="2787"/>
    <cellStyle name="40% - Ênfase3 2 14" xfId="2788"/>
    <cellStyle name="40% - Ênfase3 2 15" xfId="2789"/>
    <cellStyle name="40% - Ênfase3 2 16" xfId="2790"/>
    <cellStyle name="40% - Ênfase3 2 17" xfId="2791"/>
    <cellStyle name="40% - Ênfase3 2 18" xfId="2792"/>
    <cellStyle name="40% - Ênfase3 2 19" xfId="2793"/>
    <cellStyle name="40% - Ênfase3 2 2" xfId="2794"/>
    <cellStyle name="40% - Ênfase3 2 20" xfId="2795"/>
    <cellStyle name="40% - Ênfase3 2 21" xfId="2796"/>
    <cellStyle name="40% - Ênfase3 2 22" xfId="2797"/>
    <cellStyle name="40% - Ênfase3 2 23" xfId="2798"/>
    <cellStyle name="40% - Ênfase3 2 24" xfId="2799"/>
    <cellStyle name="40% - Ênfase3 2 25" xfId="2800"/>
    <cellStyle name="40% - Ênfase3 2 26" xfId="2801"/>
    <cellStyle name="40% - Ênfase3 2 27" xfId="2802"/>
    <cellStyle name="40% - Ênfase3 2 28" xfId="2803"/>
    <cellStyle name="40% - Ênfase3 2 29" xfId="2804"/>
    <cellStyle name="40% - Ênfase3 2 3" xfId="2805"/>
    <cellStyle name="40% - Ênfase3 2 30" xfId="2806"/>
    <cellStyle name="40% - Ênfase3 2 31" xfId="2807"/>
    <cellStyle name="40% - Ênfase3 2 32" xfId="2808"/>
    <cellStyle name="40% - Ênfase3 2 33" xfId="2809"/>
    <cellStyle name="40% - Ênfase3 2 34" xfId="2810"/>
    <cellStyle name="40% - Ênfase3 2 35" xfId="2811"/>
    <cellStyle name="40% - Ênfase3 2 4" xfId="2812"/>
    <cellStyle name="40% - Ênfase3 2 5" xfId="2813"/>
    <cellStyle name="40% - Ênfase3 2 6" xfId="2814"/>
    <cellStyle name="40% - Ênfase3 2 7" xfId="2815"/>
    <cellStyle name="40% - Ênfase3 2 8" xfId="2816"/>
    <cellStyle name="40% - Ênfase3 2 8 2" xfId="2817"/>
    <cellStyle name="40% - Ênfase3 2 8 3" xfId="2818"/>
    <cellStyle name="40% - Ênfase3 2 8 4" xfId="2819"/>
    <cellStyle name="40% - Ênfase3 2 8 5" xfId="2820"/>
    <cellStyle name="40% - Ênfase3 2 8 6" xfId="2821"/>
    <cellStyle name="40% - Ênfase3 2 8 7" xfId="2822"/>
    <cellStyle name="40% - Ênfase3 2 9" xfId="2823"/>
    <cellStyle name="40% - Ênfase3 2 9 2" xfId="2824"/>
    <cellStyle name="40% - Ênfase3 2 9 3" xfId="2825"/>
    <cellStyle name="40% - Ênfase3 2 9 4" xfId="2826"/>
    <cellStyle name="40% - Ênfase3 2 9 5" xfId="2827"/>
    <cellStyle name="40% - Ênfase3 2 9 6" xfId="2828"/>
    <cellStyle name="40% - Ênfase3 2 9 7" xfId="2829"/>
    <cellStyle name="40% - Ênfase3 20" xfId="2830"/>
    <cellStyle name="40% - Ênfase3 20 2" xfId="2831"/>
    <cellStyle name="40% - Ênfase3 20 3" xfId="2832"/>
    <cellStyle name="40% - Ênfase3 21" xfId="2833"/>
    <cellStyle name="40% - Ênfase3 22" xfId="2834"/>
    <cellStyle name="40% - Ênfase3 23" xfId="2835"/>
    <cellStyle name="40% - Ênfase3 24" xfId="2836"/>
    <cellStyle name="40% - Ênfase3 24 2" xfId="40952"/>
    <cellStyle name="40% - Ênfase3 25" xfId="2837"/>
    <cellStyle name="40% - Ênfase3 25 2" xfId="40987"/>
    <cellStyle name="40% - Ênfase3 26" xfId="2838"/>
    <cellStyle name="40% - Ênfase3 26 10" xfId="2839"/>
    <cellStyle name="40% - Ênfase3 26 11" xfId="2840"/>
    <cellStyle name="40% - Ênfase3 26 12" xfId="2841"/>
    <cellStyle name="40% - Ênfase3 26 13" xfId="2842"/>
    <cellStyle name="40% - Ênfase3 26 14" xfId="2843"/>
    <cellStyle name="40% - Ênfase3 26 15" xfId="2844"/>
    <cellStyle name="40% - Ênfase3 26 16" xfId="2845"/>
    <cellStyle name="40% - Ênfase3 26 2" xfId="2846"/>
    <cellStyle name="40% - Ênfase3 26 3" xfId="2847"/>
    <cellStyle name="40% - Ênfase3 26 4" xfId="2848"/>
    <cellStyle name="40% - Ênfase3 26 5" xfId="2849"/>
    <cellStyle name="40% - Ênfase3 26 6" xfId="2850"/>
    <cellStyle name="40% - Ênfase3 26 7" xfId="2851"/>
    <cellStyle name="40% - Ênfase3 26 8" xfId="2852"/>
    <cellStyle name="40% - Ênfase3 26 9" xfId="2853"/>
    <cellStyle name="40% - Ênfase3 27" xfId="2854"/>
    <cellStyle name="40% - Ênfase3 27 10" xfId="2855"/>
    <cellStyle name="40% - Ênfase3 27 11" xfId="2856"/>
    <cellStyle name="40% - Ênfase3 27 12" xfId="2857"/>
    <cellStyle name="40% - Ênfase3 27 13" xfId="2858"/>
    <cellStyle name="40% - Ênfase3 27 14" xfId="2859"/>
    <cellStyle name="40% - Ênfase3 27 15" xfId="2860"/>
    <cellStyle name="40% - Ênfase3 27 16" xfId="2861"/>
    <cellStyle name="40% - Ênfase3 27 2" xfId="2862"/>
    <cellStyle name="40% - Ênfase3 27 3" xfId="2863"/>
    <cellStyle name="40% - Ênfase3 27 4" xfId="2864"/>
    <cellStyle name="40% - Ênfase3 27 5" xfId="2865"/>
    <cellStyle name="40% - Ênfase3 27 6" xfId="2866"/>
    <cellStyle name="40% - Ênfase3 27 7" xfId="2867"/>
    <cellStyle name="40% - Ênfase3 27 8" xfId="2868"/>
    <cellStyle name="40% - Ênfase3 27 9" xfId="2869"/>
    <cellStyle name="40% - Ênfase3 28" xfId="2870"/>
    <cellStyle name="40% - Ênfase3 28 10" xfId="2871"/>
    <cellStyle name="40% - Ênfase3 28 11" xfId="2872"/>
    <cellStyle name="40% - Ênfase3 28 12" xfId="2873"/>
    <cellStyle name="40% - Ênfase3 28 13" xfId="2874"/>
    <cellStyle name="40% - Ênfase3 28 14" xfId="2875"/>
    <cellStyle name="40% - Ênfase3 28 15" xfId="2876"/>
    <cellStyle name="40% - Ênfase3 28 16" xfId="2877"/>
    <cellStyle name="40% - Ênfase3 28 2" xfId="2878"/>
    <cellStyle name="40% - Ênfase3 28 3" xfId="2879"/>
    <cellStyle name="40% - Ênfase3 28 4" xfId="2880"/>
    <cellStyle name="40% - Ênfase3 28 5" xfId="2881"/>
    <cellStyle name="40% - Ênfase3 28 6" xfId="2882"/>
    <cellStyle name="40% - Ênfase3 28 7" xfId="2883"/>
    <cellStyle name="40% - Ênfase3 28 8" xfId="2884"/>
    <cellStyle name="40% - Ênfase3 28 9" xfId="2885"/>
    <cellStyle name="40% - Ênfase3 29" xfId="2886"/>
    <cellStyle name="40% - Ênfase3 29 10" xfId="2887"/>
    <cellStyle name="40% - Ênfase3 29 11" xfId="2888"/>
    <cellStyle name="40% - Ênfase3 29 12" xfId="2889"/>
    <cellStyle name="40% - Ênfase3 29 13" xfId="2890"/>
    <cellStyle name="40% - Ênfase3 29 14" xfId="2891"/>
    <cellStyle name="40% - Ênfase3 29 15" xfId="2892"/>
    <cellStyle name="40% - Ênfase3 29 16" xfId="2893"/>
    <cellStyle name="40% - Ênfase3 29 2" xfId="2894"/>
    <cellStyle name="40% - Ênfase3 29 3" xfId="2895"/>
    <cellStyle name="40% - Ênfase3 29 4" xfId="2896"/>
    <cellStyle name="40% - Ênfase3 29 5" xfId="2897"/>
    <cellStyle name="40% - Ênfase3 29 6" xfId="2898"/>
    <cellStyle name="40% - Ênfase3 29 7" xfId="2899"/>
    <cellStyle name="40% - Ênfase3 29 8" xfId="2900"/>
    <cellStyle name="40% - Ênfase3 29 9" xfId="2901"/>
    <cellStyle name="40% - Ênfase3 3" xfId="2902"/>
    <cellStyle name="40% - Ênfase3 3 10" xfId="2903"/>
    <cellStyle name="40% - Ênfase3 3 11" xfId="2904"/>
    <cellStyle name="40% - Ênfase3 3 2" xfId="2905"/>
    <cellStyle name="40% - Ênfase3 3 3" xfId="2906"/>
    <cellStyle name="40% - Ênfase3 3 4" xfId="2907"/>
    <cellStyle name="40% - Ênfase3 3 5" xfId="2908"/>
    <cellStyle name="40% - Ênfase3 3 6" xfId="2909"/>
    <cellStyle name="40% - Ênfase3 3 7" xfId="2910"/>
    <cellStyle name="40% - Ênfase3 3 8" xfId="2911"/>
    <cellStyle name="40% - Ênfase3 3 9" xfId="2912"/>
    <cellStyle name="40% - Ênfase3 30" xfId="2913"/>
    <cellStyle name="40% - Ênfase3 31" xfId="2914"/>
    <cellStyle name="40% - Ênfase3 32" xfId="2915"/>
    <cellStyle name="40% - Ênfase3 33" xfId="2916"/>
    <cellStyle name="40% - Ênfase3 34" xfId="2917"/>
    <cellStyle name="40% - Ênfase3 35" xfId="2918"/>
    <cellStyle name="40% - Ênfase3 36" xfId="2919"/>
    <cellStyle name="40% - Ênfase3 37" xfId="2920"/>
    <cellStyle name="40% - Ênfase3 38" xfId="2921"/>
    <cellStyle name="40% - Ênfase3 39" xfId="2922"/>
    <cellStyle name="40% - Ênfase3 4" xfId="2923"/>
    <cellStyle name="40% - Ênfase3 4 10" xfId="2924"/>
    <cellStyle name="40% - Ênfase3 4 11" xfId="2925"/>
    <cellStyle name="40% - Ênfase3 4 2" xfId="2926"/>
    <cellStyle name="40% - Ênfase3 4 3" xfId="2927"/>
    <cellStyle name="40% - Ênfase3 4 4" xfId="2928"/>
    <cellStyle name="40% - Ênfase3 4 5" xfId="2929"/>
    <cellStyle name="40% - Ênfase3 4 6" xfId="2930"/>
    <cellStyle name="40% - Ênfase3 4 7" xfId="2931"/>
    <cellStyle name="40% - Ênfase3 4 8" xfId="2932"/>
    <cellStyle name="40% - Ênfase3 4 9" xfId="2933"/>
    <cellStyle name="40% - Ênfase3 40" xfId="2934"/>
    <cellStyle name="40% - Ênfase3 41" xfId="2935"/>
    <cellStyle name="40% - Ênfase3 42" xfId="2936"/>
    <cellStyle name="40% - Ênfase3 43" xfId="2937"/>
    <cellStyle name="40% - Ênfase3 44" xfId="2938"/>
    <cellStyle name="40% - Ênfase3 45" xfId="2939"/>
    <cellStyle name="40% - Ênfase3 46" xfId="2940"/>
    <cellStyle name="40% - Ênfase3 47" xfId="2941"/>
    <cellStyle name="40% - Ênfase3 48" xfId="2942"/>
    <cellStyle name="40% - Ênfase3 49" xfId="2943"/>
    <cellStyle name="40% - Ênfase3 5" xfId="2944"/>
    <cellStyle name="40% - Ênfase3 5 2" xfId="2945"/>
    <cellStyle name="40% - Ênfase3 5 3" xfId="2946"/>
    <cellStyle name="40% - Ênfase3 5 4" xfId="2947"/>
    <cellStyle name="40% - Ênfase3 50" xfId="2948"/>
    <cellStyle name="40% - Ênfase3 51" xfId="2949"/>
    <cellStyle name="40% - Ênfase3 52" xfId="2950"/>
    <cellStyle name="40% - Ênfase3 53" xfId="2951"/>
    <cellStyle name="40% - Ênfase3 54" xfId="2952"/>
    <cellStyle name="40% - Ênfase3 55" xfId="2953"/>
    <cellStyle name="40% - Ênfase3 56" xfId="2954"/>
    <cellStyle name="40% - Ênfase3 57" xfId="2955"/>
    <cellStyle name="40% - Ênfase3 58" xfId="2956"/>
    <cellStyle name="40% - Ênfase3 59" xfId="2957"/>
    <cellStyle name="40% - Ênfase3 6" xfId="2958"/>
    <cellStyle name="40% - Ênfase3 6 2" xfId="2959"/>
    <cellStyle name="40% - Ênfase3 6 3" xfId="2960"/>
    <cellStyle name="40% - Ênfase3 6 4" xfId="2961"/>
    <cellStyle name="40% - Ênfase3 60" xfId="2962"/>
    <cellStyle name="40% - Ênfase3 61" xfId="2963"/>
    <cellStyle name="40% - Ênfase3 62" xfId="2964"/>
    <cellStyle name="40% - Ênfase3 63" xfId="2965"/>
    <cellStyle name="40% - Ênfase3 64" xfId="2966"/>
    <cellStyle name="40% - Ênfase3 65" xfId="2967"/>
    <cellStyle name="40% - Ênfase3 66" xfId="2968"/>
    <cellStyle name="40% - Ênfase3 67" xfId="2969"/>
    <cellStyle name="40% - Ênfase3 68" xfId="2970"/>
    <cellStyle name="40% - Ênfase3 69" xfId="2971"/>
    <cellStyle name="40% - Ênfase3 7" xfId="2972"/>
    <cellStyle name="40% - Ênfase3 7 2" xfId="2973"/>
    <cellStyle name="40% - Ênfase3 7 3" xfId="2974"/>
    <cellStyle name="40% - Ênfase3 7 4" xfId="2975"/>
    <cellStyle name="40% - Ênfase3 70" xfId="2976"/>
    <cellStyle name="40% - Ênfase3 71" xfId="2977"/>
    <cellStyle name="40% - Ênfase3 72" xfId="2978"/>
    <cellStyle name="40% - Ênfase3 73" xfId="2979"/>
    <cellStyle name="40% - Ênfase3 74" xfId="2980"/>
    <cellStyle name="40% - Ênfase3 75" xfId="2981"/>
    <cellStyle name="40% - Ênfase3 76" xfId="2982"/>
    <cellStyle name="40% - Ênfase3 77" xfId="2983"/>
    <cellStyle name="40% - Ênfase3 78" xfId="2984"/>
    <cellStyle name="40% - Ênfase3 79" xfId="2985"/>
    <cellStyle name="40% - Ênfase3 8" xfId="2986"/>
    <cellStyle name="40% - Ênfase3 8 2" xfId="2987"/>
    <cellStyle name="40% - Ênfase3 8 3" xfId="2988"/>
    <cellStyle name="40% - Ênfase3 8 4" xfId="2989"/>
    <cellStyle name="40% - Ênfase3 80" xfId="2990"/>
    <cellStyle name="40% - Ênfase3 81" xfId="2991"/>
    <cellStyle name="40% - Ênfase3 82" xfId="2992"/>
    <cellStyle name="40% - Ênfase3 83" xfId="2993"/>
    <cellStyle name="40% - Ênfase3 84" xfId="2994"/>
    <cellStyle name="40% - Ênfase3 85" xfId="2995"/>
    <cellStyle name="40% - Ênfase3 86" xfId="2996"/>
    <cellStyle name="40% - Ênfase3 87" xfId="2997"/>
    <cellStyle name="40% - Ênfase3 88" xfId="2998"/>
    <cellStyle name="40% - Ênfase3 89" xfId="2999"/>
    <cellStyle name="40% - Ênfase3 9" xfId="3000"/>
    <cellStyle name="40% - Ênfase3 90" xfId="3001"/>
    <cellStyle name="40% - Ênfase3 91" xfId="3002"/>
    <cellStyle name="40% - Ênfase3 92" xfId="3003"/>
    <cellStyle name="40% - Ênfase3 93" xfId="3004"/>
    <cellStyle name="40% - Ênfase3 94" xfId="3005"/>
    <cellStyle name="40% - Ênfase3 95" xfId="3006"/>
    <cellStyle name="40% - Ênfase3 96" xfId="3007"/>
    <cellStyle name="40% - Ênfase3 97" xfId="3008"/>
    <cellStyle name="40% - Ênfase3 98" xfId="3009"/>
    <cellStyle name="40% - Ênfase3 99" xfId="3010"/>
    <cellStyle name="40% - Ênfase4 10" xfId="3011"/>
    <cellStyle name="40% - Ênfase4 10 2" xfId="40511"/>
    <cellStyle name="40% - Ênfase4 100" xfId="3012"/>
    <cellStyle name="40% - Ênfase4 101" xfId="3013"/>
    <cellStyle name="40% - Ênfase4 102" xfId="3014"/>
    <cellStyle name="40% - Ênfase4 103" xfId="3015"/>
    <cellStyle name="40% - Ênfase4 104" xfId="3016"/>
    <cellStyle name="40% - Ênfase4 105" xfId="3017"/>
    <cellStyle name="40% - Ênfase4 106" xfId="3018"/>
    <cellStyle name="40% - Ênfase4 107" xfId="3019"/>
    <cellStyle name="40% - Ênfase4 108" xfId="3020"/>
    <cellStyle name="40% - Ênfase4 109" xfId="3021"/>
    <cellStyle name="40% - Ênfase4 11" xfId="3022"/>
    <cellStyle name="40% - Ênfase4 11 2" xfId="40512"/>
    <cellStyle name="40% - Ênfase4 110" xfId="3023"/>
    <cellStyle name="40% - Ênfase4 111" xfId="3024"/>
    <cellStyle name="40% - Ênfase4 112" xfId="3025"/>
    <cellStyle name="40% - Ênfase4 113" xfId="3026"/>
    <cellStyle name="40% - Ênfase4 114" xfId="3027"/>
    <cellStyle name="40% - Ênfase4 115" xfId="3028"/>
    <cellStyle name="40% - Ênfase4 116" xfId="3029"/>
    <cellStyle name="40% - Ênfase4 117" xfId="3030"/>
    <cellStyle name="40% - Ênfase4 118" xfId="3031"/>
    <cellStyle name="40% - Ênfase4 119" xfId="3032"/>
    <cellStyle name="40% - Ênfase4 12" xfId="3033"/>
    <cellStyle name="40% - Ênfase4 12 2" xfId="40513"/>
    <cellStyle name="40% - Ênfase4 120" xfId="3034"/>
    <cellStyle name="40% - Ênfase4 121" xfId="3035"/>
    <cellStyle name="40% - Ênfase4 122" xfId="3036"/>
    <cellStyle name="40% - Ênfase4 123" xfId="3037"/>
    <cellStyle name="40% - Ênfase4 124" xfId="3038"/>
    <cellStyle name="40% - Ênfase4 125" xfId="3039"/>
    <cellStyle name="40% - Ênfase4 126" xfId="3040"/>
    <cellStyle name="40% - Ênfase4 127" xfId="3041"/>
    <cellStyle name="40% - Ênfase4 128" xfId="3042"/>
    <cellStyle name="40% - Ênfase4 129" xfId="3043"/>
    <cellStyle name="40% - Ênfase4 13" xfId="3044"/>
    <cellStyle name="40% - Ênfase4 13 2" xfId="40514"/>
    <cellStyle name="40% - Ênfase4 130" xfId="3045"/>
    <cellStyle name="40% - Ênfase4 131" xfId="3046"/>
    <cellStyle name="40% - Ênfase4 132" xfId="3047"/>
    <cellStyle name="40% - Ênfase4 133" xfId="3048"/>
    <cellStyle name="40% - Ênfase4 134" xfId="3049"/>
    <cellStyle name="40% - Ênfase4 135" xfId="3050"/>
    <cellStyle name="40% - Ênfase4 136" xfId="3051"/>
    <cellStyle name="40% - Ênfase4 137" xfId="3052"/>
    <cellStyle name="40% - Ênfase4 138" xfId="3053"/>
    <cellStyle name="40% - Ênfase4 139" xfId="3054"/>
    <cellStyle name="40% - Ênfase4 14" xfId="3055"/>
    <cellStyle name="40% - Ênfase4 140" xfId="3056"/>
    <cellStyle name="40% - Ênfase4 141" xfId="3057"/>
    <cellStyle name="40% - Ênfase4 142" xfId="3058"/>
    <cellStyle name="40% - Ênfase4 143" xfId="3059"/>
    <cellStyle name="40% - Ênfase4 144" xfId="3060"/>
    <cellStyle name="40% - Ênfase4 145" xfId="3061"/>
    <cellStyle name="40% - Ênfase4 146" xfId="3062"/>
    <cellStyle name="40% - Ênfase4 147" xfId="3063"/>
    <cellStyle name="40% - Ênfase4 148" xfId="3064"/>
    <cellStyle name="40% - Ênfase4 149" xfId="3065"/>
    <cellStyle name="40% - Ênfase4 15" xfId="3066"/>
    <cellStyle name="40% - Ênfase4 15 2" xfId="3067"/>
    <cellStyle name="40% - Ênfase4 15 3" xfId="3068"/>
    <cellStyle name="40% - Ênfase4 150" xfId="3069"/>
    <cellStyle name="40% - Ênfase4 151" xfId="3070"/>
    <cellStyle name="40% - Ênfase4 152" xfId="3071"/>
    <cellStyle name="40% - Ênfase4 153" xfId="3072"/>
    <cellStyle name="40% - Ênfase4 154" xfId="3073"/>
    <cellStyle name="40% - Ênfase4 155" xfId="3074"/>
    <cellStyle name="40% - Ênfase4 156" xfId="3075"/>
    <cellStyle name="40% - Ênfase4 157" xfId="3076"/>
    <cellStyle name="40% - Ênfase4 158" xfId="3077"/>
    <cellStyle name="40% - Ênfase4 159" xfId="3078"/>
    <cellStyle name="40% - Ênfase4 16" xfId="3079"/>
    <cellStyle name="40% - Ênfase4 16 2" xfId="3080"/>
    <cellStyle name="40% - Ênfase4 16 3" xfId="3081"/>
    <cellStyle name="40% - Ênfase4 160" xfId="3082"/>
    <cellStyle name="40% - Ênfase4 161" xfId="3083"/>
    <cellStyle name="40% - Ênfase4 162" xfId="3084"/>
    <cellStyle name="40% - Ênfase4 163" xfId="3085"/>
    <cellStyle name="40% - Ênfase4 164" xfId="3086"/>
    <cellStyle name="40% - Ênfase4 165" xfId="3087"/>
    <cellStyle name="40% - Ênfase4 166" xfId="3088"/>
    <cellStyle name="40% - Ênfase4 167" xfId="3089"/>
    <cellStyle name="40% - Ênfase4 168" xfId="3090"/>
    <cellStyle name="40% - Ênfase4 169" xfId="3091"/>
    <cellStyle name="40% - Ênfase4 17" xfId="3092"/>
    <cellStyle name="40% - Ênfase4 17 2" xfId="3093"/>
    <cellStyle name="40% - Ênfase4 17 3" xfId="3094"/>
    <cellStyle name="40% - Ênfase4 170" xfId="3095"/>
    <cellStyle name="40% - Ênfase4 171" xfId="3096"/>
    <cellStyle name="40% - Ênfase4 172" xfId="3097"/>
    <cellStyle name="40% - Ênfase4 173" xfId="3098"/>
    <cellStyle name="40% - Ênfase4 174" xfId="3099"/>
    <cellStyle name="40% - Ênfase4 175" xfId="3100"/>
    <cellStyle name="40% - Ênfase4 176" xfId="3101"/>
    <cellStyle name="40% - Ênfase4 177" xfId="3102"/>
    <cellStyle name="40% - Ênfase4 178" xfId="3103"/>
    <cellStyle name="40% - Ênfase4 179" xfId="3104"/>
    <cellStyle name="40% - Ênfase4 18" xfId="3105"/>
    <cellStyle name="40% - Ênfase4 18 2" xfId="3106"/>
    <cellStyle name="40% - Ênfase4 18 3" xfId="3107"/>
    <cellStyle name="40% - Ênfase4 180" xfId="3108"/>
    <cellStyle name="40% - Ênfase4 181" xfId="3109"/>
    <cellStyle name="40% - Ênfase4 182" xfId="3110"/>
    <cellStyle name="40% - Ênfase4 183" xfId="3111"/>
    <cellStyle name="40% - Ênfase4 184" xfId="3112"/>
    <cellStyle name="40% - Ênfase4 185" xfId="3113"/>
    <cellStyle name="40% - Ênfase4 186" xfId="3114"/>
    <cellStyle name="40% - Ênfase4 187" xfId="3115"/>
    <cellStyle name="40% - Ênfase4 188" xfId="3116"/>
    <cellStyle name="40% - Ênfase4 189" xfId="3117"/>
    <cellStyle name="40% - Ênfase4 19" xfId="3118"/>
    <cellStyle name="40% - Ênfase4 19 2" xfId="3119"/>
    <cellStyle name="40% - Ênfase4 19 3" xfId="3120"/>
    <cellStyle name="40% - Ênfase4 190" xfId="3121"/>
    <cellStyle name="40% - Ênfase4 2" xfId="3122"/>
    <cellStyle name="40% - Ênfase4 2 10" xfId="3123"/>
    <cellStyle name="40% - Ênfase4 2 10 2" xfId="3124"/>
    <cellStyle name="40% - Ênfase4 2 10 3" xfId="3125"/>
    <cellStyle name="40% - Ênfase4 2 10 4" xfId="3126"/>
    <cellStyle name="40% - Ênfase4 2 10 5" xfId="3127"/>
    <cellStyle name="40% - Ênfase4 2 10 6" xfId="3128"/>
    <cellStyle name="40% - Ênfase4 2 10 7" xfId="3129"/>
    <cellStyle name="40% - Ênfase4 2 11" xfId="3130"/>
    <cellStyle name="40% - Ênfase4 2 11 2" xfId="3131"/>
    <cellStyle name="40% - Ênfase4 2 11 3" xfId="3132"/>
    <cellStyle name="40% - Ênfase4 2 11 4" xfId="3133"/>
    <cellStyle name="40% - Ênfase4 2 11 5" xfId="3134"/>
    <cellStyle name="40% - Ênfase4 2 11 6" xfId="3135"/>
    <cellStyle name="40% - Ênfase4 2 11 7" xfId="3136"/>
    <cellStyle name="40% - Ênfase4 2 12" xfId="3137"/>
    <cellStyle name="40% - Ênfase4 2 13" xfId="3138"/>
    <cellStyle name="40% - Ênfase4 2 14" xfId="3139"/>
    <cellStyle name="40% - Ênfase4 2 15" xfId="3140"/>
    <cellStyle name="40% - Ênfase4 2 16" xfId="3141"/>
    <cellStyle name="40% - Ênfase4 2 17" xfId="3142"/>
    <cellStyle name="40% - Ênfase4 2 18" xfId="3143"/>
    <cellStyle name="40% - Ênfase4 2 19" xfId="3144"/>
    <cellStyle name="40% - Ênfase4 2 2" xfId="3145"/>
    <cellStyle name="40% - Ênfase4 2 20" xfId="3146"/>
    <cellStyle name="40% - Ênfase4 2 21" xfId="3147"/>
    <cellStyle name="40% - Ênfase4 2 22" xfId="3148"/>
    <cellStyle name="40% - Ênfase4 2 23" xfId="3149"/>
    <cellStyle name="40% - Ênfase4 2 24" xfId="3150"/>
    <cellStyle name="40% - Ênfase4 2 25" xfId="3151"/>
    <cellStyle name="40% - Ênfase4 2 26" xfId="3152"/>
    <cellStyle name="40% - Ênfase4 2 27" xfId="3153"/>
    <cellStyle name="40% - Ênfase4 2 28" xfId="3154"/>
    <cellStyle name="40% - Ênfase4 2 29" xfId="3155"/>
    <cellStyle name="40% - Ênfase4 2 3" xfId="3156"/>
    <cellStyle name="40% - Ênfase4 2 30" xfId="3157"/>
    <cellStyle name="40% - Ênfase4 2 31" xfId="3158"/>
    <cellStyle name="40% - Ênfase4 2 32" xfId="3159"/>
    <cellStyle name="40% - Ênfase4 2 33" xfId="3160"/>
    <cellStyle name="40% - Ênfase4 2 34" xfId="3161"/>
    <cellStyle name="40% - Ênfase4 2 35" xfId="3162"/>
    <cellStyle name="40% - Ênfase4 2 4" xfId="3163"/>
    <cellStyle name="40% - Ênfase4 2 5" xfId="3164"/>
    <cellStyle name="40% - Ênfase4 2 6" xfId="3165"/>
    <cellStyle name="40% - Ênfase4 2 7" xfId="3166"/>
    <cellStyle name="40% - Ênfase4 2 8" xfId="3167"/>
    <cellStyle name="40% - Ênfase4 2 8 2" xfId="3168"/>
    <cellStyle name="40% - Ênfase4 2 8 3" xfId="3169"/>
    <cellStyle name="40% - Ênfase4 2 8 4" xfId="3170"/>
    <cellStyle name="40% - Ênfase4 2 8 5" xfId="3171"/>
    <cellStyle name="40% - Ênfase4 2 8 6" xfId="3172"/>
    <cellStyle name="40% - Ênfase4 2 8 7" xfId="3173"/>
    <cellStyle name="40% - Ênfase4 2 9" xfId="3174"/>
    <cellStyle name="40% - Ênfase4 2 9 2" xfId="3175"/>
    <cellStyle name="40% - Ênfase4 2 9 3" xfId="3176"/>
    <cellStyle name="40% - Ênfase4 2 9 4" xfId="3177"/>
    <cellStyle name="40% - Ênfase4 2 9 5" xfId="3178"/>
    <cellStyle name="40% - Ênfase4 2 9 6" xfId="3179"/>
    <cellStyle name="40% - Ênfase4 2 9 7" xfId="3180"/>
    <cellStyle name="40% - Ênfase4 20" xfId="3181"/>
    <cellStyle name="40% - Ênfase4 20 2" xfId="3182"/>
    <cellStyle name="40% - Ênfase4 20 3" xfId="3183"/>
    <cellStyle name="40% - Ênfase4 21" xfId="3184"/>
    <cellStyle name="40% - Ênfase4 22" xfId="3185"/>
    <cellStyle name="40% - Ênfase4 23" xfId="3186"/>
    <cellStyle name="40% - Ênfase4 24" xfId="3187"/>
    <cellStyle name="40% - Ênfase4 24 2" xfId="40953"/>
    <cellStyle name="40% - Ênfase4 25" xfId="3188"/>
    <cellStyle name="40% - Ênfase4 25 2" xfId="40988"/>
    <cellStyle name="40% - Ênfase4 26" xfId="3189"/>
    <cellStyle name="40% - Ênfase4 26 10" xfId="3190"/>
    <cellStyle name="40% - Ênfase4 26 11" xfId="3191"/>
    <cellStyle name="40% - Ênfase4 26 12" xfId="3192"/>
    <cellStyle name="40% - Ênfase4 26 13" xfId="3193"/>
    <cellStyle name="40% - Ênfase4 26 14" xfId="3194"/>
    <cellStyle name="40% - Ênfase4 26 15" xfId="3195"/>
    <cellStyle name="40% - Ênfase4 26 16" xfId="3196"/>
    <cellStyle name="40% - Ênfase4 26 2" xfId="3197"/>
    <cellStyle name="40% - Ênfase4 26 3" xfId="3198"/>
    <cellStyle name="40% - Ênfase4 26 4" xfId="3199"/>
    <cellStyle name="40% - Ênfase4 26 5" xfId="3200"/>
    <cellStyle name="40% - Ênfase4 26 6" xfId="3201"/>
    <cellStyle name="40% - Ênfase4 26 7" xfId="3202"/>
    <cellStyle name="40% - Ênfase4 26 8" xfId="3203"/>
    <cellStyle name="40% - Ênfase4 26 9" xfId="3204"/>
    <cellStyle name="40% - Ênfase4 27" xfId="3205"/>
    <cellStyle name="40% - Ênfase4 27 10" xfId="3206"/>
    <cellStyle name="40% - Ênfase4 27 11" xfId="3207"/>
    <cellStyle name="40% - Ênfase4 27 12" xfId="3208"/>
    <cellStyle name="40% - Ênfase4 27 13" xfId="3209"/>
    <cellStyle name="40% - Ênfase4 27 14" xfId="3210"/>
    <cellStyle name="40% - Ênfase4 27 15" xfId="3211"/>
    <cellStyle name="40% - Ênfase4 27 16" xfId="3212"/>
    <cellStyle name="40% - Ênfase4 27 2" xfId="3213"/>
    <cellStyle name="40% - Ênfase4 27 3" xfId="3214"/>
    <cellStyle name="40% - Ênfase4 27 4" xfId="3215"/>
    <cellStyle name="40% - Ênfase4 27 5" xfId="3216"/>
    <cellStyle name="40% - Ênfase4 27 6" xfId="3217"/>
    <cellStyle name="40% - Ênfase4 27 7" xfId="3218"/>
    <cellStyle name="40% - Ênfase4 27 8" xfId="3219"/>
    <cellStyle name="40% - Ênfase4 27 9" xfId="3220"/>
    <cellStyle name="40% - Ênfase4 28" xfId="3221"/>
    <cellStyle name="40% - Ênfase4 28 10" xfId="3222"/>
    <cellStyle name="40% - Ênfase4 28 11" xfId="3223"/>
    <cellStyle name="40% - Ênfase4 28 12" xfId="3224"/>
    <cellStyle name="40% - Ênfase4 28 13" xfId="3225"/>
    <cellStyle name="40% - Ênfase4 28 14" xfId="3226"/>
    <cellStyle name="40% - Ênfase4 28 15" xfId="3227"/>
    <cellStyle name="40% - Ênfase4 28 16" xfId="3228"/>
    <cellStyle name="40% - Ênfase4 28 2" xfId="3229"/>
    <cellStyle name="40% - Ênfase4 28 3" xfId="3230"/>
    <cellStyle name="40% - Ênfase4 28 4" xfId="3231"/>
    <cellStyle name="40% - Ênfase4 28 5" xfId="3232"/>
    <cellStyle name="40% - Ênfase4 28 6" xfId="3233"/>
    <cellStyle name="40% - Ênfase4 28 7" xfId="3234"/>
    <cellStyle name="40% - Ênfase4 28 8" xfId="3235"/>
    <cellStyle name="40% - Ênfase4 28 9" xfId="3236"/>
    <cellStyle name="40% - Ênfase4 29" xfId="3237"/>
    <cellStyle name="40% - Ênfase4 29 10" xfId="3238"/>
    <cellStyle name="40% - Ênfase4 29 11" xfId="3239"/>
    <cellStyle name="40% - Ênfase4 29 12" xfId="3240"/>
    <cellStyle name="40% - Ênfase4 29 13" xfId="3241"/>
    <cellStyle name="40% - Ênfase4 29 14" xfId="3242"/>
    <cellStyle name="40% - Ênfase4 29 15" xfId="3243"/>
    <cellStyle name="40% - Ênfase4 29 16" xfId="3244"/>
    <cellStyle name="40% - Ênfase4 29 2" xfId="3245"/>
    <cellStyle name="40% - Ênfase4 29 3" xfId="3246"/>
    <cellStyle name="40% - Ênfase4 29 4" xfId="3247"/>
    <cellStyle name="40% - Ênfase4 29 5" xfId="3248"/>
    <cellStyle name="40% - Ênfase4 29 6" xfId="3249"/>
    <cellStyle name="40% - Ênfase4 29 7" xfId="3250"/>
    <cellStyle name="40% - Ênfase4 29 8" xfId="3251"/>
    <cellStyle name="40% - Ênfase4 29 9" xfId="3252"/>
    <cellStyle name="40% - Ênfase4 3" xfId="3253"/>
    <cellStyle name="40% - Ênfase4 3 10" xfId="3254"/>
    <cellStyle name="40% - Ênfase4 3 11" xfId="3255"/>
    <cellStyle name="40% - Ênfase4 3 2" xfId="3256"/>
    <cellStyle name="40% - Ênfase4 3 3" xfId="3257"/>
    <cellStyle name="40% - Ênfase4 3 4" xfId="3258"/>
    <cellStyle name="40% - Ênfase4 3 5" xfId="3259"/>
    <cellStyle name="40% - Ênfase4 3 6" xfId="3260"/>
    <cellStyle name="40% - Ênfase4 3 7" xfId="3261"/>
    <cellStyle name="40% - Ênfase4 3 8" xfId="3262"/>
    <cellStyle name="40% - Ênfase4 3 9" xfId="3263"/>
    <cellStyle name="40% - Ênfase4 30" xfId="3264"/>
    <cellStyle name="40% - Ênfase4 31" xfId="3265"/>
    <cellStyle name="40% - Ênfase4 32" xfId="3266"/>
    <cellStyle name="40% - Ênfase4 33" xfId="3267"/>
    <cellStyle name="40% - Ênfase4 34" xfId="3268"/>
    <cellStyle name="40% - Ênfase4 35" xfId="3269"/>
    <cellStyle name="40% - Ênfase4 36" xfId="3270"/>
    <cellStyle name="40% - Ênfase4 37" xfId="3271"/>
    <cellStyle name="40% - Ênfase4 38" xfId="3272"/>
    <cellStyle name="40% - Ênfase4 39" xfId="3273"/>
    <cellStyle name="40% - Ênfase4 4" xfId="3274"/>
    <cellStyle name="40% - Ênfase4 4 10" xfId="3275"/>
    <cellStyle name="40% - Ênfase4 4 11" xfId="3276"/>
    <cellStyle name="40% - Ênfase4 4 2" xfId="3277"/>
    <cellStyle name="40% - Ênfase4 4 3" xfId="3278"/>
    <cellStyle name="40% - Ênfase4 4 4" xfId="3279"/>
    <cellStyle name="40% - Ênfase4 4 5" xfId="3280"/>
    <cellStyle name="40% - Ênfase4 4 6" xfId="3281"/>
    <cellStyle name="40% - Ênfase4 4 7" xfId="3282"/>
    <cellStyle name="40% - Ênfase4 4 8" xfId="3283"/>
    <cellStyle name="40% - Ênfase4 4 9" xfId="3284"/>
    <cellStyle name="40% - Ênfase4 40" xfId="3285"/>
    <cellStyle name="40% - Ênfase4 41" xfId="3286"/>
    <cellStyle name="40% - Ênfase4 42" xfId="3287"/>
    <cellStyle name="40% - Ênfase4 43" xfId="3288"/>
    <cellStyle name="40% - Ênfase4 44" xfId="3289"/>
    <cellStyle name="40% - Ênfase4 45" xfId="3290"/>
    <cellStyle name="40% - Ênfase4 46" xfId="3291"/>
    <cellStyle name="40% - Ênfase4 47" xfId="3292"/>
    <cellStyle name="40% - Ênfase4 48" xfId="3293"/>
    <cellStyle name="40% - Ênfase4 49" xfId="3294"/>
    <cellStyle name="40% - Ênfase4 5" xfId="3295"/>
    <cellStyle name="40% - Ênfase4 5 2" xfId="3296"/>
    <cellStyle name="40% - Ênfase4 5 3" xfId="3297"/>
    <cellStyle name="40% - Ênfase4 5 4" xfId="3298"/>
    <cellStyle name="40% - Ênfase4 50" xfId="3299"/>
    <cellStyle name="40% - Ênfase4 51" xfId="3300"/>
    <cellStyle name="40% - Ênfase4 52" xfId="3301"/>
    <cellStyle name="40% - Ênfase4 53" xfId="3302"/>
    <cellStyle name="40% - Ênfase4 54" xfId="3303"/>
    <cellStyle name="40% - Ênfase4 55" xfId="3304"/>
    <cellStyle name="40% - Ênfase4 56" xfId="3305"/>
    <cellStyle name="40% - Ênfase4 57" xfId="3306"/>
    <cellStyle name="40% - Ênfase4 58" xfId="3307"/>
    <cellStyle name="40% - Ênfase4 59" xfId="3308"/>
    <cellStyle name="40% - Ênfase4 6" xfId="3309"/>
    <cellStyle name="40% - Ênfase4 6 2" xfId="3310"/>
    <cellStyle name="40% - Ênfase4 6 3" xfId="3311"/>
    <cellStyle name="40% - Ênfase4 6 4" xfId="3312"/>
    <cellStyle name="40% - Ênfase4 60" xfId="3313"/>
    <cellStyle name="40% - Ênfase4 61" xfId="3314"/>
    <cellStyle name="40% - Ênfase4 62" xfId="3315"/>
    <cellStyle name="40% - Ênfase4 63" xfId="3316"/>
    <cellStyle name="40% - Ênfase4 64" xfId="3317"/>
    <cellStyle name="40% - Ênfase4 65" xfId="3318"/>
    <cellStyle name="40% - Ênfase4 66" xfId="3319"/>
    <cellStyle name="40% - Ênfase4 67" xfId="3320"/>
    <cellStyle name="40% - Ênfase4 68" xfId="3321"/>
    <cellStyle name="40% - Ênfase4 69" xfId="3322"/>
    <cellStyle name="40% - Ênfase4 7" xfId="3323"/>
    <cellStyle name="40% - Ênfase4 7 2" xfId="3324"/>
    <cellStyle name="40% - Ênfase4 7 3" xfId="3325"/>
    <cellStyle name="40% - Ênfase4 7 4" xfId="3326"/>
    <cellStyle name="40% - Ênfase4 70" xfId="3327"/>
    <cellStyle name="40% - Ênfase4 71" xfId="3328"/>
    <cellStyle name="40% - Ênfase4 72" xfId="3329"/>
    <cellStyle name="40% - Ênfase4 73" xfId="3330"/>
    <cellStyle name="40% - Ênfase4 74" xfId="3331"/>
    <cellStyle name="40% - Ênfase4 75" xfId="3332"/>
    <cellStyle name="40% - Ênfase4 76" xfId="3333"/>
    <cellStyle name="40% - Ênfase4 77" xfId="3334"/>
    <cellStyle name="40% - Ênfase4 78" xfId="3335"/>
    <cellStyle name="40% - Ênfase4 79" xfId="3336"/>
    <cellStyle name="40% - Ênfase4 8" xfId="3337"/>
    <cellStyle name="40% - Ênfase4 8 2" xfId="3338"/>
    <cellStyle name="40% - Ênfase4 8 3" xfId="3339"/>
    <cellStyle name="40% - Ênfase4 8 4" xfId="3340"/>
    <cellStyle name="40% - Ênfase4 80" xfId="3341"/>
    <cellStyle name="40% - Ênfase4 81" xfId="3342"/>
    <cellStyle name="40% - Ênfase4 82" xfId="3343"/>
    <cellStyle name="40% - Ênfase4 83" xfId="3344"/>
    <cellStyle name="40% - Ênfase4 84" xfId="3345"/>
    <cellStyle name="40% - Ênfase4 85" xfId="3346"/>
    <cellStyle name="40% - Ênfase4 86" xfId="3347"/>
    <cellStyle name="40% - Ênfase4 87" xfId="3348"/>
    <cellStyle name="40% - Ênfase4 88" xfId="3349"/>
    <cellStyle name="40% - Ênfase4 89" xfId="3350"/>
    <cellStyle name="40% - Ênfase4 9" xfId="3351"/>
    <cellStyle name="40% - Ênfase4 90" xfId="3352"/>
    <cellStyle name="40% - Ênfase4 91" xfId="3353"/>
    <cellStyle name="40% - Ênfase4 92" xfId="3354"/>
    <cellStyle name="40% - Ênfase4 93" xfId="3355"/>
    <cellStyle name="40% - Ênfase4 94" xfId="3356"/>
    <cellStyle name="40% - Ênfase4 95" xfId="3357"/>
    <cellStyle name="40% - Ênfase4 96" xfId="3358"/>
    <cellStyle name="40% - Ênfase4 97" xfId="3359"/>
    <cellStyle name="40% - Ênfase4 98" xfId="3360"/>
    <cellStyle name="40% - Ênfase4 99" xfId="3361"/>
    <cellStyle name="40% - Ênfase5 10" xfId="3362"/>
    <cellStyle name="40% - Ênfase5 10 2" xfId="40515"/>
    <cellStyle name="40% - Ênfase5 100" xfId="3363"/>
    <cellStyle name="40% - Ênfase5 101" xfId="3364"/>
    <cellStyle name="40% - Ênfase5 102" xfId="3365"/>
    <cellStyle name="40% - Ênfase5 103" xfId="3366"/>
    <cellStyle name="40% - Ênfase5 104" xfId="3367"/>
    <cellStyle name="40% - Ênfase5 105" xfId="3368"/>
    <cellStyle name="40% - Ênfase5 106" xfId="3369"/>
    <cellStyle name="40% - Ênfase5 107" xfId="3370"/>
    <cellStyle name="40% - Ênfase5 108" xfId="3371"/>
    <cellStyle name="40% - Ênfase5 109" xfId="3372"/>
    <cellStyle name="40% - Ênfase5 11" xfId="3373"/>
    <cellStyle name="40% - Ênfase5 11 2" xfId="40516"/>
    <cellStyle name="40% - Ênfase5 110" xfId="3374"/>
    <cellStyle name="40% - Ênfase5 111" xfId="3375"/>
    <cellStyle name="40% - Ênfase5 112" xfId="3376"/>
    <cellStyle name="40% - Ênfase5 113" xfId="3377"/>
    <cellStyle name="40% - Ênfase5 114" xfId="3378"/>
    <cellStyle name="40% - Ênfase5 115" xfId="3379"/>
    <cellStyle name="40% - Ênfase5 116" xfId="3380"/>
    <cellStyle name="40% - Ênfase5 117" xfId="3381"/>
    <cellStyle name="40% - Ênfase5 118" xfId="3382"/>
    <cellStyle name="40% - Ênfase5 119" xfId="3383"/>
    <cellStyle name="40% - Ênfase5 12" xfId="3384"/>
    <cellStyle name="40% - Ênfase5 12 2" xfId="40517"/>
    <cellStyle name="40% - Ênfase5 120" xfId="3385"/>
    <cellStyle name="40% - Ênfase5 121" xfId="3386"/>
    <cellStyle name="40% - Ênfase5 122" xfId="3387"/>
    <cellStyle name="40% - Ênfase5 123" xfId="3388"/>
    <cellStyle name="40% - Ênfase5 124" xfId="3389"/>
    <cellStyle name="40% - Ênfase5 125" xfId="3390"/>
    <cellStyle name="40% - Ênfase5 126" xfId="3391"/>
    <cellStyle name="40% - Ênfase5 127" xfId="3392"/>
    <cellStyle name="40% - Ênfase5 128" xfId="3393"/>
    <cellStyle name="40% - Ênfase5 129" xfId="3394"/>
    <cellStyle name="40% - Ênfase5 13" xfId="3395"/>
    <cellStyle name="40% - Ênfase5 13 2" xfId="40518"/>
    <cellStyle name="40% - Ênfase5 130" xfId="3396"/>
    <cellStyle name="40% - Ênfase5 131" xfId="3397"/>
    <cellStyle name="40% - Ênfase5 132" xfId="3398"/>
    <cellStyle name="40% - Ênfase5 133" xfId="3399"/>
    <cellStyle name="40% - Ênfase5 134" xfId="3400"/>
    <cellStyle name="40% - Ênfase5 135" xfId="3401"/>
    <cellStyle name="40% - Ênfase5 136" xfId="3402"/>
    <cellStyle name="40% - Ênfase5 137" xfId="3403"/>
    <cellStyle name="40% - Ênfase5 138" xfId="3404"/>
    <cellStyle name="40% - Ênfase5 139" xfId="3405"/>
    <cellStyle name="40% - Ênfase5 14" xfId="3406"/>
    <cellStyle name="40% - Ênfase5 140" xfId="3407"/>
    <cellStyle name="40% - Ênfase5 141" xfId="3408"/>
    <cellStyle name="40% - Ênfase5 142" xfId="3409"/>
    <cellStyle name="40% - Ênfase5 143" xfId="3410"/>
    <cellStyle name="40% - Ênfase5 144" xfId="3411"/>
    <cellStyle name="40% - Ênfase5 145" xfId="3412"/>
    <cellStyle name="40% - Ênfase5 146" xfId="3413"/>
    <cellStyle name="40% - Ênfase5 147" xfId="3414"/>
    <cellStyle name="40% - Ênfase5 148" xfId="3415"/>
    <cellStyle name="40% - Ênfase5 149" xfId="3416"/>
    <cellStyle name="40% - Ênfase5 15" xfId="3417"/>
    <cellStyle name="40% - Ênfase5 15 2" xfId="3418"/>
    <cellStyle name="40% - Ênfase5 15 3" xfId="3419"/>
    <cellStyle name="40% - Ênfase5 150" xfId="3420"/>
    <cellStyle name="40% - Ênfase5 151" xfId="3421"/>
    <cellStyle name="40% - Ênfase5 152" xfId="3422"/>
    <cellStyle name="40% - Ênfase5 153" xfId="3423"/>
    <cellStyle name="40% - Ênfase5 154" xfId="3424"/>
    <cellStyle name="40% - Ênfase5 155" xfId="3425"/>
    <cellStyle name="40% - Ênfase5 156" xfId="3426"/>
    <cellStyle name="40% - Ênfase5 157" xfId="3427"/>
    <cellStyle name="40% - Ênfase5 158" xfId="3428"/>
    <cellStyle name="40% - Ênfase5 159" xfId="3429"/>
    <cellStyle name="40% - Ênfase5 16" xfId="3430"/>
    <cellStyle name="40% - Ênfase5 16 2" xfId="3431"/>
    <cellStyle name="40% - Ênfase5 16 3" xfId="3432"/>
    <cellStyle name="40% - Ênfase5 160" xfId="3433"/>
    <cellStyle name="40% - Ênfase5 161" xfId="3434"/>
    <cellStyle name="40% - Ênfase5 162" xfId="3435"/>
    <cellStyle name="40% - Ênfase5 163" xfId="3436"/>
    <cellStyle name="40% - Ênfase5 164" xfId="3437"/>
    <cellStyle name="40% - Ênfase5 165" xfId="3438"/>
    <cellStyle name="40% - Ênfase5 166" xfId="3439"/>
    <cellStyle name="40% - Ênfase5 167" xfId="3440"/>
    <cellStyle name="40% - Ênfase5 168" xfId="3441"/>
    <cellStyle name="40% - Ênfase5 169" xfId="3442"/>
    <cellStyle name="40% - Ênfase5 17" xfId="3443"/>
    <cellStyle name="40% - Ênfase5 17 2" xfId="3444"/>
    <cellStyle name="40% - Ênfase5 17 3" xfId="3445"/>
    <cellStyle name="40% - Ênfase5 170" xfId="3446"/>
    <cellStyle name="40% - Ênfase5 171" xfId="3447"/>
    <cellStyle name="40% - Ênfase5 172" xfId="3448"/>
    <cellStyle name="40% - Ênfase5 173" xfId="3449"/>
    <cellStyle name="40% - Ênfase5 174" xfId="3450"/>
    <cellStyle name="40% - Ênfase5 175" xfId="3451"/>
    <cellStyle name="40% - Ênfase5 176" xfId="3452"/>
    <cellStyle name="40% - Ênfase5 177" xfId="3453"/>
    <cellStyle name="40% - Ênfase5 178" xfId="3454"/>
    <cellStyle name="40% - Ênfase5 179" xfId="3455"/>
    <cellStyle name="40% - Ênfase5 18" xfId="3456"/>
    <cellStyle name="40% - Ênfase5 18 2" xfId="3457"/>
    <cellStyle name="40% - Ênfase5 18 3" xfId="3458"/>
    <cellStyle name="40% - Ênfase5 180" xfId="3459"/>
    <cellStyle name="40% - Ênfase5 181" xfId="3460"/>
    <cellStyle name="40% - Ênfase5 182" xfId="3461"/>
    <cellStyle name="40% - Ênfase5 183" xfId="3462"/>
    <cellStyle name="40% - Ênfase5 184" xfId="3463"/>
    <cellStyle name="40% - Ênfase5 185" xfId="3464"/>
    <cellStyle name="40% - Ênfase5 186" xfId="3465"/>
    <cellStyle name="40% - Ênfase5 187" xfId="3466"/>
    <cellStyle name="40% - Ênfase5 188" xfId="3467"/>
    <cellStyle name="40% - Ênfase5 189" xfId="3468"/>
    <cellStyle name="40% - Ênfase5 19" xfId="3469"/>
    <cellStyle name="40% - Ênfase5 19 2" xfId="3470"/>
    <cellStyle name="40% - Ênfase5 19 3" xfId="3471"/>
    <cellStyle name="40% - Ênfase5 190" xfId="3472"/>
    <cellStyle name="40% - Ênfase5 2" xfId="3473"/>
    <cellStyle name="40% - Ênfase5 2 10" xfId="3474"/>
    <cellStyle name="40% - Ênfase5 2 10 2" xfId="3475"/>
    <cellStyle name="40% - Ênfase5 2 10 3" xfId="3476"/>
    <cellStyle name="40% - Ênfase5 2 10 4" xfId="3477"/>
    <cellStyle name="40% - Ênfase5 2 10 5" xfId="3478"/>
    <cellStyle name="40% - Ênfase5 2 10 6" xfId="3479"/>
    <cellStyle name="40% - Ênfase5 2 10 7" xfId="3480"/>
    <cellStyle name="40% - Ênfase5 2 11" xfId="3481"/>
    <cellStyle name="40% - Ênfase5 2 11 2" xfId="3482"/>
    <cellStyle name="40% - Ênfase5 2 11 3" xfId="3483"/>
    <cellStyle name="40% - Ênfase5 2 11 4" xfId="3484"/>
    <cellStyle name="40% - Ênfase5 2 11 5" xfId="3485"/>
    <cellStyle name="40% - Ênfase5 2 11 6" xfId="3486"/>
    <cellStyle name="40% - Ênfase5 2 11 7" xfId="3487"/>
    <cellStyle name="40% - Ênfase5 2 12" xfId="3488"/>
    <cellStyle name="40% - Ênfase5 2 13" xfId="3489"/>
    <cellStyle name="40% - Ênfase5 2 14" xfId="3490"/>
    <cellStyle name="40% - Ênfase5 2 15" xfId="3491"/>
    <cellStyle name="40% - Ênfase5 2 16" xfId="3492"/>
    <cellStyle name="40% - Ênfase5 2 17" xfId="3493"/>
    <cellStyle name="40% - Ênfase5 2 18" xfId="3494"/>
    <cellStyle name="40% - Ênfase5 2 19" xfId="3495"/>
    <cellStyle name="40% - Ênfase5 2 2" xfId="3496"/>
    <cellStyle name="40% - Ênfase5 2 20" xfId="3497"/>
    <cellStyle name="40% - Ênfase5 2 21" xfId="3498"/>
    <cellStyle name="40% - Ênfase5 2 22" xfId="3499"/>
    <cellStyle name="40% - Ênfase5 2 23" xfId="3500"/>
    <cellStyle name="40% - Ênfase5 2 24" xfId="3501"/>
    <cellStyle name="40% - Ênfase5 2 25" xfId="3502"/>
    <cellStyle name="40% - Ênfase5 2 26" xfId="3503"/>
    <cellStyle name="40% - Ênfase5 2 27" xfId="3504"/>
    <cellStyle name="40% - Ênfase5 2 28" xfId="3505"/>
    <cellStyle name="40% - Ênfase5 2 29" xfId="3506"/>
    <cellStyle name="40% - Ênfase5 2 3" xfId="3507"/>
    <cellStyle name="40% - Ênfase5 2 30" xfId="3508"/>
    <cellStyle name="40% - Ênfase5 2 31" xfId="3509"/>
    <cellStyle name="40% - Ênfase5 2 32" xfId="3510"/>
    <cellStyle name="40% - Ênfase5 2 33" xfId="3511"/>
    <cellStyle name="40% - Ênfase5 2 34" xfId="3512"/>
    <cellStyle name="40% - Ênfase5 2 35" xfId="3513"/>
    <cellStyle name="40% - Ênfase5 2 4" xfId="3514"/>
    <cellStyle name="40% - Ênfase5 2 5" xfId="3515"/>
    <cellStyle name="40% - Ênfase5 2 6" xfId="3516"/>
    <cellStyle name="40% - Ênfase5 2 7" xfId="3517"/>
    <cellStyle name="40% - Ênfase5 2 8" xfId="3518"/>
    <cellStyle name="40% - Ênfase5 2 8 2" xfId="3519"/>
    <cellStyle name="40% - Ênfase5 2 8 3" xfId="3520"/>
    <cellStyle name="40% - Ênfase5 2 8 4" xfId="3521"/>
    <cellStyle name="40% - Ênfase5 2 8 5" xfId="3522"/>
    <cellStyle name="40% - Ênfase5 2 8 6" xfId="3523"/>
    <cellStyle name="40% - Ênfase5 2 8 7" xfId="3524"/>
    <cellStyle name="40% - Ênfase5 2 9" xfId="3525"/>
    <cellStyle name="40% - Ênfase5 2 9 2" xfId="3526"/>
    <cellStyle name="40% - Ênfase5 2 9 3" xfId="3527"/>
    <cellStyle name="40% - Ênfase5 2 9 4" xfId="3528"/>
    <cellStyle name="40% - Ênfase5 2 9 5" xfId="3529"/>
    <cellStyle name="40% - Ênfase5 2 9 6" xfId="3530"/>
    <cellStyle name="40% - Ênfase5 2 9 7" xfId="3531"/>
    <cellStyle name="40% - Ênfase5 20" xfId="3532"/>
    <cellStyle name="40% - Ênfase5 20 2" xfId="3533"/>
    <cellStyle name="40% - Ênfase5 20 3" xfId="3534"/>
    <cellStyle name="40% - Ênfase5 21" xfId="3535"/>
    <cellStyle name="40% - Ênfase5 22" xfId="3536"/>
    <cellStyle name="40% - Ênfase5 23" xfId="3537"/>
    <cellStyle name="40% - Ênfase5 24" xfId="3538"/>
    <cellStyle name="40% - Ênfase5 24 2" xfId="40954"/>
    <cellStyle name="40% - Ênfase5 25" xfId="3539"/>
    <cellStyle name="40% - Ênfase5 25 2" xfId="40989"/>
    <cellStyle name="40% - Ênfase5 26" xfId="3540"/>
    <cellStyle name="40% - Ênfase5 26 10" xfId="3541"/>
    <cellStyle name="40% - Ênfase5 26 11" xfId="3542"/>
    <cellStyle name="40% - Ênfase5 26 12" xfId="3543"/>
    <cellStyle name="40% - Ênfase5 26 13" xfId="3544"/>
    <cellStyle name="40% - Ênfase5 26 14" xfId="3545"/>
    <cellStyle name="40% - Ênfase5 26 15" xfId="3546"/>
    <cellStyle name="40% - Ênfase5 26 16" xfId="3547"/>
    <cellStyle name="40% - Ênfase5 26 2" xfId="3548"/>
    <cellStyle name="40% - Ênfase5 26 3" xfId="3549"/>
    <cellStyle name="40% - Ênfase5 26 4" xfId="3550"/>
    <cellStyle name="40% - Ênfase5 26 5" xfId="3551"/>
    <cellStyle name="40% - Ênfase5 26 6" xfId="3552"/>
    <cellStyle name="40% - Ênfase5 26 7" xfId="3553"/>
    <cellStyle name="40% - Ênfase5 26 8" xfId="3554"/>
    <cellStyle name="40% - Ênfase5 26 9" xfId="3555"/>
    <cellStyle name="40% - Ênfase5 27" xfId="3556"/>
    <cellStyle name="40% - Ênfase5 27 10" xfId="3557"/>
    <cellStyle name="40% - Ênfase5 27 11" xfId="3558"/>
    <cellStyle name="40% - Ênfase5 27 12" xfId="3559"/>
    <cellStyle name="40% - Ênfase5 27 13" xfId="3560"/>
    <cellStyle name="40% - Ênfase5 27 14" xfId="3561"/>
    <cellStyle name="40% - Ênfase5 27 15" xfId="3562"/>
    <cellStyle name="40% - Ênfase5 27 16" xfId="3563"/>
    <cellStyle name="40% - Ênfase5 27 2" xfId="3564"/>
    <cellStyle name="40% - Ênfase5 27 3" xfId="3565"/>
    <cellStyle name="40% - Ênfase5 27 4" xfId="3566"/>
    <cellStyle name="40% - Ênfase5 27 5" xfId="3567"/>
    <cellStyle name="40% - Ênfase5 27 6" xfId="3568"/>
    <cellStyle name="40% - Ênfase5 27 7" xfId="3569"/>
    <cellStyle name="40% - Ênfase5 27 8" xfId="3570"/>
    <cellStyle name="40% - Ênfase5 27 9" xfId="3571"/>
    <cellStyle name="40% - Ênfase5 28" xfId="3572"/>
    <cellStyle name="40% - Ênfase5 28 10" xfId="3573"/>
    <cellStyle name="40% - Ênfase5 28 11" xfId="3574"/>
    <cellStyle name="40% - Ênfase5 28 12" xfId="3575"/>
    <cellStyle name="40% - Ênfase5 28 13" xfId="3576"/>
    <cellStyle name="40% - Ênfase5 28 14" xfId="3577"/>
    <cellStyle name="40% - Ênfase5 28 15" xfId="3578"/>
    <cellStyle name="40% - Ênfase5 28 16" xfId="3579"/>
    <cellStyle name="40% - Ênfase5 28 2" xfId="3580"/>
    <cellStyle name="40% - Ênfase5 28 3" xfId="3581"/>
    <cellStyle name="40% - Ênfase5 28 4" xfId="3582"/>
    <cellStyle name="40% - Ênfase5 28 5" xfId="3583"/>
    <cellStyle name="40% - Ênfase5 28 6" xfId="3584"/>
    <cellStyle name="40% - Ênfase5 28 7" xfId="3585"/>
    <cellStyle name="40% - Ênfase5 28 8" xfId="3586"/>
    <cellStyle name="40% - Ênfase5 28 9" xfId="3587"/>
    <cellStyle name="40% - Ênfase5 29" xfId="3588"/>
    <cellStyle name="40% - Ênfase5 29 10" xfId="3589"/>
    <cellStyle name="40% - Ênfase5 29 11" xfId="3590"/>
    <cellStyle name="40% - Ênfase5 29 12" xfId="3591"/>
    <cellStyle name="40% - Ênfase5 29 13" xfId="3592"/>
    <cellStyle name="40% - Ênfase5 29 14" xfId="3593"/>
    <cellStyle name="40% - Ênfase5 29 15" xfId="3594"/>
    <cellStyle name="40% - Ênfase5 29 16" xfId="3595"/>
    <cellStyle name="40% - Ênfase5 29 2" xfId="3596"/>
    <cellStyle name="40% - Ênfase5 29 3" xfId="3597"/>
    <cellStyle name="40% - Ênfase5 29 4" xfId="3598"/>
    <cellStyle name="40% - Ênfase5 29 5" xfId="3599"/>
    <cellStyle name="40% - Ênfase5 29 6" xfId="3600"/>
    <cellStyle name="40% - Ênfase5 29 7" xfId="3601"/>
    <cellStyle name="40% - Ênfase5 29 8" xfId="3602"/>
    <cellStyle name="40% - Ênfase5 29 9" xfId="3603"/>
    <cellStyle name="40% - Ênfase5 3" xfId="3604"/>
    <cellStyle name="40% - Ênfase5 3 10" xfId="3605"/>
    <cellStyle name="40% - Ênfase5 3 11" xfId="3606"/>
    <cellStyle name="40% - Ênfase5 3 2" xfId="3607"/>
    <cellStyle name="40% - Ênfase5 3 3" xfId="3608"/>
    <cellStyle name="40% - Ênfase5 3 4" xfId="3609"/>
    <cellStyle name="40% - Ênfase5 3 5" xfId="3610"/>
    <cellStyle name="40% - Ênfase5 3 6" xfId="3611"/>
    <cellStyle name="40% - Ênfase5 3 7" xfId="3612"/>
    <cellStyle name="40% - Ênfase5 3 8" xfId="3613"/>
    <cellStyle name="40% - Ênfase5 3 9" xfId="3614"/>
    <cellStyle name="40% - Ênfase5 30" xfId="3615"/>
    <cellStyle name="40% - Ênfase5 31" xfId="3616"/>
    <cellStyle name="40% - Ênfase5 32" xfId="3617"/>
    <cellStyle name="40% - Ênfase5 33" xfId="3618"/>
    <cellStyle name="40% - Ênfase5 34" xfId="3619"/>
    <cellStyle name="40% - Ênfase5 35" xfId="3620"/>
    <cellStyle name="40% - Ênfase5 36" xfId="3621"/>
    <cellStyle name="40% - Ênfase5 37" xfId="3622"/>
    <cellStyle name="40% - Ênfase5 38" xfId="3623"/>
    <cellStyle name="40% - Ênfase5 39" xfId="3624"/>
    <cellStyle name="40% - Ênfase5 4" xfId="3625"/>
    <cellStyle name="40% - Ênfase5 4 10" xfId="3626"/>
    <cellStyle name="40% - Ênfase5 4 11" xfId="3627"/>
    <cellStyle name="40% - Ênfase5 4 2" xfId="3628"/>
    <cellStyle name="40% - Ênfase5 4 3" xfId="3629"/>
    <cellStyle name="40% - Ênfase5 4 4" xfId="3630"/>
    <cellStyle name="40% - Ênfase5 4 5" xfId="3631"/>
    <cellStyle name="40% - Ênfase5 4 6" xfId="3632"/>
    <cellStyle name="40% - Ênfase5 4 7" xfId="3633"/>
    <cellStyle name="40% - Ênfase5 4 8" xfId="3634"/>
    <cellStyle name="40% - Ênfase5 4 9" xfId="3635"/>
    <cellStyle name="40% - Ênfase5 40" xfId="3636"/>
    <cellStyle name="40% - Ênfase5 41" xfId="3637"/>
    <cellStyle name="40% - Ênfase5 42" xfId="3638"/>
    <cellStyle name="40% - Ênfase5 43" xfId="3639"/>
    <cellStyle name="40% - Ênfase5 44" xfId="3640"/>
    <cellStyle name="40% - Ênfase5 45" xfId="3641"/>
    <cellStyle name="40% - Ênfase5 46" xfId="3642"/>
    <cellStyle name="40% - Ênfase5 47" xfId="3643"/>
    <cellStyle name="40% - Ênfase5 48" xfId="3644"/>
    <cellStyle name="40% - Ênfase5 49" xfId="3645"/>
    <cellStyle name="40% - Ênfase5 5" xfId="3646"/>
    <cellStyle name="40% - Ênfase5 5 2" xfId="3647"/>
    <cellStyle name="40% - Ênfase5 5 3" xfId="3648"/>
    <cellStyle name="40% - Ênfase5 5 4" xfId="3649"/>
    <cellStyle name="40% - Ênfase5 50" xfId="3650"/>
    <cellStyle name="40% - Ênfase5 51" xfId="3651"/>
    <cellStyle name="40% - Ênfase5 52" xfId="3652"/>
    <cellStyle name="40% - Ênfase5 53" xfId="3653"/>
    <cellStyle name="40% - Ênfase5 54" xfId="3654"/>
    <cellStyle name="40% - Ênfase5 55" xfId="3655"/>
    <cellStyle name="40% - Ênfase5 56" xfId="3656"/>
    <cellStyle name="40% - Ênfase5 57" xfId="3657"/>
    <cellStyle name="40% - Ênfase5 58" xfId="3658"/>
    <cellStyle name="40% - Ênfase5 59" xfId="3659"/>
    <cellStyle name="40% - Ênfase5 6" xfId="3660"/>
    <cellStyle name="40% - Ênfase5 6 2" xfId="3661"/>
    <cellStyle name="40% - Ênfase5 6 3" xfId="3662"/>
    <cellStyle name="40% - Ênfase5 6 4" xfId="3663"/>
    <cellStyle name="40% - Ênfase5 60" xfId="3664"/>
    <cellStyle name="40% - Ênfase5 61" xfId="3665"/>
    <cellStyle name="40% - Ênfase5 62" xfId="3666"/>
    <cellStyle name="40% - Ênfase5 63" xfId="3667"/>
    <cellStyle name="40% - Ênfase5 64" xfId="3668"/>
    <cellStyle name="40% - Ênfase5 65" xfId="3669"/>
    <cellStyle name="40% - Ênfase5 66" xfId="3670"/>
    <cellStyle name="40% - Ênfase5 67" xfId="3671"/>
    <cellStyle name="40% - Ênfase5 68" xfId="3672"/>
    <cellStyle name="40% - Ênfase5 69" xfId="3673"/>
    <cellStyle name="40% - Ênfase5 7" xfId="3674"/>
    <cellStyle name="40% - Ênfase5 7 2" xfId="3675"/>
    <cellStyle name="40% - Ênfase5 7 3" xfId="3676"/>
    <cellStyle name="40% - Ênfase5 7 4" xfId="3677"/>
    <cellStyle name="40% - Ênfase5 70" xfId="3678"/>
    <cellStyle name="40% - Ênfase5 71" xfId="3679"/>
    <cellStyle name="40% - Ênfase5 72" xfId="3680"/>
    <cellStyle name="40% - Ênfase5 73" xfId="3681"/>
    <cellStyle name="40% - Ênfase5 74" xfId="3682"/>
    <cellStyle name="40% - Ênfase5 75" xfId="3683"/>
    <cellStyle name="40% - Ênfase5 76" xfId="3684"/>
    <cellStyle name="40% - Ênfase5 77" xfId="3685"/>
    <cellStyle name="40% - Ênfase5 78" xfId="3686"/>
    <cellStyle name="40% - Ênfase5 79" xfId="3687"/>
    <cellStyle name="40% - Ênfase5 8" xfId="3688"/>
    <cellStyle name="40% - Ênfase5 8 2" xfId="3689"/>
    <cellStyle name="40% - Ênfase5 8 3" xfId="3690"/>
    <cellStyle name="40% - Ênfase5 8 4" xfId="3691"/>
    <cellStyle name="40% - Ênfase5 80" xfId="3692"/>
    <cellStyle name="40% - Ênfase5 81" xfId="3693"/>
    <cellStyle name="40% - Ênfase5 82" xfId="3694"/>
    <cellStyle name="40% - Ênfase5 83" xfId="3695"/>
    <cellStyle name="40% - Ênfase5 84" xfId="3696"/>
    <cellStyle name="40% - Ênfase5 85" xfId="3697"/>
    <cellStyle name="40% - Ênfase5 86" xfId="3698"/>
    <cellStyle name="40% - Ênfase5 87" xfId="3699"/>
    <cellStyle name="40% - Ênfase5 88" xfId="3700"/>
    <cellStyle name="40% - Ênfase5 89" xfId="3701"/>
    <cellStyle name="40% - Ênfase5 9" xfId="3702"/>
    <cellStyle name="40% - Ênfase5 90" xfId="3703"/>
    <cellStyle name="40% - Ênfase5 91" xfId="3704"/>
    <cellStyle name="40% - Ênfase5 92" xfId="3705"/>
    <cellStyle name="40% - Ênfase5 93" xfId="3706"/>
    <cellStyle name="40% - Ênfase5 94" xfId="3707"/>
    <cellStyle name="40% - Ênfase5 95" xfId="3708"/>
    <cellStyle name="40% - Ênfase5 96" xfId="3709"/>
    <cellStyle name="40% - Ênfase5 97" xfId="3710"/>
    <cellStyle name="40% - Ênfase5 98" xfId="3711"/>
    <cellStyle name="40% - Ênfase5 99" xfId="3712"/>
    <cellStyle name="40% - Ênfase6 10" xfId="3713"/>
    <cellStyle name="40% - Ênfase6 10 2" xfId="40519"/>
    <cellStyle name="40% - Ênfase6 100" xfId="3714"/>
    <cellStyle name="40% - Ênfase6 101" xfId="3715"/>
    <cellStyle name="40% - Ênfase6 102" xfId="3716"/>
    <cellStyle name="40% - Ênfase6 103" xfId="3717"/>
    <cellStyle name="40% - Ênfase6 104" xfId="3718"/>
    <cellStyle name="40% - Ênfase6 105" xfId="3719"/>
    <cellStyle name="40% - Ênfase6 106" xfId="3720"/>
    <cellStyle name="40% - Ênfase6 107" xfId="3721"/>
    <cellStyle name="40% - Ênfase6 108" xfId="3722"/>
    <cellStyle name="40% - Ênfase6 109" xfId="3723"/>
    <cellStyle name="40% - Ênfase6 11" xfId="3724"/>
    <cellStyle name="40% - Ênfase6 11 2" xfId="40520"/>
    <cellStyle name="40% - Ênfase6 110" xfId="3725"/>
    <cellStyle name="40% - Ênfase6 111" xfId="3726"/>
    <cellStyle name="40% - Ênfase6 112" xfId="3727"/>
    <cellStyle name="40% - Ênfase6 113" xfId="3728"/>
    <cellStyle name="40% - Ênfase6 114" xfId="3729"/>
    <cellStyle name="40% - Ênfase6 115" xfId="3730"/>
    <cellStyle name="40% - Ênfase6 116" xfId="3731"/>
    <cellStyle name="40% - Ênfase6 117" xfId="3732"/>
    <cellStyle name="40% - Ênfase6 118" xfId="3733"/>
    <cellStyle name="40% - Ênfase6 119" xfId="3734"/>
    <cellStyle name="40% - Ênfase6 12" xfId="3735"/>
    <cellStyle name="40% - Ênfase6 12 2" xfId="40521"/>
    <cellStyle name="40% - Ênfase6 120" xfId="3736"/>
    <cellStyle name="40% - Ênfase6 121" xfId="3737"/>
    <cellStyle name="40% - Ênfase6 122" xfId="3738"/>
    <cellStyle name="40% - Ênfase6 123" xfId="3739"/>
    <cellStyle name="40% - Ênfase6 124" xfId="3740"/>
    <cellStyle name="40% - Ênfase6 125" xfId="3741"/>
    <cellStyle name="40% - Ênfase6 126" xfId="3742"/>
    <cellStyle name="40% - Ênfase6 127" xfId="3743"/>
    <cellStyle name="40% - Ênfase6 128" xfId="3744"/>
    <cellStyle name="40% - Ênfase6 129" xfId="3745"/>
    <cellStyle name="40% - Ênfase6 13" xfId="3746"/>
    <cellStyle name="40% - Ênfase6 13 2" xfId="40522"/>
    <cellStyle name="40% - Ênfase6 130" xfId="3747"/>
    <cellStyle name="40% - Ênfase6 131" xfId="3748"/>
    <cellStyle name="40% - Ênfase6 132" xfId="3749"/>
    <cellStyle name="40% - Ênfase6 133" xfId="3750"/>
    <cellStyle name="40% - Ênfase6 134" xfId="3751"/>
    <cellStyle name="40% - Ênfase6 135" xfId="3752"/>
    <cellStyle name="40% - Ênfase6 136" xfId="3753"/>
    <cellStyle name="40% - Ênfase6 137" xfId="3754"/>
    <cellStyle name="40% - Ênfase6 138" xfId="3755"/>
    <cellStyle name="40% - Ênfase6 139" xfId="3756"/>
    <cellStyle name="40% - Ênfase6 14" xfId="3757"/>
    <cellStyle name="40% - Ênfase6 140" xfId="3758"/>
    <cellStyle name="40% - Ênfase6 141" xfId="3759"/>
    <cellStyle name="40% - Ênfase6 142" xfId="3760"/>
    <cellStyle name="40% - Ênfase6 143" xfId="3761"/>
    <cellStyle name="40% - Ênfase6 144" xfId="3762"/>
    <cellStyle name="40% - Ênfase6 145" xfId="3763"/>
    <cellStyle name="40% - Ênfase6 146" xfId="3764"/>
    <cellStyle name="40% - Ênfase6 147" xfId="3765"/>
    <cellStyle name="40% - Ênfase6 148" xfId="3766"/>
    <cellStyle name="40% - Ênfase6 149" xfId="3767"/>
    <cellStyle name="40% - Ênfase6 15" xfId="3768"/>
    <cellStyle name="40% - Ênfase6 15 2" xfId="3769"/>
    <cellStyle name="40% - Ênfase6 15 3" xfId="3770"/>
    <cellStyle name="40% - Ênfase6 150" xfId="3771"/>
    <cellStyle name="40% - Ênfase6 151" xfId="3772"/>
    <cellStyle name="40% - Ênfase6 152" xfId="3773"/>
    <cellStyle name="40% - Ênfase6 153" xfId="3774"/>
    <cellStyle name="40% - Ênfase6 154" xfId="3775"/>
    <cellStyle name="40% - Ênfase6 155" xfId="3776"/>
    <cellStyle name="40% - Ênfase6 156" xfId="3777"/>
    <cellStyle name="40% - Ênfase6 157" xfId="3778"/>
    <cellStyle name="40% - Ênfase6 158" xfId="3779"/>
    <cellStyle name="40% - Ênfase6 159" xfId="3780"/>
    <cellStyle name="40% - Ênfase6 16" xfId="3781"/>
    <cellStyle name="40% - Ênfase6 16 2" xfId="3782"/>
    <cellStyle name="40% - Ênfase6 16 3" xfId="3783"/>
    <cellStyle name="40% - Ênfase6 160" xfId="3784"/>
    <cellStyle name="40% - Ênfase6 161" xfId="3785"/>
    <cellStyle name="40% - Ênfase6 162" xfId="3786"/>
    <cellStyle name="40% - Ênfase6 163" xfId="3787"/>
    <cellStyle name="40% - Ênfase6 164" xfId="3788"/>
    <cellStyle name="40% - Ênfase6 165" xfId="3789"/>
    <cellStyle name="40% - Ênfase6 166" xfId="3790"/>
    <cellStyle name="40% - Ênfase6 167" xfId="3791"/>
    <cellStyle name="40% - Ênfase6 168" xfId="3792"/>
    <cellStyle name="40% - Ênfase6 169" xfId="3793"/>
    <cellStyle name="40% - Ênfase6 17" xfId="3794"/>
    <cellStyle name="40% - Ênfase6 17 2" xfId="3795"/>
    <cellStyle name="40% - Ênfase6 17 3" xfId="3796"/>
    <cellStyle name="40% - Ênfase6 170" xfId="3797"/>
    <cellStyle name="40% - Ênfase6 171" xfId="3798"/>
    <cellStyle name="40% - Ênfase6 172" xfId="3799"/>
    <cellStyle name="40% - Ênfase6 173" xfId="3800"/>
    <cellStyle name="40% - Ênfase6 174" xfId="3801"/>
    <cellStyle name="40% - Ênfase6 175" xfId="3802"/>
    <cellStyle name="40% - Ênfase6 176" xfId="3803"/>
    <cellStyle name="40% - Ênfase6 177" xfId="3804"/>
    <cellStyle name="40% - Ênfase6 178" xfId="3805"/>
    <cellStyle name="40% - Ênfase6 179" xfId="3806"/>
    <cellStyle name="40% - Ênfase6 18" xfId="3807"/>
    <cellStyle name="40% - Ênfase6 18 2" xfId="3808"/>
    <cellStyle name="40% - Ênfase6 18 3" xfId="3809"/>
    <cellStyle name="40% - Ênfase6 180" xfId="3810"/>
    <cellStyle name="40% - Ênfase6 181" xfId="3811"/>
    <cellStyle name="40% - Ênfase6 182" xfId="3812"/>
    <cellStyle name="40% - Ênfase6 183" xfId="3813"/>
    <cellStyle name="40% - Ênfase6 184" xfId="3814"/>
    <cellStyle name="40% - Ênfase6 185" xfId="3815"/>
    <cellStyle name="40% - Ênfase6 186" xfId="3816"/>
    <cellStyle name="40% - Ênfase6 187" xfId="3817"/>
    <cellStyle name="40% - Ênfase6 188" xfId="3818"/>
    <cellStyle name="40% - Ênfase6 189" xfId="3819"/>
    <cellStyle name="40% - Ênfase6 19" xfId="3820"/>
    <cellStyle name="40% - Ênfase6 19 2" xfId="3821"/>
    <cellStyle name="40% - Ênfase6 19 3" xfId="3822"/>
    <cellStyle name="40% - Ênfase6 190" xfId="3823"/>
    <cellStyle name="40% - Ênfase6 2" xfId="3824"/>
    <cellStyle name="40% - Ênfase6 2 10" xfId="3825"/>
    <cellStyle name="40% - Ênfase6 2 10 2" xfId="3826"/>
    <cellStyle name="40% - Ênfase6 2 10 3" xfId="3827"/>
    <cellStyle name="40% - Ênfase6 2 10 4" xfId="3828"/>
    <cellStyle name="40% - Ênfase6 2 10 5" xfId="3829"/>
    <cellStyle name="40% - Ênfase6 2 10 6" xfId="3830"/>
    <cellStyle name="40% - Ênfase6 2 10 7" xfId="3831"/>
    <cellStyle name="40% - Ênfase6 2 11" xfId="3832"/>
    <cellStyle name="40% - Ênfase6 2 11 2" xfId="3833"/>
    <cellStyle name="40% - Ênfase6 2 11 3" xfId="3834"/>
    <cellStyle name="40% - Ênfase6 2 11 4" xfId="3835"/>
    <cellStyle name="40% - Ênfase6 2 11 5" xfId="3836"/>
    <cellStyle name="40% - Ênfase6 2 11 6" xfId="3837"/>
    <cellStyle name="40% - Ênfase6 2 11 7" xfId="3838"/>
    <cellStyle name="40% - Ênfase6 2 12" xfId="3839"/>
    <cellStyle name="40% - Ênfase6 2 13" xfId="3840"/>
    <cellStyle name="40% - Ênfase6 2 14" xfId="3841"/>
    <cellStyle name="40% - Ênfase6 2 15" xfId="3842"/>
    <cellStyle name="40% - Ênfase6 2 16" xfId="3843"/>
    <cellStyle name="40% - Ênfase6 2 17" xfId="3844"/>
    <cellStyle name="40% - Ênfase6 2 18" xfId="3845"/>
    <cellStyle name="40% - Ênfase6 2 19" xfId="3846"/>
    <cellStyle name="40% - Ênfase6 2 2" xfId="3847"/>
    <cellStyle name="40% - Ênfase6 2 20" xfId="3848"/>
    <cellStyle name="40% - Ênfase6 2 21" xfId="3849"/>
    <cellStyle name="40% - Ênfase6 2 22" xfId="3850"/>
    <cellStyle name="40% - Ênfase6 2 23" xfId="3851"/>
    <cellStyle name="40% - Ênfase6 2 24" xfId="3852"/>
    <cellStyle name="40% - Ênfase6 2 25" xfId="3853"/>
    <cellStyle name="40% - Ênfase6 2 26" xfId="3854"/>
    <cellStyle name="40% - Ênfase6 2 27" xfId="3855"/>
    <cellStyle name="40% - Ênfase6 2 28" xfId="3856"/>
    <cellStyle name="40% - Ênfase6 2 29" xfId="3857"/>
    <cellStyle name="40% - Ênfase6 2 3" xfId="3858"/>
    <cellStyle name="40% - Ênfase6 2 30" xfId="3859"/>
    <cellStyle name="40% - Ênfase6 2 31" xfId="3860"/>
    <cellStyle name="40% - Ênfase6 2 32" xfId="3861"/>
    <cellStyle name="40% - Ênfase6 2 33" xfId="3862"/>
    <cellStyle name="40% - Ênfase6 2 34" xfId="3863"/>
    <cellStyle name="40% - Ênfase6 2 35" xfId="3864"/>
    <cellStyle name="40% - Ênfase6 2 4" xfId="3865"/>
    <cellStyle name="40% - Ênfase6 2 5" xfId="3866"/>
    <cellStyle name="40% - Ênfase6 2 6" xfId="3867"/>
    <cellStyle name="40% - Ênfase6 2 7" xfId="3868"/>
    <cellStyle name="40% - Ênfase6 2 8" xfId="3869"/>
    <cellStyle name="40% - Ênfase6 2 8 2" xfId="3870"/>
    <cellStyle name="40% - Ênfase6 2 8 3" xfId="3871"/>
    <cellStyle name="40% - Ênfase6 2 8 4" xfId="3872"/>
    <cellStyle name="40% - Ênfase6 2 8 5" xfId="3873"/>
    <cellStyle name="40% - Ênfase6 2 8 6" xfId="3874"/>
    <cellStyle name="40% - Ênfase6 2 8 7" xfId="3875"/>
    <cellStyle name="40% - Ênfase6 2 9" xfId="3876"/>
    <cellStyle name="40% - Ênfase6 2 9 2" xfId="3877"/>
    <cellStyle name="40% - Ênfase6 2 9 3" xfId="3878"/>
    <cellStyle name="40% - Ênfase6 2 9 4" xfId="3879"/>
    <cellStyle name="40% - Ênfase6 2 9 5" xfId="3880"/>
    <cellStyle name="40% - Ênfase6 2 9 6" xfId="3881"/>
    <cellStyle name="40% - Ênfase6 2 9 7" xfId="3882"/>
    <cellStyle name="40% - Ênfase6 20" xfId="3883"/>
    <cellStyle name="40% - Ênfase6 20 2" xfId="3884"/>
    <cellStyle name="40% - Ênfase6 20 3" xfId="3885"/>
    <cellStyle name="40% - Ênfase6 21" xfId="3886"/>
    <cellStyle name="40% - Ênfase6 22" xfId="3887"/>
    <cellStyle name="40% - Ênfase6 23" xfId="3888"/>
    <cellStyle name="40% - Ênfase6 24" xfId="3889"/>
    <cellStyle name="40% - Ênfase6 24 2" xfId="40955"/>
    <cellStyle name="40% - Ênfase6 25" xfId="3890"/>
    <cellStyle name="40% - Ênfase6 25 2" xfId="40990"/>
    <cellStyle name="40% - Ênfase6 26" xfId="3891"/>
    <cellStyle name="40% - Ênfase6 26 10" xfId="3892"/>
    <cellStyle name="40% - Ênfase6 26 11" xfId="3893"/>
    <cellStyle name="40% - Ênfase6 26 12" xfId="3894"/>
    <cellStyle name="40% - Ênfase6 26 13" xfId="3895"/>
    <cellStyle name="40% - Ênfase6 26 14" xfId="3896"/>
    <cellStyle name="40% - Ênfase6 26 15" xfId="3897"/>
    <cellStyle name="40% - Ênfase6 26 16" xfId="3898"/>
    <cellStyle name="40% - Ênfase6 26 2" xfId="3899"/>
    <cellStyle name="40% - Ênfase6 26 3" xfId="3900"/>
    <cellStyle name="40% - Ênfase6 26 4" xfId="3901"/>
    <cellStyle name="40% - Ênfase6 26 5" xfId="3902"/>
    <cellStyle name="40% - Ênfase6 26 6" xfId="3903"/>
    <cellStyle name="40% - Ênfase6 26 7" xfId="3904"/>
    <cellStyle name="40% - Ênfase6 26 8" xfId="3905"/>
    <cellStyle name="40% - Ênfase6 26 9" xfId="3906"/>
    <cellStyle name="40% - Ênfase6 27" xfId="3907"/>
    <cellStyle name="40% - Ênfase6 27 10" xfId="3908"/>
    <cellStyle name="40% - Ênfase6 27 11" xfId="3909"/>
    <cellStyle name="40% - Ênfase6 27 12" xfId="3910"/>
    <cellStyle name="40% - Ênfase6 27 13" xfId="3911"/>
    <cellStyle name="40% - Ênfase6 27 14" xfId="3912"/>
    <cellStyle name="40% - Ênfase6 27 15" xfId="3913"/>
    <cellStyle name="40% - Ênfase6 27 16" xfId="3914"/>
    <cellStyle name="40% - Ênfase6 27 2" xfId="3915"/>
    <cellStyle name="40% - Ênfase6 27 3" xfId="3916"/>
    <cellStyle name="40% - Ênfase6 27 4" xfId="3917"/>
    <cellStyle name="40% - Ênfase6 27 5" xfId="3918"/>
    <cellStyle name="40% - Ênfase6 27 6" xfId="3919"/>
    <cellStyle name="40% - Ênfase6 27 7" xfId="3920"/>
    <cellStyle name="40% - Ênfase6 27 8" xfId="3921"/>
    <cellStyle name="40% - Ênfase6 27 9" xfId="3922"/>
    <cellStyle name="40% - Ênfase6 28" xfId="3923"/>
    <cellStyle name="40% - Ênfase6 28 10" xfId="3924"/>
    <cellStyle name="40% - Ênfase6 28 11" xfId="3925"/>
    <cellStyle name="40% - Ênfase6 28 12" xfId="3926"/>
    <cellStyle name="40% - Ênfase6 28 13" xfId="3927"/>
    <cellStyle name="40% - Ênfase6 28 14" xfId="3928"/>
    <cellStyle name="40% - Ênfase6 28 15" xfId="3929"/>
    <cellStyle name="40% - Ênfase6 28 16" xfId="3930"/>
    <cellStyle name="40% - Ênfase6 28 2" xfId="3931"/>
    <cellStyle name="40% - Ênfase6 28 3" xfId="3932"/>
    <cellStyle name="40% - Ênfase6 28 4" xfId="3933"/>
    <cellStyle name="40% - Ênfase6 28 5" xfId="3934"/>
    <cellStyle name="40% - Ênfase6 28 6" xfId="3935"/>
    <cellStyle name="40% - Ênfase6 28 7" xfId="3936"/>
    <cellStyle name="40% - Ênfase6 28 8" xfId="3937"/>
    <cellStyle name="40% - Ênfase6 28 9" xfId="3938"/>
    <cellStyle name="40% - Ênfase6 29" xfId="3939"/>
    <cellStyle name="40% - Ênfase6 29 10" xfId="3940"/>
    <cellStyle name="40% - Ênfase6 29 11" xfId="3941"/>
    <cellStyle name="40% - Ênfase6 29 12" xfId="3942"/>
    <cellStyle name="40% - Ênfase6 29 13" xfId="3943"/>
    <cellStyle name="40% - Ênfase6 29 14" xfId="3944"/>
    <cellStyle name="40% - Ênfase6 29 15" xfId="3945"/>
    <cellStyle name="40% - Ênfase6 29 16" xfId="3946"/>
    <cellStyle name="40% - Ênfase6 29 2" xfId="3947"/>
    <cellStyle name="40% - Ênfase6 29 3" xfId="3948"/>
    <cellStyle name="40% - Ênfase6 29 4" xfId="3949"/>
    <cellStyle name="40% - Ênfase6 29 5" xfId="3950"/>
    <cellStyle name="40% - Ênfase6 29 6" xfId="3951"/>
    <cellStyle name="40% - Ênfase6 29 7" xfId="3952"/>
    <cellStyle name="40% - Ênfase6 29 8" xfId="3953"/>
    <cellStyle name="40% - Ênfase6 29 9" xfId="3954"/>
    <cellStyle name="40% - Ênfase6 3" xfId="3955"/>
    <cellStyle name="40% - Ênfase6 3 10" xfId="3956"/>
    <cellStyle name="40% - Ênfase6 3 11" xfId="3957"/>
    <cellStyle name="40% - Ênfase6 3 2" xfId="3958"/>
    <cellStyle name="40% - Ênfase6 3 3" xfId="3959"/>
    <cellStyle name="40% - Ênfase6 3 4" xfId="3960"/>
    <cellStyle name="40% - Ênfase6 3 5" xfId="3961"/>
    <cellStyle name="40% - Ênfase6 3 6" xfId="3962"/>
    <cellStyle name="40% - Ênfase6 3 7" xfId="3963"/>
    <cellStyle name="40% - Ênfase6 3 8" xfId="3964"/>
    <cellStyle name="40% - Ênfase6 3 9" xfId="3965"/>
    <cellStyle name="40% - Ênfase6 30" xfId="3966"/>
    <cellStyle name="40% - Ênfase6 31" xfId="3967"/>
    <cellStyle name="40% - Ênfase6 32" xfId="3968"/>
    <cellStyle name="40% - Ênfase6 33" xfId="3969"/>
    <cellStyle name="40% - Ênfase6 34" xfId="3970"/>
    <cellStyle name="40% - Ênfase6 35" xfId="3971"/>
    <cellStyle name="40% - Ênfase6 36" xfId="3972"/>
    <cellStyle name="40% - Ênfase6 37" xfId="3973"/>
    <cellStyle name="40% - Ênfase6 38" xfId="3974"/>
    <cellStyle name="40% - Ênfase6 39" xfId="3975"/>
    <cellStyle name="40% - Ênfase6 4" xfId="3976"/>
    <cellStyle name="40% - Ênfase6 4 10" xfId="3977"/>
    <cellStyle name="40% - Ênfase6 4 11" xfId="3978"/>
    <cellStyle name="40% - Ênfase6 4 2" xfId="3979"/>
    <cellStyle name="40% - Ênfase6 4 3" xfId="3980"/>
    <cellStyle name="40% - Ênfase6 4 4" xfId="3981"/>
    <cellStyle name="40% - Ênfase6 4 5" xfId="3982"/>
    <cellStyle name="40% - Ênfase6 4 6" xfId="3983"/>
    <cellStyle name="40% - Ênfase6 4 7" xfId="3984"/>
    <cellStyle name="40% - Ênfase6 4 8" xfId="3985"/>
    <cellStyle name="40% - Ênfase6 4 9" xfId="3986"/>
    <cellStyle name="40% - Ênfase6 40" xfId="3987"/>
    <cellStyle name="40% - Ênfase6 41" xfId="3988"/>
    <cellStyle name="40% - Ênfase6 42" xfId="3989"/>
    <cellStyle name="40% - Ênfase6 43" xfId="3990"/>
    <cellStyle name="40% - Ênfase6 44" xfId="3991"/>
    <cellStyle name="40% - Ênfase6 45" xfId="3992"/>
    <cellStyle name="40% - Ênfase6 46" xfId="3993"/>
    <cellStyle name="40% - Ênfase6 47" xfId="3994"/>
    <cellStyle name="40% - Ênfase6 48" xfId="3995"/>
    <cellStyle name="40% - Ênfase6 49" xfId="3996"/>
    <cellStyle name="40% - Ênfase6 5" xfId="3997"/>
    <cellStyle name="40% - Ênfase6 5 2" xfId="3998"/>
    <cellStyle name="40% - Ênfase6 5 3" xfId="3999"/>
    <cellStyle name="40% - Ênfase6 5 4" xfId="4000"/>
    <cellStyle name="40% - Ênfase6 50" xfId="4001"/>
    <cellStyle name="40% - Ênfase6 51" xfId="4002"/>
    <cellStyle name="40% - Ênfase6 52" xfId="4003"/>
    <cellStyle name="40% - Ênfase6 53" xfId="4004"/>
    <cellStyle name="40% - Ênfase6 54" xfId="4005"/>
    <cellStyle name="40% - Ênfase6 55" xfId="4006"/>
    <cellStyle name="40% - Ênfase6 56" xfId="4007"/>
    <cellStyle name="40% - Ênfase6 57" xfId="4008"/>
    <cellStyle name="40% - Ênfase6 58" xfId="4009"/>
    <cellStyle name="40% - Ênfase6 59" xfId="4010"/>
    <cellStyle name="40% - Ênfase6 6" xfId="4011"/>
    <cellStyle name="40% - Ênfase6 6 2" xfId="4012"/>
    <cellStyle name="40% - Ênfase6 6 3" xfId="4013"/>
    <cellStyle name="40% - Ênfase6 6 4" xfId="4014"/>
    <cellStyle name="40% - Ênfase6 60" xfId="4015"/>
    <cellStyle name="40% - Ênfase6 61" xfId="4016"/>
    <cellStyle name="40% - Ênfase6 62" xfId="4017"/>
    <cellStyle name="40% - Ênfase6 63" xfId="4018"/>
    <cellStyle name="40% - Ênfase6 64" xfId="4019"/>
    <cellStyle name="40% - Ênfase6 65" xfId="4020"/>
    <cellStyle name="40% - Ênfase6 66" xfId="4021"/>
    <cellStyle name="40% - Ênfase6 67" xfId="4022"/>
    <cellStyle name="40% - Ênfase6 68" xfId="4023"/>
    <cellStyle name="40% - Ênfase6 69" xfId="4024"/>
    <cellStyle name="40% - Ênfase6 7" xfId="4025"/>
    <cellStyle name="40% - Ênfase6 7 2" xfId="4026"/>
    <cellStyle name="40% - Ênfase6 7 3" xfId="4027"/>
    <cellStyle name="40% - Ênfase6 7 4" xfId="4028"/>
    <cellStyle name="40% - Ênfase6 70" xfId="4029"/>
    <cellStyle name="40% - Ênfase6 71" xfId="4030"/>
    <cellStyle name="40% - Ênfase6 72" xfId="4031"/>
    <cellStyle name="40% - Ênfase6 73" xfId="4032"/>
    <cellStyle name="40% - Ênfase6 74" xfId="4033"/>
    <cellStyle name="40% - Ênfase6 75" xfId="4034"/>
    <cellStyle name="40% - Ênfase6 76" xfId="4035"/>
    <cellStyle name="40% - Ênfase6 77" xfId="4036"/>
    <cellStyle name="40% - Ênfase6 78" xfId="4037"/>
    <cellStyle name="40% - Ênfase6 79" xfId="4038"/>
    <cellStyle name="40% - Ênfase6 8" xfId="4039"/>
    <cellStyle name="40% - Ênfase6 8 2" xfId="4040"/>
    <cellStyle name="40% - Ênfase6 8 3" xfId="4041"/>
    <cellStyle name="40% - Ênfase6 8 4" xfId="4042"/>
    <cellStyle name="40% - Ênfase6 80" xfId="4043"/>
    <cellStyle name="40% - Ênfase6 81" xfId="4044"/>
    <cellStyle name="40% - Ênfase6 82" xfId="4045"/>
    <cellStyle name="40% - Ênfase6 83" xfId="4046"/>
    <cellStyle name="40% - Ênfase6 84" xfId="4047"/>
    <cellStyle name="40% - Ênfase6 85" xfId="4048"/>
    <cellStyle name="40% - Ênfase6 86" xfId="4049"/>
    <cellStyle name="40% - Ênfase6 87" xfId="4050"/>
    <cellStyle name="40% - Ênfase6 88" xfId="4051"/>
    <cellStyle name="40% - Ênfase6 89" xfId="4052"/>
    <cellStyle name="40% - Ênfase6 9" xfId="4053"/>
    <cellStyle name="40% - Ênfase6 90" xfId="4054"/>
    <cellStyle name="40% - Ênfase6 91" xfId="4055"/>
    <cellStyle name="40% - Ênfase6 92" xfId="4056"/>
    <cellStyle name="40% - Ênfase6 93" xfId="4057"/>
    <cellStyle name="40% - Ênfase6 94" xfId="4058"/>
    <cellStyle name="40% - Ênfase6 95" xfId="4059"/>
    <cellStyle name="40% - Ênfase6 96" xfId="4060"/>
    <cellStyle name="40% - Ênfase6 97" xfId="4061"/>
    <cellStyle name="40% - Ênfase6 98" xfId="4062"/>
    <cellStyle name="40% - Ênfase6 99" xfId="4063"/>
    <cellStyle name="60% - Accent1" xfId="41101"/>
    <cellStyle name="60% - Accent2" xfId="41102"/>
    <cellStyle name="60% - Accent3" xfId="41103"/>
    <cellStyle name="60% - Accent4" xfId="41104"/>
    <cellStyle name="60% - Accent5" xfId="41105"/>
    <cellStyle name="60% - Accent6" xfId="41106"/>
    <cellStyle name="60% - Ênfase1 10" xfId="4064"/>
    <cellStyle name="60% - Ênfase1 10 2" xfId="40523"/>
    <cellStyle name="60% - Ênfase1 100" xfId="4065"/>
    <cellStyle name="60% - Ênfase1 101" xfId="4066"/>
    <cellStyle name="60% - Ênfase1 102" xfId="4067"/>
    <cellStyle name="60% - Ênfase1 103" xfId="4068"/>
    <cellStyle name="60% - Ênfase1 104" xfId="4069"/>
    <cellStyle name="60% - Ênfase1 105" xfId="4070"/>
    <cellStyle name="60% - Ênfase1 106" xfId="4071"/>
    <cellStyle name="60% - Ênfase1 107" xfId="4072"/>
    <cellStyle name="60% - Ênfase1 108" xfId="4073"/>
    <cellStyle name="60% - Ênfase1 109" xfId="4074"/>
    <cellStyle name="60% - Ênfase1 11" xfId="4075"/>
    <cellStyle name="60% - Ênfase1 11 2" xfId="40524"/>
    <cellStyle name="60% - Ênfase1 110" xfId="4076"/>
    <cellStyle name="60% - Ênfase1 111" xfId="4077"/>
    <cellStyle name="60% - Ênfase1 112" xfId="4078"/>
    <cellStyle name="60% - Ênfase1 113" xfId="4079"/>
    <cellStyle name="60% - Ênfase1 114" xfId="4080"/>
    <cellStyle name="60% - Ênfase1 115" xfId="4081"/>
    <cellStyle name="60% - Ênfase1 116" xfId="4082"/>
    <cellStyle name="60% - Ênfase1 117" xfId="4083"/>
    <cellStyle name="60% - Ênfase1 118" xfId="4084"/>
    <cellStyle name="60% - Ênfase1 119" xfId="4085"/>
    <cellStyle name="60% - Ênfase1 12" xfId="4086"/>
    <cellStyle name="60% - Ênfase1 12 2" xfId="40525"/>
    <cellStyle name="60% - Ênfase1 120" xfId="4087"/>
    <cellStyle name="60% - Ênfase1 121" xfId="4088"/>
    <cellStyle name="60% - Ênfase1 122" xfId="4089"/>
    <cellStyle name="60% - Ênfase1 123" xfId="4090"/>
    <cellStyle name="60% - Ênfase1 124" xfId="4091"/>
    <cellStyle name="60% - Ênfase1 125" xfId="4092"/>
    <cellStyle name="60% - Ênfase1 126" xfId="4093"/>
    <cellStyle name="60% - Ênfase1 127" xfId="4094"/>
    <cellStyle name="60% - Ênfase1 128" xfId="4095"/>
    <cellStyle name="60% - Ênfase1 129" xfId="4096"/>
    <cellStyle name="60% - Ênfase1 13" xfId="4097"/>
    <cellStyle name="60% - Ênfase1 13 2" xfId="40526"/>
    <cellStyle name="60% - Ênfase1 130" xfId="4098"/>
    <cellStyle name="60% - Ênfase1 131" xfId="4099"/>
    <cellStyle name="60% - Ênfase1 132" xfId="4100"/>
    <cellStyle name="60% - Ênfase1 133" xfId="4101"/>
    <cellStyle name="60% - Ênfase1 134" xfId="4102"/>
    <cellStyle name="60% - Ênfase1 135" xfId="4103"/>
    <cellStyle name="60% - Ênfase1 136" xfId="4104"/>
    <cellStyle name="60% - Ênfase1 137" xfId="4105"/>
    <cellStyle name="60% - Ênfase1 138" xfId="4106"/>
    <cellStyle name="60% - Ênfase1 139" xfId="4107"/>
    <cellStyle name="60% - Ênfase1 14" xfId="4108"/>
    <cellStyle name="60% - Ênfase1 140" xfId="4109"/>
    <cellStyle name="60% - Ênfase1 141" xfId="4110"/>
    <cellStyle name="60% - Ênfase1 142" xfId="4111"/>
    <cellStyle name="60% - Ênfase1 143" xfId="4112"/>
    <cellStyle name="60% - Ênfase1 144" xfId="4113"/>
    <cellStyle name="60% - Ênfase1 145" xfId="4114"/>
    <cellStyle name="60% - Ênfase1 146" xfId="4115"/>
    <cellStyle name="60% - Ênfase1 147" xfId="4116"/>
    <cellStyle name="60% - Ênfase1 148" xfId="4117"/>
    <cellStyle name="60% - Ênfase1 149" xfId="4118"/>
    <cellStyle name="60% - Ênfase1 15" xfId="4119"/>
    <cellStyle name="60% - Ênfase1 15 2" xfId="4120"/>
    <cellStyle name="60% - Ênfase1 15 3" xfId="4121"/>
    <cellStyle name="60% - Ênfase1 150" xfId="4122"/>
    <cellStyle name="60% - Ênfase1 151" xfId="4123"/>
    <cellStyle name="60% - Ênfase1 152" xfId="4124"/>
    <cellStyle name="60% - Ênfase1 153" xfId="4125"/>
    <cellStyle name="60% - Ênfase1 154" xfId="4126"/>
    <cellStyle name="60% - Ênfase1 155" xfId="4127"/>
    <cellStyle name="60% - Ênfase1 156" xfId="4128"/>
    <cellStyle name="60% - Ênfase1 157" xfId="4129"/>
    <cellStyle name="60% - Ênfase1 158" xfId="4130"/>
    <cellStyle name="60% - Ênfase1 159" xfId="4131"/>
    <cellStyle name="60% - Ênfase1 16" xfId="4132"/>
    <cellStyle name="60% - Ênfase1 16 2" xfId="4133"/>
    <cellStyle name="60% - Ênfase1 16 3" xfId="4134"/>
    <cellStyle name="60% - Ênfase1 160" xfId="4135"/>
    <cellStyle name="60% - Ênfase1 161" xfId="4136"/>
    <cellStyle name="60% - Ênfase1 162" xfId="4137"/>
    <cellStyle name="60% - Ênfase1 163" xfId="4138"/>
    <cellStyle name="60% - Ênfase1 164" xfId="4139"/>
    <cellStyle name="60% - Ênfase1 165" xfId="4140"/>
    <cellStyle name="60% - Ênfase1 166" xfId="4141"/>
    <cellStyle name="60% - Ênfase1 167" xfId="4142"/>
    <cellStyle name="60% - Ênfase1 168" xfId="4143"/>
    <cellStyle name="60% - Ênfase1 169" xfId="4144"/>
    <cellStyle name="60% - Ênfase1 17" xfId="4145"/>
    <cellStyle name="60% - Ênfase1 17 2" xfId="4146"/>
    <cellStyle name="60% - Ênfase1 17 3" xfId="4147"/>
    <cellStyle name="60% - Ênfase1 170" xfId="4148"/>
    <cellStyle name="60% - Ênfase1 171" xfId="4149"/>
    <cellStyle name="60% - Ênfase1 172" xfId="4150"/>
    <cellStyle name="60% - Ênfase1 173" xfId="4151"/>
    <cellStyle name="60% - Ênfase1 174" xfId="4152"/>
    <cellStyle name="60% - Ênfase1 175" xfId="4153"/>
    <cellStyle name="60% - Ênfase1 176" xfId="4154"/>
    <cellStyle name="60% - Ênfase1 177" xfId="4155"/>
    <cellStyle name="60% - Ênfase1 178" xfId="4156"/>
    <cellStyle name="60% - Ênfase1 179" xfId="4157"/>
    <cellStyle name="60% - Ênfase1 18" xfId="4158"/>
    <cellStyle name="60% - Ênfase1 18 2" xfId="4159"/>
    <cellStyle name="60% - Ênfase1 18 3" xfId="4160"/>
    <cellStyle name="60% - Ênfase1 180" xfId="4161"/>
    <cellStyle name="60% - Ênfase1 181" xfId="4162"/>
    <cellStyle name="60% - Ênfase1 182" xfId="4163"/>
    <cellStyle name="60% - Ênfase1 183" xfId="4164"/>
    <cellStyle name="60% - Ênfase1 184" xfId="4165"/>
    <cellStyle name="60% - Ênfase1 185" xfId="4166"/>
    <cellStyle name="60% - Ênfase1 186" xfId="4167"/>
    <cellStyle name="60% - Ênfase1 187" xfId="4168"/>
    <cellStyle name="60% - Ênfase1 188" xfId="4169"/>
    <cellStyle name="60% - Ênfase1 189" xfId="4170"/>
    <cellStyle name="60% - Ênfase1 19" xfId="4171"/>
    <cellStyle name="60% - Ênfase1 19 2" xfId="4172"/>
    <cellStyle name="60% - Ênfase1 19 3" xfId="4173"/>
    <cellStyle name="60% - Ênfase1 190" xfId="4174"/>
    <cellStyle name="60% - Ênfase1 2" xfId="4175"/>
    <cellStyle name="60% - Ênfase1 2 10" xfId="4176"/>
    <cellStyle name="60% - Ênfase1 2 10 2" xfId="4177"/>
    <cellStyle name="60% - Ênfase1 2 10 3" xfId="4178"/>
    <cellStyle name="60% - Ênfase1 2 10 4" xfId="4179"/>
    <cellStyle name="60% - Ênfase1 2 10 5" xfId="4180"/>
    <cellStyle name="60% - Ênfase1 2 10 6" xfId="4181"/>
    <cellStyle name="60% - Ênfase1 2 10 7" xfId="4182"/>
    <cellStyle name="60% - Ênfase1 2 11" xfId="4183"/>
    <cellStyle name="60% - Ênfase1 2 11 2" xfId="4184"/>
    <cellStyle name="60% - Ênfase1 2 11 3" xfId="4185"/>
    <cellStyle name="60% - Ênfase1 2 11 4" xfId="4186"/>
    <cellStyle name="60% - Ênfase1 2 11 5" xfId="4187"/>
    <cellStyle name="60% - Ênfase1 2 11 6" xfId="4188"/>
    <cellStyle name="60% - Ênfase1 2 11 7" xfId="4189"/>
    <cellStyle name="60% - Ênfase1 2 12" xfId="4190"/>
    <cellStyle name="60% - Ênfase1 2 13" xfId="4191"/>
    <cellStyle name="60% - Ênfase1 2 14" xfId="4192"/>
    <cellStyle name="60% - Ênfase1 2 15" xfId="4193"/>
    <cellStyle name="60% - Ênfase1 2 16" xfId="4194"/>
    <cellStyle name="60% - Ênfase1 2 17" xfId="4195"/>
    <cellStyle name="60% - Ênfase1 2 18" xfId="4196"/>
    <cellStyle name="60% - Ênfase1 2 19" xfId="4197"/>
    <cellStyle name="60% - Ênfase1 2 2" xfId="4198"/>
    <cellStyle name="60% - Ênfase1 2 20" xfId="4199"/>
    <cellStyle name="60% - Ênfase1 2 21" xfId="4200"/>
    <cellStyle name="60% - Ênfase1 2 22" xfId="4201"/>
    <cellStyle name="60% - Ênfase1 2 23" xfId="4202"/>
    <cellStyle name="60% - Ênfase1 2 24" xfId="4203"/>
    <cellStyle name="60% - Ênfase1 2 25" xfId="4204"/>
    <cellStyle name="60% - Ênfase1 2 26" xfId="4205"/>
    <cellStyle name="60% - Ênfase1 2 27" xfId="4206"/>
    <cellStyle name="60% - Ênfase1 2 28" xfId="4207"/>
    <cellStyle name="60% - Ênfase1 2 29" xfId="4208"/>
    <cellStyle name="60% - Ênfase1 2 3" xfId="4209"/>
    <cellStyle name="60% - Ênfase1 2 30" xfId="4210"/>
    <cellStyle name="60% - Ênfase1 2 31" xfId="4211"/>
    <cellStyle name="60% - Ênfase1 2 32" xfId="4212"/>
    <cellStyle name="60% - Ênfase1 2 33" xfId="4213"/>
    <cellStyle name="60% - Ênfase1 2 34" xfId="4214"/>
    <cellStyle name="60% - Ênfase1 2 35" xfId="4215"/>
    <cellStyle name="60% - Ênfase1 2 4" xfId="4216"/>
    <cellStyle name="60% - Ênfase1 2 5" xfId="4217"/>
    <cellStyle name="60% - Ênfase1 2 6" xfId="4218"/>
    <cellStyle name="60% - Ênfase1 2 7" xfId="4219"/>
    <cellStyle name="60% - Ênfase1 2 8" xfId="4220"/>
    <cellStyle name="60% - Ênfase1 2 8 2" xfId="4221"/>
    <cellStyle name="60% - Ênfase1 2 8 3" xfId="4222"/>
    <cellStyle name="60% - Ênfase1 2 8 4" xfId="4223"/>
    <cellStyle name="60% - Ênfase1 2 8 5" xfId="4224"/>
    <cellStyle name="60% - Ênfase1 2 8 6" xfId="4225"/>
    <cellStyle name="60% - Ênfase1 2 8 7" xfId="4226"/>
    <cellStyle name="60% - Ênfase1 2 9" xfId="4227"/>
    <cellStyle name="60% - Ênfase1 2 9 2" xfId="4228"/>
    <cellStyle name="60% - Ênfase1 2 9 3" xfId="4229"/>
    <cellStyle name="60% - Ênfase1 2 9 4" xfId="4230"/>
    <cellStyle name="60% - Ênfase1 2 9 5" xfId="4231"/>
    <cellStyle name="60% - Ênfase1 2 9 6" xfId="4232"/>
    <cellStyle name="60% - Ênfase1 2 9 7" xfId="4233"/>
    <cellStyle name="60% - Ênfase1 20" xfId="4234"/>
    <cellStyle name="60% - Ênfase1 20 2" xfId="4235"/>
    <cellStyle name="60% - Ênfase1 20 3" xfId="4236"/>
    <cellStyle name="60% - Ênfase1 21" xfId="4237"/>
    <cellStyle name="60% - Ênfase1 22" xfId="4238"/>
    <cellStyle name="60% - Ênfase1 23" xfId="4239"/>
    <cellStyle name="60% - Ênfase1 24" xfId="4240"/>
    <cellStyle name="60% - Ênfase1 24 2" xfId="40956"/>
    <cellStyle name="60% - Ênfase1 25" xfId="4241"/>
    <cellStyle name="60% - Ênfase1 25 2" xfId="40991"/>
    <cellStyle name="60% - Ênfase1 26" xfId="4242"/>
    <cellStyle name="60% - Ênfase1 26 10" xfId="4243"/>
    <cellStyle name="60% - Ênfase1 26 11" xfId="4244"/>
    <cellStyle name="60% - Ênfase1 26 12" xfId="4245"/>
    <cellStyle name="60% - Ênfase1 26 13" xfId="4246"/>
    <cellStyle name="60% - Ênfase1 26 14" xfId="4247"/>
    <cellStyle name="60% - Ênfase1 26 15" xfId="4248"/>
    <cellStyle name="60% - Ênfase1 26 16" xfId="4249"/>
    <cellStyle name="60% - Ênfase1 26 2" xfId="4250"/>
    <cellStyle name="60% - Ênfase1 26 3" xfId="4251"/>
    <cellStyle name="60% - Ênfase1 26 4" xfId="4252"/>
    <cellStyle name="60% - Ênfase1 26 5" xfId="4253"/>
    <cellStyle name="60% - Ênfase1 26 6" xfId="4254"/>
    <cellStyle name="60% - Ênfase1 26 7" xfId="4255"/>
    <cellStyle name="60% - Ênfase1 26 8" xfId="4256"/>
    <cellStyle name="60% - Ênfase1 26 9" xfId="4257"/>
    <cellStyle name="60% - Ênfase1 27" xfId="4258"/>
    <cellStyle name="60% - Ênfase1 27 10" xfId="4259"/>
    <cellStyle name="60% - Ênfase1 27 11" xfId="4260"/>
    <cellStyle name="60% - Ênfase1 27 12" xfId="4261"/>
    <cellStyle name="60% - Ênfase1 27 13" xfId="4262"/>
    <cellStyle name="60% - Ênfase1 27 14" xfId="4263"/>
    <cellStyle name="60% - Ênfase1 27 15" xfId="4264"/>
    <cellStyle name="60% - Ênfase1 27 16" xfId="4265"/>
    <cellStyle name="60% - Ênfase1 27 2" xfId="4266"/>
    <cellStyle name="60% - Ênfase1 27 3" xfId="4267"/>
    <cellStyle name="60% - Ênfase1 27 4" xfId="4268"/>
    <cellStyle name="60% - Ênfase1 27 5" xfId="4269"/>
    <cellStyle name="60% - Ênfase1 27 6" xfId="4270"/>
    <cellStyle name="60% - Ênfase1 27 7" xfId="4271"/>
    <cellStyle name="60% - Ênfase1 27 8" xfId="4272"/>
    <cellStyle name="60% - Ênfase1 27 9" xfId="4273"/>
    <cellStyle name="60% - Ênfase1 28" xfId="4274"/>
    <cellStyle name="60% - Ênfase1 28 10" xfId="4275"/>
    <cellStyle name="60% - Ênfase1 28 11" xfId="4276"/>
    <cellStyle name="60% - Ênfase1 28 12" xfId="4277"/>
    <cellStyle name="60% - Ênfase1 28 13" xfId="4278"/>
    <cellStyle name="60% - Ênfase1 28 14" xfId="4279"/>
    <cellStyle name="60% - Ênfase1 28 15" xfId="4280"/>
    <cellStyle name="60% - Ênfase1 28 16" xfId="4281"/>
    <cellStyle name="60% - Ênfase1 28 2" xfId="4282"/>
    <cellStyle name="60% - Ênfase1 28 3" xfId="4283"/>
    <cellStyle name="60% - Ênfase1 28 4" xfId="4284"/>
    <cellStyle name="60% - Ênfase1 28 5" xfId="4285"/>
    <cellStyle name="60% - Ênfase1 28 6" xfId="4286"/>
    <cellStyle name="60% - Ênfase1 28 7" xfId="4287"/>
    <cellStyle name="60% - Ênfase1 28 8" xfId="4288"/>
    <cellStyle name="60% - Ênfase1 28 9" xfId="4289"/>
    <cellStyle name="60% - Ênfase1 29" xfId="4290"/>
    <cellStyle name="60% - Ênfase1 29 10" xfId="4291"/>
    <cellStyle name="60% - Ênfase1 29 11" xfId="4292"/>
    <cellStyle name="60% - Ênfase1 29 12" xfId="4293"/>
    <cellStyle name="60% - Ênfase1 29 13" xfId="4294"/>
    <cellStyle name="60% - Ênfase1 29 14" xfId="4295"/>
    <cellStyle name="60% - Ênfase1 29 15" xfId="4296"/>
    <cellStyle name="60% - Ênfase1 29 16" xfId="4297"/>
    <cellStyle name="60% - Ênfase1 29 2" xfId="4298"/>
    <cellStyle name="60% - Ênfase1 29 3" xfId="4299"/>
    <cellStyle name="60% - Ênfase1 29 4" xfId="4300"/>
    <cellStyle name="60% - Ênfase1 29 5" xfId="4301"/>
    <cellStyle name="60% - Ênfase1 29 6" xfId="4302"/>
    <cellStyle name="60% - Ênfase1 29 7" xfId="4303"/>
    <cellStyle name="60% - Ênfase1 29 8" xfId="4304"/>
    <cellStyle name="60% - Ênfase1 29 9" xfId="4305"/>
    <cellStyle name="60% - Ênfase1 3" xfId="4306"/>
    <cellStyle name="60% - Ênfase1 3 10" xfId="4307"/>
    <cellStyle name="60% - Ênfase1 3 11" xfId="4308"/>
    <cellStyle name="60% - Ênfase1 3 2" xfId="4309"/>
    <cellStyle name="60% - Ênfase1 3 3" xfId="4310"/>
    <cellStyle name="60% - Ênfase1 3 4" xfId="4311"/>
    <cellStyle name="60% - Ênfase1 3 5" xfId="4312"/>
    <cellStyle name="60% - Ênfase1 3 6" xfId="4313"/>
    <cellStyle name="60% - Ênfase1 3 7" xfId="4314"/>
    <cellStyle name="60% - Ênfase1 3 8" xfId="4315"/>
    <cellStyle name="60% - Ênfase1 3 9" xfId="4316"/>
    <cellStyle name="60% - Ênfase1 30" xfId="4317"/>
    <cellStyle name="60% - Ênfase1 31" xfId="4318"/>
    <cellStyle name="60% - Ênfase1 32" xfId="4319"/>
    <cellStyle name="60% - Ênfase1 33" xfId="4320"/>
    <cellStyle name="60% - Ênfase1 34" xfId="4321"/>
    <cellStyle name="60% - Ênfase1 35" xfId="4322"/>
    <cellStyle name="60% - Ênfase1 36" xfId="4323"/>
    <cellStyle name="60% - Ênfase1 37" xfId="4324"/>
    <cellStyle name="60% - Ênfase1 38" xfId="4325"/>
    <cellStyle name="60% - Ênfase1 39" xfId="4326"/>
    <cellStyle name="60% - Ênfase1 4" xfId="4327"/>
    <cellStyle name="60% - Ênfase1 4 10" xfId="4328"/>
    <cellStyle name="60% - Ênfase1 4 11" xfId="4329"/>
    <cellStyle name="60% - Ênfase1 4 2" xfId="4330"/>
    <cellStyle name="60% - Ênfase1 4 3" xfId="4331"/>
    <cellStyle name="60% - Ênfase1 4 4" xfId="4332"/>
    <cellStyle name="60% - Ênfase1 4 5" xfId="4333"/>
    <cellStyle name="60% - Ênfase1 4 6" xfId="4334"/>
    <cellStyle name="60% - Ênfase1 4 7" xfId="4335"/>
    <cellStyle name="60% - Ênfase1 4 8" xfId="4336"/>
    <cellStyle name="60% - Ênfase1 4 9" xfId="4337"/>
    <cellStyle name="60% - Ênfase1 40" xfId="4338"/>
    <cellStyle name="60% - Ênfase1 41" xfId="4339"/>
    <cellStyle name="60% - Ênfase1 42" xfId="4340"/>
    <cellStyle name="60% - Ênfase1 43" xfId="4341"/>
    <cellStyle name="60% - Ênfase1 44" xfId="4342"/>
    <cellStyle name="60% - Ênfase1 45" xfId="4343"/>
    <cellStyle name="60% - Ênfase1 46" xfId="4344"/>
    <cellStyle name="60% - Ênfase1 47" xfId="4345"/>
    <cellStyle name="60% - Ênfase1 48" xfId="4346"/>
    <cellStyle name="60% - Ênfase1 49" xfId="4347"/>
    <cellStyle name="60% - Ênfase1 5" xfId="4348"/>
    <cellStyle name="60% - Ênfase1 5 2" xfId="4349"/>
    <cellStyle name="60% - Ênfase1 5 3" xfId="4350"/>
    <cellStyle name="60% - Ênfase1 5 4" xfId="4351"/>
    <cellStyle name="60% - Ênfase1 50" xfId="4352"/>
    <cellStyle name="60% - Ênfase1 51" xfId="4353"/>
    <cellStyle name="60% - Ênfase1 52" xfId="4354"/>
    <cellStyle name="60% - Ênfase1 53" xfId="4355"/>
    <cellStyle name="60% - Ênfase1 54" xfId="4356"/>
    <cellStyle name="60% - Ênfase1 55" xfId="4357"/>
    <cellStyle name="60% - Ênfase1 56" xfId="4358"/>
    <cellStyle name="60% - Ênfase1 57" xfId="4359"/>
    <cellStyle name="60% - Ênfase1 58" xfId="4360"/>
    <cellStyle name="60% - Ênfase1 59" xfId="4361"/>
    <cellStyle name="60% - Ênfase1 6" xfId="4362"/>
    <cellStyle name="60% - Ênfase1 6 2" xfId="4363"/>
    <cellStyle name="60% - Ênfase1 6 3" xfId="4364"/>
    <cellStyle name="60% - Ênfase1 6 4" xfId="4365"/>
    <cellStyle name="60% - Ênfase1 60" xfId="4366"/>
    <cellStyle name="60% - Ênfase1 61" xfId="4367"/>
    <cellStyle name="60% - Ênfase1 62" xfId="4368"/>
    <cellStyle name="60% - Ênfase1 63" xfId="4369"/>
    <cellStyle name="60% - Ênfase1 64" xfId="4370"/>
    <cellStyle name="60% - Ênfase1 65" xfId="4371"/>
    <cellStyle name="60% - Ênfase1 66" xfId="4372"/>
    <cellStyle name="60% - Ênfase1 67" xfId="4373"/>
    <cellStyle name="60% - Ênfase1 68" xfId="4374"/>
    <cellStyle name="60% - Ênfase1 69" xfId="4375"/>
    <cellStyle name="60% - Ênfase1 7" xfId="4376"/>
    <cellStyle name="60% - Ênfase1 7 2" xfId="4377"/>
    <cellStyle name="60% - Ênfase1 7 3" xfId="4378"/>
    <cellStyle name="60% - Ênfase1 7 4" xfId="4379"/>
    <cellStyle name="60% - Ênfase1 70" xfId="4380"/>
    <cellStyle name="60% - Ênfase1 71" xfId="4381"/>
    <cellStyle name="60% - Ênfase1 72" xfId="4382"/>
    <cellStyle name="60% - Ênfase1 73" xfId="4383"/>
    <cellStyle name="60% - Ênfase1 74" xfId="4384"/>
    <cellStyle name="60% - Ênfase1 75" xfId="4385"/>
    <cellStyle name="60% - Ênfase1 76" xfId="4386"/>
    <cellStyle name="60% - Ênfase1 77" xfId="4387"/>
    <cellStyle name="60% - Ênfase1 78" xfId="4388"/>
    <cellStyle name="60% - Ênfase1 79" xfId="4389"/>
    <cellStyle name="60% - Ênfase1 8" xfId="4390"/>
    <cellStyle name="60% - Ênfase1 8 2" xfId="4391"/>
    <cellStyle name="60% - Ênfase1 8 3" xfId="4392"/>
    <cellStyle name="60% - Ênfase1 8 4" xfId="4393"/>
    <cellStyle name="60% - Ênfase1 80" xfId="4394"/>
    <cellStyle name="60% - Ênfase1 81" xfId="4395"/>
    <cellStyle name="60% - Ênfase1 82" xfId="4396"/>
    <cellStyle name="60% - Ênfase1 83" xfId="4397"/>
    <cellStyle name="60% - Ênfase1 84" xfId="4398"/>
    <cellStyle name="60% - Ênfase1 85" xfId="4399"/>
    <cellStyle name="60% - Ênfase1 86" xfId="4400"/>
    <cellStyle name="60% - Ênfase1 87" xfId="4401"/>
    <cellStyle name="60% - Ênfase1 88" xfId="4402"/>
    <cellStyle name="60% - Ênfase1 89" xfId="4403"/>
    <cellStyle name="60% - Ênfase1 9" xfId="4404"/>
    <cellStyle name="60% - Ênfase1 90" xfId="4405"/>
    <cellStyle name="60% - Ênfase1 91" xfId="4406"/>
    <cellStyle name="60% - Ênfase1 92" xfId="4407"/>
    <cellStyle name="60% - Ênfase1 93" xfId="4408"/>
    <cellStyle name="60% - Ênfase1 94" xfId="4409"/>
    <cellStyle name="60% - Ênfase1 95" xfId="4410"/>
    <cellStyle name="60% - Ênfase1 96" xfId="4411"/>
    <cellStyle name="60% - Ênfase1 97" xfId="4412"/>
    <cellStyle name="60% - Ênfase1 98" xfId="4413"/>
    <cellStyle name="60% - Ênfase1 99" xfId="4414"/>
    <cellStyle name="60% - Ênfase2 10" xfId="4415"/>
    <cellStyle name="60% - Ênfase2 10 2" xfId="40527"/>
    <cellStyle name="60% - Ênfase2 100" xfId="4416"/>
    <cellStyle name="60% - Ênfase2 101" xfId="4417"/>
    <cellStyle name="60% - Ênfase2 102" xfId="4418"/>
    <cellStyle name="60% - Ênfase2 103" xfId="4419"/>
    <cellStyle name="60% - Ênfase2 104" xfId="4420"/>
    <cellStyle name="60% - Ênfase2 105" xfId="4421"/>
    <cellStyle name="60% - Ênfase2 106" xfId="4422"/>
    <cellStyle name="60% - Ênfase2 107" xfId="4423"/>
    <cellStyle name="60% - Ênfase2 108" xfId="4424"/>
    <cellStyle name="60% - Ênfase2 109" xfId="4425"/>
    <cellStyle name="60% - Ênfase2 11" xfId="4426"/>
    <cellStyle name="60% - Ênfase2 11 2" xfId="40528"/>
    <cellStyle name="60% - Ênfase2 110" xfId="4427"/>
    <cellStyle name="60% - Ênfase2 111" xfId="4428"/>
    <cellStyle name="60% - Ênfase2 112" xfId="4429"/>
    <cellStyle name="60% - Ênfase2 113" xfId="4430"/>
    <cellStyle name="60% - Ênfase2 114" xfId="4431"/>
    <cellStyle name="60% - Ênfase2 115" xfId="4432"/>
    <cellStyle name="60% - Ênfase2 116" xfId="4433"/>
    <cellStyle name="60% - Ênfase2 117" xfId="4434"/>
    <cellStyle name="60% - Ênfase2 118" xfId="4435"/>
    <cellStyle name="60% - Ênfase2 119" xfId="4436"/>
    <cellStyle name="60% - Ênfase2 12" xfId="4437"/>
    <cellStyle name="60% - Ênfase2 12 2" xfId="40529"/>
    <cellStyle name="60% - Ênfase2 120" xfId="4438"/>
    <cellStyle name="60% - Ênfase2 121" xfId="4439"/>
    <cellStyle name="60% - Ênfase2 122" xfId="4440"/>
    <cellStyle name="60% - Ênfase2 123" xfId="4441"/>
    <cellStyle name="60% - Ênfase2 124" xfId="4442"/>
    <cellStyle name="60% - Ênfase2 125" xfId="4443"/>
    <cellStyle name="60% - Ênfase2 126" xfId="4444"/>
    <cellStyle name="60% - Ênfase2 127" xfId="4445"/>
    <cellStyle name="60% - Ênfase2 128" xfId="4446"/>
    <cellStyle name="60% - Ênfase2 129" xfId="4447"/>
    <cellStyle name="60% - Ênfase2 13" xfId="4448"/>
    <cellStyle name="60% - Ênfase2 13 2" xfId="40530"/>
    <cellStyle name="60% - Ênfase2 130" xfId="4449"/>
    <cellStyle name="60% - Ênfase2 131" xfId="4450"/>
    <cellStyle name="60% - Ênfase2 132" xfId="4451"/>
    <cellStyle name="60% - Ênfase2 133" xfId="4452"/>
    <cellStyle name="60% - Ênfase2 134" xfId="4453"/>
    <cellStyle name="60% - Ênfase2 135" xfId="4454"/>
    <cellStyle name="60% - Ênfase2 136" xfId="4455"/>
    <cellStyle name="60% - Ênfase2 137" xfId="4456"/>
    <cellStyle name="60% - Ênfase2 138" xfId="4457"/>
    <cellStyle name="60% - Ênfase2 139" xfId="4458"/>
    <cellStyle name="60% - Ênfase2 14" xfId="4459"/>
    <cellStyle name="60% - Ênfase2 140" xfId="4460"/>
    <cellStyle name="60% - Ênfase2 141" xfId="4461"/>
    <cellStyle name="60% - Ênfase2 142" xfId="4462"/>
    <cellStyle name="60% - Ênfase2 143" xfId="4463"/>
    <cellStyle name="60% - Ênfase2 144" xfId="4464"/>
    <cellStyle name="60% - Ênfase2 145" xfId="4465"/>
    <cellStyle name="60% - Ênfase2 146" xfId="4466"/>
    <cellStyle name="60% - Ênfase2 147" xfId="4467"/>
    <cellStyle name="60% - Ênfase2 148" xfId="4468"/>
    <cellStyle name="60% - Ênfase2 149" xfId="4469"/>
    <cellStyle name="60% - Ênfase2 15" xfId="4470"/>
    <cellStyle name="60% - Ênfase2 15 2" xfId="4471"/>
    <cellStyle name="60% - Ênfase2 15 3" xfId="4472"/>
    <cellStyle name="60% - Ênfase2 150" xfId="4473"/>
    <cellStyle name="60% - Ênfase2 151" xfId="4474"/>
    <cellStyle name="60% - Ênfase2 152" xfId="4475"/>
    <cellStyle name="60% - Ênfase2 153" xfId="4476"/>
    <cellStyle name="60% - Ênfase2 154" xfId="4477"/>
    <cellStyle name="60% - Ênfase2 155" xfId="4478"/>
    <cellStyle name="60% - Ênfase2 156" xfId="4479"/>
    <cellStyle name="60% - Ênfase2 157" xfId="4480"/>
    <cellStyle name="60% - Ênfase2 158" xfId="4481"/>
    <cellStyle name="60% - Ênfase2 159" xfId="4482"/>
    <cellStyle name="60% - Ênfase2 16" xfId="4483"/>
    <cellStyle name="60% - Ênfase2 16 2" xfId="4484"/>
    <cellStyle name="60% - Ênfase2 16 3" xfId="4485"/>
    <cellStyle name="60% - Ênfase2 160" xfId="4486"/>
    <cellStyle name="60% - Ênfase2 161" xfId="4487"/>
    <cellStyle name="60% - Ênfase2 162" xfId="4488"/>
    <cellStyle name="60% - Ênfase2 163" xfId="4489"/>
    <cellStyle name="60% - Ênfase2 164" xfId="4490"/>
    <cellStyle name="60% - Ênfase2 165" xfId="4491"/>
    <cellStyle name="60% - Ênfase2 166" xfId="4492"/>
    <cellStyle name="60% - Ênfase2 167" xfId="4493"/>
    <cellStyle name="60% - Ênfase2 168" xfId="4494"/>
    <cellStyle name="60% - Ênfase2 169" xfId="4495"/>
    <cellStyle name="60% - Ênfase2 17" xfId="4496"/>
    <cellStyle name="60% - Ênfase2 17 2" xfId="4497"/>
    <cellStyle name="60% - Ênfase2 17 3" xfId="4498"/>
    <cellStyle name="60% - Ênfase2 170" xfId="4499"/>
    <cellStyle name="60% - Ênfase2 171" xfId="4500"/>
    <cellStyle name="60% - Ênfase2 172" xfId="4501"/>
    <cellStyle name="60% - Ênfase2 173" xfId="4502"/>
    <cellStyle name="60% - Ênfase2 174" xfId="4503"/>
    <cellStyle name="60% - Ênfase2 175" xfId="4504"/>
    <cellStyle name="60% - Ênfase2 176" xfId="4505"/>
    <cellStyle name="60% - Ênfase2 177" xfId="4506"/>
    <cellStyle name="60% - Ênfase2 178" xfId="4507"/>
    <cellStyle name="60% - Ênfase2 179" xfId="4508"/>
    <cellStyle name="60% - Ênfase2 18" xfId="4509"/>
    <cellStyle name="60% - Ênfase2 18 2" xfId="4510"/>
    <cellStyle name="60% - Ênfase2 18 3" xfId="4511"/>
    <cellStyle name="60% - Ênfase2 180" xfId="4512"/>
    <cellStyle name="60% - Ênfase2 181" xfId="4513"/>
    <cellStyle name="60% - Ênfase2 182" xfId="4514"/>
    <cellStyle name="60% - Ênfase2 183" xfId="4515"/>
    <cellStyle name="60% - Ênfase2 184" xfId="4516"/>
    <cellStyle name="60% - Ênfase2 185" xfId="4517"/>
    <cellStyle name="60% - Ênfase2 186" xfId="4518"/>
    <cellStyle name="60% - Ênfase2 187" xfId="4519"/>
    <cellStyle name="60% - Ênfase2 188" xfId="4520"/>
    <cellStyle name="60% - Ênfase2 189" xfId="4521"/>
    <cellStyle name="60% - Ênfase2 19" xfId="4522"/>
    <cellStyle name="60% - Ênfase2 19 2" xfId="4523"/>
    <cellStyle name="60% - Ênfase2 19 3" xfId="4524"/>
    <cellStyle name="60% - Ênfase2 190" xfId="4525"/>
    <cellStyle name="60% - Ênfase2 2" xfId="4526"/>
    <cellStyle name="60% - Ênfase2 2 10" xfId="4527"/>
    <cellStyle name="60% - Ênfase2 2 10 2" xfId="4528"/>
    <cellStyle name="60% - Ênfase2 2 10 3" xfId="4529"/>
    <cellStyle name="60% - Ênfase2 2 10 4" xfId="4530"/>
    <cellStyle name="60% - Ênfase2 2 10 5" xfId="4531"/>
    <cellStyle name="60% - Ênfase2 2 10 6" xfId="4532"/>
    <cellStyle name="60% - Ênfase2 2 10 7" xfId="4533"/>
    <cellStyle name="60% - Ênfase2 2 11" xfId="4534"/>
    <cellStyle name="60% - Ênfase2 2 11 2" xfId="4535"/>
    <cellStyle name="60% - Ênfase2 2 11 3" xfId="4536"/>
    <cellStyle name="60% - Ênfase2 2 11 4" xfId="4537"/>
    <cellStyle name="60% - Ênfase2 2 11 5" xfId="4538"/>
    <cellStyle name="60% - Ênfase2 2 11 6" xfId="4539"/>
    <cellStyle name="60% - Ênfase2 2 11 7" xfId="4540"/>
    <cellStyle name="60% - Ênfase2 2 12" xfId="4541"/>
    <cellStyle name="60% - Ênfase2 2 13" xfId="4542"/>
    <cellStyle name="60% - Ênfase2 2 14" xfId="4543"/>
    <cellStyle name="60% - Ênfase2 2 15" xfId="4544"/>
    <cellStyle name="60% - Ênfase2 2 16" xfId="4545"/>
    <cellStyle name="60% - Ênfase2 2 17" xfId="4546"/>
    <cellStyle name="60% - Ênfase2 2 18" xfId="4547"/>
    <cellStyle name="60% - Ênfase2 2 19" xfId="4548"/>
    <cellStyle name="60% - Ênfase2 2 2" xfId="4549"/>
    <cellStyle name="60% - Ênfase2 2 20" xfId="4550"/>
    <cellStyle name="60% - Ênfase2 2 21" xfId="4551"/>
    <cellStyle name="60% - Ênfase2 2 22" xfId="4552"/>
    <cellStyle name="60% - Ênfase2 2 23" xfId="4553"/>
    <cellStyle name="60% - Ênfase2 2 24" xfId="4554"/>
    <cellStyle name="60% - Ênfase2 2 25" xfId="4555"/>
    <cellStyle name="60% - Ênfase2 2 26" xfId="4556"/>
    <cellStyle name="60% - Ênfase2 2 27" xfId="4557"/>
    <cellStyle name="60% - Ênfase2 2 28" xfId="4558"/>
    <cellStyle name="60% - Ênfase2 2 29" xfId="4559"/>
    <cellStyle name="60% - Ênfase2 2 3" xfId="4560"/>
    <cellStyle name="60% - Ênfase2 2 30" xfId="4561"/>
    <cellStyle name="60% - Ênfase2 2 31" xfId="4562"/>
    <cellStyle name="60% - Ênfase2 2 32" xfId="4563"/>
    <cellStyle name="60% - Ênfase2 2 33" xfId="4564"/>
    <cellStyle name="60% - Ênfase2 2 34" xfId="4565"/>
    <cellStyle name="60% - Ênfase2 2 35" xfId="4566"/>
    <cellStyle name="60% - Ênfase2 2 4" xfId="4567"/>
    <cellStyle name="60% - Ênfase2 2 5" xfId="4568"/>
    <cellStyle name="60% - Ênfase2 2 6" xfId="4569"/>
    <cellStyle name="60% - Ênfase2 2 7" xfId="4570"/>
    <cellStyle name="60% - Ênfase2 2 8" xfId="4571"/>
    <cellStyle name="60% - Ênfase2 2 8 2" xfId="4572"/>
    <cellStyle name="60% - Ênfase2 2 8 3" xfId="4573"/>
    <cellStyle name="60% - Ênfase2 2 8 4" xfId="4574"/>
    <cellStyle name="60% - Ênfase2 2 8 5" xfId="4575"/>
    <cellStyle name="60% - Ênfase2 2 8 6" xfId="4576"/>
    <cellStyle name="60% - Ênfase2 2 8 7" xfId="4577"/>
    <cellStyle name="60% - Ênfase2 2 9" xfId="4578"/>
    <cellStyle name="60% - Ênfase2 2 9 2" xfId="4579"/>
    <cellStyle name="60% - Ênfase2 2 9 3" xfId="4580"/>
    <cellStyle name="60% - Ênfase2 2 9 4" xfId="4581"/>
    <cellStyle name="60% - Ênfase2 2 9 5" xfId="4582"/>
    <cellStyle name="60% - Ênfase2 2 9 6" xfId="4583"/>
    <cellStyle name="60% - Ênfase2 2 9 7" xfId="4584"/>
    <cellStyle name="60% - Ênfase2 20" xfId="4585"/>
    <cellStyle name="60% - Ênfase2 20 2" xfId="4586"/>
    <cellStyle name="60% - Ênfase2 20 3" xfId="4587"/>
    <cellStyle name="60% - Ênfase2 21" xfId="4588"/>
    <cellStyle name="60% - Ênfase2 22" xfId="4589"/>
    <cellStyle name="60% - Ênfase2 23" xfId="4590"/>
    <cellStyle name="60% - Ênfase2 24" xfId="4591"/>
    <cellStyle name="60% - Ênfase2 24 2" xfId="40957"/>
    <cellStyle name="60% - Ênfase2 25" xfId="4592"/>
    <cellStyle name="60% - Ênfase2 25 2" xfId="40992"/>
    <cellStyle name="60% - Ênfase2 26" xfId="4593"/>
    <cellStyle name="60% - Ênfase2 26 10" xfId="4594"/>
    <cellStyle name="60% - Ênfase2 26 11" xfId="4595"/>
    <cellStyle name="60% - Ênfase2 26 12" xfId="4596"/>
    <cellStyle name="60% - Ênfase2 26 13" xfId="4597"/>
    <cellStyle name="60% - Ênfase2 26 14" xfId="4598"/>
    <cellStyle name="60% - Ênfase2 26 15" xfId="4599"/>
    <cellStyle name="60% - Ênfase2 26 16" xfId="4600"/>
    <cellStyle name="60% - Ênfase2 26 2" xfId="4601"/>
    <cellStyle name="60% - Ênfase2 26 3" xfId="4602"/>
    <cellStyle name="60% - Ênfase2 26 4" xfId="4603"/>
    <cellStyle name="60% - Ênfase2 26 5" xfId="4604"/>
    <cellStyle name="60% - Ênfase2 26 6" xfId="4605"/>
    <cellStyle name="60% - Ênfase2 26 7" xfId="4606"/>
    <cellStyle name="60% - Ênfase2 26 8" xfId="4607"/>
    <cellStyle name="60% - Ênfase2 26 9" xfId="4608"/>
    <cellStyle name="60% - Ênfase2 27" xfId="4609"/>
    <cellStyle name="60% - Ênfase2 27 10" xfId="4610"/>
    <cellStyle name="60% - Ênfase2 27 11" xfId="4611"/>
    <cellStyle name="60% - Ênfase2 27 12" xfId="4612"/>
    <cellStyle name="60% - Ênfase2 27 13" xfId="4613"/>
    <cellStyle name="60% - Ênfase2 27 14" xfId="4614"/>
    <cellStyle name="60% - Ênfase2 27 15" xfId="4615"/>
    <cellStyle name="60% - Ênfase2 27 16" xfId="4616"/>
    <cellStyle name="60% - Ênfase2 27 2" xfId="4617"/>
    <cellStyle name="60% - Ênfase2 27 3" xfId="4618"/>
    <cellStyle name="60% - Ênfase2 27 4" xfId="4619"/>
    <cellStyle name="60% - Ênfase2 27 5" xfId="4620"/>
    <cellStyle name="60% - Ênfase2 27 6" xfId="4621"/>
    <cellStyle name="60% - Ênfase2 27 7" xfId="4622"/>
    <cellStyle name="60% - Ênfase2 27 8" xfId="4623"/>
    <cellStyle name="60% - Ênfase2 27 9" xfId="4624"/>
    <cellStyle name="60% - Ênfase2 28" xfId="4625"/>
    <cellStyle name="60% - Ênfase2 28 10" xfId="4626"/>
    <cellStyle name="60% - Ênfase2 28 11" xfId="4627"/>
    <cellStyle name="60% - Ênfase2 28 12" xfId="4628"/>
    <cellStyle name="60% - Ênfase2 28 13" xfId="4629"/>
    <cellStyle name="60% - Ênfase2 28 14" xfId="4630"/>
    <cellStyle name="60% - Ênfase2 28 15" xfId="4631"/>
    <cellStyle name="60% - Ênfase2 28 16" xfId="4632"/>
    <cellStyle name="60% - Ênfase2 28 2" xfId="4633"/>
    <cellStyle name="60% - Ênfase2 28 3" xfId="4634"/>
    <cellStyle name="60% - Ênfase2 28 4" xfId="4635"/>
    <cellStyle name="60% - Ênfase2 28 5" xfId="4636"/>
    <cellStyle name="60% - Ênfase2 28 6" xfId="4637"/>
    <cellStyle name="60% - Ênfase2 28 7" xfId="4638"/>
    <cellStyle name="60% - Ênfase2 28 8" xfId="4639"/>
    <cellStyle name="60% - Ênfase2 28 9" xfId="4640"/>
    <cellStyle name="60% - Ênfase2 29" xfId="4641"/>
    <cellStyle name="60% - Ênfase2 29 10" xfId="4642"/>
    <cellStyle name="60% - Ênfase2 29 11" xfId="4643"/>
    <cellStyle name="60% - Ênfase2 29 12" xfId="4644"/>
    <cellStyle name="60% - Ênfase2 29 13" xfId="4645"/>
    <cellStyle name="60% - Ênfase2 29 14" xfId="4646"/>
    <cellStyle name="60% - Ênfase2 29 15" xfId="4647"/>
    <cellStyle name="60% - Ênfase2 29 16" xfId="4648"/>
    <cellStyle name="60% - Ênfase2 29 2" xfId="4649"/>
    <cellStyle name="60% - Ênfase2 29 3" xfId="4650"/>
    <cellStyle name="60% - Ênfase2 29 4" xfId="4651"/>
    <cellStyle name="60% - Ênfase2 29 5" xfId="4652"/>
    <cellStyle name="60% - Ênfase2 29 6" xfId="4653"/>
    <cellStyle name="60% - Ênfase2 29 7" xfId="4654"/>
    <cellStyle name="60% - Ênfase2 29 8" xfId="4655"/>
    <cellStyle name="60% - Ênfase2 29 9" xfId="4656"/>
    <cellStyle name="60% - Ênfase2 3" xfId="4657"/>
    <cellStyle name="60% - Ênfase2 3 10" xfId="4658"/>
    <cellStyle name="60% - Ênfase2 3 11" xfId="4659"/>
    <cellStyle name="60% - Ênfase2 3 2" xfId="4660"/>
    <cellStyle name="60% - Ênfase2 3 3" xfId="4661"/>
    <cellStyle name="60% - Ênfase2 3 4" xfId="4662"/>
    <cellStyle name="60% - Ênfase2 3 5" xfId="4663"/>
    <cellStyle name="60% - Ênfase2 3 6" xfId="4664"/>
    <cellStyle name="60% - Ênfase2 3 7" xfId="4665"/>
    <cellStyle name="60% - Ênfase2 3 8" xfId="4666"/>
    <cellStyle name="60% - Ênfase2 3 9" xfId="4667"/>
    <cellStyle name="60% - Ênfase2 30" xfId="4668"/>
    <cellStyle name="60% - Ênfase2 31" xfId="4669"/>
    <cellStyle name="60% - Ênfase2 32" xfId="4670"/>
    <cellStyle name="60% - Ênfase2 33" xfId="4671"/>
    <cellStyle name="60% - Ênfase2 34" xfId="4672"/>
    <cellStyle name="60% - Ênfase2 35" xfId="4673"/>
    <cellStyle name="60% - Ênfase2 36" xfId="4674"/>
    <cellStyle name="60% - Ênfase2 37" xfId="4675"/>
    <cellStyle name="60% - Ênfase2 38" xfId="4676"/>
    <cellStyle name="60% - Ênfase2 39" xfId="4677"/>
    <cellStyle name="60% - Ênfase2 4" xfId="4678"/>
    <cellStyle name="60% - Ênfase2 4 10" xfId="4679"/>
    <cellStyle name="60% - Ênfase2 4 11" xfId="4680"/>
    <cellStyle name="60% - Ênfase2 4 2" xfId="4681"/>
    <cellStyle name="60% - Ênfase2 4 3" xfId="4682"/>
    <cellStyle name="60% - Ênfase2 4 4" xfId="4683"/>
    <cellStyle name="60% - Ênfase2 4 5" xfId="4684"/>
    <cellStyle name="60% - Ênfase2 4 6" xfId="4685"/>
    <cellStyle name="60% - Ênfase2 4 7" xfId="4686"/>
    <cellStyle name="60% - Ênfase2 4 8" xfId="4687"/>
    <cellStyle name="60% - Ênfase2 4 9" xfId="4688"/>
    <cellStyle name="60% - Ênfase2 40" xfId="4689"/>
    <cellStyle name="60% - Ênfase2 41" xfId="4690"/>
    <cellStyle name="60% - Ênfase2 42" xfId="4691"/>
    <cellStyle name="60% - Ênfase2 43" xfId="4692"/>
    <cellStyle name="60% - Ênfase2 44" xfId="4693"/>
    <cellStyle name="60% - Ênfase2 45" xfId="4694"/>
    <cellStyle name="60% - Ênfase2 46" xfId="4695"/>
    <cellStyle name="60% - Ênfase2 47" xfId="4696"/>
    <cellStyle name="60% - Ênfase2 48" xfId="4697"/>
    <cellStyle name="60% - Ênfase2 49" xfId="4698"/>
    <cellStyle name="60% - Ênfase2 5" xfId="4699"/>
    <cellStyle name="60% - Ênfase2 5 2" xfId="4700"/>
    <cellStyle name="60% - Ênfase2 5 3" xfId="4701"/>
    <cellStyle name="60% - Ênfase2 5 4" xfId="4702"/>
    <cellStyle name="60% - Ênfase2 50" xfId="4703"/>
    <cellStyle name="60% - Ênfase2 51" xfId="4704"/>
    <cellStyle name="60% - Ênfase2 52" xfId="4705"/>
    <cellStyle name="60% - Ênfase2 53" xfId="4706"/>
    <cellStyle name="60% - Ênfase2 54" xfId="4707"/>
    <cellStyle name="60% - Ênfase2 55" xfId="4708"/>
    <cellStyle name="60% - Ênfase2 56" xfId="4709"/>
    <cellStyle name="60% - Ênfase2 57" xfId="4710"/>
    <cellStyle name="60% - Ênfase2 58" xfId="4711"/>
    <cellStyle name="60% - Ênfase2 59" xfId="4712"/>
    <cellStyle name="60% - Ênfase2 6" xfId="4713"/>
    <cellStyle name="60% - Ênfase2 6 2" xfId="4714"/>
    <cellStyle name="60% - Ênfase2 6 3" xfId="4715"/>
    <cellStyle name="60% - Ênfase2 6 4" xfId="4716"/>
    <cellStyle name="60% - Ênfase2 60" xfId="4717"/>
    <cellStyle name="60% - Ênfase2 61" xfId="4718"/>
    <cellStyle name="60% - Ênfase2 62" xfId="4719"/>
    <cellStyle name="60% - Ênfase2 63" xfId="4720"/>
    <cellStyle name="60% - Ênfase2 64" xfId="4721"/>
    <cellStyle name="60% - Ênfase2 65" xfId="4722"/>
    <cellStyle name="60% - Ênfase2 66" xfId="4723"/>
    <cellStyle name="60% - Ênfase2 67" xfId="4724"/>
    <cellStyle name="60% - Ênfase2 68" xfId="4725"/>
    <cellStyle name="60% - Ênfase2 69" xfId="4726"/>
    <cellStyle name="60% - Ênfase2 7" xfId="4727"/>
    <cellStyle name="60% - Ênfase2 7 2" xfId="4728"/>
    <cellStyle name="60% - Ênfase2 7 3" xfId="4729"/>
    <cellStyle name="60% - Ênfase2 7 4" xfId="4730"/>
    <cellStyle name="60% - Ênfase2 70" xfId="4731"/>
    <cellStyle name="60% - Ênfase2 71" xfId="4732"/>
    <cellStyle name="60% - Ênfase2 72" xfId="4733"/>
    <cellStyle name="60% - Ênfase2 73" xfId="4734"/>
    <cellStyle name="60% - Ênfase2 74" xfId="4735"/>
    <cellStyle name="60% - Ênfase2 75" xfId="4736"/>
    <cellStyle name="60% - Ênfase2 76" xfId="4737"/>
    <cellStyle name="60% - Ênfase2 77" xfId="4738"/>
    <cellStyle name="60% - Ênfase2 78" xfId="4739"/>
    <cellStyle name="60% - Ênfase2 79" xfId="4740"/>
    <cellStyle name="60% - Ênfase2 8" xfId="4741"/>
    <cellStyle name="60% - Ênfase2 8 2" xfId="4742"/>
    <cellStyle name="60% - Ênfase2 8 3" xfId="4743"/>
    <cellStyle name="60% - Ênfase2 8 4" xfId="4744"/>
    <cellStyle name="60% - Ênfase2 80" xfId="4745"/>
    <cellStyle name="60% - Ênfase2 81" xfId="4746"/>
    <cellStyle name="60% - Ênfase2 82" xfId="4747"/>
    <cellStyle name="60% - Ênfase2 83" xfId="4748"/>
    <cellStyle name="60% - Ênfase2 84" xfId="4749"/>
    <cellStyle name="60% - Ênfase2 85" xfId="4750"/>
    <cellStyle name="60% - Ênfase2 86" xfId="4751"/>
    <cellStyle name="60% - Ênfase2 87" xfId="4752"/>
    <cellStyle name="60% - Ênfase2 88" xfId="4753"/>
    <cellStyle name="60% - Ênfase2 89" xfId="4754"/>
    <cellStyle name="60% - Ênfase2 9" xfId="4755"/>
    <cellStyle name="60% - Ênfase2 90" xfId="4756"/>
    <cellStyle name="60% - Ênfase2 91" xfId="4757"/>
    <cellStyle name="60% - Ênfase2 92" xfId="4758"/>
    <cellStyle name="60% - Ênfase2 93" xfId="4759"/>
    <cellStyle name="60% - Ênfase2 94" xfId="4760"/>
    <cellStyle name="60% - Ênfase2 95" xfId="4761"/>
    <cellStyle name="60% - Ênfase2 96" xfId="4762"/>
    <cellStyle name="60% - Ênfase2 97" xfId="4763"/>
    <cellStyle name="60% - Ênfase2 98" xfId="4764"/>
    <cellStyle name="60% - Ênfase2 99" xfId="4765"/>
    <cellStyle name="60% - Ênfase3 10" xfId="4766"/>
    <cellStyle name="60% - Ênfase3 10 2" xfId="40531"/>
    <cellStyle name="60% - Ênfase3 100" xfId="4767"/>
    <cellStyle name="60% - Ênfase3 101" xfId="4768"/>
    <cellStyle name="60% - Ênfase3 102" xfId="4769"/>
    <cellStyle name="60% - Ênfase3 103" xfId="4770"/>
    <cellStyle name="60% - Ênfase3 104" xfId="4771"/>
    <cellStyle name="60% - Ênfase3 105" xfId="4772"/>
    <cellStyle name="60% - Ênfase3 106" xfId="4773"/>
    <cellStyle name="60% - Ênfase3 107" xfId="4774"/>
    <cellStyle name="60% - Ênfase3 108" xfId="4775"/>
    <cellStyle name="60% - Ênfase3 109" xfId="4776"/>
    <cellStyle name="60% - Ênfase3 11" xfId="4777"/>
    <cellStyle name="60% - Ênfase3 11 2" xfId="40532"/>
    <cellStyle name="60% - Ênfase3 110" xfId="4778"/>
    <cellStyle name="60% - Ênfase3 111" xfId="4779"/>
    <cellStyle name="60% - Ênfase3 112" xfId="4780"/>
    <cellStyle name="60% - Ênfase3 113" xfId="4781"/>
    <cellStyle name="60% - Ênfase3 114" xfId="4782"/>
    <cellStyle name="60% - Ênfase3 115" xfId="4783"/>
    <cellStyle name="60% - Ênfase3 116" xfId="4784"/>
    <cellStyle name="60% - Ênfase3 117" xfId="4785"/>
    <cellStyle name="60% - Ênfase3 118" xfId="4786"/>
    <cellStyle name="60% - Ênfase3 119" xfId="4787"/>
    <cellStyle name="60% - Ênfase3 12" xfId="4788"/>
    <cellStyle name="60% - Ênfase3 12 2" xfId="40533"/>
    <cellStyle name="60% - Ênfase3 120" xfId="4789"/>
    <cellStyle name="60% - Ênfase3 121" xfId="4790"/>
    <cellStyle name="60% - Ênfase3 122" xfId="4791"/>
    <cellStyle name="60% - Ênfase3 123" xfId="4792"/>
    <cellStyle name="60% - Ênfase3 124" xfId="4793"/>
    <cellStyle name="60% - Ênfase3 125" xfId="4794"/>
    <cellStyle name="60% - Ênfase3 126" xfId="4795"/>
    <cellStyle name="60% - Ênfase3 127" xfId="4796"/>
    <cellStyle name="60% - Ênfase3 128" xfId="4797"/>
    <cellStyle name="60% - Ênfase3 129" xfId="4798"/>
    <cellStyle name="60% - Ênfase3 13" xfId="4799"/>
    <cellStyle name="60% - Ênfase3 13 2" xfId="40534"/>
    <cellStyle name="60% - Ênfase3 130" xfId="4800"/>
    <cellStyle name="60% - Ênfase3 131" xfId="4801"/>
    <cellStyle name="60% - Ênfase3 132" xfId="4802"/>
    <cellStyle name="60% - Ênfase3 133" xfId="4803"/>
    <cellStyle name="60% - Ênfase3 134" xfId="4804"/>
    <cellStyle name="60% - Ênfase3 135" xfId="4805"/>
    <cellStyle name="60% - Ênfase3 136" xfId="4806"/>
    <cellStyle name="60% - Ênfase3 137" xfId="4807"/>
    <cellStyle name="60% - Ênfase3 138" xfId="4808"/>
    <cellStyle name="60% - Ênfase3 139" xfId="4809"/>
    <cellStyle name="60% - Ênfase3 14" xfId="4810"/>
    <cellStyle name="60% - Ênfase3 140" xfId="4811"/>
    <cellStyle name="60% - Ênfase3 141" xfId="4812"/>
    <cellStyle name="60% - Ênfase3 142" xfId="4813"/>
    <cellStyle name="60% - Ênfase3 143" xfId="4814"/>
    <cellStyle name="60% - Ênfase3 144" xfId="4815"/>
    <cellStyle name="60% - Ênfase3 145" xfId="4816"/>
    <cellStyle name="60% - Ênfase3 146" xfId="4817"/>
    <cellStyle name="60% - Ênfase3 147" xfId="4818"/>
    <cellStyle name="60% - Ênfase3 148" xfId="4819"/>
    <cellStyle name="60% - Ênfase3 149" xfId="4820"/>
    <cellStyle name="60% - Ênfase3 15" xfId="4821"/>
    <cellStyle name="60% - Ênfase3 15 2" xfId="4822"/>
    <cellStyle name="60% - Ênfase3 15 3" xfId="4823"/>
    <cellStyle name="60% - Ênfase3 150" xfId="4824"/>
    <cellStyle name="60% - Ênfase3 151" xfId="4825"/>
    <cellStyle name="60% - Ênfase3 152" xfId="4826"/>
    <cellStyle name="60% - Ênfase3 153" xfId="4827"/>
    <cellStyle name="60% - Ênfase3 154" xfId="4828"/>
    <cellStyle name="60% - Ênfase3 155" xfId="4829"/>
    <cellStyle name="60% - Ênfase3 156" xfId="4830"/>
    <cellStyle name="60% - Ênfase3 157" xfId="4831"/>
    <cellStyle name="60% - Ênfase3 158" xfId="4832"/>
    <cellStyle name="60% - Ênfase3 159" xfId="4833"/>
    <cellStyle name="60% - Ênfase3 16" xfId="4834"/>
    <cellStyle name="60% - Ênfase3 16 2" xfId="4835"/>
    <cellStyle name="60% - Ênfase3 16 3" xfId="4836"/>
    <cellStyle name="60% - Ênfase3 160" xfId="4837"/>
    <cellStyle name="60% - Ênfase3 161" xfId="4838"/>
    <cellStyle name="60% - Ênfase3 162" xfId="4839"/>
    <cellStyle name="60% - Ênfase3 163" xfId="4840"/>
    <cellStyle name="60% - Ênfase3 164" xfId="4841"/>
    <cellStyle name="60% - Ênfase3 165" xfId="4842"/>
    <cellStyle name="60% - Ênfase3 166" xfId="4843"/>
    <cellStyle name="60% - Ênfase3 167" xfId="4844"/>
    <cellStyle name="60% - Ênfase3 168" xfId="4845"/>
    <cellStyle name="60% - Ênfase3 169" xfId="4846"/>
    <cellStyle name="60% - Ênfase3 17" xfId="4847"/>
    <cellStyle name="60% - Ênfase3 17 2" xfId="4848"/>
    <cellStyle name="60% - Ênfase3 17 3" xfId="4849"/>
    <cellStyle name="60% - Ênfase3 170" xfId="4850"/>
    <cellStyle name="60% - Ênfase3 171" xfId="4851"/>
    <cellStyle name="60% - Ênfase3 172" xfId="4852"/>
    <cellStyle name="60% - Ênfase3 173" xfId="4853"/>
    <cellStyle name="60% - Ênfase3 174" xfId="4854"/>
    <cellStyle name="60% - Ênfase3 175" xfId="4855"/>
    <cellStyle name="60% - Ênfase3 176" xfId="4856"/>
    <cellStyle name="60% - Ênfase3 177" xfId="4857"/>
    <cellStyle name="60% - Ênfase3 178" xfId="4858"/>
    <cellStyle name="60% - Ênfase3 179" xfId="4859"/>
    <cellStyle name="60% - Ênfase3 18" xfId="4860"/>
    <cellStyle name="60% - Ênfase3 18 2" xfId="4861"/>
    <cellStyle name="60% - Ênfase3 18 3" xfId="4862"/>
    <cellStyle name="60% - Ênfase3 180" xfId="4863"/>
    <cellStyle name="60% - Ênfase3 181" xfId="4864"/>
    <cellStyle name="60% - Ênfase3 182" xfId="4865"/>
    <cellStyle name="60% - Ênfase3 183" xfId="4866"/>
    <cellStyle name="60% - Ênfase3 184" xfId="4867"/>
    <cellStyle name="60% - Ênfase3 185" xfId="4868"/>
    <cellStyle name="60% - Ênfase3 186" xfId="4869"/>
    <cellStyle name="60% - Ênfase3 187" xfId="4870"/>
    <cellStyle name="60% - Ênfase3 188" xfId="4871"/>
    <cellStyle name="60% - Ênfase3 189" xfId="4872"/>
    <cellStyle name="60% - Ênfase3 19" xfId="4873"/>
    <cellStyle name="60% - Ênfase3 19 2" xfId="4874"/>
    <cellStyle name="60% - Ênfase3 19 3" xfId="4875"/>
    <cellStyle name="60% - Ênfase3 190" xfId="4876"/>
    <cellStyle name="60% - Ênfase3 2" xfId="4877"/>
    <cellStyle name="60% - Ênfase3 2 10" xfId="4878"/>
    <cellStyle name="60% - Ênfase3 2 10 2" xfId="4879"/>
    <cellStyle name="60% - Ênfase3 2 10 3" xfId="4880"/>
    <cellStyle name="60% - Ênfase3 2 10 4" xfId="4881"/>
    <cellStyle name="60% - Ênfase3 2 10 5" xfId="4882"/>
    <cellStyle name="60% - Ênfase3 2 10 6" xfId="4883"/>
    <cellStyle name="60% - Ênfase3 2 10 7" xfId="4884"/>
    <cellStyle name="60% - Ênfase3 2 11" xfId="4885"/>
    <cellStyle name="60% - Ênfase3 2 11 2" xfId="4886"/>
    <cellStyle name="60% - Ênfase3 2 11 3" xfId="4887"/>
    <cellStyle name="60% - Ênfase3 2 11 4" xfId="4888"/>
    <cellStyle name="60% - Ênfase3 2 11 5" xfId="4889"/>
    <cellStyle name="60% - Ênfase3 2 11 6" xfId="4890"/>
    <cellStyle name="60% - Ênfase3 2 11 7" xfId="4891"/>
    <cellStyle name="60% - Ênfase3 2 12" xfId="4892"/>
    <cellStyle name="60% - Ênfase3 2 13" xfId="4893"/>
    <cellStyle name="60% - Ênfase3 2 14" xfId="4894"/>
    <cellStyle name="60% - Ênfase3 2 15" xfId="4895"/>
    <cellStyle name="60% - Ênfase3 2 16" xfId="4896"/>
    <cellStyle name="60% - Ênfase3 2 17" xfId="4897"/>
    <cellStyle name="60% - Ênfase3 2 18" xfId="4898"/>
    <cellStyle name="60% - Ênfase3 2 19" xfId="4899"/>
    <cellStyle name="60% - Ênfase3 2 2" xfId="4900"/>
    <cellStyle name="60% - Ênfase3 2 20" xfId="4901"/>
    <cellStyle name="60% - Ênfase3 2 21" xfId="4902"/>
    <cellStyle name="60% - Ênfase3 2 22" xfId="4903"/>
    <cellStyle name="60% - Ênfase3 2 23" xfId="4904"/>
    <cellStyle name="60% - Ênfase3 2 24" xfId="4905"/>
    <cellStyle name="60% - Ênfase3 2 25" xfId="4906"/>
    <cellStyle name="60% - Ênfase3 2 26" xfId="4907"/>
    <cellStyle name="60% - Ênfase3 2 27" xfId="4908"/>
    <cellStyle name="60% - Ênfase3 2 28" xfId="4909"/>
    <cellStyle name="60% - Ênfase3 2 29" xfId="4910"/>
    <cellStyle name="60% - Ênfase3 2 3" xfId="4911"/>
    <cellStyle name="60% - Ênfase3 2 30" xfId="4912"/>
    <cellStyle name="60% - Ênfase3 2 31" xfId="4913"/>
    <cellStyle name="60% - Ênfase3 2 32" xfId="4914"/>
    <cellStyle name="60% - Ênfase3 2 33" xfId="4915"/>
    <cellStyle name="60% - Ênfase3 2 34" xfId="4916"/>
    <cellStyle name="60% - Ênfase3 2 35" xfId="4917"/>
    <cellStyle name="60% - Ênfase3 2 4" xfId="4918"/>
    <cellStyle name="60% - Ênfase3 2 5" xfId="4919"/>
    <cellStyle name="60% - Ênfase3 2 6" xfId="4920"/>
    <cellStyle name="60% - Ênfase3 2 7" xfId="4921"/>
    <cellStyle name="60% - Ênfase3 2 8" xfId="4922"/>
    <cellStyle name="60% - Ênfase3 2 8 2" xfId="4923"/>
    <cellStyle name="60% - Ênfase3 2 8 3" xfId="4924"/>
    <cellStyle name="60% - Ênfase3 2 8 4" xfId="4925"/>
    <cellStyle name="60% - Ênfase3 2 8 5" xfId="4926"/>
    <cellStyle name="60% - Ênfase3 2 8 6" xfId="4927"/>
    <cellStyle name="60% - Ênfase3 2 8 7" xfId="4928"/>
    <cellStyle name="60% - Ênfase3 2 9" xfId="4929"/>
    <cellStyle name="60% - Ênfase3 2 9 2" xfId="4930"/>
    <cellStyle name="60% - Ênfase3 2 9 3" xfId="4931"/>
    <cellStyle name="60% - Ênfase3 2 9 4" xfId="4932"/>
    <cellStyle name="60% - Ênfase3 2 9 5" xfId="4933"/>
    <cellStyle name="60% - Ênfase3 2 9 6" xfId="4934"/>
    <cellStyle name="60% - Ênfase3 2 9 7" xfId="4935"/>
    <cellStyle name="60% - Ênfase3 20" xfId="4936"/>
    <cellStyle name="60% - Ênfase3 20 2" xfId="4937"/>
    <cellStyle name="60% - Ênfase3 20 3" xfId="4938"/>
    <cellStyle name="60% - Ênfase3 21" xfId="4939"/>
    <cellStyle name="60% - Ênfase3 22" xfId="4940"/>
    <cellStyle name="60% - Ênfase3 23" xfId="4941"/>
    <cellStyle name="60% - Ênfase3 24" xfId="4942"/>
    <cellStyle name="60% - Ênfase3 24 2" xfId="40958"/>
    <cellStyle name="60% - Ênfase3 25" xfId="4943"/>
    <cellStyle name="60% - Ênfase3 25 2" xfId="40993"/>
    <cellStyle name="60% - Ênfase3 26" xfId="4944"/>
    <cellStyle name="60% - Ênfase3 26 10" xfId="4945"/>
    <cellStyle name="60% - Ênfase3 26 11" xfId="4946"/>
    <cellStyle name="60% - Ênfase3 26 12" xfId="4947"/>
    <cellStyle name="60% - Ênfase3 26 13" xfId="4948"/>
    <cellStyle name="60% - Ênfase3 26 14" xfId="4949"/>
    <cellStyle name="60% - Ênfase3 26 15" xfId="4950"/>
    <cellStyle name="60% - Ênfase3 26 16" xfId="4951"/>
    <cellStyle name="60% - Ênfase3 26 2" xfId="4952"/>
    <cellStyle name="60% - Ênfase3 26 3" xfId="4953"/>
    <cellStyle name="60% - Ênfase3 26 4" xfId="4954"/>
    <cellStyle name="60% - Ênfase3 26 5" xfId="4955"/>
    <cellStyle name="60% - Ênfase3 26 6" xfId="4956"/>
    <cellStyle name="60% - Ênfase3 26 7" xfId="4957"/>
    <cellStyle name="60% - Ênfase3 26 8" xfId="4958"/>
    <cellStyle name="60% - Ênfase3 26 9" xfId="4959"/>
    <cellStyle name="60% - Ênfase3 27" xfId="4960"/>
    <cellStyle name="60% - Ênfase3 27 10" xfId="4961"/>
    <cellStyle name="60% - Ênfase3 27 11" xfId="4962"/>
    <cellStyle name="60% - Ênfase3 27 12" xfId="4963"/>
    <cellStyle name="60% - Ênfase3 27 13" xfId="4964"/>
    <cellStyle name="60% - Ênfase3 27 14" xfId="4965"/>
    <cellStyle name="60% - Ênfase3 27 15" xfId="4966"/>
    <cellStyle name="60% - Ênfase3 27 16" xfId="4967"/>
    <cellStyle name="60% - Ênfase3 27 2" xfId="4968"/>
    <cellStyle name="60% - Ênfase3 27 3" xfId="4969"/>
    <cellStyle name="60% - Ênfase3 27 4" xfId="4970"/>
    <cellStyle name="60% - Ênfase3 27 5" xfId="4971"/>
    <cellStyle name="60% - Ênfase3 27 6" xfId="4972"/>
    <cellStyle name="60% - Ênfase3 27 7" xfId="4973"/>
    <cellStyle name="60% - Ênfase3 27 8" xfId="4974"/>
    <cellStyle name="60% - Ênfase3 27 9" xfId="4975"/>
    <cellStyle name="60% - Ênfase3 28" xfId="4976"/>
    <cellStyle name="60% - Ênfase3 28 10" xfId="4977"/>
    <cellStyle name="60% - Ênfase3 28 11" xfId="4978"/>
    <cellStyle name="60% - Ênfase3 28 12" xfId="4979"/>
    <cellStyle name="60% - Ênfase3 28 13" xfId="4980"/>
    <cellStyle name="60% - Ênfase3 28 14" xfId="4981"/>
    <cellStyle name="60% - Ênfase3 28 15" xfId="4982"/>
    <cellStyle name="60% - Ênfase3 28 16" xfId="4983"/>
    <cellStyle name="60% - Ênfase3 28 2" xfId="4984"/>
    <cellStyle name="60% - Ênfase3 28 3" xfId="4985"/>
    <cellStyle name="60% - Ênfase3 28 4" xfId="4986"/>
    <cellStyle name="60% - Ênfase3 28 5" xfId="4987"/>
    <cellStyle name="60% - Ênfase3 28 6" xfId="4988"/>
    <cellStyle name="60% - Ênfase3 28 7" xfId="4989"/>
    <cellStyle name="60% - Ênfase3 28 8" xfId="4990"/>
    <cellStyle name="60% - Ênfase3 28 9" xfId="4991"/>
    <cellStyle name="60% - Ênfase3 29" xfId="4992"/>
    <cellStyle name="60% - Ênfase3 29 10" xfId="4993"/>
    <cellStyle name="60% - Ênfase3 29 11" xfId="4994"/>
    <cellStyle name="60% - Ênfase3 29 12" xfId="4995"/>
    <cellStyle name="60% - Ênfase3 29 13" xfId="4996"/>
    <cellStyle name="60% - Ênfase3 29 14" xfId="4997"/>
    <cellStyle name="60% - Ênfase3 29 15" xfId="4998"/>
    <cellStyle name="60% - Ênfase3 29 16" xfId="4999"/>
    <cellStyle name="60% - Ênfase3 29 2" xfId="5000"/>
    <cellStyle name="60% - Ênfase3 29 3" xfId="5001"/>
    <cellStyle name="60% - Ênfase3 29 4" xfId="5002"/>
    <cellStyle name="60% - Ênfase3 29 5" xfId="5003"/>
    <cellStyle name="60% - Ênfase3 29 6" xfId="5004"/>
    <cellStyle name="60% - Ênfase3 29 7" xfId="5005"/>
    <cellStyle name="60% - Ênfase3 29 8" xfId="5006"/>
    <cellStyle name="60% - Ênfase3 29 9" xfId="5007"/>
    <cellStyle name="60% - Ênfase3 3" xfId="5008"/>
    <cellStyle name="60% - Ênfase3 3 10" xfId="5009"/>
    <cellStyle name="60% - Ênfase3 3 11" xfId="5010"/>
    <cellStyle name="60% - Ênfase3 3 2" xfId="5011"/>
    <cellStyle name="60% - Ênfase3 3 3" xfId="5012"/>
    <cellStyle name="60% - Ênfase3 3 4" xfId="5013"/>
    <cellStyle name="60% - Ênfase3 3 5" xfId="5014"/>
    <cellStyle name="60% - Ênfase3 3 6" xfId="5015"/>
    <cellStyle name="60% - Ênfase3 3 7" xfId="5016"/>
    <cellStyle name="60% - Ênfase3 3 8" xfId="5017"/>
    <cellStyle name="60% - Ênfase3 3 9" xfId="5018"/>
    <cellStyle name="60% - Ênfase3 30" xfId="5019"/>
    <cellStyle name="60% - Ênfase3 31" xfId="5020"/>
    <cellStyle name="60% - Ênfase3 32" xfId="5021"/>
    <cellStyle name="60% - Ênfase3 33" xfId="5022"/>
    <cellStyle name="60% - Ênfase3 34" xfId="5023"/>
    <cellStyle name="60% - Ênfase3 35" xfId="5024"/>
    <cellStyle name="60% - Ênfase3 36" xfId="5025"/>
    <cellStyle name="60% - Ênfase3 37" xfId="5026"/>
    <cellStyle name="60% - Ênfase3 38" xfId="5027"/>
    <cellStyle name="60% - Ênfase3 39" xfId="5028"/>
    <cellStyle name="60% - Ênfase3 4" xfId="5029"/>
    <cellStyle name="60% - Ênfase3 4 10" xfId="5030"/>
    <cellStyle name="60% - Ênfase3 4 11" xfId="5031"/>
    <cellStyle name="60% - Ênfase3 4 2" xfId="5032"/>
    <cellStyle name="60% - Ênfase3 4 3" xfId="5033"/>
    <cellStyle name="60% - Ênfase3 4 4" xfId="5034"/>
    <cellStyle name="60% - Ênfase3 4 5" xfId="5035"/>
    <cellStyle name="60% - Ênfase3 4 6" xfId="5036"/>
    <cellStyle name="60% - Ênfase3 4 7" xfId="5037"/>
    <cellStyle name="60% - Ênfase3 4 8" xfId="5038"/>
    <cellStyle name="60% - Ênfase3 4 9" xfId="5039"/>
    <cellStyle name="60% - Ênfase3 40" xfId="5040"/>
    <cellStyle name="60% - Ênfase3 41" xfId="5041"/>
    <cellStyle name="60% - Ênfase3 42" xfId="5042"/>
    <cellStyle name="60% - Ênfase3 43" xfId="5043"/>
    <cellStyle name="60% - Ênfase3 44" xfId="5044"/>
    <cellStyle name="60% - Ênfase3 45" xfId="5045"/>
    <cellStyle name="60% - Ênfase3 46" xfId="5046"/>
    <cellStyle name="60% - Ênfase3 47" xfId="5047"/>
    <cellStyle name="60% - Ênfase3 48" xfId="5048"/>
    <cellStyle name="60% - Ênfase3 49" xfId="5049"/>
    <cellStyle name="60% - Ênfase3 5" xfId="5050"/>
    <cellStyle name="60% - Ênfase3 5 2" xfId="5051"/>
    <cellStyle name="60% - Ênfase3 5 3" xfId="5052"/>
    <cellStyle name="60% - Ênfase3 5 4" xfId="5053"/>
    <cellStyle name="60% - Ênfase3 50" xfId="5054"/>
    <cellStyle name="60% - Ênfase3 51" xfId="5055"/>
    <cellStyle name="60% - Ênfase3 52" xfId="5056"/>
    <cellStyle name="60% - Ênfase3 53" xfId="5057"/>
    <cellStyle name="60% - Ênfase3 54" xfId="5058"/>
    <cellStyle name="60% - Ênfase3 55" xfId="5059"/>
    <cellStyle name="60% - Ênfase3 56" xfId="5060"/>
    <cellStyle name="60% - Ênfase3 57" xfId="5061"/>
    <cellStyle name="60% - Ênfase3 58" xfId="5062"/>
    <cellStyle name="60% - Ênfase3 59" xfId="5063"/>
    <cellStyle name="60% - Ênfase3 6" xfId="5064"/>
    <cellStyle name="60% - Ênfase3 6 2" xfId="5065"/>
    <cellStyle name="60% - Ênfase3 6 3" xfId="5066"/>
    <cellStyle name="60% - Ênfase3 6 4" xfId="5067"/>
    <cellStyle name="60% - Ênfase3 60" xfId="5068"/>
    <cellStyle name="60% - Ênfase3 61" xfId="5069"/>
    <cellStyle name="60% - Ênfase3 62" xfId="5070"/>
    <cellStyle name="60% - Ênfase3 63" xfId="5071"/>
    <cellStyle name="60% - Ênfase3 64" xfId="5072"/>
    <cellStyle name="60% - Ênfase3 65" xfId="5073"/>
    <cellStyle name="60% - Ênfase3 66" xfId="5074"/>
    <cellStyle name="60% - Ênfase3 67" xfId="5075"/>
    <cellStyle name="60% - Ênfase3 68" xfId="5076"/>
    <cellStyle name="60% - Ênfase3 69" xfId="5077"/>
    <cellStyle name="60% - Ênfase3 7" xfId="5078"/>
    <cellStyle name="60% - Ênfase3 7 2" xfId="5079"/>
    <cellStyle name="60% - Ênfase3 7 3" xfId="5080"/>
    <cellStyle name="60% - Ênfase3 7 4" xfId="5081"/>
    <cellStyle name="60% - Ênfase3 70" xfId="5082"/>
    <cellStyle name="60% - Ênfase3 71" xfId="5083"/>
    <cellStyle name="60% - Ênfase3 72" xfId="5084"/>
    <cellStyle name="60% - Ênfase3 73" xfId="5085"/>
    <cellStyle name="60% - Ênfase3 74" xfId="5086"/>
    <cellStyle name="60% - Ênfase3 75" xfId="5087"/>
    <cellStyle name="60% - Ênfase3 76" xfId="5088"/>
    <cellStyle name="60% - Ênfase3 77" xfId="5089"/>
    <cellStyle name="60% - Ênfase3 78" xfId="5090"/>
    <cellStyle name="60% - Ênfase3 79" xfId="5091"/>
    <cellStyle name="60% - Ênfase3 8" xfId="5092"/>
    <cellStyle name="60% - Ênfase3 8 2" xfId="5093"/>
    <cellStyle name="60% - Ênfase3 8 3" xfId="5094"/>
    <cellStyle name="60% - Ênfase3 8 4" xfId="5095"/>
    <cellStyle name="60% - Ênfase3 80" xfId="5096"/>
    <cellStyle name="60% - Ênfase3 81" xfId="5097"/>
    <cellStyle name="60% - Ênfase3 82" xfId="5098"/>
    <cellStyle name="60% - Ênfase3 83" xfId="5099"/>
    <cellStyle name="60% - Ênfase3 84" xfId="5100"/>
    <cellStyle name="60% - Ênfase3 85" xfId="5101"/>
    <cellStyle name="60% - Ênfase3 86" xfId="5102"/>
    <cellStyle name="60% - Ênfase3 87" xfId="5103"/>
    <cellStyle name="60% - Ênfase3 88" xfId="5104"/>
    <cellStyle name="60% - Ênfase3 89" xfId="5105"/>
    <cellStyle name="60% - Ênfase3 9" xfId="5106"/>
    <cellStyle name="60% - Ênfase3 90" xfId="5107"/>
    <cellStyle name="60% - Ênfase3 91" xfId="5108"/>
    <cellStyle name="60% - Ênfase3 92" xfId="5109"/>
    <cellStyle name="60% - Ênfase3 93" xfId="5110"/>
    <cellStyle name="60% - Ênfase3 94" xfId="5111"/>
    <cellStyle name="60% - Ênfase3 95" xfId="5112"/>
    <cellStyle name="60% - Ênfase3 96" xfId="5113"/>
    <cellStyle name="60% - Ênfase3 97" xfId="5114"/>
    <cellStyle name="60% - Ênfase3 98" xfId="5115"/>
    <cellStyle name="60% - Ênfase3 99" xfId="5116"/>
    <cellStyle name="60% - Ênfase4 10" xfId="5117"/>
    <cellStyle name="60% - Ênfase4 10 2" xfId="40535"/>
    <cellStyle name="60% - Ênfase4 100" xfId="5118"/>
    <cellStyle name="60% - Ênfase4 101" xfId="5119"/>
    <cellStyle name="60% - Ênfase4 102" xfId="5120"/>
    <cellStyle name="60% - Ênfase4 103" xfId="5121"/>
    <cellStyle name="60% - Ênfase4 104" xfId="5122"/>
    <cellStyle name="60% - Ênfase4 105" xfId="5123"/>
    <cellStyle name="60% - Ênfase4 106" xfId="5124"/>
    <cellStyle name="60% - Ênfase4 107" xfId="5125"/>
    <cellStyle name="60% - Ênfase4 108" xfId="5126"/>
    <cellStyle name="60% - Ênfase4 109" xfId="5127"/>
    <cellStyle name="60% - Ênfase4 11" xfId="5128"/>
    <cellStyle name="60% - Ênfase4 11 2" xfId="40536"/>
    <cellStyle name="60% - Ênfase4 110" xfId="5129"/>
    <cellStyle name="60% - Ênfase4 111" xfId="5130"/>
    <cellStyle name="60% - Ênfase4 112" xfId="5131"/>
    <cellStyle name="60% - Ênfase4 113" xfId="5132"/>
    <cellStyle name="60% - Ênfase4 114" xfId="5133"/>
    <cellStyle name="60% - Ênfase4 115" xfId="5134"/>
    <cellStyle name="60% - Ênfase4 116" xfId="5135"/>
    <cellStyle name="60% - Ênfase4 117" xfId="5136"/>
    <cellStyle name="60% - Ênfase4 118" xfId="5137"/>
    <cellStyle name="60% - Ênfase4 119" xfId="5138"/>
    <cellStyle name="60% - Ênfase4 12" xfId="5139"/>
    <cellStyle name="60% - Ênfase4 12 2" xfId="40537"/>
    <cellStyle name="60% - Ênfase4 120" xfId="5140"/>
    <cellStyle name="60% - Ênfase4 121" xfId="5141"/>
    <cellStyle name="60% - Ênfase4 122" xfId="5142"/>
    <cellStyle name="60% - Ênfase4 123" xfId="5143"/>
    <cellStyle name="60% - Ênfase4 124" xfId="5144"/>
    <cellStyle name="60% - Ênfase4 125" xfId="5145"/>
    <cellStyle name="60% - Ênfase4 126" xfId="5146"/>
    <cellStyle name="60% - Ênfase4 127" xfId="5147"/>
    <cellStyle name="60% - Ênfase4 128" xfId="5148"/>
    <cellStyle name="60% - Ênfase4 129" xfId="5149"/>
    <cellStyle name="60% - Ênfase4 13" xfId="5150"/>
    <cellStyle name="60% - Ênfase4 13 2" xfId="40538"/>
    <cellStyle name="60% - Ênfase4 130" xfId="5151"/>
    <cellStyle name="60% - Ênfase4 131" xfId="5152"/>
    <cellStyle name="60% - Ênfase4 132" xfId="5153"/>
    <cellStyle name="60% - Ênfase4 133" xfId="5154"/>
    <cellStyle name="60% - Ênfase4 134" xfId="5155"/>
    <cellStyle name="60% - Ênfase4 135" xfId="5156"/>
    <cellStyle name="60% - Ênfase4 136" xfId="5157"/>
    <cellStyle name="60% - Ênfase4 137" xfId="5158"/>
    <cellStyle name="60% - Ênfase4 138" xfId="5159"/>
    <cellStyle name="60% - Ênfase4 139" xfId="5160"/>
    <cellStyle name="60% - Ênfase4 14" xfId="5161"/>
    <cellStyle name="60% - Ênfase4 140" xfId="5162"/>
    <cellStyle name="60% - Ênfase4 141" xfId="5163"/>
    <cellStyle name="60% - Ênfase4 142" xfId="5164"/>
    <cellStyle name="60% - Ênfase4 143" xfId="5165"/>
    <cellStyle name="60% - Ênfase4 144" xfId="5166"/>
    <cellStyle name="60% - Ênfase4 145" xfId="5167"/>
    <cellStyle name="60% - Ênfase4 146" xfId="5168"/>
    <cellStyle name="60% - Ênfase4 147" xfId="5169"/>
    <cellStyle name="60% - Ênfase4 148" xfId="5170"/>
    <cellStyle name="60% - Ênfase4 149" xfId="5171"/>
    <cellStyle name="60% - Ênfase4 15" xfId="5172"/>
    <cellStyle name="60% - Ênfase4 15 2" xfId="5173"/>
    <cellStyle name="60% - Ênfase4 15 3" xfId="5174"/>
    <cellStyle name="60% - Ênfase4 150" xfId="5175"/>
    <cellStyle name="60% - Ênfase4 151" xfId="5176"/>
    <cellStyle name="60% - Ênfase4 152" xfId="5177"/>
    <cellStyle name="60% - Ênfase4 153" xfId="5178"/>
    <cellStyle name="60% - Ênfase4 154" xfId="5179"/>
    <cellStyle name="60% - Ênfase4 155" xfId="5180"/>
    <cellStyle name="60% - Ênfase4 156" xfId="5181"/>
    <cellStyle name="60% - Ênfase4 157" xfId="5182"/>
    <cellStyle name="60% - Ênfase4 158" xfId="5183"/>
    <cellStyle name="60% - Ênfase4 159" xfId="5184"/>
    <cellStyle name="60% - Ênfase4 16" xfId="5185"/>
    <cellStyle name="60% - Ênfase4 16 2" xfId="5186"/>
    <cellStyle name="60% - Ênfase4 16 3" xfId="5187"/>
    <cellStyle name="60% - Ênfase4 160" xfId="5188"/>
    <cellStyle name="60% - Ênfase4 161" xfId="5189"/>
    <cellStyle name="60% - Ênfase4 162" xfId="5190"/>
    <cellStyle name="60% - Ênfase4 163" xfId="5191"/>
    <cellStyle name="60% - Ênfase4 164" xfId="5192"/>
    <cellStyle name="60% - Ênfase4 165" xfId="5193"/>
    <cellStyle name="60% - Ênfase4 166" xfId="5194"/>
    <cellStyle name="60% - Ênfase4 167" xfId="5195"/>
    <cellStyle name="60% - Ênfase4 168" xfId="5196"/>
    <cellStyle name="60% - Ênfase4 169" xfId="5197"/>
    <cellStyle name="60% - Ênfase4 17" xfId="5198"/>
    <cellStyle name="60% - Ênfase4 17 2" xfId="5199"/>
    <cellStyle name="60% - Ênfase4 17 3" xfId="5200"/>
    <cellStyle name="60% - Ênfase4 170" xfId="5201"/>
    <cellStyle name="60% - Ênfase4 171" xfId="5202"/>
    <cellStyle name="60% - Ênfase4 172" xfId="5203"/>
    <cellStyle name="60% - Ênfase4 173" xfId="5204"/>
    <cellStyle name="60% - Ênfase4 174" xfId="5205"/>
    <cellStyle name="60% - Ênfase4 175" xfId="5206"/>
    <cellStyle name="60% - Ênfase4 176" xfId="5207"/>
    <cellStyle name="60% - Ênfase4 177" xfId="5208"/>
    <cellStyle name="60% - Ênfase4 178" xfId="5209"/>
    <cellStyle name="60% - Ênfase4 179" xfId="5210"/>
    <cellStyle name="60% - Ênfase4 18" xfId="5211"/>
    <cellStyle name="60% - Ênfase4 18 2" xfId="5212"/>
    <cellStyle name="60% - Ênfase4 18 3" xfId="5213"/>
    <cellStyle name="60% - Ênfase4 180" xfId="5214"/>
    <cellStyle name="60% - Ênfase4 181" xfId="5215"/>
    <cellStyle name="60% - Ênfase4 182" xfId="5216"/>
    <cellStyle name="60% - Ênfase4 183" xfId="5217"/>
    <cellStyle name="60% - Ênfase4 184" xfId="5218"/>
    <cellStyle name="60% - Ênfase4 185" xfId="5219"/>
    <cellStyle name="60% - Ênfase4 186" xfId="5220"/>
    <cellStyle name="60% - Ênfase4 187" xfId="5221"/>
    <cellStyle name="60% - Ênfase4 188" xfId="5222"/>
    <cellStyle name="60% - Ênfase4 189" xfId="5223"/>
    <cellStyle name="60% - Ênfase4 19" xfId="5224"/>
    <cellStyle name="60% - Ênfase4 19 2" xfId="5225"/>
    <cellStyle name="60% - Ênfase4 19 3" xfId="5226"/>
    <cellStyle name="60% - Ênfase4 190" xfId="5227"/>
    <cellStyle name="60% - Ênfase4 2" xfId="5228"/>
    <cellStyle name="60% - Ênfase4 2 10" xfId="5229"/>
    <cellStyle name="60% - Ênfase4 2 10 2" xfId="5230"/>
    <cellStyle name="60% - Ênfase4 2 10 3" xfId="5231"/>
    <cellStyle name="60% - Ênfase4 2 10 4" xfId="5232"/>
    <cellStyle name="60% - Ênfase4 2 10 5" xfId="5233"/>
    <cellStyle name="60% - Ênfase4 2 10 6" xfId="5234"/>
    <cellStyle name="60% - Ênfase4 2 10 7" xfId="5235"/>
    <cellStyle name="60% - Ênfase4 2 11" xfId="5236"/>
    <cellStyle name="60% - Ênfase4 2 11 2" xfId="5237"/>
    <cellStyle name="60% - Ênfase4 2 11 3" xfId="5238"/>
    <cellStyle name="60% - Ênfase4 2 11 4" xfId="5239"/>
    <cellStyle name="60% - Ênfase4 2 11 5" xfId="5240"/>
    <cellStyle name="60% - Ênfase4 2 11 6" xfId="5241"/>
    <cellStyle name="60% - Ênfase4 2 11 7" xfId="5242"/>
    <cellStyle name="60% - Ênfase4 2 12" xfId="5243"/>
    <cellStyle name="60% - Ênfase4 2 13" xfId="5244"/>
    <cellStyle name="60% - Ênfase4 2 14" xfId="5245"/>
    <cellStyle name="60% - Ênfase4 2 15" xfId="5246"/>
    <cellStyle name="60% - Ênfase4 2 16" xfId="5247"/>
    <cellStyle name="60% - Ênfase4 2 17" xfId="5248"/>
    <cellStyle name="60% - Ênfase4 2 18" xfId="5249"/>
    <cellStyle name="60% - Ênfase4 2 19" xfId="5250"/>
    <cellStyle name="60% - Ênfase4 2 2" xfId="5251"/>
    <cellStyle name="60% - Ênfase4 2 20" xfId="5252"/>
    <cellStyle name="60% - Ênfase4 2 21" xfId="5253"/>
    <cellStyle name="60% - Ênfase4 2 22" xfId="5254"/>
    <cellStyle name="60% - Ênfase4 2 23" xfId="5255"/>
    <cellStyle name="60% - Ênfase4 2 24" xfId="5256"/>
    <cellStyle name="60% - Ênfase4 2 25" xfId="5257"/>
    <cellStyle name="60% - Ênfase4 2 26" xfId="5258"/>
    <cellStyle name="60% - Ênfase4 2 27" xfId="5259"/>
    <cellStyle name="60% - Ênfase4 2 28" xfId="5260"/>
    <cellStyle name="60% - Ênfase4 2 29" xfId="5261"/>
    <cellStyle name="60% - Ênfase4 2 3" xfId="5262"/>
    <cellStyle name="60% - Ênfase4 2 30" xfId="5263"/>
    <cellStyle name="60% - Ênfase4 2 31" xfId="5264"/>
    <cellStyle name="60% - Ênfase4 2 32" xfId="5265"/>
    <cellStyle name="60% - Ênfase4 2 33" xfId="5266"/>
    <cellStyle name="60% - Ênfase4 2 34" xfId="5267"/>
    <cellStyle name="60% - Ênfase4 2 35" xfId="5268"/>
    <cellStyle name="60% - Ênfase4 2 4" xfId="5269"/>
    <cellStyle name="60% - Ênfase4 2 5" xfId="5270"/>
    <cellStyle name="60% - Ênfase4 2 6" xfId="5271"/>
    <cellStyle name="60% - Ênfase4 2 7" xfId="5272"/>
    <cellStyle name="60% - Ênfase4 2 8" xfId="5273"/>
    <cellStyle name="60% - Ênfase4 2 8 2" xfId="5274"/>
    <cellStyle name="60% - Ênfase4 2 8 3" xfId="5275"/>
    <cellStyle name="60% - Ênfase4 2 8 4" xfId="5276"/>
    <cellStyle name="60% - Ênfase4 2 8 5" xfId="5277"/>
    <cellStyle name="60% - Ênfase4 2 8 6" xfId="5278"/>
    <cellStyle name="60% - Ênfase4 2 8 7" xfId="5279"/>
    <cellStyle name="60% - Ênfase4 2 9" xfId="5280"/>
    <cellStyle name="60% - Ênfase4 2 9 2" xfId="5281"/>
    <cellStyle name="60% - Ênfase4 2 9 3" xfId="5282"/>
    <cellStyle name="60% - Ênfase4 2 9 4" xfId="5283"/>
    <cellStyle name="60% - Ênfase4 2 9 5" xfId="5284"/>
    <cellStyle name="60% - Ênfase4 2 9 6" xfId="5285"/>
    <cellStyle name="60% - Ênfase4 2 9 7" xfId="5286"/>
    <cellStyle name="60% - Ênfase4 20" xfId="5287"/>
    <cellStyle name="60% - Ênfase4 20 2" xfId="5288"/>
    <cellStyle name="60% - Ênfase4 20 3" xfId="5289"/>
    <cellStyle name="60% - Ênfase4 21" xfId="5290"/>
    <cellStyle name="60% - Ênfase4 22" xfId="5291"/>
    <cellStyle name="60% - Ênfase4 23" xfId="5292"/>
    <cellStyle name="60% - Ênfase4 24" xfId="5293"/>
    <cellStyle name="60% - Ênfase4 24 2" xfId="40959"/>
    <cellStyle name="60% - Ênfase4 25" xfId="5294"/>
    <cellStyle name="60% - Ênfase4 25 2" xfId="40994"/>
    <cellStyle name="60% - Ênfase4 26" xfId="5295"/>
    <cellStyle name="60% - Ênfase4 26 10" xfId="5296"/>
    <cellStyle name="60% - Ênfase4 26 11" xfId="5297"/>
    <cellStyle name="60% - Ênfase4 26 12" xfId="5298"/>
    <cellStyle name="60% - Ênfase4 26 13" xfId="5299"/>
    <cellStyle name="60% - Ênfase4 26 14" xfId="5300"/>
    <cellStyle name="60% - Ênfase4 26 15" xfId="5301"/>
    <cellStyle name="60% - Ênfase4 26 16" xfId="5302"/>
    <cellStyle name="60% - Ênfase4 26 2" xfId="5303"/>
    <cellStyle name="60% - Ênfase4 26 3" xfId="5304"/>
    <cellStyle name="60% - Ênfase4 26 4" xfId="5305"/>
    <cellStyle name="60% - Ênfase4 26 5" xfId="5306"/>
    <cellStyle name="60% - Ênfase4 26 6" xfId="5307"/>
    <cellStyle name="60% - Ênfase4 26 7" xfId="5308"/>
    <cellStyle name="60% - Ênfase4 26 8" xfId="5309"/>
    <cellStyle name="60% - Ênfase4 26 9" xfId="5310"/>
    <cellStyle name="60% - Ênfase4 27" xfId="5311"/>
    <cellStyle name="60% - Ênfase4 27 10" xfId="5312"/>
    <cellStyle name="60% - Ênfase4 27 11" xfId="5313"/>
    <cellStyle name="60% - Ênfase4 27 12" xfId="5314"/>
    <cellStyle name="60% - Ênfase4 27 13" xfId="5315"/>
    <cellStyle name="60% - Ênfase4 27 14" xfId="5316"/>
    <cellStyle name="60% - Ênfase4 27 15" xfId="5317"/>
    <cellStyle name="60% - Ênfase4 27 16" xfId="5318"/>
    <cellStyle name="60% - Ênfase4 27 2" xfId="5319"/>
    <cellStyle name="60% - Ênfase4 27 3" xfId="5320"/>
    <cellStyle name="60% - Ênfase4 27 4" xfId="5321"/>
    <cellStyle name="60% - Ênfase4 27 5" xfId="5322"/>
    <cellStyle name="60% - Ênfase4 27 6" xfId="5323"/>
    <cellStyle name="60% - Ênfase4 27 7" xfId="5324"/>
    <cellStyle name="60% - Ênfase4 27 8" xfId="5325"/>
    <cellStyle name="60% - Ênfase4 27 9" xfId="5326"/>
    <cellStyle name="60% - Ênfase4 28" xfId="5327"/>
    <cellStyle name="60% - Ênfase4 28 10" xfId="5328"/>
    <cellStyle name="60% - Ênfase4 28 11" xfId="5329"/>
    <cellStyle name="60% - Ênfase4 28 12" xfId="5330"/>
    <cellStyle name="60% - Ênfase4 28 13" xfId="5331"/>
    <cellStyle name="60% - Ênfase4 28 14" xfId="5332"/>
    <cellStyle name="60% - Ênfase4 28 15" xfId="5333"/>
    <cellStyle name="60% - Ênfase4 28 16" xfId="5334"/>
    <cellStyle name="60% - Ênfase4 28 2" xfId="5335"/>
    <cellStyle name="60% - Ênfase4 28 3" xfId="5336"/>
    <cellStyle name="60% - Ênfase4 28 4" xfId="5337"/>
    <cellStyle name="60% - Ênfase4 28 5" xfId="5338"/>
    <cellStyle name="60% - Ênfase4 28 6" xfId="5339"/>
    <cellStyle name="60% - Ênfase4 28 7" xfId="5340"/>
    <cellStyle name="60% - Ênfase4 28 8" xfId="5341"/>
    <cellStyle name="60% - Ênfase4 28 9" xfId="5342"/>
    <cellStyle name="60% - Ênfase4 29" xfId="5343"/>
    <cellStyle name="60% - Ênfase4 29 10" xfId="5344"/>
    <cellStyle name="60% - Ênfase4 29 11" xfId="5345"/>
    <cellStyle name="60% - Ênfase4 29 12" xfId="5346"/>
    <cellStyle name="60% - Ênfase4 29 13" xfId="5347"/>
    <cellStyle name="60% - Ênfase4 29 14" xfId="5348"/>
    <cellStyle name="60% - Ênfase4 29 15" xfId="5349"/>
    <cellStyle name="60% - Ênfase4 29 16" xfId="5350"/>
    <cellStyle name="60% - Ênfase4 29 2" xfId="5351"/>
    <cellStyle name="60% - Ênfase4 29 3" xfId="5352"/>
    <cellStyle name="60% - Ênfase4 29 4" xfId="5353"/>
    <cellStyle name="60% - Ênfase4 29 5" xfId="5354"/>
    <cellStyle name="60% - Ênfase4 29 6" xfId="5355"/>
    <cellStyle name="60% - Ênfase4 29 7" xfId="5356"/>
    <cellStyle name="60% - Ênfase4 29 8" xfId="5357"/>
    <cellStyle name="60% - Ênfase4 29 9" xfId="5358"/>
    <cellStyle name="60% - Ênfase4 3" xfId="5359"/>
    <cellStyle name="60% - Ênfase4 3 10" xfId="5360"/>
    <cellStyle name="60% - Ênfase4 3 11" xfId="5361"/>
    <cellStyle name="60% - Ênfase4 3 2" xfId="5362"/>
    <cellStyle name="60% - Ênfase4 3 3" xfId="5363"/>
    <cellStyle name="60% - Ênfase4 3 4" xfId="5364"/>
    <cellStyle name="60% - Ênfase4 3 5" xfId="5365"/>
    <cellStyle name="60% - Ênfase4 3 6" xfId="5366"/>
    <cellStyle name="60% - Ênfase4 3 7" xfId="5367"/>
    <cellStyle name="60% - Ênfase4 3 8" xfId="5368"/>
    <cellStyle name="60% - Ênfase4 3 9" xfId="5369"/>
    <cellStyle name="60% - Ênfase4 30" xfId="5370"/>
    <cellStyle name="60% - Ênfase4 31" xfId="5371"/>
    <cellStyle name="60% - Ênfase4 32" xfId="5372"/>
    <cellStyle name="60% - Ênfase4 33" xfId="5373"/>
    <cellStyle name="60% - Ênfase4 34" xfId="5374"/>
    <cellStyle name="60% - Ênfase4 35" xfId="5375"/>
    <cellStyle name="60% - Ênfase4 36" xfId="5376"/>
    <cellStyle name="60% - Ênfase4 37" xfId="5377"/>
    <cellStyle name="60% - Ênfase4 38" xfId="5378"/>
    <cellStyle name="60% - Ênfase4 39" xfId="5379"/>
    <cellStyle name="60% - Ênfase4 4" xfId="5380"/>
    <cellStyle name="60% - Ênfase4 4 10" xfId="5381"/>
    <cellStyle name="60% - Ênfase4 4 11" xfId="5382"/>
    <cellStyle name="60% - Ênfase4 4 2" xfId="5383"/>
    <cellStyle name="60% - Ênfase4 4 3" xfId="5384"/>
    <cellStyle name="60% - Ênfase4 4 4" xfId="5385"/>
    <cellStyle name="60% - Ênfase4 4 5" xfId="5386"/>
    <cellStyle name="60% - Ênfase4 4 6" xfId="5387"/>
    <cellStyle name="60% - Ênfase4 4 7" xfId="5388"/>
    <cellStyle name="60% - Ênfase4 4 8" xfId="5389"/>
    <cellStyle name="60% - Ênfase4 4 9" xfId="5390"/>
    <cellStyle name="60% - Ênfase4 40" xfId="5391"/>
    <cellStyle name="60% - Ênfase4 41" xfId="5392"/>
    <cellStyle name="60% - Ênfase4 42" xfId="5393"/>
    <cellStyle name="60% - Ênfase4 43" xfId="5394"/>
    <cellStyle name="60% - Ênfase4 44" xfId="5395"/>
    <cellStyle name="60% - Ênfase4 45" xfId="5396"/>
    <cellStyle name="60% - Ênfase4 46" xfId="5397"/>
    <cellStyle name="60% - Ênfase4 47" xfId="5398"/>
    <cellStyle name="60% - Ênfase4 48" xfId="5399"/>
    <cellStyle name="60% - Ênfase4 49" xfId="5400"/>
    <cellStyle name="60% - Ênfase4 5" xfId="5401"/>
    <cellStyle name="60% - Ênfase4 5 2" xfId="5402"/>
    <cellStyle name="60% - Ênfase4 5 3" xfId="5403"/>
    <cellStyle name="60% - Ênfase4 5 4" xfId="5404"/>
    <cellStyle name="60% - Ênfase4 50" xfId="5405"/>
    <cellStyle name="60% - Ênfase4 51" xfId="5406"/>
    <cellStyle name="60% - Ênfase4 52" xfId="5407"/>
    <cellStyle name="60% - Ênfase4 53" xfId="5408"/>
    <cellStyle name="60% - Ênfase4 54" xfId="5409"/>
    <cellStyle name="60% - Ênfase4 55" xfId="5410"/>
    <cellStyle name="60% - Ênfase4 56" xfId="5411"/>
    <cellStyle name="60% - Ênfase4 57" xfId="5412"/>
    <cellStyle name="60% - Ênfase4 58" xfId="5413"/>
    <cellStyle name="60% - Ênfase4 59" xfId="5414"/>
    <cellStyle name="60% - Ênfase4 6" xfId="5415"/>
    <cellStyle name="60% - Ênfase4 6 2" xfId="5416"/>
    <cellStyle name="60% - Ênfase4 6 3" xfId="5417"/>
    <cellStyle name="60% - Ênfase4 6 4" xfId="5418"/>
    <cellStyle name="60% - Ênfase4 60" xfId="5419"/>
    <cellStyle name="60% - Ênfase4 61" xfId="5420"/>
    <cellStyle name="60% - Ênfase4 62" xfId="5421"/>
    <cellStyle name="60% - Ênfase4 63" xfId="5422"/>
    <cellStyle name="60% - Ênfase4 64" xfId="5423"/>
    <cellStyle name="60% - Ênfase4 65" xfId="5424"/>
    <cellStyle name="60% - Ênfase4 66" xfId="5425"/>
    <cellStyle name="60% - Ênfase4 67" xfId="5426"/>
    <cellStyle name="60% - Ênfase4 68" xfId="5427"/>
    <cellStyle name="60% - Ênfase4 69" xfId="5428"/>
    <cellStyle name="60% - Ênfase4 7" xfId="5429"/>
    <cellStyle name="60% - Ênfase4 7 2" xfId="5430"/>
    <cellStyle name="60% - Ênfase4 7 3" xfId="5431"/>
    <cellStyle name="60% - Ênfase4 7 4" xfId="5432"/>
    <cellStyle name="60% - Ênfase4 70" xfId="5433"/>
    <cellStyle name="60% - Ênfase4 71" xfId="5434"/>
    <cellStyle name="60% - Ênfase4 72" xfId="5435"/>
    <cellStyle name="60% - Ênfase4 73" xfId="5436"/>
    <cellStyle name="60% - Ênfase4 74" xfId="5437"/>
    <cellStyle name="60% - Ênfase4 75" xfId="5438"/>
    <cellStyle name="60% - Ênfase4 76" xfId="5439"/>
    <cellStyle name="60% - Ênfase4 77" xfId="5440"/>
    <cellStyle name="60% - Ênfase4 78" xfId="5441"/>
    <cellStyle name="60% - Ênfase4 79" xfId="5442"/>
    <cellStyle name="60% - Ênfase4 8" xfId="5443"/>
    <cellStyle name="60% - Ênfase4 8 2" xfId="5444"/>
    <cellStyle name="60% - Ênfase4 8 3" xfId="5445"/>
    <cellStyle name="60% - Ênfase4 8 4" xfId="5446"/>
    <cellStyle name="60% - Ênfase4 80" xfId="5447"/>
    <cellStyle name="60% - Ênfase4 81" xfId="5448"/>
    <cellStyle name="60% - Ênfase4 82" xfId="5449"/>
    <cellStyle name="60% - Ênfase4 83" xfId="5450"/>
    <cellStyle name="60% - Ênfase4 84" xfId="5451"/>
    <cellStyle name="60% - Ênfase4 85" xfId="5452"/>
    <cellStyle name="60% - Ênfase4 86" xfId="5453"/>
    <cellStyle name="60% - Ênfase4 87" xfId="5454"/>
    <cellStyle name="60% - Ênfase4 88" xfId="5455"/>
    <cellStyle name="60% - Ênfase4 89" xfId="5456"/>
    <cellStyle name="60% - Ênfase4 9" xfId="5457"/>
    <cellStyle name="60% - Ênfase4 90" xfId="5458"/>
    <cellStyle name="60% - Ênfase4 91" xfId="5459"/>
    <cellStyle name="60% - Ênfase4 92" xfId="5460"/>
    <cellStyle name="60% - Ênfase4 93" xfId="5461"/>
    <cellStyle name="60% - Ênfase4 94" xfId="5462"/>
    <cellStyle name="60% - Ênfase4 95" xfId="5463"/>
    <cellStyle name="60% - Ênfase4 96" xfId="5464"/>
    <cellStyle name="60% - Ênfase4 97" xfId="5465"/>
    <cellStyle name="60% - Ênfase4 98" xfId="5466"/>
    <cellStyle name="60% - Ênfase4 99" xfId="5467"/>
    <cellStyle name="60% - Ênfase5 10" xfId="5468"/>
    <cellStyle name="60% - Ênfase5 10 2" xfId="40539"/>
    <cellStyle name="60% - Ênfase5 100" xfId="5469"/>
    <cellStyle name="60% - Ênfase5 101" xfId="5470"/>
    <cellStyle name="60% - Ênfase5 102" xfId="5471"/>
    <cellStyle name="60% - Ênfase5 103" xfId="5472"/>
    <cellStyle name="60% - Ênfase5 104" xfId="5473"/>
    <cellStyle name="60% - Ênfase5 105" xfId="5474"/>
    <cellStyle name="60% - Ênfase5 106" xfId="5475"/>
    <cellStyle name="60% - Ênfase5 107" xfId="5476"/>
    <cellStyle name="60% - Ênfase5 108" xfId="5477"/>
    <cellStyle name="60% - Ênfase5 109" xfId="5478"/>
    <cellStyle name="60% - Ênfase5 11" xfId="5479"/>
    <cellStyle name="60% - Ênfase5 11 2" xfId="40540"/>
    <cellStyle name="60% - Ênfase5 110" xfId="5480"/>
    <cellStyle name="60% - Ênfase5 111" xfId="5481"/>
    <cellStyle name="60% - Ênfase5 112" xfId="5482"/>
    <cellStyle name="60% - Ênfase5 113" xfId="5483"/>
    <cellStyle name="60% - Ênfase5 114" xfId="5484"/>
    <cellStyle name="60% - Ênfase5 115" xfId="5485"/>
    <cellStyle name="60% - Ênfase5 116" xfId="5486"/>
    <cellStyle name="60% - Ênfase5 117" xfId="5487"/>
    <cellStyle name="60% - Ênfase5 118" xfId="5488"/>
    <cellStyle name="60% - Ênfase5 119" xfId="5489"/>
    <cellStyle name="60% - Ênfase5 12" xfId="5490"/>
    <cellStyle name="60% - Ênfase5 12 2" xfId="40541"/>
    <cellStyle name="60% - Ênfase5 120" xfId="5491"/>
    <cellStyle name="60% - Ênfase5 121" xfId="5492"/>
    <cellStyle name="60% - Ênfase5 122" xfId="5493"/>
    <cellStyle name="60% - Ênfase5 123" xfId="5494"/>
    <cellStyle name="60% - Ênfase5 124" xfId="5495"/>
    <cellStyle name="60% - Ênfase5 125" xfId="5496"/>
    <cellStyle name="60% - Ênfase5 126" xfId="5497"/>
    <cellStyle name="60% - Ênfase5 127" xfId="5498"/>
    <cellStyle name="60% - Ênfase5 128" xfId="5499"/>
    <cellStyle name="60% - Ênfase5 129" xfId="5500"/>
    <cellStyle name="60% - Ênfase5 13" xfId="5501"/>
    <cellStyle name="60% - Ênfase5 13 2" xfId="40542"/>
    <cellStyle name="60% - Ênfase5 130" xfId="5502"/>
    <cellStyle name="60% - Ênfase5 131" xfId="5503"/>
    <cellStyle name="60% - Ênfase5 132" xfId="5504"/>
    <cellStyle name="60% - Ênfase5 133" xfId="5505"/>
    <cellStyle name="60% - Ênfase5 134" xfId="5506"/>
    <cellStyle name="60% - Ênfase5 135" xfId="5507"/>
    <cellStyle name="60% - Ênfase5 136" xfId="5508"/>
    <cellStyle name="60% - Ênfase5 137" xfId="5509"/>
    <cellStyle name="60% - Ênfase5 138" xfId="5510"/>
    <cellStyle name="60% - Ênfase5 139" xfId="5511"/>
    <cellStyle name="60% - Ênfase5 14" xfId="5512"/>
    <cellStyle name="60% - Ênfase5 140" xfId="5513"/>
    <cellStyle name="60% - Ênfase5 141" xfId="5514"/>
    <cellStyle name="60% - Ênfase5 142" xfId="5515"/>
    <cellStyle name="60% - Ênfase5 143" xfId="5516"/>
    <cellStyle name="60% - Ênfase5 144" xfId="5517"/>
    <cellStyle name="60% - Ênfase5 145" xfId="5518"/>
    <cellStyle name="60% - Ênfase5 146" xfId="5519"/>
    <cellStyle name="60% - Ênfase5 147" xfId="5520"/>
    <cellStyle name="60% - Ênfase5 148" xfId="5521"/>
    <cellStyle name="60% - Ênfase5 149" xfId="5522"/>
    <cellStyle name="60% - Ênfase5 15" xfId="5523"/>
    <cellStyle name="60% - Ênfase5 15 2" xfId="5524"/>
    <cellStyle name="60% - Ênfase5 15 3" xfId="5525"/>
    <cellStyle name="60% - Ênfase5 150" xfId="5526"/>
    <cellStyle name="60% - Ênfase5 151" xfId="5527"/>
    <cellStyle name="60% - Ênfase5 152" xfId="5528"/>
    <cellStyle name="60% - Ênfase5 153" xfId="5529"/>
    <cellStyle name="60% - Ênfase5 154" xfId="5530"/>
    <cellStyle name="60% - Ênfase5 155" xfId="5531"/>
    <cellStyle name="60% - Ênfase5 156" xfId="5532"/>
    <cellStyle name="60% - Ênfase5 157" xfId="5533"/>
    <cellStyle name="60% - Ênfase5 158" xfId="5534"/>
    <cellStyle name="60% - Ênfase5 159" xfId="5535"/>
    <cellStyle name="60% - Ênfase5 16" xfId="5536"/>
    <cellStyle name="60% - Ênfase5 16 2" xfId="5537"/>
    <cellStyle name="60% - Ênfase5 16 3" xfId="5538"/>
    <cellStyle name="60% - Ênfase5 160" xfId="5539"/>
    <cellStyle name="60% - Ênfase5 161" xfId="5540"/>
    <cellStyle name="60% - Ênfase5 162" xfId="5541"/>
    <cellStyle name="60% - Ênfase5 163" xfId="5542"/>
    <cellStyle name="60% - Ênfase5 164" xfId="5543"/>
    <cellStyle name="60% - Ênfase5 165" xfId="5544"/>
    <cellStyle name="60% - Ênfase5 166" xfId="5545"/>
    <cellStyle name="60% - Ênfase5 167" xfId="5546"/>
    <cellStyle name="60% - Ênfase5 168" xfId="5547"/>
    <cellStyle name="60% - Ênfase5 169" xfId="5548"/>
    <cellStyle name="60% - Ênfase5 17" xfId="5549"/>
    <cellStyle name="60% - Ênfase5 17 2" xfId="5550"/>
    <cellStyle name="60% - Ênfase5 17 3" xfId="5551"/>
    <cellStyle name="60% - Ênfase5 170" xfId="5552"/>
    <cellStyle name="60% - Ênfase5 171" xfId="5553"/>
    <cellStyle name="60% - Ênfase5 172" xfId="5554"/>
    <cellStyle name="60% - Ênfase5 173" xfId="5555"/>
    <cellStyle name="60% - Ênfase5 174" xfId="5556"/>
    <cellStyle name="60% - Ênfase5 175" xfId="5557"/>
    <cellStyle name="60% - Ênfase5 176" xfId="5558"/>
    <cellStyle name="60% - Ênfase5 177" xfId="5559"/>
    <cellStyle name="60% - Ênfase5 178" xfId="5560"/>
    <cellStyle name="60% - Ênfase5 179" xfId="5561"/>
    <cellStyle name="60% - Ênfase5 18" xfId="5562"/>
    <cellStyle name="60% - Ênfase5 18 2" xfId="5563"/>
    <cellStyle name="60% - Ênfase5 18 3" xfId="5564"/>
    <cellStyle name="60% - Ênfase5 180" xfId="5565"/>
    <cellStyle name="60% - Ênfase5 181" xfId="5566"/>
    <cellStyle name="60% - Ênfase5 182" xfId="5567"/>
    <cellStyle name="60% - Ênfase5 183" xfId="5568"/>
    <cellStyle name="60% - Ênfase5 184" xfId="5569"/>
    <cellStyle name="60% - Ênfase5 185" xfId="5570"/>
    <cellStyle name="60% - Ênfase5 186" xfId="5571"/>
    <cellStyle name="60% - Ênfase5 187" xfId="5572"/>
    <cellStyle name="60% - Ênfase5 188" xfId="5573"/>
    <cellStyle name="60% - Ênfase5 189" xfId="5574"/>
    <cellStyle name="60% - Ênfase5 19" xfId="5575"/>
    <cellStyle name="60% - Ênfase5 19 2" xfId="5576"/>
    <cellStyle name="60% - Ênfase5 19 3" xfId="5577"/>
    <cellStyle name="60% - Ênfase5 190" xfId="5578"/>
    <cellStyle name="60% - Ênfase5 2" xfId="5579"/>
    <cellStyle name="60% - Ênfase5 2 10" xfId="5580"/>
    <cellStyle name="60% - Ênfase5 2 10 2" xfId="5581"/>
    <cellStyle name="60% - Ênfase5 2 10 3" xfId="5582"/>
    <cellStyle name="60% - Ênfase5 2 10 4" xfId="5583"/>
    <cellStyle name="60% - Ênfase5 2 10 5" xfId="5584"/>
    <cellStyle name="60% - Ênfase5 2 10 6" xfId="5585"/>
    <cellStyle name="60% - Ênfase5 2 10 7" xfId="5586"/>
    <cellStyle name="60% - Ênfase5 2 11" xfId="5587"/>
    <cellStyle name="60% - Ênfase5 2 11 2" xfId="5588"/>
    <cellStyle name="60% - Ênfase5 2 11 3" xfId="5589"/>
    <cellStyle name="60% - Ênfase5 2 11 4" xfId="5590"/>
    <cellStyle name="60% - Ênfase5 2 11 5" xfId="5591"/>
    <cellStyle name="60% - Ênfase5 2 11 6" xfId="5592"/>
    <cellStyle name="60% - Ênfase5 2 11 7" xfId="5593"/>
    <cellStyle name="60% - Ênfase5 2 12" xfId="5594"/>
    <cellStyle name="60% - Ênfase5 2 13" xfId="5595"/>
    <cellStyle name="60% - Ênfase5 2 14" xfId="5596"/>
    <cellStyle name="60% - Ênfase5 2 15" xfId="5597"/>
    <cellStyle name="60% - Ênfase5 2 16" xfId="5598"/>
    <cellStyle name="60% - Ênfase5 2 17" xfId="5599"/>
    <cellStyle name="60% - Ênfase5 2 18" xfId="5600"/>
    <cellStyle name="60% - Ênfase5 2 19" xfId="5601"/>
    <cellStyle name="60% - Ênfase5 2 2" xfId="5602"/>
    <cellStyle name="60% - Ênfase5 2 20" xfId="5603"/>
    <cellStyle name="60% - Ênfase5 2 21" xfId="5604"/>
    <cellStyle name="60% - Ênfase5 2 22" xfId="5605"/>
    <cellStyle name="60% - Ênfase5 2 23" xfId="5606"/>
    <cellStyle name="60% - Ênfase5 2 24" xfId="5607"/>
    <cellStyle name="60% - Ênfase5 2 25" xfId="5608"/>
    <cellStyle name="60% - Ênfase5 2 26" xfId="5609"/>
    <cellStyle name="60% - Ênfase5 2 27" xfId="5610"/>
    <cellStyle name="60% - Ênfase5 2 28" xfId="5611"/>
    <cellStyle name="60% - Ênfase5 2 29" xfId="5612"/>
    <cellStyle name="60% - Ênfase5 2 3" xfId="5613"/>
    <cellStyle name="60% - Ênfase5 2 30" xfId="5614"/>
    <cellStyle name="60% - Ênfase5 2 31" xfId="5615"/>
    <cellStyle name="60% - Ênfase5 2 32" xfId="5616"/>
    <cellStyle name="60% - Ênfase5 2 33" xfId="5617"/>
    <cellStyle name="60% - Ênfase5 2 34" xfId="5618"/>
    <cellStyle name="60% - Ênfase5 2 35" xfId="5619"/>
    <cellStyle name="60% - Ênfase5 2 4" xfId="5620"/>
    <cellStyle name="60% - Ênfase5 2 5" xfId="5621"/>
    <cellStyle name="60% - Ênfase5 2 6" xfId="5622"/>
    <cellStyle name="60% - Ênfase5 2 7" xfId="5623"/>
    <cellStyle name="60% - Ênfase5 2 8" xfId="5624"/>
    <cellStyle name="60% - Ênfase5 2 8 2" xfId="5625"/>
    <cellStyle name="60% - Ênfase5 2 8 3" xfId="5626"/>
    <cellStyle name="60% - Ênfase5 2 8 4" xfId="5627"/>
    <cellStyle name="60% - Ênfase5 2 8 5" xfId="5628"/>
    <cellStyle name="60% - Ênfase5 2 8 6" xfId="5629"/>
    <cellStyle name="60% - Ênfase5 2 8 7" xfId="5630"/>
    <cellStyle name="60% - Ênfase5 2 9" xfId="5631"/>
    <cellStyle name="60% - Ênfase5 2 9 2" xfId="5632"/>
    <cellStyle name="60% - Ênfase5 2 9 3" xfId="5633"/>
    <cellStyle name="60% - Ênfase5 2 9 4" xfId="5634"/>
    <cellStyle name="60% - Ênfase5 2 9 5" xfId="5635"/>
    <cellStyle name="60% - Ênfase5 2 9 6" xfId="5636"/>
    <cellStyle name="60% - Ênfase5 2 9 7" xfId="5637"/>
    <cellStyle name="60% - Ênfase5 20" xfId="5638"/>
    <cellStyle name="60% - Ênfase5 20 2" xfId="5639"/>
    <cellStyle name="60% - Ênfase5 20 3" xfId="5640"/>
    <cellStyle name="60% - Ênfase5 21" xfId="5641"/>
    <cellStyle name="60% - Ênfase5 22" xfId="5642"/>
    <cellStyle name="60% - Ênfase5 23" xfId="5643"/>
    <cellStyle name="60% - Ênfase5 24" xfId="5644"/>
    <cellStyle name="60% - Ênfase5 24 2" xfId="40960"/>
    <cellStyle name="60% - Ênfase5 25" xfId="5645"/>
    <cellStyle name="60% - Ênfase5 25 2" xfId="40995"/>
    <cellStyle name="60% - Ênfase5 26" xfId="5646"/>
    <cellStyle name="60% - Ênfase5 26 10" xfId="5647"/>
    <cellStyle name="60% - Ênfase5 26 11" xfId="5648"/>
    <cellStyle name="60% - Ênfase5 26 12" xfId="5649"/>
    <cellStyle name="60% - Ênfase5 26 13" xfId="5650"/>
    <cellStyle name="60% - Ênfase5 26 14" xfId="5651"/>
    <cellStyle name="60% - Ênfase5 26 15" xfId="5652"/>
    <cellStyle name="60% - Ênfase5 26 16" xfId="5653"/>
    <cellStyle name="60% - Ênfase5 26 2" xfId="5654"/>
    <cellStyle name="60% - Ênfase5 26 3" xfId="5655"/>
    <cellStyle name="60% - Ênfase5 26 4" xfId="5656"/>
    <cellStyle name="60% - Ênfase5 26 5" xfId="5657"/>
    <cellStyle name="60% - Ênfase5 26 6" xfId="5658"/>
    <cellStyle name="60% - Ênfase5 26 7" xfId="5659"/>
    <cellStyle name="60% - Ênfase5 26 8" xfId="5660"/>
    <cellStyle name="60% - Ênfase5 26 9" xfId="5661"/>
    <cellStyle name="60% - Ênfase5 27" xfId="5662"/>
    <cellStyle name="60% - Ênfase5 27 10" xfId="5663"/>
    <cellStyle name="60% - Ênfase5 27 11" xfId="5664"/>
    <cellStyle name="60% - Ênfase5 27 12" xfId="5665"/>
    <cellStyle name="60% - Ênfase5 27 13" xfId="5666"/>
    <cellStyle name="60% - Ênfase5 27 14" xfId="5667"/>
    <cellStyle name="60% - Ênfase5 27 15" xfId="5668"/>
    <cellStyle name="60% - Ênfase5 27 16" xfId="5669"/>
    <cellStyle name="60% - Ênfase5 27 2" xfId="5670"/>
    <cellStyle name="60% - Ênfase5 27 3" xfId="5671"/>
    <cellStyle name="60% - Ênfase5 27 4" xfId="5672"/>
    <cellStyle name="60% - Ênfase5 27 5" xfId="5673"/>
    <cellStyle name="60% - Ênfase5 27 6" xfId="5674"/>
    <cellStyle name="60% - Ênfase5 27 7" xfId="5675"/>
    <cellStyle name="60% - Ênfase5 27 8" xfId="5676"/>
    <cellStyle name="60% - Ênfase5 27 9" xfId="5677"/>
    <cellStyle name="60% - Ênfase5 28" xfId="5678"/>
    <cellStyle name="60% - Ênfase5 28 10" xfId="5679"/>
    <cellStyle name="60% - Ênfase5 28 11" xfId="5680"/>
    <cellStyle name="60% - Ênfase5 28 12" xfId="5681"/>
    <cellStyle name="60% - Ênfase5 28 13" xfId="5682"/>
    <cellStyle name="60% - Ênfase5 28 14" xfId="5683"/>
    <cellStyle name="60% - Ênfase5 28 15" xfId="5684"/>
    <cellStyle name="60% - Ênfase5 28 16" xfId="5685"/>
    <cellStyle name="60% - Ênfase5 28 2" xfId="5686"/>
    <cellStyle name="60% - Ênfase5 28 3" xfId="5687"/>
    <cellStyle name="60% - Ênfase5 28 4" xfId="5688"/>
    <cellStyle name="60% - Ênfase5 28 5" xfId="5689"/>
    <cellStyle name="60% - Ênfase5 28 6" xfId="5690"/>
    <cellStyle name="60% - Ênfase5 28 7" xfId="5691"/>
    <cellStyle name="60% - Ênfase5 28 8" xfId="5692"/>
    <cellStyle name="60% - Ênfase5 28 9" xfId="5693"/>
    <cellStyle name="60% - Ênfase5 29" xfId="5694"/>
    <cellStyle name="60% - Ênfase5 29 10" xfId="5695"/>
    <cellStyle name="60% - Ênfase5 29 11" xfId="5696"/>
    <cellStyle name="60% - Ênfase5 29 12" xfId="5697"/>
    <cellStyle name="60% - Ênfase5 29 13" xfId="5698"/>
    <cellStyle name="60% - Ênfase5 29 14" xfId="5699"/>
    <cellStyle name="60% - Ênfase5 29 15" xfId="5700"/>
    <cellStyle name="60% - Ênfase5 29 16" xfId="5701"/>
    <cellStyle name="60% - Ênfase5 29 2" xfId="5702"/>
    <cellStyle name="60% - Ênfase5 29 3" xfId="5703"/>
    <cellStyle name="60% - Ênfase5 29 4" xfId="5704"/>
    <cellStyle name="60% - Ênfase5 29 5" xfId="5705"/>
    <cellStyle name="60% - Ênfase5 29 6" xfId="5706"/>
    <cellStyle name="60% - Ênfase5 29 7" xfId="5707"/>
    <cellStyle name="60% - Ênfase5 29 8" xfId="5708"/>
    <cellStyle name="60% - Ênfase5 29 9" xfId="5709"/>
    <cellStyle name="60% - Ênfase5 3" xfId="5710"/>
    <cellStyle name="60% - Ênfase5 3 10" xfId="5711"/>
    <cellStyle name="60% - Ênfase5 3 11" xfId="5712"/>
    <cellStyle name="60% - Ênfase5 3 2" xfId="5713"/>
    <cellStyle name="60% - Ênfase5 3 3" xfId="5714"/>
    <cellStyle name="60% - Ênfase5 3 4" xfId="5715"/>
    <cellStyle name="60% - Ênfase5 3 5" xfId="5716"/>
    <cellStyle name="60% - Ênfase5 3 6" xfId="5717"/>
    <cellStyle name="60% - Ênfase5 3 7" xfId="5718"/>
    <cellStyle name="60% - Ênfase5 3 8" xfId="5719"/>
    <cellStyle name="60% - Ênfase5 3 9" xfId="5720"/>
    <cellStyle name="60% - Ênfase5 30" xfId="5721"/>
    <cellStyle name="60% - Ênfase5 31" xfId="5722"/>
    <cellStyle name="60% - Ênfase5 32" xfId="5723"/>
    <cellStyle name="60% - Ênfase5 33" xfId="5724"/>
    <cellStyle name="60% - Ênfase5 34" xfId="5725"/>
    <cellStyle name="60% - Ênfase5 35" xfId="5726"/>
    <cellStyle name="60% - Ênfase5 36" xfId="5727"/>
    <cellStyle name="60% - Ênfase5 37" xfId="5728"/>
    <cellStyle name="60% - Ênfase5 38" xfId="5729"/>
    <cellStyle name="60% - Ênfase5 39" xfId="5730"/>
    <cellStyle name="60% - Ênfase5 4" xfId="5731"/>
    <cellStyle name="60% - Ênfase5 4 10" xfId="5732"/>
    <cellStyle name="60% - Ênfase5 4 11" xfId="5733"/>
    <cellStyle name="60% - Ênfase5 4 2" xfId="5734"/>
    <cellStyle name="60% - Ênfase5 4 3" xfId="5735"/>
    <cellStyle name="60% - Ênfase5 4 4" xfId="5736"/>
    <cellStyle name="60% - Ênfase5 4 5" xfId="5737"/>
    <cellStyle name="60% - Ênfase5 4 6" xfId="5738"/>
    <cellStyle name="60% - Ênfase5 4 7" xfId="5739"/>
    <cellStyle name="60% - Ênfase5 4 8" xfId="5740"/>
    <cellStyle name="60% - Ênfase5 4 9" xfId="5741"/>
    <cellStyle name="60% - Ênfase5 40" xfId="5742"/>
    <cellStyle name="60% - Ênfase5 41" xfId="5743"/>
    <cellStyle name="60% - Ênfase5 42" xfId="5744"/>
    <cellStyle name="60% - Ênfase5 43" xfId="5745"/>
    <cellStyle name="60% - Ênfase5 44" xfId="5746"/>
    <cellStyle name="60% - Ênfase5 45" xfId="5747"/>
    <cellStyle name="60% - Ênfase5 46" xfId="5748"/>
    <cellStyle name="60% - Ênfase5 47" xfId="5749"/>
    <cellStyle name="60% - Ênfase5 48" xfId="5750"/>
    <cellStyle name="60% - Ênfase5 49" xfId="5751"/>
    <cellStyle name="60% - Ênfase5 5" xfId="5752"/>
    <cellStyle name="60% - Ênfase5 5 2" xfId="5753"/>
    <cellStyle name="60% - Ênfase5 5 3" xfId="5754"/>
    <cellStyle name="60% - Ênfase5 5 4" xfId="5755"/>
    <cellStyle name="60% - Ênfase5 50" xfId="5756"/>
    <cellStyle name="60% - Ênfase5 51" xfId="5757"/>
    <cellStyle name="60% - Ênfase5 52" xfId="5758"/>
    <cellStyle name="60% - Ênfase5 53" xfId="5759"/>
    <cellStyle name="60% - Ênfase5 54" xfId="5760"/>
    <cellStyle name="60% - Ênfase5 55" xfId="5761"/>
    <cellStyle name="60% - Ênfase5 56" xfId="5762"/>
    <cellStyle name="60% - Ênfase5 57" xfId="5763"/>
    <cellStyle name="60% - Ênfase5 58" xfId="5764"/>
    <cellStyle name="60% - Ênfase5 59" xfId="5765"/>
    <cellStyle name="60% - Ênfase5 6" xfId="5766"/>
    <cellStyle name="60% - Ênfase5 6 2" xfId="5767"/>
    <cellStyle name="60% - Ênfase5 6 3" xfId="5768"/>
    <cellStyle name="60% - Ênfase5 6 4" xfId="5769"/>
    <cellStyle name="60% - Ênfase5 60" xfId="5770"/>
    <cellStyle name="60% - Ênfase5 61" xfId="5771"/>
    <cellStyle name="60% - Ênfase5 62" xfId="5772"/>
    <cellStyle name="60% - Ênfase5 63" xfId="5773"/>
    <cellStyle name="60% - Ênfase5 64" xfId="5774"/>
    <cellStyle name="60% - Ênfase5 65" xfId="5775"/>
    <cellStyle name="60% - Ênfase5 66" xfId="5776"/>
    <cellStyle name="60% - Ênfase5 67" xfId="5777"/>
    <cellStyle name="60% - Ênfase5 68" xfId="5778"/>
    <cellStyle name="60% - Ênfase5 69" xfId="5779"/>
    <cellStyle name="60% - Ênfase5 7" xfId="5780"/>
    <cellStyle name="60% - Ênfase5 7 2" xfId="5781"/>
    <cellStyle name="60% - Ênfase5 7 3" xfId="5782"/>
    <cellStyle name="60% - Ênfase5 7 4" xfId="5783"/>
    <cellStyle name="60% - Ênfase5 70" xfId="5784"/>
    <cellStyle name="60% - Ênfase5 71" xfId="5785"/>
    <cellStyle name="60% - Ênfase5 72" xfId="5786"/>
    <cellStyle name="60% - Ênfase5 73" xfId="5787"/>
    <cellStyle name="60% - Ênfase5 74" xfId="5788"/>
    <cellStyle name="60% - Ênfase5 75" xfId="5789"/>
    <cellStyle name="60% - Ênfase5 76" xfId="5790"/>
    <cellStyle name="60% - Ênfase5 77" xfId="5791"/>
    <cellStyle name="60% - Ênfase5 78" xfId="5792"/>
    <cellStyle name="60% - Ênfase5 79" xfId="5793"/>
    <cellStyle name="60% - Ênfase5 8" xfId="5794"/>
    <cellStyle name="60% - Ênfase5 8 2" xfId="5795"/>
    <cellStyle name="60% - Ênfase5 8 3" xfId="5796"/>
    <cellStyle name="60% - Ênfase5 8 4" xfId="5797"/>
    <cellStyle name="60% - Ênfase5 80" xfId="5798"/>
    <cellStyle name="60% - Ênfase5 81" xfId="5799"/>
    <cellStyle name="60% - Ênfase5 82" xfId="5800"/>
    <cellStyle name="60% - Ênfase5 83" xfId="5801"/>
    <cellStyle name="60% - Ênfase5 84" xfId="5802"/>
    <cellStyle name="60% - Ênfase5 85" xfId="5803"/>
    <cellStyle name="60% - Ênfase5 86" xfId="5804"/>
    <cellStyle name="60% - Ênfase5 87" xfId="5805"/>
    <cellStyle name="60% - Ênfase5 88" xfId="5806"/>
    <cellStyle name="60% - Ênfase5 89" xfId="5807"/>
    <cellStyle name="60% - Ênfase5 9" xfId="5808"/>
    <cellStyle name="60% - Ênfase5 90" xfId="5809"/>
    <cellStyle name="60% - Ênfase5 91" xfId="5810"/>
    <cellStyle name="60% - Ênfase5 92" xfId="5811"/>
    <cellStyle name="60% - Ênfase5 93" xfId="5812"/>
    <cellStyle name="60% - Ênfase5 94" xfId="5813"/>
    <cellStyle name="60% - Ênfase5 95" xfId="5814"/>
    <cellStyle name="60% - Ênfase5 96" xfId="5815"/>
    <cellStyle name="60% - Ênfase5 97" xfId="5816"/>
    <cellStyle name="60% - Ênfase5 98" xfId="5817"/>
    <cellStyle name="60% - Ênfase5 99" xfId="5818"/>
    <cellStyle name="60% - Ênfase6 10" xfId="5819"/>
    <cellStyle name="60% - Ênfase6 10 2" xfId="40543"/>
    <cellStyle name="60% - Ênfase6 100" xfId="5820"/>
    <cellStyle name="60% - Ênfase6 101" xfId="5821"/>
    <cellStyle name="60% - Ênfase6 102" xfId="5822"/>
    <cellStyle name="60% - Ênfase6 103" xfId="5823"/>
    <cellStyle name="60% - Ênfase6 104" xfId="5824"/>
    <cellStyle name="60% - Ênfase6 105" xfId="5825"/>
    <cellStyle name="60% - Ênfase6 106" xfId="5826"/>
    <cellStyle name="60% - Ênfase6 107" xfId="5827"/>
    <cellStyle name="60% - Ênfase6 108" xfId="5828"/>
    <cellStyle name="60% - Ênfase6 109" xfId="5829"/>
    <cellStyle name="60% - Ênfase6 11" xfId="5830"/>
    <cellStyle name="60% - Ênfase6 11 2" xfId="40544"/>
    <cellStyle name="60% - Ênfase6 110" xfId="5831"/>
    <cellStyle name="60% - Ênfase6 111" xfId="5832"/>
    <cellStyle name="60% - Ênfase6 112" xfId="5833"/>
    <cellStyle name="60% - Ênfase6 113" xfId="5834"/>
    <cellStyle name="60% - Ênfase6 114" xfId="5835"/>
    <cellStyle name="60% - Ênfase6 115" xfId="5836"/>
    <cellStyle name="60% - Ênfase6 116" xfId="5837"/>
    <cellStyle name="60% - Ênfase6 117" xfId="5838"/>
    <cellStyle name="60% - Ênfase6 118" xfId="5839"/>
    <cellStyle name="60% - Ênfase6 119" xfId="5840"/>
    <cellStyle name="60% - Ênfase6 12" xfId="5841"/>
    <cellStyle name="60% - Ênfase6 12 2" xfId="40545"/>
    <cellStyle name="60% - Ênfase6 120" xfId="5842"/>
    <cellStyle name="60% - Ênfase6 121" xfId="5843"/>
    <cellStyle name="60% - Ênfase6 122" xfId="5844"/>
    <cellStyle name="60% - Ênfase6 123" xfId="5845"/>
    <cellStyle name="60% - Ênfase6 124" xfId="5846"/>
    <cellStyle name="60% - Ênfase6 125" xfId="5847"/>
    <cellStyle name="60% - Ênfase6 126" xfId="5848"/>
    <cellStyle name="60% - Ênfase6 127" xfId="5849"/>
    <cellStyle name="60% - Ênfase6 128" xfId="5850"/>
    <cellStyle name="60% - Ênfase6 129" xfId="5851"/>
    <cellStyle name="60% - Ênfase6 13" xfId="5852"/>
    <cellStyle name="60% - Ênfase6 13 2" xfId="40546"/>
    <cellStyle name="60% - Ênfase6 130" xfId="5853"/>
    <cellStyle name="60% - Ênfase6 131" xfId="5854"/>
    <cellStyle name="60% - Ênfase6 132" xfId="5855"/>
    <cellStyle name="60% - Ênfase6 133" xfId="5856"/>
    <cellStyle name="60% - Ênfase6 134" xfId="5857"/>
    <cellStyle name="60% - Ênfase6 135" xfId="5858"/>
    <cellStyle name="60% - Ênfase6 136" xfId="5859"/>
    <cellStyle name="60% - Ênfase6 137" xfId="5860"/>
    <cellStyle name="60% - Ênfase6 138" xfId="5861"/>
    <cellStyle name="60% - Ênfase6 139" xfId="5862"/>
    <cellStyle name="60% - Ênfase6 14" xfId="5863"/>
    <cellStyle name="60% - Ênfase6 140" xfId="5864"/>
    <cellStyle name="60% - Ênfase6 141" xfId="5865"/>
    <cellStyle name="60% - Ênfase6 142" xfId="5866"/>
    <cellStyle name="60% - Ênfase6 143" xfId="5867"/>
    <cellStyle name="60% - Ênfase6 144" xfId="5868"/>
    <cellStyle name="60% - Ênfase6 145" xfId="5869"/>
    <cellStyle name="60% - Ênfase6 146" xfId="5870"/>
    <cellStyle name="60% - Ênfase6 147" xfId="5871"/>
    <cellStyle name="60% - Ênfase6 148" xfId="5872"/>
    <cellStyle name="60% - Ênfase6 149" xfId="5873"/>
    <cellStyle name="60% - Ênfase6 15" xfId="5874"/>
    <cellStyle name="60% - Ênfase6 15 2" xfId="5875"/>
    <cellStyle name="60% - Ênfase6 15 3" xfId="5876"/>
    <cellStyle name="60% - Ênfase6 150" xfId="5877"/>
    <cellStyle name="60% - Ênfase6 151" xfId="5878"/>
    <cellStyle name="60% - Ênfase6 152" xfId="5879"/>
    <cellStyle name="60% - Ênfase6 153" xfId="5880"/>
    <cellStyle name="60% - Ênfase6 154" xfId="5881"/>
    <cellStyle name="60% - Ênfase6 155" xfId="5882"/>
    <cellStyle name="60% - Ênfase6 156" xfId="5883"/>
    <cellStyle name="60% - Ênfase6 157" xfId="5884"/>
    <cellStyle name="60% - Ênfase6 158" xfId="5885"/>
    <cellStyle name="60% - Ênfase6 159" xfId="5886"/>
    <cellStyle name="60% - Ênfase6 16" xfId="5887"/>
    <cellStyle name="60% - Ênfase6 16 2" xfId="5888"/>
    <cellStyle name="60% - Ênfase6 16 3" xfId="5889"/>
    <cellStyle name="60% - Ênfase6 160" xfId="5890"/>
    <cellStyle name="60% - Ênfase6 161" xfId="5891"/>
    <cellStyle name="60% - Ênfase6 162" xfId="5892"/>
    <cellStyle name="60% - Ênfase6 163" xfId="5893"/>
    <cellStyle name="60% - Ênfase6 164" xfId="5894"/>
    <cellStyle name="60% - Ênfase6 165" xfId="5895"/>
    <cellStyle name="60% - Ênfase6 166" xfId="5896"/>
    <cellStyle name="60% - Ênfase6 167" xfId="5897"/>
    <cellStyle name="60% - Ênfase6 168" xfId="5898"/>
    <cellStyle name="60% - Ênfase6 169" xfId="5899"/>
    <cellStyle name="60% - Ênfase6 17" xfId="5900"/>
    <cellStyle name="60% - Ênfase6 17 2" xfId="5901"/>
    <cellStyle name="60% - Ênfase6 17 3" xfId="5902"/>
    <cellStyle name="60% - Ênfase6 170" xfId="5903"/>
    <cellStyle name="60% - Ênfase6 171" xfId="5904"/>
    <cellStyle name="60% - Ênfase6 172" xfId="5905"/>
    <cellStyle name="60% - Ênfase6 173" xfId="5906"/>
    <cellStyle name="60% - Ênfase6 174" xfId="5907"/>
    <cellStyle name="60% - Ênfase6 175" xfId="5908"/>
    <cellStyle name="60% - Ênfase6 176" xfId="5909"/>
    <cellStyle name="60% - Ênfase6 177" xfId="5910"/>
    <cellStyle name="60% - Ênfase6 178" xfId="5911"/>
    <cellStyle name="60% - Ênfase6 179" xfId="5912"/>
    <cellStyle name="60% - Ênfase6 18" xfId="5913"/>
    <cellStyle name="60% - Ênfase6 18 2" xfId="5914"/>
    <cellStyle name="60% - Ênfase6 18 3" xfId="5915"/>
    <cellStyle name="60% - Ênfase6 180" xfId="5916"/>
    <cellStyle name="60% - Ênfase6 181" xfId="5917"/>
    <cellStyle name="60% - Ênfase6 182" xfId="5918"/>
    <cellStyle name="60% - Ênfase6 183" xfId="5919"/>
    <cellStyle name="60% - Ênfase6 184" xfId="5920"/>
    <cellStyle name="60% - Ênfase6 185" xfId="5921"/>
    <cellStyle name="60% - Ênfase6 186" xfId="5922"/>
    <cellStyle name="60% - Ênfase6 187" xfId="5923"/>
    <cellStyle name="60% - Ênfase6 188" xfId="5924"/>
    <cellStyle name="60% - Ênfase6 189" xfId="5925"/>
    <cellStyle name="60% - Ênfase6 19" xfId="5926"/>
    <cellStyle name="60% - Ênfase6 19 2" xfId="5927"/>
    <cellStyle name="60% - Ênfase6 19 3" xfId="5928"/>
    <cellStyle name="60% - Ênfase6 190" xfId="5929"/>
    <cellStyle name="60% - Ênfase6 2" xfId="5930"/>
    <cellStyle name="60% - Ênfase6 2 10" xfId="5931"/>
    <cellStyle name="60% - Ênfase6 2 10 2" xfId="5932"/>
    <cellStyle name="60% - Ênfase6 2 10 3" xfId="5933"/>
    <cellStyle name="60% - Ênfase6 2 10 4" xfId="5934"/>
    <cellStyle name="60% - Ênfase6 2 10 5" xfId="5935"/>
    <cellStyle name="60% - Ênfase6 2 10 6" xfId="5936"/>
    <cellStyle name="60% - Ênfase6 2 10 7" xfId="5937"/>
    <cellStyle name="60% - Ênfase6 2 11" xfId="5938"/>
    <cellStyle name="60% - Ênfase6 2 11 2" xfId="5939"/>
    <cellStyle name="60% - Ênfase6 2 11 3" xfId="5940"/>
    <cellStyle name="60% - Ênfase6 2 11 4" xfId="5941"/>
    <cellStyle name="60% - Ênfase6 2 11 5" xfId="5942"/>
    <cellStyle name="60% - Ênfase6 2 11 6" xfId="5943"/>
    <cellStyle name="60% - Ênfase6 2 11 7" xfId="5944"/>
    <cellStyle name="60% - Ênfase6 2 12" xfId="5945"/>
    <cellStyle name="60% - Ênfase6 2 13" xfId="35"/>
    <cellStyle name="60% - Ênfase6 2 13 2" xfId="29381"/>
    <cellStyle name="60% - Ênfase6 2 14" xfId="5946"/>
    <cellStyle name="60% - Ênfase6 2 15" xfId="5947"/>
    <cellStyle name="60% - Ênfase6 2 16" xfId="5948"/>
    <cellStyle name="60% - Ênfase6 2 17" xfId="5949"/>
    <cellStyle name="60% - Ênfase6 2 18" xfId="5950"/>
    <cellStyle name="60% - Ênfase6 2 19" xfId="5951"/>
    <cellStyle name="60% - Ênfase6 2 2" xfId="5952"/>
    <cellStyle name="60% - Ênfase6 2 20" xfId="5953"/>
    <cellStyle name="60% - Ênfase6 2 21" xfId="5954"/>
    <cellStyle name="60% - Ênfase6 2 22" xfId="5955"/>
    <cellStyle name="60% - Ênfase6 2 23" xfId="5956"/>
    <cellStyle name="60% - Ênfase6 2 24" xfId="5957"/>
    <cellStyle name="60% - Ênfase6 2 25" xfId="5958"/>
    <cellStyle name="60% - Ênfase6 2 26" xfId="5959"/>
    <cellStyle name="60% - Ênfase6 2 27" xfId="5960"/>
    <cellStyle name="60% - Ênfase6 2 28" xfId="5961"/>
    <cellStyle name="60% - Ênfase6 2 29" xfId="5962"/>
    <cellStyle name="60% - Ênfase6 2 3" xfId="5963"/>
    <cellStyle name="60% - Ênfase6 2 30" xfId="5964"/>
    <cellStyle name="60% - Ênfase6 2 31" xfId="5965"/>
    <cellStyle name="60% - Ênfase6 2 32" xfId="5966"/>
    <cellStyle name="60% - Ênfase6 2 33" xfId="5967"/>
    <cellStyle name="60% - Ênfase6 2 34" xfId="5968"/>
    <cellStyle name="60% - Ênfase6 2 35" xfId="5969"/>
    <cellStyle name="60% - Ênfase6 2 4" xfId="5970"/>
    <cellStyle name="60% - Ênfase6 2 5" xfId="5971"/>
    <cellStyle name="60% - Ênfase6 2 6" xfId="5972"/>
    <cellStyle name="60% - Ênfase6 2 7" xfId="5973"/>
    <cellStyle name="60% - Ênfase6 2 8" xfId="5974"/>
    <cellStyle name="60% - Ênfase6 2 8 2" xfId="5975"/>
    <cellStyle name="60% - Ênfase6 2 8 3" xfId="5976"/>
    <cellStyle name="60% - Ênfase6 2 8 4" xfId="5977"/>
    <cellStyle name="60% - Ênfase6 2 8 5" xfId="5978"/>
    <cellStyle name="60% - Ênfase6 2 8 6" xfId="5979"/>
    <cellStyle name="60% - Ênfase6 2 8 7" xfId="5980"/>
    <cellStyle name="60% - Ênfase6 2 9" xfId="5981"/>
    <cellStyle name="60% - Ênfase6 2 9 2" xfId="5982"/>
    <cellStyle name="60% - Ênfase6 2 9 3" xfId="5983"/>
    <cellStyle name="60% - Ênfase6 2 9 4" xfId="5984"/>
    <cellStyle name="60% - Ênfase6 2 9 5" xfId="5985"/>
    <cellStyle name="60% - Ênfase6 2 9 6" xfId="5986"/>
    <cellStyle name="60% - Ênfase6 2 9 7" xfId="5987"/>
    <cellStyle name="60% - Ênfase6 20" xfId="5988"/>
    <cellStyle name="60% - Ênfase6 20 2" xfId="5989"/>
    <cellStyle name="60% - Ênfase6 20 3" xfId="5990"/>
    <cellStyle name="60% - Ênfase6 21" xfId="5991"/>
    <cellStyle name="60% - Ênfase6 22" xfId="5992"/>
    <cellStyle name="60% - Ênfase6 23" xfId="5993"/>
    <cellStyle name="60% - Ênfase6 24" xfId="5994"/>
    <cellStyle name="60% - Ênfase6 24 2" xfId="40961"/>
    <cellStyle name="60% - Ênfase6 25" xfId="5995"/>
    <cellStyle name="60% - Ênfase6 25 2" xfId="40996"/>
    <cellStyle name="60% - Ênfase6 26" xfId="5996"/>
    <cellStyle name="60% - Ênfase6 26 10" xfId="5997"/>
    <cellStyle name="60% - Ênfase6 26 11" xfId="5998"/>
    <cellStyle name="60% - Ênfase6 26 12" xfId="5999"/>
    <cellStyle name="60% - Ênfase6 26 13" xfId="6000"/>
    <cellStyle name="60% - Ênfase6 26 14" xfId="6001"/>
    <cellStyle name="60% - Ênfase6 26 15" xfId="6002"/>
    <cellStyle name="60% - Ênfase6 26 16" xfId="6003"/>
    <cellStyle name="60% - Ênfase6 26 2" xfId="6004"/>
    <cellStyle name="60% - Ênfase6 26 3" xfId="6005"/>
    <cellStyle name="60% - Ênfase6 26 4" xfId="6006"/>
    <cellStyle name="60% - Ênfase6 26 5" xfId="6007"/>
    <cellStyle name="60% - Ênfase6 26 6" xfId="6008"/>
    <cellStyle name="60% - Ênfase6 26 7" xfId="6009"/>
    <cellStyle name="60% - Ênfase6 26 8" xfId="6010"/>
    <cellStyle name="60% - Ênfase6 26 9" xfId="6011"/>
    <cellStyle name="60% - Ênfase6 27" xfId="6012"/>
    <cellStyle name="60% - Ênfase6 27 10" xfId="6013"/>
    <cellStyle name="60% - Ênfase6 27 11" xfId="6014"/>
    <cellStyle name="60% - Ênfase6 27 12" xfId="6015"/>
    <cellStyle name="60% - Ênfase6 27 13" xfId="6016"/>
    <cellStyle name="60% - Ênfase6 27 14" xfId="6017"/>
    <cellStyle name="60% - Ênfase6 27 15" xfId="6018"/>
    <cellStyle name="60% - Ênfase6 27 16" xfId="6019"/>
    <cellStyle name="60% - Ênfase6 27 2" xfId="6020"/>
    <cellStyle name="60% - Ênfase6 27 3" xfId="6021"/>
    <cellStyle name="60% - Ênfase6 27 4" xfId="6022"/>
    <cellStyle name="60% - Ênfase6 27 5" xfId="6023"/>
    <cellStyle name="60% - Ênfase6 27 6" xfId="6024"/>
    <cellStyle name="60% - Ênfase6 27 7" xfId="6025"/>
    <cellStyle name="60% - Ênfase6 27 8" xfId="6026"/>
    <cellStyle name="60% - Ênfase6 27 9" xfId="6027"/>
    <cellStyle name="60% - Ênfase6 28" xfId="6028"/>
    <cellStyle name="60% - Ênfase6 28 10" xfId="6029"/>
    <cellStyle name="60% - Ênfase6 28 11" xfId="6030"/>
    <cellStyle name="60% - Ênfase6 28 12" xfId="6031"/>
    <cellStyle name="60% - Ênfase6 28 13" xfId="6032"/>
    <cellStyle name="60% - Ênfase6 28 14" xfId="6033"/>
    <cellStyle name="60% - Ênfase6 28 15" xfId="6034"/>
    <cellStyle name="60% - Ênfase6 28 16" xfId="6035"/>
    <cellStyle name="60% - Ênfase6 28 2" xfId="6036"/>
    <cellStyle name="60% - Ênfase6 28 3" xfId="6037"/>
    <cellStyle name="60% - Ênfase6 28 4" xfId="6038"/>
    <cellStyle name="60% - Ênfase6 28 5" xfId="6039"/>
    <cellStyle name="60% - Ênfase6 28 6" xfId="6040"/>
    <cellStyle name="60% - Ênfase6 28 7" xfId="6041"/>
    <cellStyle name="60% - Ênfase6 28 8" xfId="6042"/>
    <cellStyle name="60% - Ênfase6 28 9" xfId="6043"/>
    <cellStyle name="60% - Ênfase6 29" xfId="6044"/>
    <cellStyle name="60% - Ênfase6 29 10" xfId="6045"/>
    <cellStyle name="60% - Ênfase6 29 11" xfId="6046"/>
    <cellStyle name="60% - Ênfase6 29 12" xfId="6047"/>
    <cellStyle name="60% - Ênfase6 29 13" xfId="6048"/>
    <cellStyle name="60% - Ênfase6 29 14" xfId="6049"/>
    <cellStyle name="60% - Ênfase6 29 15" xfId="6050"/>
    <cellStyle name="60% - Ênfase6 29 16" xfId="6051"/>
    <cellStyle name="60% - Ênfase6 29 2" xfId="6052"/>
    <cellStyle name="60% - Ênfase6 29 3" xfId="6053"/>
    <cellStyle name="60% - Ênfase6 29 4" xfId="6054"/>
    <cellStyle name="60% - Ênfase6 29 5" xfId="6055"/>
    <cellStyle name="60% - Ênfase6 29 6" xfId="6056"/>
    <cellStyle name="60% - Ênfase6 29 7" xfId="6057"/>
    <cellStyle name="60% - Ênfase6 29 8" xfId="6058"/>
    <cellStyle name="60% - Ênfase6 29 9" xfId="6059"/>
    <cellStyle name="60% - Ênfase6 3" xfId="6060"/>
    <cellStyle name="60% - Ênfase6 3 10" xfId="6061"/>
    <cellStyle name="60% - Ênfase6 3 11" xfId="6062"/>
    <cellStyle name="60% - Ênfase6 3 2" xfId="6063"/>
    <cellStyle name="60% - Ênfase6 3 3" xfId="6064"/>
    <cellStyle name="60% - Ênfase6 3 4" xfId="6065"/>
    <cellStyle name="60% - Ênfase6 3 5" xfId="6066"/>
    <cellStyle name="60% - Ênfase6 3 6" xfId="6067"/>
    <cellStyle name="60% - Ênfase6 3 7" xfId="6068"/>
    <cellStyle name="60% - Ênfase6 3 8" xfId="6069"/>
    <cellStyle name="60% - Ênfase6 3 9" xfId="6070"/>
    <cellStyle name="60% - Ênfase6 30" xfId="6071"/>
    <cellStyle name="60% - Ênfase6 31" xfId="6072"/>
    <cellStyle name="60% - Ênfase6 32" xfId="6073"/>
    <cellStyle name="60% - Ênfase6 33" xfId="6074"/>
    <cellStyle name="60% - Ênfase6 34" xfId="6075"/>
    <cellStyle name="60% - Ênfase6 35" xfId="6076"/>
    <cellStyle name="60% - Ênfase6 36" xfId="6077"/>
    <cellStyle name="60% - Ênfase6 37" xfId="6078"/>
    <cellStyle name="60% - Ênfase6 38" xfId="6079"/>
    <cellStyle name="60% - Ênfase6 39" xfId="6080"/>
    <cellStyle name="60% - Ênfase6 4" xfId="6081"/>
    <cellStyle name="60% - Ênfase6 4 10" xfId="6082"/>
    <cellStyle name="60% - Ênfase6 4 11" xfId="6083"/>
    <cellStyle name="60% - Ênfase6 4 2" xfId="6084"/>
    <cellStyle name="60% - Ênfase6 4 3" xfId="6085"/>
    <cellStyle name="60% - Ênfase6 4 4" xfId="6086"/>
    <cellStyle name="60% - Ênfase6 4 5" xfId="6087"/>
    <cellStyle name="60% - Ênfase6 4 6" xfId="6088"/>
    <cellStyle name="60% - Ênfase6 4 7" xfId="6089"/>
    <cellStyle name="60% - Ênfase6 4 8" xfId="6090"/>
    <cellStyle name="60% - Ênfase6 4 9" xfId="6091"/>
    <cellStyle name="60% - Ênfase6 40" xfId="6092"/>
    <cellStyle name="60% - Ênfase6 41" xfId="6093"/>
    <cellStyle name="60% - Ênfase6 42" xfId="6094"/>
    <cellStyle name="60% - Ênfase6 43" xfId="6095"/>
    <cellStyle name="60% - Ênfase6 44" xfId="6096"/>
    <cellStyle name="60% - Ênfase6 45" xfId="6097"/>
    <cellStyle name="60% - Ênfase6 46" xfId="6098"/>
    <cellStyle name="60% - Ênfase6 47" xfId="6099"/>
    <cellStyle name="60% - Ênfase6 48" xfId="6100"/>
    <cellStyle name="60% - Ênfase6 49" xfId="6101"/>
    <cellStyle name="60% - Ênfase6 5" xfId="6102"/>
    <cellStyle name="60% - Ênfase6 5 2" xfId="6103"/>
    <cellStyle name="60% - Ênfase6 5 3" xfId="6104"/>
    <cellStyle name="60% - Ênfase6 5 4" xfId="6105"/>
    <cellStyle name="60% - Ênfase6 50" xfId="6106"/>
    <cellStyle name="60% - Ênfase6 51" xfId="6107"/>
    <cellStyle name="60% - Ênfase6 52" xfId="6108"/>
    <cellStyle name="60% - Ênfase6 53" xfId="6109"/>
    <cellStyle name="60% - Ênfase6 54" xfId="6110"/>
    <cellStyle name="60% - Ênfase6 55" xfId="6111"/>
    <cellStyle name="60% - Ênfase6 56" xfId="6112"/>
    <cellStyle name="60% - Ênfase6 57" xfId="6113"/>
    <cellStyle name="60% - Ênfase6 58" xfId="6114"/>
    <cellStyle name="60% - Ênfase6 59" xfId="6115"/>
    <cellStyle name="60% - Ênfase6 6" xfId="6116"/>
    <cellStyle name="60% - Ênfase6 6 2" xfId="6117"/>
    <cellStyle name="60% - Ênfase6 6 3" xfId="6118"/>
    <cellStyle name="60% - Ênfase6 6 4" xfId="6119"/>
    <cellStyle name="60% - Ênfase6 60" xfId="6120"/>
    <cellStyle name="60% - Ênfase6 61" xfId="6121"/>
    <cellStyle name="60% - Ênfase6 62" xfId="6122"/>
    <cellStyle name="60% - Ênfase6 63" xfId="6123"/>
    <cellStyle name="60% - Ênfase6 64" xfId="6124"/>
    <cellStyle name="60% - Ênfase6 65" xfId="6125"/>
    <cellStyle name="60% - Ênfase6 66" xfId="6126"/>
    <cellStyle name="60% - Ênfase6 67" xfId="6127"/>
    <cellStyle name="60% - Ênfase6 68" xfId="6128"/>
    <cellStyle name="60% - Ênfase6 69" xfId="6129"/>
    <cellStyle name="60% - Ênfase6 7" xfId="6130"/>
    <cellStyle name="60% - Ênfase6 7 2" xfId="6131"/>
    <cellStyle name="60% - Ênfase6 7 3" xfId="6132"/>
    <cellStyle name="60% - Ênfase6 7 4" xfId="6133"/>
    <cellStyle name="60% - Ênfase6 70" xfId="6134"/>
    <cellStyle name="60% - Ênfase6 71" xfId="6135"/>
    <cellStyle name="60% - Ênfase6 72" xfId="6136"/>
    <cellStyle name="60% - Ênfase6 73" xfId="6137"/>
    <cellStyle name="60% - Ênfase6 74" xfId="6138"/>
    <cellStyle name="60% - Ênfase6 75" xfId="6139"/>
    <cellStyle name="60% - Ênfase6 76" xfId="6140"/>
    <cellStyle name="60% - Ênfase6 77" xfId="6141"/>
    <cellStyle name="60% - Ênfase6 78" xfId="6142"/>
    <cellStyle name="60% - Ênfase6 79" xfId="6143"/>
    <cellStyle name="60% - Ênfase6 8" xfId="6144"/>
    <cellStyle name="60% - Ênfase6 8 2" xfId="6145"/>
    <cellStyle name="60% - Ênfase6 8 3" xfId="6146"/>
    <cellStyle name="60% - Ênfase6 8 4" xfId="6147"/>
    <cellStyle name="60% - Ênfase6 80" xfId="6148"/>
    <cellStyle name="60% - Ênfase6 81" xfId="6149"/>
    <cellStyle name="60% - Ênfase6 82" xfId="6150"/>
    <cellStyle name="60% - Ênfase6 83" xfId="6151"/>
    <cellStyle name="60% - Ênfase6 84" xfId="6152"/>
    <cellStyle name="60% - Ênfase6 85" xfId="6153"/>
    <cellStyle name="60% - Ênfase6 86" xfId="6154"/>
    <cellStyle name="60% - Ênfase6 87" xfId="6155"/>
    <cellStyle name="60% - Ênfase6 88" xfId="6156"/>
    <cellStyle name="60% - Ênfase6 89" xfId="6157"/>
    <cellStyle name="60% - Ênfase6 9" xfId="6158"/>
    <cellStyle name="60% - Ênfase6 90" xfId="6159"/>
    <cellStyle name="60% - Ênfase6 91" xfId="6160"/>
    <cellStyle name="60% - Ênfase6 92" xfId="6161"/>
    <cellStyle name="60% - Ênfase6 93" xfId="6162"/>
    <cellStyle name="60% - Ênfase6 94" xfId="6163"/>
    <cellStyle name="60% - Ênfase6 95" xfId="6164"/>
    <cellStyle name="60% - Ênfase6 96" xfId="6165"/>
    <cellStyle name="60% - Ênfase6 97" xfId="6166"/>
    <cellStyle name="60% - Ênfase6 98" xfId="6167"/>
    <cellStyle name="60% - Ênfase6 99" xfId="6168"/>
    <cellStyle name="Accent1" xfId="41107"/>
    <cellStyle name="Accent2" xfId="41108"/>
    <cellStyle name="Accent3" xfId="41109"/>
    <cellStyle name="Accent4" xfId="41110"/>
    <cellStyle name="Accent5" xfId="41111"/>
    <cellStyle name="Accent6" xfId="41112"/>
    <cellStyle name="Bom 10" xfId="6169"/>
    <cellStyle name="Bom 10 2" xfId="40547"/>
    <cellStyle name="Bom 100" xfId="6170"/>
    <cellStyle name="Bom 101" xfId="6171"/>
    <cellStyle name="Bom 102" xfId="6172"/>
    <cellStyle name="Bom 103" xfId="6173"/>
    <cellStyle name="Bom 104" xfId="6174"/>
    <cellStyle name="Bom 105" xfId="6175"/>
    <cellStyle name="Bom 106" xfId="6176"/>
    <cellStyle name="Bom 107" xfId="6177"/>
    <cellStyle name="Bom 108" xfId="6178"/>
    <cellStyle name="Bom 109" xfId="6179"/>
    <cellStyle name="Bom 11" xfId="6180"/>
    <cellStyle name="Bom 11 2" xfId="40548"/>
    <cellStyle name="Bom 110" xfId="6181"/>
    <cellStyle name="Bom 111" xfId="6182"/>
    <cellStyle name="Bom 112" xfId="6183"/>
    <cellStyle name="Bom 113" xfId="6184"/>
    <cellStyle name="Bom 114" xfId="6185"/>
    <cellStyle name="Bom 115" xfId="6186"/>
    <cellStyle name="Bom 116" xfId="6187"/>
    <cellStyle name="Bom 117" xfId="6188"/>
    <cellStyle name="Bom 118" xfId="6189"/>
    <cellStyle name="Bom 119" xfId="6190"/>
    <cellStyle name="Bom 12" xfId="6191"/>
    <cellStyle name="Bom 12 2" xfId="40549"/>
    <cellStyle name="Bom 120" xfId="6192"/>
    <cellStyle name="Bom 121" xfId="6193"/>
    <cellStyle name="Bom 122" xfId="6194"/>
    <cellStyle name="Bom 123" xfId="6195"/>
    <cellStyle name="Bom 124" xfId="6196"/>
    <cellStyle name="Bom 125" xfId="6197"/>
    <cellStyle name="Bom 126" xfId="6198"/>
    <cellStyle name="Bom 127" xfId="6199"/>
    <cellStyle name="Bom 128" xfId="6200"/>
    <cellStyle name="Bom 129" xfId="6201"/>
    <cellStyle name="Bom 13" xfId="6202"/>
    <cellStyle name="Bom 13 2" xfId="40550"/>
    <cellStyle name="Bom 130" xfId="6203"/>
    <cellStyle name="Bom 131" xfId="6204"/>
    <cellStyle name="Bom 132" xfId="6205"/>
    <cellStyle name="Bom 133" xfId="6206"/>
    <cellStyle name="Bom 134" xfId="6207"/>
    <cellStyle name="Bom 135" xfId="6208"/>
    <cellStyle name="Bom 136" xfId="6209"/>
    <cellStyle name="Bom 137" xfId="6210"/>
    <cellStyle name="Bom 138" xfId="6211"/>
    <cellStyle name="Bom 139" xfId="6212"/>
    <cellStyle name="Bom 14" xfId="6213"/>
    <cellStyle name="Bom 140" xfId="6214"/>
    <cellStyle name="Bom 141" xfId="6215"/>
    <cellStyle name="Bom 142" xfId="6216"/>
    <cellStyle name="Bom 143" xfId="6217"/>
    <cellStyle name="Bom 144" xfId="6218"/>
    <cellStyle name="Bom 145" xfId="6219"/>
    <cellStyle name="Bom 146" xfId="6220"/>
    <cellStyle name="Bom 147" xfId="6221"/>
    <cellStyle name="Bom 148" xfId="6222"/>
    <cellStyle name="Bom 149" xfId="6223"/>
    <cellStyle name="Bom 15" xfId="6224"/>
    <cellStyle name="Bom 15 2" xfId="6225"/>
    <cellStyle name="Bom 15 3" xfId="6226"/>
    <cellStyle name="Bom 150" xfId="6227"/>
    <cellStyle name="Bom 151" xfId="6228"/>
    <cellStyle name="Bom 152" xfId="6229"/>
    <cellStyle name="Bom 153" xfId="6230"/>
    <cellStyle name="Bom 154" xfId="6231"/>
    <cellStyle name="Bom 155" xfId="6232"/>
    <cellStyle name="Bom 156" xfId="6233"/>
    <cellStyle name="Bom 157" xfId="6234"/>
    <cellStyle name="Bom 158" xfId="6235"/>
    <cellStyle name="Bom 159" xfId="6236"/>
    <cellStyle name="Bom 16" xfId="6237"/>
    <cellStyle name="Bom 16 2" xfId="6238"/>
    <cellStyle name="Bom 16 3" xfId="6239"/>
    <cellStyle name="Bom 160" xfId="6240"/>
    <cellStyle name="Bom 161" xfId="6241"/>
    <cellStyle name="Bom 162" xfId="6242"/>
    <cellStyle name="Bom 163" xfId="6243"/>
    <cellStyle name="Bom 164" xfId="6244"/>
    <cellStyle name="Bom 165" xfId="6245"/>
    <cellStyle name="Bom 166" xfId="6246"/>
    <cellStyle name="Bom 167" xfId="6247"/>
    <cellStyle name="Bom 168" xfId="6248"/>
    <cellStyle name="Bom 169" xfId="6249"/>
    <cellStyle name="Bom 17" xfId="6250"/>
    <cellStyle name="Bom 17 2" xfId="6251"/>
    <cellStyle name="Bom 17 3" xfId="6252"/>
    <cellStyle name="Bom 170" xfId="6253"/>
    <cellStyle name="Bom 171" xfId="6254"/>
    <cellStyle name="Bom 172" xfId="6255"/>
    <cellStyle name="Bom 173" xfId="6256"/>
    <cellStyle name="Bom 174" xfId="6257"/>
    <cellStyle name="Bom 175" xfId="6258"/>
    <cellStyle name="Bom 176" xfId="6259"/>
    <cellStyle name="Bom 177" xfId="6260"/>
    <cellStyle name="Bom 178" xfId="6261"/>
    <cellStyle name="Bom 179" xfId="6262"/>
    <cellStyle name="Bom 18" xfId="6263"/>
    <cellStyle name="Bom 18 2" xfId="6264"/>
    <cellStyle name="Bom 18 3" xfId="6265"/>
    <cellStyle name="Bom 180" xfId="6266"/>
    <cellStyle name="Bom 181" xfId="6267"/>
    <cellStyle name="Bom 182" xfId="6268"/>
    <cellStyle name="Bom 183" xfId="6269"/>
    <cellStyle name="Bom 184" xfId="6270"/>
    <cellStyle name="Bom 185" xfId="6271"/>
    <cellStyle name="Bom 186" xfId="6272"/>
    <cellStyle name="Bom 187" xfId="6273"/>
    <cellStyle name="Bom 188" xfId="6274"/>
    <cellStyle name="Bom 189" xfId="6275"/>
    <cellStyle name="Bom 19" xfId="6276"/>
    <cellStyle name="Bom 19 2" xfId="6277"/>
    <cellStyle name="Bom 19 3" xfId="6278"/>
    <cellStyle name="Bom 190" xfId="6279"/>
    <cellStyle name="Bom 2" xfId="6280"/>
    <cellStyle name="Bom 2 10" xfId="6281"/>
    <cellStyle name="Bom 2 10 2" xfId="6282"/>
    <cellStyle name="Bom 2 10 3" xfId="6283"/>
    <cellStyle name="Bom 2 10 4" xfId="6284"/>
    <cellStyle name="Bom 2 10 5" xfId="6285"/>
    <cellStyle name="Bom 2 10 6" xfId="6286"/>
    <cellStyle name="Bom 2 10 7" xfId="6287"/>
    <cellStyle name="Bom 2 11" xfId="6288"/>
    <cellStyle name="Bom 2 11 2" xfId="6289"/>
    <cellStyle name="Bom 2 11 3" xfId="6290"/>
    <cellStyle name="Bom 2 11 4" xfId="6291"/>
    <cellStyle name="Bom 2 11 5" xfId="6292"/>
    <cellStyle name="Bom 2 11 6" xfId="6293"/>
    <cellStyle name="Bom 2 11 7" xfId="6294"/>
    <cellStyle name="Bom 2 12" xfId="6295"/>
    <cellStyle name="Bom 2 13" xfId="6296"/>
    <cellStyle name="Bom 2 14" xfId="6297"/>
    <cellStyle name="Bom 2 15" xfId="6298"/>
    <cellStyle name="Bom 2 16" xfId="6299"/>
    <cellStyle name="Bom 2 17" xfId="6300"/>
    <cellStyle name="Bom 2 18" xfId="6301"/>
    <cellStyle name="Bom 2 19" xfId="6302"/>
    <cellStyle name="Bom 2 2" xfId="6303"/>
    <cellStyle name="Bom 2 20" xfId="6304"/>
    <cellStyle name="Bom 2 21" xfId="6305"/>
    <cellStyle name="Bom 2 22" xfId="6306"/>
    <cellStyle name="Bom 2 23" xfId="6307"/>
    <cellStyle name="Bom 2 24" xfId="6308"/>
    <cellStyle name="Bom 2 25" xfId="6309"/>
    <cellStyle name="Bom 2 26" xfId="6310"/>
    <cellStyle name="Bom 2 27" xfId="6311"/>
    <cellStyle name="Bom 2 28" xfId="6312"/>
    <cellStyle name="Bom 2 29" xfId="6313"/>
    <cellStyle name="Bom 2 3" xfId="6314"/>
    <cellStyle name="Bom 2 30" xfId="6315"/>
    <cellStyle name="Bom 2 31" xfId="6316"/>
    <cellStyle name="Bom 2 32" xfId="6317"/>
    <cellStyle name="Bom 2 33" xfId="6318"/>
    <cellStyle name="Bom 2 34" xfId="6319"/>
    <cellStyle name="Bom 2 35" xfId="6320"/>
    <cellStyle name="Bom 2 4" xfId="6321"/>
    <cellStyle name="Bom 2 5" xfId="6322"/>
    <cellStyle name="Bom 2 6" xfId="6323"/>
    <cellStyle name="Bom 2 7" xfId="6324"/>
    <cellStyle name="Bom 2 8" xfId="6325"/>
    <cellStyle name="Bom 2 8 2" xfId="6326"/>
    <cellStyle name="Bom 2 8 3" xfId="6327"/>
    <cellStyle name="Bom 2 8 4" xfId="6328"/>
    <cellStyle name="Bom 2 8 5" xfId="6329"/>
    <cellStyle name="Bom 2 8 6" xfId="6330"/>
    <cellStyle name="Bom 2 8 7" xfId="6331"/>
    <cellStyle name="Bom 2 9" xfId="6332"/>
    <cellStyle name="Bom 2 9 2" xfId="6333"/>
    <cellStyle name="Bom 2 9 3" xfId="6334"/>
    <cellStyle name="Bom 2 9 4" xfId="6335"/>
    <cellStyle name="Bom 2 9 5" xfId="6336"/>
    <cellStyle name="Bom 2 9 6" xfId="6337"/>
    <cellStyle name="Bom 2 9 7" xfId="6338"/>
    <cellStyle name="Bom 20" xfId="6339"/>
    <cellStyle name="Bom 20 2" xfId="6340"/>
    <cellStyle name="Bom 20 3" xfId="6341"/>
    <cellStyle name="Bom 21" xfId="6342"/>
    <cellStyle name="Bom 22" xfId="6343"/>
    <cellStyle name="Bom 23" xfId="6344"/>
    <cellStyle name="Bom 24" xfId="6345"/>
    <cellStyle name="Bom 24 2" xfId="40962"/>
    <cellStyle name="Bom 25" xfId="6346"/>
    <cellStyle name="Bom 25 2" xfId="40997"/>
    <cellStyle name="Bom 26" xfId="6347"/>
    <cellStyle name="Bom 26 10" xfId="6348"/>
    <cellStyle name="Bom 26 11" xfId="6349"/>
    <cellStyle name="Bom 26 12" xfId="6350"/>
    <cellStyle name="Bom 26 13" xfId="6351"/>
    <cellStyle name="Bom 26 14" xfId="6352"/>
    <cellStyle name="Bom 26 15" xfId="6353"/>
    <cellStyle name="Bom 26 16" xfId="6354"/>
    <cellStyle name="Bom 26 2" xfId="6355"/>
    <cellStyle name="Bom 26 3" xfId="6356"/>
    <cellStyle name="Bom 26 4" xfId="6357"/>
    <cellStyle name="Bom 26 5" xfId="6358"/>
    <cellStyle name="Bom 26 6" xfId="6359"/>
    <cellStyle name="Bom 26 7" xfId="6360"/>
    <cellStyle name="Bom 26 8" xfId="6361"/>
    <cellStyle name="Bom 26 9" xfId="6362"/>
    <cellStyle name="Bom 27" xfId="6363"/>
    <cellStyle name="Bom 27 10" xfId="6364"/>
    <cellStyle name="Bom 27 11" xfId="6365"/>
    <cellStyle name="Bom 27 12" xfId="6366"/>
    <cellStyle name="Bom 27 13" xfId="6367"/>
    <cellStyle name="Bom 27 14" xfId="6368"/>
    <cellStyle name="Bom 27 15" xfId="6369"/>
    <cellStyle name="Bom 27 16" xfId="6370"/>
    <cellStyle name="Bom 27 2" xfId="6371"/>
    <cellStyle name="Bom 27 3" xfId="6372"/>
    <cellStyle name="Bom 27 4" xfId="6373"/>
    <cellStyle name="Bom 27 5" xfId="6374"/>
    <cellStyle name="Bom 27 6" xfId="6375"/>
    <cellStyle name="Bom 27 7" xfId="6376"/>
    <cellStyle name="Bom 27 8" xfId="6377"/>
    <cellStyle name="Bom 27 9" xfId="6378"/>
    <cellStyle name="Bom 28" xfId="6379"/>
    <cellStyle name="Bom 28 10" xfId="6380"/>
    <cellStyle name="Bom 28 11" xfId="6381"/>
    <cellStyle name="Bom 28 12" xfId="6382"/>
    <cellStyle name="Bom 28 13" xfId="6383"/>
    <cellStyle name="Bom 28 14" xfId="6384"/>
    <cellStyle name="Bom 28 15" xfId="6385"/>
    <cellStyle name="Bom 28 16" xfId="6386"/>
    <cellStyle name="Bom 28 2" xfId="6387"/>
    <cellStyle name="Bom 28 3" xfId="6388"/>
    <cellStyle name="Bom 28 4" xfId="6389"/>
    <cellStyle name="Bom 28 5" xfId="6390"/>
    <cellStyle name="Bom 28 6" xfId="6391"/>
    <cellStyle name="Bom 28 7" xfId="6392"/>
    <cellStyle name="Bom 28 8" xfId="6393"/>
    <cellStyle name="Bom 28 9" xfId="6394"/>
    <cellStyle name="Bom 29" xfId="6395"/>
    <cellStyle name="Bom 29 10" xfId="6396"/>
    <cellStyle name="Bom 29 11" xfId="6397"/>
    <cellStyle name="Bom 29 12" xfId="6398"/>
    <cellStyle name="Bom 29 13" xfId="6399"/>
    <cellStyle name="Bom 29 14" xfId="6400"/>
    <cellStyle name="Bom 29 15" xfId="6401"/>
    <cellStyle name="Bom 29 16" xfId="6402"/>
    <cellStyle name="Bom 29 2" xfId="6403"/>
    <cellStyle name="Bom 29 3" xfId="6404"/>
    <cellStyle name="Bom 29 4" xfId="6405"/>
    <cellStyle name="Bom 29 5" xfId="6406"/>
    <cellStyle name="Bom 29 6" xfId="6407"/>
    <cellStyle name="Bom 29 7" xfId="6408"/>
    <cellStyle name="Bom 29 8" xfId="6409"/>
    <cellStyle name="Bom 29 9" xfId="6410"/>
    <cellStyle name="Bom 3" xfId="6411"/>
    <cellStyle name="Bom 3 10" xfId="6412"/>
    <cellStyle name="Bom 3 11" xfId="6413"/>
    <cellStyle name="Bom 3 2" xfId="6414"/>
    <cellStyle name="Bom 3 3" xfId="6415"/>
    <cellStyle name="Bom 3 4" xfId="6416"/>
    <cellStyle name="Bom 3 5" xfId="6417"/>
    <cellStyle name="Bom 3 6" xfId="6418"/>
    <cellStyle name="Bom 3 7" xfId="6419"/>
    <cellStyle name="Bom 3 8" xfId="6420"/>
    <cellStyle name="Bom 3 9" xfId="6421"/>
    <cellStyle name="Bom 30" xfId="6422"/>
    <cellStyle name="Bom 31" xfId="6423"/>
    <cellStyle name="Bom 32" xfId="6424"/>
    <cellStyle name="Bom 33" xfId="6425"/>
    <cellStyle name="Bom 34" xfId="6426"/>
    <cellStyle name="Bom 35" xfId="6427"/>
    <cellStyle name="Bom 36" xfId="6428"/>
    <cellStyle name="Bom 37" xfId="6429"/>
    <cellStyle name="Bom 38" xfId="6430"/>
    <cellStyle name="Bom 39" xfId="6431"/>
    <cellStyle name="Bom 4" xfId="6432"/>
    <cellStyle name="Bom 4 10" xfId="6433"/>
    <cellStyle name="Bom 4 11" xfId="6434"/>
    <cellStyle name="Bom 4 2" xfId="6435"/>
    <cellStyle name="Bom 4 3" xfId="6436"/>
    <cellStyle name="Bom 4 4" xfId="6437"/>
    <cellStyle name="Bom 4 5" xfId="6438"/>
    <cellStyle name="Bom 4 6" xfId="6439"/>
    <cellStyle name="Bom 4 7" xfId="6440"/>
    <cellStyle name="Bom 4 8" xfId="6441"/>
    <cellStyle name="Bom 4 9" xfId="6442"/>
    <cellStyle name="Bom 40" xfId="6443"/>
    <cellStyle name="Bom 41" xfId="6444"/>
    <cellStyle name="Bom 42" xfId="6445"/>
    <cellStyle name="Bom 43" xfId="6446"/>
    <cellStyle name="Bom 44" xfId="6447"/>
    <cellStyle name="Bom 45" xfId="6448"/>
    <cellStyle name="Bom 46" xfId="6449"/>
    <cellStyle name="Bom 47" xfId="6450"/>
    <cellStyle name="Bom 48" xfId="6451"/>
    <cellStyle name="Bom 49" xfId="6452"/>
    <cellStyle name="Bom 5" xfId="6453"/>
    <cellStyle name="Bom 5 2" xfId="6454"/>
    <cellStyle name="Bom 5 3" xfId="6455"/>
    <cellStyle name="Bom 5 4" xfId="6456"/>
    <cellStyle name="Bom 50" xfId="6457"/>
    <cellStyle name="Bom 51" xfId="6458"/>
    <cellStyle name="Bom 52" xfId="6459"/>
    <cellStyle name="Bom 53" xfId="6460"/>
    <cellStyle name="Bom 54" xfId="6461"/>
    <cellStyle name="Bom 55" xfId="6462"/>
    <cellStyle name="Bom 56" xfId="6463"/>
    <cellStyle name="Bom 57" xfId="6464"/>
    <cellStyle name="Bom 58" xfId="6465"/>
    <cellStyle name="Bom 59" xfId="6466"/>
    <cellStyle name="Bom 6" xfId="6467"/>
    <cellStyle name="Bom 6 2" xfId="6468"/>
    <cellStyle name="Bom 6 3" xfId="6469"/>
    <cellStyle name="Bom 6 4" xfId="6470"/>
    <cellStyle name="Bom 60" xfId="6471"/>
    <cellStyle name="Bom 61" xfId="6472"/>
    <cellStyle name="Bom 62" xfId="6473"/>
    <cellStyle name="Bom 63" xfId="6474"/>
    <cellStyle name="Bom 64" xfId="6475"/>
    <cellStyle name="Bom 65" xfId="6476"/>
    <cellStyle name="Bom 66" xfId="6477"/>
    <cellStyle name="Bom 67" xfId="6478"/>
    <cellStyle name="Bom 68" xfId="6479"/>
    <cellStyle name="Bom 69" xfId="6480"/>
    <cellStyle name="Bom 7" xfId="6481"/>
    <cellStyle name="Bom 7 2" xfId="6482"/>
    <cellStyle name="Bom 7 3" xfId="6483"/>
    <cellStyle name="Bom 7 4" xfId="6484"/>
    <cellStyle name="Bom 70" xfId="6485"/>
    <cellStyle name="Bom 71" xfId="6486"/>
    <cellStyle name="Bom 72" xfId="6487"/>
    <cellStyle name="Bom 73" xfId="6488"/>
    <cellStyle name="Bom 74" xfId="6489"/>
    <cellStyle name="Bom 75" xfId="6490"/>
    <cellStyle name="Bom 76" xfId="6491"/>
    <cellStyle name="Bom 77" xfId="6492"/>
    <cellStyle name="Bom 78" xfId="6493"/>
    <cellStyle name="Bom 79" xfId="6494"/>
    <cellStyle name="Bom 8" xfId="6495"/>
    <cellStyle name="Bom 8 2" xfId="6496"/>
    <cellStyle name="Bom 8 3" xfId="6497"/>
    <cellStyle name="Bom 8 4" xfId="6498"/>
    <cellStyle name="Bom 80" xfId="6499"/>
    <cellStyle name="Bom 81" xfId="6500"/>
    <cellStyle name="Bom 82" xfId="6501"/>
    <cellStyle name="Bom 83" xfId="6502"/>
    <cellStyle name="Bom 84" xfId="6503"/>
    <cellStyle name="Bom 85" xfId="6504"/>
    <cellStyle name="Bom 86" xfId="6505"/>
    <cellStyle name="Bom 87" xfId="6506"/>
    <cellStyle name="Bom 88" xfId="6507"/>
    <cellStyle name="Bom 89" xfId="6508"/>
    <cellStyle name="Bom 9" xfId="6509"/>
    <cellStyle name="Bom 90" xfId="6510"/>
    <cellStyle name="Bom 91" xfId="6511"/>
    <cellStyle name="Bom 92" xfId="6512"/>
    <cellStyle name="Bom 93" xfId="6513"/>
    <cellStyle name="Bom 94" xfId="6514"/>
    <cellStyle name="Bom 95" xfId="6515"/>
    <cellStyle name="Bom 96" xfId="6516"/>
    <cellStyle name="Bom 97" xfId="6517"/>
    <cellStyle name="Bom 98" xfId="6518"/>
    <cellStyle name="Bom 99" xfId="6519"/>
    <cellStyle name="Calculation" xfId="41113"/>
    <cellStyle name="Calculation 2" xfId="41114"/>
    <cellStyle name="Cálculo 10" xfId="6520"/>
    <cellStyle name="Cálculo 10 2" xfId="29091"/>
    <cellStyle name="Cálculo 100" xfId="6521"/>
    <cellStyle name="Cálculo 100 2" xfId="29396"/>
    <cellStyle name="Cálculo 101" xfId="6522"/>
    <cellStyle name="Cálculo 101 2" xfId="29397"/>
    <cellStyle name="Cálculo 102" xfId="6523"/>
    <cellStyle name="Cálculo 102 2" xfId="29398"/>
    <cellStyle name="Cálculo 103" xfId="6524"/>
    <cellStyle name="Cálculo 103 2" xfId="29399"/>
    <cellStyle name="Cálculo 104" xfId="6525"/>
    <cellStyle name="Cálculo 104 2" xfId="29400"/>
    <cellStyle name="Cálculo 105" xfId="6526"/>
    <cellStyle name="Cálculo 105 2" xfId="29401"/>
    <cellStyle name="Cálculo 106" xfId="6527"/>
    <cellStyle name="Cálculo 106 2" xfId="29402"/>
    <cellStyle name="Cálculo 107" xfId="6528"/>
    <cellStyle name="Cálculo 107 2" xfId="29403"/>
    <cellStyle name="Cálculo 108" xfId="6529"/>
    <cellStyle name="Cálculo 108 2" xfId="29404"/>
    <cellStyle name="Cálculo 109" xfId="6530"/>
    <cellStyle name="Cálculo 109 2" xfId="29405"/>
    <cellStyle name="Cálculo 11" xfId="6531"/>
    <cellStyle name="Cálculo 11 2" xfId="29092"/>
    <cellStyle name="Cálculo 110" xfId="6532"/>
    <cellStyle name="Cálculo 110 2" xfId="29406"/>
    <cellStyle name="Cálculo 111" xfId="6533"/>
    <cellStyle name="Cálculo 111 2" xfId="29407"/>
    <cellStyle name="Cálculo 112" xfId="6534"/>
    <cellStyle name="Cálculo 112 2" xfId="29408"/>
    <cellStyle name="Cálculo 113" xfId="6535"/>
    <cellStyle name="Cálculo 113 2" xfId="29409"/>
    <cellStyle name="Cálculo 114" xfId="6536"/>
    <cellStyle name="Cálculo 114 2" xfId="29410"/>
    <cellStyle name="Cálculo 115" xfId="6537"/>
    <cellStyle name="Cálculo 115 2" xfId="29411"/>
    <cellStyle name="Cálculo 116" xfId="6538"/>
    <cellStyle name="Cálculo 116 2" xfId="29412"/>
    <cellStyle name="Cálculo 117" xfId="6539"/>
    <cellStyle name="Cálculo 117 2" xfId="29413"/>
    <cellStyle name="Cálculo 118" xfId="6540"/>
    <cellStyle name="Cálculo 118 2" xfId="29414"/>
    <cellStyle name="Cálculo 119" xfId="6541"/>
    <cellStyle name="Cálculo 119 2" xfId="29415"/>
    <cellStyle name="Cálculo 12" xfId="6542"/>
    <cellStyle name="Cálculo 12 2" xfId="29093"/>
    <cellStyle name="Cálculo 120" xfId="6543"/>
    <cellStyle name="Cálculo 120 2" xfId="29416"/>
    <cellStyle name="Cálculo 121" xfId="6544"/>
    <cellStyle name="Cálculo 121 2" xfId="29417"/>
    <cellStyle name="Cálculo 122" xfId="6545"/>
    <cellStyle name="Cálculo 122 2" xfId="29418"/>
    <cellStyle name="Cálculo 123" xfId="6546"/>
    <cellStyle name="Cálculo 123 2" xfId="29419"/>
    <cellStyle name="Cálculo 124" xfId="6547"/>
    <cellStyle name="Cálculo 124 2" xfId="29420"/>
    <cellStyle name="Cálculo 125" xfId="6548"/>
    <cellStyle name="Cálculo 125 2" xfId="29421"/>
    <cellStyle name="Cálculo 126" xfId="6549"/>
    <cellStyle name="Cálculo 126 2" xfId="29422"/>
    <cellStyle name="Cálculo 127" xfId="6550"/>
    <cellStyle name="Cálculo 127 2" xfId="29423"/>
    <cellStyle name="Cálculo 128" xfId="6551"/>
    <cellStyle name="Cálculo 128 2" xfId="29424"/>
    <cellStyle name="Cálculo 129" xfId="6552"/>
    <cellStyle name="Cálculo 129 2" xfId="29425"/>
    <cellStyle name="Cálculo 13" xfId="6553"/>
    <cellStyle name="Cálculo 13 2" xfId="29094"/>
    <cellStyle name="Cálculo 130" xfId="6554"/>
    <cellStyle name="Cálculo 130 2" xfId="29426"/>
    <cellStyle name="Cálculo 131" xfId="6555"/>
    <cellStyle name="Cálculo 131 2" xfId="29427"/>
    <cellStyle name="Cálculo 132" xfId="6556"/>
    <cellStyle name="Cálculo 132 2" xfId="29428"/>
    <cellStyle name="Cálculo 133" xfId="6557"/>
    <cellStyle name="Cálculo 133 2" xfId="29429"/>
    <cellStyle name="Cálculo 134" xfId="6558"/>
    <cellStyle name="Cálculo 134 2" xfId="29430"/>
    <cellStyle name="Cálculo 135" xfId="6559"/>
    <cellStyle name="Cálculo 135 2" xfId="29431"/>
    <cellStyle name="Cálculo 136" xfId="6560"/>
    <cellStyle name="Cálculo 136 2" xfId="29432"/>
    <cellStyle name="Cálculo 137" xfId="6561"/>
    <cellStyle name="Cálculo 137 2" xfId="29433"/>
    <cellStyle name="Cálculo 138" xfId="6562"/>
    <cellStyle name="Cálculo 138 2" xfId="29434"/>
    <cellStyle name="Cálculo 139" xfId="6563"/>
    <cellStyle name="Cálculo 139 2" xfId="29435"/>
    <cellStyle name="Cálculo 14" xfId="6564"/>
    <cellStyle name="Cálculo 14 2" xfId="29095"/>
    <cellStyle name="Cálculo 140" xfId="6565"/>
    <cellStyle name="Cálculo 140 2" xfId="29436"/>
    <cellStyle name="Cálculo 141" xfId="6566"/>
    <cellStyle name="Cálculo 141 2" xfId="29437"/>
    <cellStyle name="Cálculo 142" xfId="6567"/>
    <cellStyle name="Cálculo 142 2" xfId="29438"/>
    <cellStyle name="Cálculo 143" xfId="6568"/>
    <cellStyle name="Cálculo 143 2" xfId="29439"/>
    <cellStyle name="Cálculo 144" xfId="6569"/>
    <cellStyle name="Cálculo 144 2" xfId="29440"/>
    <cellStyle name="Cálculo 145" xfId="6570"/>
    <cellStyle name="Cálculo 145 2" xfId="29441"/>
    <cellStyle name="Cálculo 146" xfId="6571"/>
    <cellStyle name="Cálculo 146 2" xfId="29442"/>
    <cellStyle name="Cálculo 147" xfId="6572"/>
    <cellStyle name="Cálculo 147 2" xfId="29443"/>
    <cellStyle name="Cálculo 148" xfId="6573"/>
    <cellStyle name="Cálculo 148 2" xfId="29444"/>
    <cellStyle name="Cálculo 149" xfId="6574"/>
    <cellStyle name="Cálculo 149 2" xfId="29445"/>
    <cellStyle name="Cálculo 15" xfId="6575"/>
    <cellStyle name="Cálculo 15 2" xfId="6576"/>
    <cellStyle name="Cálculo 15 2 2" xfId="29446"/>
    <cellStyle name="Cálculo 15 3" xfId="6577"/>
    <cellStyle name="Cálculo 15 3 2" xfId="29447"/>
    <cellStyle name="Cálculo 15 4" xfId="29096"/>
    <cellStyle name="Cálculo 150" xfId="6578"/>
    <cellStyle name="Cálculo 150 2" xfId="29448"/>
    <cellStyle name="Cálculo 151" xfId="6579"/>
    <cellStyle name="Cálculo 151 2" xfId="29449"/>
    <cellStyle name="Cálculo 152" xfId="6580"/>
    <cellStyle name="Cálculo 152 2" xfId="29450"/>
    <cellStyle name="Cálculo 153" xfId="6581"/>
    <cellStyle name="Cálculo 153 2" xfId="29451"/>
    <cellStyle name="Cálculo 154" xfId="6582"/>
    <cellStyle name="Cálculo 154 2" xfId="29452"/>
    <cellStyle name="Cálculo 155" xfId="6583"/>
    <cellStyle name="Cálculo 155 2" xfId="29453"/>
    <cellStyle name="Cálculo 156" xfId="6584"/>
    <cellStyle name="Cálculo 156 2" xfId="29454"/>
    <cellStyle name="Cálculo 157" xfId="6585"/>
    <cellStyle name="Cálculo 157 2" xfId="29455"/>
    <cellStyle name="Cálculo 158" xfId="6586"/>
    <cellStyle name="Cálculo 158 2" xfId="29456"/>
    <cellStyle name="Cálculo 159" xfId="6587"/>
    <cellStyle name="Cálculo 159 2" xfId="29457"/>
    <cellStyle name="Cálculo 16" xfId="6588"/>
    <cellStyle name="Cálculo 16 2" xfId="6589"/>
    <cellStyle name="Cálculo 16 2 2" xfId="29458"/>
    <cellStyle name="Cálculo 16 3" xfId="6590"/>
    <cellStyle name="Cálculo 16 3 2" xfId="29459"/>
    <cellStyle name="Cálculo 16 4" xfId="29097"/>
    <cellStyle name="Cálculo 160" xfId="6591"/>
    <cellStyle name="Cálculo 160 2" xfId="29460"/>
    <cellStyle name="Cálculo 161" xfId="6592"/>
    <cellStyle name="Cálculo 161 2" xfId="29461"/>
    <cellStyle name="Cálculo 162" xfId="6593"/>
    <cellStyle name="Cálculo 162 2" xfId="29462"/>
    <cellStyle name="Cálculo 163" xfId="6594"/>
    <cellStyle name="Cálculo 163 2" xfId="29463"/>
    <cellStyle name="Cálculo 164" xfId="6595"/>
    <cellStyle name="Cálculo 164 2" xfId="29464"/>
    <cellStyle name="Cálculo 165" xfId="6596"/>
    <cellStyle name="Cálculo 165 2" xfId="29465"/>
    <cellStyle name="Cálculo 166" xfId="6597"/>
    <cellStyle name="Cálculo 166 2" xfId="29466"/>
    <cellStyle name="Cálculo 167" xfId="6598"/>
    <cellStyle name="Cálculo 167 2" xfId="29467"/>
    <cellStyle name="Cálculo 168" xfId="6599"/>
    <cellStyle name="Cálculo 168 2" xfId="29468"/>
    <cellStyle name="Cálculo 169" xfId="6600"/>
    <cellStyle name="Cálculo 169 2" xfId="29469"/>
    <cellStyle name="Cálculo 17" xfId="6601"/>
    <cellStyle name="Cálculo 17 2" xfId="6602"/>
    <cellStyle name="Cálculo 17 2 2" xfId="29470"/>
    <cellStyle name="Cálculo 17 3" xfId="6603"/>
    <cellStyle name="Cálculo 17 3 2" xfId="29471"/>
    <cellStyle name="Cálculo 17 4" xfId="29098"/>
    <cellStyle name="Cálculo 170" xfId="6604"/>
    <cellStyle name="Cálculo 170 2" xfId="29472"/>
    <cellStyle name="Cálculo 171" xfId="6605"/>
    <cellStyle name="Cálculo 171 2" xfId="29473"/>
    <cellStyle name="Cálculo 172" xfId="6606"/>
    <cellStyle name="Cálculo 172 2" xfId="29474"/>
    <cellStyle name="Cálculo 173" xfId="6607"/>
    <cellStyle name="Cálculo 173 2" xfId="29475"/>
    <cellStyle name="Cálculo 174" xfId="6608"/>
    <cellStyle name="Cálculo 174 2" xfId="29476"/>
    <cellStyle name="Cálculo 175" xfId="6609"/>
    <cellStyle name="Cálculo 175 2" xfId="29477"/>
    <cellStyle name="Cálculo 176" xfId="6610"/>
    <cellStyle name="Cálculo 176 2" xfId="29478"/>
    <cellStyle name="Cálculo 177" xfId="6611"/>
    <cellStyle name="Cálculo 177 2" xfId="29479"/>
    <cellStyle name="Cálculo 178" xfId="6612"/>
    <cellStyle name="Cálculo 178 2" xfId="29480"/>
    <cellStyle name="Cálculo 179" xfId="6613"/>
    <cellStyle name="Cálculo 179 2" xfId="29481"/>
    <cellStyle name="Cálculo 18" xfId="6614"/>
    <cellStyle name="Cálculo 18 2" xfId="6615"/>
    <cellStyle name="Cálculo 18 2 2" xfId="29482"/>
    <cellStyle name="Cálculo 18 3" xfId="6616"/>
    <cellStyle name="Cálculo 18 3 2" xfId="29483"/>
    <cellStyle name="Cálculo 18 4" xfId="29099"/>
    <cellStyle name="Cálculo 180" xfId="6617"/>
    <cellStyle name="Cálculo 180 2" xfId="29484"/>
    <cellStyle name="Cálculo 181" xfId="6618"/>
    <cellStyle name="Cálculo 181 2" xfId="29485"/>
    <cellStyle name="Cálculo 182" xfId="6619"/>
    <cellStyle name="Cálculo 182 2" xfId="29486"/>
    <cellStyle name="Cálculo 183" xfId="6620"/>
    <cellStyle name="Cálculo 183 2" xfId="29487"/>
    <cellStyle name="Cálculo 184" xfId="6621"/>
    <cellStyle name="Cálculo 184 2" xfId="29488"/>
    <cellStyle name="Cálculo 185" xfId="6622"/>
    <cellStyle name="Cálculo 185 2" xfId="29489"/>
    <cellStyle name="Cálculo 186" xfId="6623"/>
    <cellStyle name="Cálculo 186 2" xfId="29490"/>
    <cellStyle name="Cálculo 187" xfId="6624"/>
    <cellStyle name="Cálculo 187 2" xfId="29491"/>
    <cellStyle name="Cálculo 188" xfId="6625"/>
    <cellStyle name="Cálculo 188 2" xfId="29492"/>
    <cellStyle name="Cálculo 189" xfId="6626"/>
    <cellStyle name="Cálculo 189 2" xfId="29493"/>
    <cellStyle name="Cálculo 19" xfId="6627"/>
    <cellStyle name="Cálculo 19 2" xfId="6628"/>
    <cellStyle name="Cálculo 19 2 2" xfId="29494"/>
    <cellStyle name="Cálculo 19 3" xfId="6629"/>
    <cellStyle name="Cálculo 19 3 2" xfId="29495"/>
    <cellStyle name="Cálculo 19 4" xfId="29100"/>
    <cellStyle name="Cálculo 190" xfId="6630"/>
    <cellStyle name="Cálculo 190 2" xfId="29496"/>
    <cellStyle name="Cálculo 2" xfId="6631"/>
    <cellStyle name="Cálculo 2 10" xfId="6632"/>
    <cellStyle name="Cálculo 2 10 2" xfId="6633"/>
    <cellStyle name="Cálculo 2 10 2 2" xfId="29498"/>
    <cellStyle name="Cálculo 2 10 3" xfId="6634"/>
    <cellStyle name="Cálculo 2 10 3 2" xfId="29499"/>
    <cellStyle name="Cálculo 2 10 4" xfId="6635"/>
    <cellStyle name="Cálculo 2 10 4 2" xfId="29500"/>
    <cellStyle name="Cálculo 2 10 5" xfId="6636"/>
    <cellStyle name="Cálculo 2 10 5 2" xfId="29501"/>
    <cellStyle name="Cálculo 2 10 6" xfId="6637"/>
    <cellStyle name="Cálculo 2 10 6 2" xfId="29502"/>
    <cellStyle name="Cálculo 2 10 7" xfId="6638"/>
    <cellStyle name="Cálculo 2 10 7 2" xfId="29503"/>
    <cellStyle name="Cálculo 2 10 8" xfId="29497"/>
    <cellStyle name="Cálculo 2 11" xfId="6639"/>
    <cellStyle name="Cálculo 2 11 2" xfId="6640"/>
    <cellStyle name="Cálculo 2 11 2 2" xfId="29505"/>
    <cellStyle name="Cálculo 2 11 3" xfId="6641"/>
    <cellStyle name="Cálculo 2 11 3 2" xfId="29506"/>
    <cellStyle name="Cálculo 2 11 4" xfId="6642"/>
    <cellStyle name="Cálculo 2 11 4 2" xfId="29507"/>
    <cellStyle name="Cálculo 2 11 5" xfId="6643"/>
    <cellStyle name="Cálculo 2 11 5 2" xfId="29508"/>
    <cellStyle name="Cálculo 2 11 6" xfId="6644"/>
    <cellStyle name="Cálculo 2 11 6 2" xfId="29509"/>
    <cellStyle name="Cálculo 2 11 7" xfId="6645"/>
    <cellStyle name="Cálculo 2 11 7 2" xfId="29510"/>
    <cellStyle name="Cálculo 2 11 8" xfId="29504"/>
    <cellStyle name="Cálculo 2 12" xfId="6646"/>
    <cellStyle name="Cálculo 2 12 2" xfId="29511"/>
    <cellStyle name="Cálculo 2 13" xfId="6647"/>
    <cellStyle name="Cálculo 2 13 2" xfId="29512"/>
    <cellStyle name="Cálculo 2 14" xfId="6648"/>
    <cellStyle name="Cálculo 2 14 2" xfId="29513"/>
    <cellStyle name="Cálculo 2 15" xfId="6649"/>
    <cellStyle name="Cálculo 2 15 2" xfId="29514"/>
    <cellStyle name="Cálculo 2 16" xfId="6650"/>
    <cellStyle name="Cálculo 2 16 2" xfId="29515"/>
    <cellStyle name="Cálculo 2 17" xfId="6651"/>
    <cellStyle name="Cálculo 2 17 2" xfId="29516"/>
    <cellStyle name="Cálculo 2 18" xfId="6652"/>
    <cellStyle name="Cálculo 2 18 2" xfId="29517"/>
    <cellStyle name="Cálculo 2 19" xfId="6653"/>
    <cellStyle name="Cálculo 2 19 2" xfId="29518"/>
    <cellStyle name="Cálculo 2 2" xfId="6654"/>
    <cellStyle name="Cálculo 2 2 2" xfId="29101"/>
    <cellStyle name="Cálculo 2 20" xfId="6655"/>
    <cellStyle name="Cálculo 2 20 2" xfId="29519"/>
    <cellStyle name="Cálculo 2 21" xfId="6656"/>
    <cellStyle name="Cálculo 2 21 2" xfId="29520"/>
    <cellStyle name="Cálculo 2 22" xfId="6657"/>
    <cellStyle name="Cálculo 2 22 2" xfId="29521"/>
    <cellStyle name="Cálculo 2 23" xfId="6658"/>
    <cellStyle name="Cálculo 2 23 2" xfId="29522"/>
    <cellStyle name="Cálculo 2 24" xfId="6659"/>
    <cellStyle name="Cálculo 2 24 2" xfId="29523"/>
    <cellStyle name="Cálculo 2 25" xfId="36"/>
    <cellStyle name="Cálculo 2 25 2" xfId="29380"/>
    <cellStyle name="Cálculo 2 26" xfId="6660"/>
    <cellStyle name="Cálculo 2 26 2" xfId="29524"/>
    <cellStyle name="Cálculo 2 27" xfId="6661"/>
    <cellStyle name="Cálculo 2 27 2" xfId="29525"/>
    <cellStyle name="Cálculo 2 28" xfId="6662"/>
    <cellStyle name="Cálculo 2 28 2" xfId="29526"/>
    <cellStyle name="Cálculo 2 29" xfId="6663"/>
    <cellStyle name="Cálculo 2 29 2" xfId="29527"/>
    <cellStyle name="Cálculo 2 3" xfId="6664"/>
    <cellStyle name="Cálculo 2 3 2" xfId="29102"/>
    <cellStyle name="Cálculo 2 30" xfId="6665"/>
    <cellStyle name="Cálculo 2 30 2" xfId="29528"/>
    <cellStyle name="Cálculo 2 31" xfId="6666"/>
    <cellStyle name="Cálculo 2 31 2" xfId="29529"/>
    <cellStyle name="Cálculo 2 32" xfId="6667"/>
    <cellStyle name="Cálculo 2 32 2" xfId="29530"/>
    <cellStyle name="Cálculo 2 33" xfId="6668"/>
    <cellStyle name="Cálculo 2 33 2" xfId="29531"/>
    <cellStyle name="Cálculo 2 34" xfId="6669"/>
    <cellStyle name="Cálculo 2 34 2" xfId="29532"/>
    <cellStyle name="Cálculo 2 35" xfId="6670"/>
    <cellStyle name="Cálculo 2 35 2" xfId="29533"/>
    <cellStyle name="Cálculo 2 36" xfId="29390"/>
    <cellStyle name="Cálculo 2 4" xfId="6671"/>
    <cellStyle name="Cálculo 2 4 2" xfId="29103"/>
    <cellStyle name="Cálculo 2 5" xfId="6672"/>
    <cellStyle name="Cálculo 2 5 2" xfId="29104"/>
    <cellStyle name="Cálculo 2 6" xfId="6673"/>
    <cellStyle name="Cálculo 2 6 2" xfId="29105"/>
    <cellStyle name="Cálculo 2 7" xfId="6674"/>
    <cellStyle name="Cálculo 2 7 2" xfId="29106"/>
    <cellStyle name="Cálculo 2 8" xfId="6675"/>
    <cellStyle name="Cálculo 2 8 2" xfId="6676"/>
    <cellStyle name="Cálculo 2 8 2 2" xfId="29535"/>
    <cellStyle name="Cálculo 2 8 3" xfId="6677"/>
    <cellStyle name="Cálculo 2 8 3 2" xfId="29536"/>
    <cellStyle name="Cálculo 2 8 4" xfId="6678"/>
    <cellStyle name="Cálculo 2 8 4 2" xfId="29537"/>
    <cellStyle name="Cálculo 2 8 5" xfId="6679"/>
    <cellStyle name="Cálculo 2 8 5 2" xfId="29538"/>
    <cellStyle name="Cálculo 2 8 6" xfId="6680"/>
    <cellStyle name="Cálculo 2 8 6 2" xfId="29539"/>
    <cellStyle name="Cálculo 2 8 7" xfId="6681"/>
    <cellStyle name="Cálculo 2 8 7 2" xfId="29540"/>
    <cellStyle name="Cálculo 2 8 8" xfId="29534"/>
    <cellStyle name="Cálculo 2 9" xfId="6682"/>
    <cellStyle name="Cálculo 2 9 2" xfId="6683"/>
    <cellStyle name="Cálculo 2 9 2 2" xfId="29542"/>
    <cellStyle name="Cálculo 2 9 3" xfId="6684"/>
    <cellStyle name="Cálculo 2 9 3 2" xfId="29543"/>
    <cellStyle name="Cálculo 2 9 4" xfId="6685"/>
    <cellStyle name="Cálculo 2 9 4 2" xfId="29544"/>
    <cellStyle name="Cálculo 2 9 5" xfId="6686"/>
    <cellStyle name="Cálculo 2 9 5 2" xfId="29545"/>
    <cellStyle name="Cálculo 2 9 6" xfId="6687"/>
    <cellStyle name="Cálculo 2 9 6 2" xfId="29546"/>
    <cellStyle name="Cálculo 2 9 7" xfId="6688"/>
    <cellStyle name="Cálculo 2 9 7 2" xfId="29547"/>
    <cellStyle name="Cálculo 2 9 8" xfId="29541"/>
    <cellStyle name="Cálculo 20" xfId="6689"/>
    <cellStyle name="Cálculo 20 2" xfId="6690"/>
    <cellStyle name="Cálculo 20 2 2" xfId="29548"/>
    <cellStyle name="Cálculo 20 3" xfId="6691"/>
    <cellStyle name="Cálculo 20 3 2" xfId="29549"/>
    <cellStyle name="Cálculo 20 4" xfId="29107"/>
    <cellStyle name="Cálculo 21" xfId="6692"/>
    <cellStyle name="Cálculo 21 2" xfId="29108"/>
    <cellStyle name="Cálculo 22" xfId="6693"/>
    <cellStyle name="Cálculo 22 2" xfId="29109"/>
    <cellStyle name="Cálculo 23" xfId="6694"/>
    <cellStyle name="Cálculo 23 2" xfId="29110"/>
    <cellStyle name="Cálculo 24" xfId="6695"/>
    <cellStyle name="Cálculo 24 2" xfId="29111"/>
    <cellStyle name="Cálculo 24 2 2" xfId="40963"/>
    <cellStyle name="Cálculo 25" xfId="6696"/>
    <cellStyle name="Cálculo 25 2" xfId="29112"/>
    <cellStyle name="Cálculo 25 2 2" xfId="40998"/>
    <cellStyle name="Cálculo 26" xfId="6697"/>
    <cellStyle name="Cálculo 26 10" xfId="6698"/>
    <cellStyle name="Cálculo 26 10 2" xfId="29551"/>
    <cellStyle name="Cálculo 26 11" xfId="6699"/>
    <cellStyle name="Cálculo 26 11 2" xfId="29552"/>
    <cellStyle name="Cálculo 26 12" xfId="6700"/>
    <cellStyle name="Cálculo 26 12 2" xfId="29553"/>
    <cellStyle name="Cálculo 26 13" xfId="6701"/>
    <cellStyle name="Cálculo 26 13 2" xfId="29554"/>
    <cellStyle name="Cálculo 26 14" xfId="6702"/>
    <cellStyle name="Cálculo 26 14 2" xfId="29555"/>
    <cellStyle name="Cálculo 26 15" xfId="6703"/>
    <cellStyle name="Cálculo 26 15 2" xfId="29556"/>
    <cellStyle name="Cálculo 26 16" xfId="6704"/>
    <cellStyle name="Cálculo 26 16 2" xfId="29557"/>
    <cellStyle name="Cálculo 26 17" xfId="29550"/>
    <cellStyle name="Cálculo 26 2" xfId="6705"/>
    <cellStyle name="Cálculo 26 2 2" xfId="29558"/>
    <cellStyle name="Cálculo 26 3" xfId="6706"/>
    <cellStyle name="Cálculo 26 3 2" xfId="29559"/>
    <cellStyle name="Cálculo 26 4" xfId="6707"/>
    <cellStyle name="Cálculo 26 4 2" xfId="29560"/>
    <cellStyle name="Cálculo 26 5" xfId="6708"/>
    <cellStyle name="Cálculo 26 5 2" xfId="29561"/>
    <cellStyle name="Cálculo 26 6" xfId="6709"/>
    <cellStyle name="Cálculo 26 6 2" xfId="29562"/>
    <cellStyle name="Cálculo 26 7" xfId="6710"/>
    <cellStyle name="Cálculo 26 7 2" xfId="29563"/>
    <cellStyle name="Cálculo 26 8" xfId="6711"/>
    <cellStyle name="Cálculo 26 8 2" xfId="29564"/>
    <cellStyle name="Cálculo 26 9" xfId="6712"/>
    <cellStyle name="Cálculo 26 9 2" xfId="29565"/>
    <cellStyle name="Cálculo 27" xfId="6713"/>
    <cellStyle name="Cálculo 27 10" xfId="6714"/>
    <cellStyle name="Cálculo 27 10 2" xfId="29567"/>
    <cellStyle name="Cálculo 27 11" xfId="6715"/>
    <cellStyle name="Cálculo 27 11 2" xfId="29568"/>
    <cellStyle name="Cálculo 27 12" xfId="6716"/>
    <cellStyle name="Cálculo 27 12 2" xfId="29569"/>
    <cellStyle name="Cálculo 27 13" xfId="6717"/>
    <cellStyle name="Cálculo 27 13 2" xfId="29570"/>
    <cellStyle name="Cálculo 27 14" xfId="6718"/>
    <cellStyle name="Cálculo 27 14 2" xfId="29571"/>
    <cellStyle name="Cálculo 27 15" xfId="6719"/>
    <cellStyle name="Cálculo 27 15 2" xfId="29572"/>
    <cellStyle name="Cálculo 27 16" xfId="6720"/>
    <cellStyle name="Cálculo 27 16 2" xfId="29573"/>
    <cellStyle name="Cálculo 27 17" xfId="29566"/>
    <cellStyle name="Cálculo 27 2" xfId="6721"/>
    <cellStyle name="Cálculo 27 2 2" xfId="29574"/>
    <cellStyle name="Cálculo 27 3" xfId="6722"/>
    <cellStyle name="Cálculo 27 3 2" xfId="29575"/>
    <cellStyle name="Cálculo 27 4" xfId="6723"/>
    <cellStyle name="Cálculo 27 4 2" xfId="29576"/>
    <cellStyle name="Cálculo 27 5" xfId="6724"/>
    <cellStyle name="Cálculo 27 5 2" xfId="29577"/>
    <cellStyle name="Cálculo 27 6" xfId="6725"/>
    <cellStyle name="Cálculo 27 6 2" xfId="29578"/>
    <cellStyle name="Cálculo 27 7" xfId="6726"/>
    <cellStyle name="Cálculo 27 7 2" xfId="29579"/>
    <cellStyle name="Cálculo 27 8" xfId="6727"/>
    <cellStyle name="Cálculo 27 8 2" xfId="29580"/>
    <cellStyle name="Cálculo 27 9" xfId="6728"/>
    <cellStyle name="Cálculo 27 9 2" xfId="29581"/>
    <cellStyle name="Cálculo 28" xfId="6729"/>
    <cellStyle name="Cálculo 28 10" xfId="6730"/>
    <cellStyle name="Cálculo 28 10 2" xfId="29583"/>
    <cellStyle name="Cálculo 28 11" xfId="6731"/>
    <cellStyle name="Cálculo 28 11 2" xfId="29584"/>
    <cellStyle name="Cálculo 28 12" xfId="6732"/>
    <cellStyle name="Cálculo 28 12 2" xfId="29585"/>
    <cellStyle name="Cálculo 28 13" xfId="6733"/>
    <cellStyle name="Cálculo 28 13 2" xfId="29586"/>
    <cellStyle name="Cálculo 28 14" xfId="6734"/>
    <cellStyle name="Cálculo 28 14 2" xfId="29587"/>
    <cellStyle name="Cálculo 28 15" xfId="6735"/>
    <cellStyle name="Cálculo 28 15 2" xfId="29588"/>
    <cellStyle name="Cálculo 28 16" xfId="6736"/>
    <cellStyle name="Cálculo 28 16 2" xfId="29589"/>
    <cellStyle name="Cálculo 28 17" xfId="29582"/>
    <cellStyle name="Cálculo 28 2" xfId="6737"/>
    <cellStyle name="Cálculo 28 2 2" xfId="29590"/>
    <cellStyle name="Cálculo 28 3" xfId="6738"/>
    <cellStyle name="Cálculo 28 3 2" xfId="29591"/>
    <cellStyle name="Cálculo 28 4" xfId="6739"/>
    <cellStyle name="Cálculo 28 4 2" xfId="29592"/>
    <cellStyle name="Cálculo 28 5" xfId="6740"/>
    <cellStyle name="Cálculo 28 5 2" xfId="29593"/>
    <cellStyle name="Cálculo 28 6" xfId="6741"/>
    <cellStyle name="Cálculo 28 6 2" xfId="29594"/>
    <cellStyle name="Cálculo 28 7" xfId="6742"/>
    <cellStyle name="Cálculo 28 7 2" xfId="29595"/>
    <cellStyle name="Cálculo 28 8" xfId="6743"/>
    <cellStyle name="Cálculo 28 8 2" xfId="29596"/>
    <cellStyle name="Cálculo 28 9" xfId="6744"/>
    <cellStyle name="Cálculo 28 9 2" xfId="29597"/>
    <cellStyle name="Cálculo 29" xfId="6745"/>
    <cellStyle name="Cálculo 29 10" xfId="6746"/>
    <cellStyle name="Cálculo 29 10 2" xfId="29599"/>
    <cellStyle name="Cálculo 29 11" xfId="6747"/>
    <cellStyle name="Cálculo 29 11 2" xfId="29600"/>
    <cellStyle name="Cálculo 29 12" xfId="6748"/>
    <cellStyle name="Cálculo 29 12 2" xfId="29601"/>
    <cellStyle name="Cálculo 29 13" xfId="6749"/>
    <cellStyle name="Cálculo 29 13 2" xfId="29602"/>
    <cellStyle name="Cálculo 29 14" xfId="6750"/>
    <cellStyle name="Cálculo 29 14 2" xfId="29603"/>
    <cellStyle name="Cálculo 29 15" xfId="6751"/>
    <cellStyle name="Cálculo 29 15 2" xfId="29604"/>
    <cellStyle name="Cálculo 29 16" xfId="6752"/>
    <cellStyle name="Cálculo 29 16 2" xfId="29605"/>
    <cellStyle name="Cálculo 29 17" xfId="29598"/>
    <cellStyle name="Cálculo 29 2" xfId="6753"/>
    <cellStyle name="Cálculo 29 2 2" xfId="29606"/>
    <cellStyle name="Cálculo 29 3" xfId="6754"/>
    <cellStyle name="Cálculo 29 3 2" xfId="29607"/>
    <cellStyle name="Cálculo 29 4" xfId="6755"/>
    <cellStyle name="Cálculo 29 4 2" xfId="29608"/>
    <cellStyle name="Cálculo 29 5" xfId="6756"/>
    <cellStyle name="Cálculo 29 5 2" xfId="29609"/>
    <cellStyle name="Cálculo 29 6" xfId="6757"/>
    <cellStyle name="Cálculo 29 6 2" xfId="29610"/>
    <cellStyle name="Cálculo 29 7" xfId="6758"/>
    <cellStyle name="Cálculo 29 7 2" xfId="29611"/>
    <cellStyle name="Cálculo 29 8" xfId="6759"/>
    <cellStyle name="Cálculo 29 8 2" xfId="29612"/>
    <cellStyle name="Cálculo 29 9" xfId="6760"/>
    <cellStyle name="Cálculo 29 9 2" xfId="29613"/>
    <cellStyle name="Cálculo 3" xfId="6761"/>
    <cellStyle name="Cálculo 3 10" xfId="6762"/>
    <cellStyle name="Cálculo 3 10 2" xfId="29614"/>
    <cellStyle name="Cálculo 3 11" xfId="6763"/>
    <cellStyle name="Cálculo 3 11 2" xfId="29615"/>
    <cellStyle name="Cálculo 3 2" xfId="6764"/>
    <cellStyle name="Cálculo 3 2 2" xfId="29113"/>
    <cellStyle name="Cálculo 3 3" xfId="6765"/>
    <cellStyle name="Cálculo 3 3 2" xfId="29114"/>
    <cellStyle name="Cálculo 3 4" xfId="6766"/>
    <cellStyle name="Cálculo 3 4 2" xfId="29115"/>
    <cellStyle name="Cálculo 3 5" xfId="6767"/>
    <cellStyle name="Cálculo 3 5 2" xfId="29116"/>
    <cellStyle name="Cálculo 3 6" xfId="6768"/>
    <cellStyle name="Cálculo 3 6 2" xfId="29117"/>
    <cellStyle name="Cálculo 3 7" xfId="6769"/>
    <cellStyle name="Cálculo 3 7 2" xfId="29118"/>
    <cellStyle name="Cálculo 3 8" xfId="6770"/>
    <cellStyle name="Cálculo 3 8 2" xfId="29616"/>
    <cellStyle name="Cálculo 3 9" xfId="6771"/>
    <cellStyle name="Cálculo 3 9 2" xfId="29617"/>
    <cellStyle name="Cálculo 30" xfId="6772"/>
    <cellStyle name="Cálculo 30 2" xfId="29618"/>
    <cellStyle name="Cálculo 31" xfId="6773"/>
    <cellStyle name="Cálculo 31 2" xfId="29619"/>
    <cellStyle name="Cálculo 32" xfId="6774"/>
    <cellStyle name="Cálculo 32 2" xfId="29620"/>
    <cellStyle name="Cálculo 33" xfId="6775"/>
    <cellStyle name="Cálculo 33 2" xfId="29621"/>
    <cellStyle name="Cálculo 34" xfId="6776"/>
    <cellStyle name="Cálculo 34 2" xfId="29622"/>
    <cellStyle name="Cálculo 35" xfId="6777"/>
    <cellStyle name="Cálculo 35 2" xfId="29623"/>
    <cellStyle name="Cálculo 36" xfId="6778"/>
    <cellStyle name="Cálculo 36 2" xfId="29624"/>
    <cellStyle name="Cálculo 37" xfId="6779"/>
    <cellStyle name="Cálculo 37 2" xfId="29625"/>
    <cellStyle name="Cálculo 38" xfId="6780"/>
    <cellStyle name="Cálculo 38 2" xfId="29626"/>
    <cellStyle name="Cálculo 39" xfId="6781"/>
    <cellStyle name="Cálculo 39 2" xfId="29627"/>
    <cellStyle name="Cálculo 4" xfId="6782"/>
    <cellStyle name="Cálculo 4 10" xfId="6783"/>
    <cellStyle name="Cálculo 4 10 2" xfId="29628"/>
    <cellStyle name="Cálculo 4 11" xfId="6784"/>
    <cellStyle name="Cálculo 4 11 2" xfId="29629"/>
    <cellStyle name="Cálculo 4 2" xfId="6785"/>
    <cellStyle name="Cálculo 4 2 2" xfId="29119"/>
    <cellStyle name="Cálculo 4 3" xfId="6786"/>
    <cellStyle name="Cálculo 4 3 2" xfId="29120"/>
    <cellStyle name="Cálculo 4 4" xfId="6787"/>
    <cellStyle name="Cálculo 4 4 2" xfId="29121"/>
    <cellStyle name="Cálculo 4 5" xfId="6788"/>
    <cellStyle name="Cálculo 4 5 2" xfId="29122"/>
    <cellStyle name="Cálculo 4 6" xfId="6789"/>
    <cellStyle name="Cálculo 4 6 2" xfId="29123"/>
    <cellStyle name="Cálculo 4 7" xfId="6790"/>
    <cellStyle name="Cálculo 4 7 2" xfId="29124"/>
    <cellStyle name="Cálculo 4 8" xfId="6791"/>
    <cellStyle name="Cálculo 4 8 2" xfId="29630"/>
    <cellStyle name="Cálculo 4 9" xfId="6792"/>
    <cellStyle name="Cálculo 4 9 2" xfId="29631"/>
    <cellStyle name="Cálculo 40" xfId="6793"/>
    <cellStyle name="Cálculo 40 2" xfId="29632"/>
    <cellStyle name="Cálculo 41" xfId="6794"/>
    <cellStyle name="Cálculo 41 2" xfId="29633"/>
    <cellStyle name="Cálculo 42" xfId="6795"/>
    <cellStyle name="Cálculo 42 2" xfId="29634"/>
    <cellStyle name="Cálculo 43" xfId="6796"/>
    <cellStyle name="Cálculo 43 2" xfId="29635"/>
    <cellStyle name="Cálculo 44" xfId="6797"/>
    <cellStyle name="Cálculo 44 2" xfId="29636"/>
    <cellStyle name="Cálculo 45" xfId="6798"/>
    <cellStyle name="Cálculo 45 2" xfId="29637"/>
    <cellStyle name="Cálculo 46" xfId="6799"/>
    <cellStyle name="Cálculo 46 2" xfId="29638"/>
    <cellStyle name="Cálculo 47" xfId="6800"/>
    <cellStyle name="Cálculo 47 2" xfId="29639"/>
    <cellStyle name="Cálculo 48" xfId="6801"/>
    <cellStyle name="Cálculo 48 2" xfId="29640"/>
    <cellStyle name="Cálculo 49" xfId="6802"/>
    <cellStyle name="Cálculo 49 2" xfId="29641"/>
    <cellStyle name="Cálculo 5" xfId="6803"/>
    <cellStyle name="Cálculo 5 2" xfId="6804"/>
    <cellStyle name="Cálculo 5 2 2" xfId="29126"/>
    <cellStyle name="Cálculo 5 3" xfId="6805"/>
    <cellStyle name="Cálculo 5 3 2" xfId="29127"/>
    <cellStyle name="Cálculo 5 4" xfId="6806"/>
    <cellStyle name="Cálculo 5 4 2" xfId="29128"/>
    <cellStyle name="Cálculo 5 5" xfId="29125"/>
    <cellStyle name="Cálculo 50" xfId="6807"/>
    <cellStyle name="Cálculo 50 2" xfId="29642"/>
    <cellStyle name="Cálculo 51" xfId="6808"/>
    <cellStyle name="Cálculo 51 2" xfId="29643"/>
    <cellStyle name="Cálculo 52" xfId="6809"/>
    <cellStyle name="Cálculo 52 2" xfId="29644"/>
    <cellStyle name="Cálculo 53" xfId="6810"/>
    <cellStyle name="Cálculo 53 2" xfId="29645"/>
    <cellStyle name="Cálculo 54" xfId="6811"/>
    <cellStyle name="Cálculo 54 2" xfId="29646"/>
    <cellStyle name="Cálculo 55" xfId="6812"/>
    <cellStyle name="Cálculo 55 2" xfId="29647"/>
    <cellStyle name="Cálculo 56" xfId="6813"/>
    <cellStyle name="Cálculo 56 2" xfId="29648"/>
    <cellStyle name="Cálculo 57" xfId="6814"/>
    <cellStyle name="Cálculo 57 2" xfId="29649"/>
    <cellStyle name="Cálculo 58" xfId="6815"/>
    <cellStyle name="Cálculo 58 2" xfId="29650"/>
    <cellStyle name="Cálculo 59" xfId="6816"/>
    <cellStyle name="Cálculo 59 2" xfId="29651"/>
    <cellStyle name="Cálculo 6" xfId="6817"/>
    <cellStyle name="Cálculo 6 2" xfId="6818"/>
    <cellStyle name="Cálculo 6 2 2" xfId="29130"/>
    <cellStyle name="Cálculo 6 3" xfId="6819"/>
    <cellStyle name="Cálculo 6 3 2" xfId="29131"/>
    <cellStyle name="Cálculo 6 4" xfId="6820"/>
    <cellStyle name="Cálculo 6 4 2" xfId="29132"/>
    <cellStyle name="Cálculo 6 5" xfId="29129"/>
    <cellStyle name="Cálculo 60" xfId="6821"/>
    <cellStyle name="Cálculo 60 2" xfId="29652"/>
    <cellStyle name="Cálculo 61" xfId="6822"/>
    <cellStyle name="Cálculo 61 2" xfId="29653"/>
    <cellStyle name="Cálculo 62" xfId="6823"/>
    <cellStyle name="Cálculo 62 2" xfId="29654"/>
    <cellStyle name="Cálculo 63" xfId="6824"/>
    <cellStyle name="Cálculo 63 2" xfId="29655"/>
    <cellStyle name="Cálculo 64" xfId="6825"/>
    <cellStyle name="Cálculo 64 2" xfId="29656"/>
    <cellStyle name="Cálculo 65" xfId="6826"/>
    <cellStyle name="Cálculo 65 2" xfId="29657"/>
    <cellStyle name="Cálculo 66" xfId="6827"/>
    <cellStyle name="Cálculo 66 2" xfId="29658"/>
    <cellStyle name="Cálculo 67" xfId="6828"/>
    <cellStyle name="Cálculo 67 2" xfId="29659"/>
    <cellStyle name="Cálculo 68" xfId="6829"/>
    <cellStyle name="Cálculo 68 2" xfId="29660"/>
    <cellStyle name="Cálculo 69" xfId="6830"/>
    <cellStyle name="Cálculo 69 2" xfId="29661"/>
    <cellStyle name="Cálculo 7" xfId="6831"/>
    <cellStyle name="Cálculo 7 2" xfId="6832"/>
    <cellStyle name="Cálculo 7 2 2" xfId="29134"/>
    <cellStyle name="Cálculo 7 3" xfId="6833"/>
    <cellStyle name="Cálculo 7 3 2" xfId="29135"/>
    <cellStyle name="Cálculo 7 4" xfId="6834"/>
    <cellStyle name="Cálculo 7 4 2" xfId="29136"/>
    <cellStyle name="Cálculo 7 5" xfId="29133"/>
    <cellStyle name="Cálculo 70" xfId="6835"/>
    <cellStyle name="Cálculo 70 2" xfId="29662"/>
    <cellStyle name="Cálculo 71" xfId="6836"/>
    <cellStyle name="Cálculo 71 2" xfId="29663"/>
    <cellStyle name="Cálculo 72" xfId="6837"/>
    <cellStyle name="Cálculo 72 2" xfId="29664"/>
    <cellStyle name="Cálculo 73" xfId="6838"/>
    <cellStyle name="Cálculo 73 2" xfId="29665"/>
    <cellStyle name="Cálculo 74" xfId="6839"/>
    <cellStyle name="Cálculo 74 2" xfId="29666"/>
    <cellStyle name="Cálculo 75" xfId="6840"/>
    <cellStyle name="Cálculo 75 2" xfId="29667"/>
    <cellStyle name="Cálculo 76" xfId="6841"/>
    <cellStyle name="Cálculo 76 2" xfId="29668"/>
    <cellStyle name="Cálculo 77" xfId="6842"/>
    <cellStyle name="Cálculo 77 2" xfId="29669"/>
    <cellStyle name="Cálculo 78" xfId="6843"/>
    <cellStyle name="Cálculo 78 2" xfId="29670"/>
    <cellStyle name="Cálculo 79" xfId="6844"/>
    <cellStyle name="Cálculo 79 2" xfId="29671"/>
    <cellStyle name="Cálculo 8" xfId="6845"/>
    <cellStyle name="Cálculo 8 2" xfId="6846"/>
    <cellStyle name="Cálculo 8 2 2" xfId="29138"/>
    <cellStyle name="Cálculo 8 3" xfId="6847"/>
    <cellStyle name="Cálculo 8 3 2" xfId="29139"/>
    <cellStyle name="Cálculo 8 4" xfId="6848"/>
    <cellStyle name="Cálculo 8 4 2" xfId="29140"/>
    <cellStyle name="Cálculo 8 5" xfId="29137"/>
    <cellStyle name="Cálculo 80" xfId="6849"/>
    <cellStyle name="Cálculo 80 2" xfId="29672"/>
    <cellStyle name="Cálculo 81" xfId="6850"/>
    <cellStyle name="Cálculo 81 2" xfId="29673"/>
    <cellStyle name="Cálculo 82" xfId="6851"/>
    <cellStyle name="Cálculo 82 2" xfId="29674"/>
    <cellStyle name="Cálculo 83" xfId="6852"/>
    <cellStyle name="Cálculo 83 2" xfId="29675"/>
    <cellStyle name="Cálculo 84" xfId="6853"/>
    <cellStyle name="Cálculo 84 2" xfId="29676"/>
    <cellStyle name="Cálculo 85" xfId="6854"/>
    <cellStyle name="Cálculo 85 2" xfId="29677"/>
    <cellStyle name="Cálculo 86" xfId="6855"/>
    <cellStyle name="Cálculo 86 2" xfId="29678"/>
    <cellStyle name="Cálculo 87" xfId="6856"/>
    <cellStyle name="Cálculo 87 2" xfId="29679"/>
    <cellStyle name="Cálculo 88" xfId="6857"/>
    <cellStyle name="Cálculo 88 2" xfId="29680"/>
    <cellStyle name="Cálculo 89" xfId="6858"/>
    <cellStyle name="Cálculo 89 2" xfId="29681"/>
    <cellStyle name="Cálculo 9" xfId="6859"/>
    <cellStyle name="Cálculo 9 2" xfId="29141"/>
    <cellStyle name="Cálculo 90" xfId="6860"/>
    <cellStyle name="Cálculo 90 2" xfId="29682"/>
    <cellStyle name="Cálculo 91" xfId="6861"/>
    <cellStyle name="Cálculo 91 2" xfId="29683"/>
    <cellStyle name="Cálculo 92" xfId="6862"/>
    <cellStyle name="Cálculo 92 2" xfId="29684"/>
    <cellStyle name="Cálculo 93" xfId="6863"/>
    <cellStyle name="Cálculo 93 2" xfId="29685"/>
    <cellStyle name="Cálculo 94" xfId="6864"/>
    <cellStyle name="Cálculo 94 2" xfId="29686"/>
    <cellStyle name="Cálculo 95" xfId="6865"/>
    <cellStyle name="Cálculo 95 2" xfId="29687"/>
    <cellStyle name="Cálculo 96" xfId="6866"/>
    <cellStyle name="Cálculo 96 2" xfId="29688"/>
    <cellStyle name="Cálculo 97" xfId="6867"/>
    <cellStyle name="Cálculo 97 2" xfId="29689"/>
    <cellStyle name="Cálculo 98" xfId="6868"/>
    <cellStyle name="Cálculo 98 2" xfId="29690"/>
    <cellStyle name="Cálculo 99" xfId="6869"/>
    <cellStyle name="Cálculo 99 2" xfId="29691"/>
    <cellStyle name="Célula de Verificação 10" xfId="6870"/>
    <cellStyle name="Célula de Verificação 10 2" xfId="40551"/>
    <cellStyle name="Célula de Verificação 100" xfId="6871"/>
    <cellStyle name="Célula de Verificação 101" xfId="6872"/>
    <cellStyle name="Célula de Verificação 102" xfId="6873"/>
    <cellStyle name="Célula de Verificação 103" xfId="6874"/>
    <cellStyle name="Célula de Verificação 104" xfId="6875"/>
    <cellStyle name="Célula de Verificação 105" xfId="6876"/>
    <cellStyle name="Célula de Verificação 106" xfId="6877"/>
    <cellStyle name="Célula de Verificação 107" xfId="6878"/>
    <cellStyle name="Célula de Verificação 108" xfId="6879"/>
    <cellStyle name="Célula de Verificação 109" xfId="6880"/>
    <cellStyle name="Célula de Verificação 11" xfId="6881"/>
    <cellStyle name="Célula de Verificação 11 2" xfId="40552"/>
    <cellStyle name="Célula de Verificação 110" xfId="6882"/>
    <cellStyle name="Célula de Verificação 111" xfId="6883"/>
    <cellStyle name="Célula de Verificação 112" xfId="6884"/>
    <cellStyle name="Célula de Verificação 113" xfId="6885"/>
    <cellStyle name="Célula de Verificação 114" xfId="6886"/>
    <cellStyle name="Célula de Verificação 115" xfId="6887"/>
    <cellStyle name="Célula de Verificação 116" xfId="6888"/>
    <cellStyle name="Célula de Verificação 117" xfId="6889"/>
    <cellStyle name="Célula de Verificação 118" xfId="6890"/>
    <cellStyle name="Célula de Verificação 119" xfId="6891"/>
    <cellStyle name="Célula de Verificação 12" xfId="6892"/>
    <cellStyle name="Célula de Verificação 12 2" xfId="40553"/>
    <cellStyle name="Célula de Verificação 120" xfId="6893"/>
    <cellStyle name="Célula de Verificação 121" xfId="6894"/>
    <cellStyle name="Célula de Verificação 122" xfId="6895"/>
    <cellStyle name="Célula de Verificação 123" xfId="6896"/>
    <cellStyle name="Célula de Verificação 124" xfId="6897"/>
    <cellStyle name="Célula de Verificação 125" xfId="6898"/>
    <cellStyle name="Célula de Verificação 126" xfId="6899"/>
    <cellStyle name="Célula de Verificação 127" xfId="6900"/>
    <cellStyle name="Célula de Verificação 128" xfId="6901"/>
    <cellStyle name="Célula de Verificação 129" xfId="6902"/>
    <cellStyle name="Célula de Verificação 13" xfId="6903"/>
    <cellStyle name="Célula de Verificação 13 2" xfId="40554"/>
    <cellStyle name="Célula de Verificação 130" xfId="6904"/>
    <cellStyle name="Célula de Verificação 131" xfId="6905"/>
    <cellStyle name="Célula de Verificação 132" xfId="6906"/>
    <cellStyle name="Célula de Verificação 133" xfId="6907"/>
    <cellStyle name="Célula de Verificação 134" xfId="6908"/>
    <cellStyle name="Célula de Verificação 135" xfId="6909"/>
    <cellStyle name="Célula de Verificação 136" xfId="6910"/>
    <cellStyle name="Célula de Verificação 137" xfId="6911"/>
    <cellStyle name="Célula de Verificação 138" xfId="6912"/>
    <cellStyle name="Célula de Verificação 139" xfId="6913"/>
    <cellStyle name="Célula de Verificação 14" xfId="6914"/>
    <cellStyle name="Célula de Verificação 140" xfId="6915"/>
    <cellStyle name="Célula de Verificação 141" xfId="6916"/>
    <cellStyle name="Célula de Verificação 142" xfId="6917"/>
    <cellStyle name="Célula de Verificação 143" xfId="6918"/>
    <cellStyle name="Célula de Verificação 144" xfId="6919"/>
    <cellStyle name="Célula de Verificação 145" xfId="6920"/>
    <cellStyle name="Célula de Verificação 146" xfId="6921"/>
    <cellStyle name="Célula de Verificação 147" xfId="6922"/>
    <cellStyle name="Célula de Verificação 148" xfId="6923"/>
    <cellStyle name="Célula de Verificação 149" xfId="6924"/>
    <cellStyle name="Célula de Verificação 15" xfId="6925"/>
    <cellStyle name="Célula de Verificação 15 2" xfId="6926"/>
    <cellStyle name="Célula de Verificação 15 3" xfId="6927"/>
    <cellStyle name="Célula de Verificação 150" xfId="6928"/>
    <cellStyle name="Célula de Verificação 151" xfId="6929"/>
    <cellStyle name="Célula de Verificação 152" xfId="6930"/>
    <cellStyle name="Célula de Verificação 153" xfId="6931"/>
    <cellStyle name="Célula de Verificação 154" xfId="6932"/>
    <cellStyle name="Célula de Verificação 155" xfId="6933"/>
    <cellStyle name="Célula de Verificação 156" xfId="6934"/>
    <cellStyle name="Célula de Verificação 157" xfId="6935"/>
    <cellStyle name="Célula de Verificação 158" xfId="6936"/>
    <cellStyle name="Célula de Verificação 159" xfId="6937"/>
    <cellStyle name="Célula de Verificação 16" xfId="6938"/>
    <cellStyle name="Célula de Verificação 16 2" xfId="6939"/>
    <cellStyle name="Célula de Verificação 16 3" xfId="6940"/>
    <cellStyle name="Célula de Verificação 160" xfId="6941"/>
    <cellStyle name="Célula de Verificação 161" xfId="6942"/>
    <cellStyle name="Célula de Verificação 162" xfId="6943"/>
    <cellStyle name="Célula de Verificação 163" xfId="6944"/>
    <cellStyle name="Célula de Verificação 164" xfId="6945"/>
    <cellStyle name="Célula de Verificação 165" xfId="6946"/>
    <cellStyle name="Célula de Verificação 166" xfId="6947"/>
    <cellStyle name="Célula de Verificação 167" xfId="6948"/>
    <cellStyle name="Célula de Verificação 168" xfId="6949"/>
    <cellStyle name="Célula de Verificação 169" xfId="6950"/>
    <cellStyle name="Célula de Verificação 17" xfId="6951"/>
    <cellStyle name="Célula de Verificação 17 2" xfId="6952"/>
    <cellStyle name="Célula de Verificação 17 3" xfId="6953"/>
    <cellStyle name="Célula de Verificação 170" xfId="6954"/>
    <cellStyle name="Célula de Verificação 171" xfId="6955"/>
    <cellStyle name="Célula de Verificação 172" xfId="6956"/>
    <cellStyle name="Célula de Verificação 173" xfId="6957"/>
    <cellStyle name="Célula de Verificação 174" xfId="6958"/>
    <cellStyle name="Célula de Verificação 175" xfId="6959"/>
    <cellStyle name="Célula de Verificação 176" xfId="6960"/>
    <cellStyle name="Célula de Verificação 177" xfId="6961"/>
    <cellStyle name="Célula de Verificação 178" xfId="6962"/>
    <cellStyle name="Célula de Verificação 179" xfId="6963"/>
    <cellStyle name="Célula de Verificação 18" xfId="6964"/>
    <cellStyle name="Célula de Verificação 18 2" xfId="6965"/>
    <cellStyle name="Célula de Verificação 18 3" xfId="6966"/>
    <cellStyle name="Célula de Verificação 180" xfId="6967"/>
    <cellStyle name="Célula de Verificação 181" xfId="6968"/>
    <cellStyle name="Célula de Verificação 182" xfId="6969"/>
    <cellStyle name="Célula de Verificação 183" xfId="6970"/>
    <cellStyle name="Célula de Verificação 184" xfId="6971"/>
    <cellStyle name="Célula de Verificação 185" xfId="6972"/>
    <cellStyle name="Célula de Verificação 186" xfId="6973"/>
    <cellStyle name="Célula de Verificação 187" xfId="6974"/>
    <cellStyle name="Célula de Verificação 188" xfId="6975"/>
    <cellStyle name="Célula de Verificação 189" xfId="6976"/>
    <cellStyle name="Célula de Verificação 19" xfId="6977"/>
    <cellStyle name="Célula de Verificação 19 2" xfId="6978"/>
    <cellStyle name="Célula de Verificação 19 3" xfId="6979"/>
    <cellStyle name="Célula de Verificação 190" xfId="6980"/>
    <cellStyle name="Célula de Verificação 2" xfId="6981"/>
    <cellStyle name="Célula de Verificação 2 10" xfId="6982"/>
    <cellStyle name="Célula de Verificação 2 11" xfId="6983"/>
    <cellStyle name="Célula de Verificação 2 12" xfId="6984"/>
    <cellStyle name="Célula de Verificação 2 13" xfId="6985"/>
    <cellStyle name="Célula de Verificação 2 14" xfId="6986"/>
    <cellStyle name="Célula de Verificação 2 15" xfId="6987"/>
    <cellStyle name="Célula de Verificação 2 16" xfId="6988"/>
    <cellStyle name="Célula de Verificação 2 17" xfId="6989"/>
    <cellStyle name="Célula de Verificação 2 18" xfId="6990"/>
    <cellStyle name="Célula de Verificação 2 19" xfId="6991"/>
    <cellStyle name="Célula de Verificação 2 2" xfId="6992"/>
    <cellStyle name="Célula de Verificação 2 20" xfId="6993"/>
    <cellStyle name="Célula de Verificação 2 21" xfId="6994"/>
    <cellStyle name="Célula de Verificação 2 22" xfId="6995"/>
    <cellStyle name="Célula de Verificação 2 23" xfId="6996"/>
    <cellStyle name="Célula de Verificação 2 24" xfId="6997"/>
    <cellStyle name="Célula de Verificação 2 25" xfId="6998"/>
    <cellStyle name="Célula de Verificação 2 26" xfId="6999"/>
    <cellStyle name="Célula de Verificação 2 27" xfId="7000"/>
    <cellStyle name="Célula de Verificação 2 28" xfId="7001"/>
    <cellStyle name="Célula de Verificação 2 29" xfId="7002"/>
    <cellStyle name="Célula de Verificação 2 3" xfId="7003"/>
    <cellStyle name="Célula de Verificação 2 30" xfId="7004"/>
    <cellStyle name="Célula de Verificação 2 31" xfId="7005"/>
    <cellStyle name="Célula de Verificação 2 32" xfId="7006"/>
    <cellStyle name="Célula de Verificação 2 33" xfId="7007"/>
    <cellStyle name="Célula de Verificação 2 34" xfId="7008"/>
    <cellStyle name="Célula de Verificação 2 35" xfId="7009"/>
    <cellStyle name="Célula de Verificação 2 4" xfId="7010"/>
    <cellStyle name="Célula de Verificação 2 5" xfId="7011"/>
    <cellStyle name="Célula de Verificação 2 6" xfId="7012"/>
    <cellStyle name="Célula de Verificação 2 7" xfId="7013"/>
    <cellStyle name="Célula de Verificação 2 8" xfId="7014"/>
    <cellStyle name="Célula de Verificação 2 9" xfId="7015"/>
    <cellStyle name="Célula de Verificação 20" xfId="7016"/>
    <cellStyle name="Célula de Verificação 20 2" xfId="7017"/>
    <cellStyle name="Célula de Verificação 20 3" xfId="7018"/>
    <cellStyle name="Célula de Verificação 21" xfId="7019"/>
    <cellStyle name="Célula de Verificação 22" xfId="7020"/>
    <cellStyle name="Célula de Verificação 23" xfId="7021"/>
    <cellStyle name="Célula de Verificação 24" xfId="7022"/>
    <cellStyle name="Célula de Verificação 25" xfId="7023"/>
    <cellStyle name="Célula de Verificação 26" xfId="7024"/>
    <cellStyle name="Célula de Verificação 27" xfId="7025"/>
    <cellStyle name="Célula de Verificação 28" xfId="7026"/>
    <cellStyle name="Célula de Verificação 29" xfId="7027"/>
    <cellStyle name="Célula de Verificação 3" xfId="7028"/>
    <cellStyle name="Célula de Verificação 3 2" xfId="7029"/>
    <cellStyle name="Célula de Verificação 3 3" xfId="7030"/>
    <cellStyle name="Célula de Verificação 3 4" xfId="7031"/>
    <cellStyle name="Célula de Verificação 3 5" xfId="7032"/>
    <cellStyle name="Célula de Verificação 3 6" xfId="7033"/>
    <cellStyle name="Célula de Verificação 3 7" xfId="7034"/>
    <cellStyle name="Célula de Verificação 30" xfId="7035"/>
    <cellStyle name="Célula de Verificação 31" xfId="7036"/>
    <cellStyle name="Célula de Verificação 32" xfId="7037"/>
    <cellStyle name="Célula de Verificação 33" xfId="7038"/>
    <cellStyle name="Célula de Verificação 34" xfId="7039"/>
    <cellStyle name="Célula de Verificação 35" xfId="7040"/>
    <cellStyle name="Célula de Verificação 36" xfId="7041"/>
    <cellStyle name="Célula de Verificação 37" xfId="7042"/>
    <cellStyle name="Célula de Verificação 38" xfId="7043"/>
    <cellStyle name="Célula de Verificação 39" xfId="7044"/>
    <cellStyle name="Célula de Verificação 4" xfId="7045"/>
    <cellStyle name="Célula de Verificação 4 2" xfId="7046"/>
    <cellStyle name="Célula de Verificação 4 3" xfId="7047"/>
    <cellStyle name="Célula de Verificação 4 4" xfId="7048"/>
    <cellStyle name="Célula de Verificação 4 5" xfId="7049"/>
    <cellStyle name="Célula de Verificação 4 6" xfId="7050"/>
    <cellStyle name="Célula de Verificação 4 7" xfId="7051"/>
    <cellStyle name="Célula de Verificação 40" xfId="7052"/>
    <cellStyle name="Célula de Verificação 41" xfId="7053"/>
    <cellStyle name="Célula de Verificação 42" xfId="7054"/>
    <cellStyle name="Célula de Verificação 43" xfId="7055"/>
    <cellStyle name="Célula de Verificação 44" xfId="7056"/>
    <cellStyle name="Célula de Verificação 45" xfId="7057"/>
    <cellStyle name="Célula de Verificação 46" xfId="7058"/>
    <cellStyle name="Célula de Verificação 47" xfId="7059"/>
    <cellStyle name="Célula de Verificação 48" xfId="7060"/>
    <cellStyle name="Célula de Verificação 49" xfId="7061"/>
    <cellStyle name="Célula de Verificação 5" xfId="7062"/>
    <cellStyle name="Célula de Verificação 5 2" xfId="7063"/>
    <cellStyle name="Célula de Verificação 5 3" xfId="7064"/>
    <cellStyle name="Célula de Verificação 5 4" xfId="7065"/>
    <cellStyle name="Célula de Verificação 50" xfId="7066"/>
    <cellStyle name="Célula de Verificação 51" xfId="7067"/>
    <cellStyle name="Célula de Verificação 52" xfId="7068"/>
    <cellStyle name="Célula de Verificação 53" xfId="7069"/>
    <cellStyle name="Célula de Verificação 54" xfId="7070"/>
    <cellStyle name="Célula de Verificação 55" xfId="7071"/>
    <cellStyle name="Célula de Verificação 56" xfId="7072"/>
    <cellStyle name="Célula de Verificação 57" xfId="7073"/>
    <cellStyle name="Célula de Verificação 58" xfId="7074"/>
    <cellStyle name="Célula de Verificação 59" xfId="7075"/>
    <cellStyle name="Célula de Verificação 6" xfId="7076"/>
    <cellStyle name="Célula de Verificação 6 2" xfId="7077"/>
    <cellStyle name="Célula de Verificação 6 3" xfId="7078"/>
    <cellStyle name="Célula de Verificação 6 4" xfId="7079"/>
    <cellStyle name="Célula de Verificação 60" xfId="7080"/>
    <cellStyle name="Célula de Verificação 61" xfId="7081"/>
    <cellStyle name="Célula de Verificação 62" xfId="7082"/>
    <cellStyle name="Célula de Verificação 63" xfId="7083"/>
    <cellStyle name="Célula de Verificação 64" xfId="7084"/>
    <cellStyle name="Célula de Verificação 65" xfId="7085"/>
    <cellStyle name="Célula de Verificação 66" xfId="7086"/>
    <cellStyle name="Célula de Verificação 67" xfId="7087"/>
    <cellStyle name="Célula de Verificação 68" xfId="7088"/>
    <cellStyle name="Célula de Verificação 69" xfId="7089"/>
    <cellStyle name="Célula de Verificação 7" xfId="7090"/>
    <cellStyle name="Célula de Verificação 7 2" xfId="7091"/>
    <cellStyle name="Célula de Verificação 7 3" xfId="7092"/>
    <cellStyle name="Célula de Verificação 7 4" xfId="7093"/>
    <cellStyle name="Célula de Verificação 70" xfId="7094"/>
    <cellStyle name="Célula de Verificação 71" xfId="7095"/>
    <cellStyle name="Célula de Verificação 72" xfId="7096"/>
    <cellStyle name="Célula de Verificação 73" xfId="7097"/>
    <cellStyle name="Célula de Verificação 74" xfId="7098"/>
    <cellStyle name="Célula de Verificação 75" xfId="7099"/>
    <cellStyle name="Célula de Verificação 76" xfId="7100"/>
    <cellStyle name="Célula de Verificação 77" xfId="7101"/>
    <cellStyle name="Célula de Verificação 78" xfId="7102"/>
    <cellStyle name="Célula de Verificação 79" xfId="7103"/>
    <cellStyle name="Célula de Verificação 8" xfId="7104"/>
    <cellStyle name="Célula de Verificação 8 2" xfId="7105"/>
    <cellStyle name="Célula de Verificação 8 3" xfId="7106"/>
    <cellStyle name="Célula de Verificação 8 4" xfId="7107"/>
    <cellStyle name="Célula de Verificação 80" xfId="7108"/>
    <cellStyle name="Célula de Verificação 81" xfId="7109"/>
    <cellStyle name="Célula de Verificação 82" xfId="7110"/>
    <cellStyle name="Célula de Verificação 83" xfId="7111"/>
    <cellStyle name="Célula de Verificação 84" xfId="7112"/>
    <cellStyle name="Célula de Verificação 85" xfId="7113"/>
    <cellStyle name="Célula de Verificação 86" xfId="7114"/>
    <cellStyle name="Célula de Verificação 87" xfId="7115"/>
    <cellStyle name="Célula de Verificação 88" xfId="7116"/>
    <cellStyle name="Célula de Verificação 89" xfId="7117"/>
    <cellStyle name="Célula de Verificação 9" xfId="7118"/>
    <cellStyle name="Célula de Verificação 90" xfId="7119"/>
    <cellStyle name="Célula de Verificação 91" xfId="7120"/>
    <cellStyle name="Célula de Verificação 92" xfId="7121"/>
    <cellStyle name="Célula de Verificação 93" xfId="7122"/>
    <cellStyle name="Célula de Verificação 94" xfId="7123"/>
    <cellStyle name="Célula de Verificação 95" xfId="7124"/>
    <cellStyle name="Célula de Verificação 96" xfId="7125"/>
    <cellStyle name="Célula de Verificação 97" xfId="7126"/>
    <cellStyle name="Célula de Verificação 98" xfId="7127"/>
    <cellStyle name="Célula de Verificação 99" xfId="7128"/>
    <cellStyle name="Célula Vinculada 10" xfId="7129"/>
    <cellStyle name="Célula Vinculada 10 2" xfId="40556"/>
    <cellStyle name="Célula Vinculada 10 3" xfId="40555"/>
    <cellStyle name="Célula Vinculada 100" xfId="7130"/>
    <cellStyle name="Célula Vinculada 101" xfId="7131"/>
    <cellStyle name="Célula Vinculada 102" xfId="7132"/>
    <cellStyle name="Célula Vinculada 103" xfId="7133"/>
    <cellStyle name="Célula Vinculada 104" xfId="7134"/>
    <cellStyle name="Célula Vinculada 105" xfId="7135"/>
    <cellStyle name="Célula Vinculada 106" xfId="7136"/>
    <cellStyle name="Célula Vinculada 107" xfId="7137"/>
    <cellStyle name="Célula Vinculada 108" xfId="7138"/>
    <cellStyle name="Célula Vinculada 109" xfId="7139"/>
    <cellStyle name="Célula Vinculada 11" xfId="7140"/>
    <cellStyle name="Célula Vinculada 11 2" xfId="40558"/>
    <cellStyle name="Célula Vinculada 11 3" xfId="40557"/>
    <cellStyle name="Célula Vinculada 110" xfId="7141"/>
    <cellStyle name="Célula Vinculada 111" xfId="7142"/>
    <cellStyle name="Célula Vinculada 112" xfId="7143"/>
    <cellStyle name="Célula Vinculada 113" xfId="7144"/>
    <cellStyle name="Célula Vinculada 114" xfId="7145"/>
    <cellStyle name="Célula Vinculada 115" xfId="7146"/>
    <cellStyle name="Célula Vinculada 116" xfId="7147"/>
    <cellStyle name="Célula Vinculada 117" xfId="7148"/>
    <cellStyle name="Célula Vinculada 118" xfId="7149"/>
    <cellStyle name="Célula Vinculada 119" xfId="7150"/>
    <cellStyle name="Célula Vinculada 12" xfId="7151"/>
    <cellStyle name="Célula Vinculada 12 2" xfId="40560"/>
    <cellStyle name="Célula Vinculada 12 3" xfId="40559"/>
    <cellStyle name="Célula Vinculada 120" xfId="7152"/>
    <cellStyle name="Célula Vinculada 121" xfId="7153"/>
    <cellStyle name="Célula Vinculada 122" xfId="7154"/>
    <cellStyle name="Célula Vinculada 123" xfId="7155"/>
    <cellStyle name="Célula Vinculada 124" xfId="7156"/>
    <cellStyle name="Célula Vinculada 125" xfId="7157"/>
    <cellStyle name="Célula Vinculada 126" xfId="7158"/>
    <cellStyle name="Célula Vinculada 127" xfId="7159"/>
    <cellStyle name="Célula Vinculada 128" xfId="7160"/>
    <cellStyle name="Célula Vinculada 129" xfId="7161"/>
    <cellStyle name="Célula Vinculada 13" xfId="7162"/>
    <cellStyle name="Célula Vinculada 13 2" xfId="40562"/>
    <cellStyle name="Célula Vinculada 13 3" xfId="40561"/>
    <cellStyle name="Célula Vinculada 130" xfId="7163"/>
    <cellStyle name="Célula Vinculada 131" xfId="7164"/>
    <cellStyle name="Célula Vinculada 132" xfId="7165"/>
    <cellStyle name="Célula Vinculada 133" xfId="7166"/>
    <cellStyle name="Célula Vinculada 134" xfId="7167"/>
    <cellStyle name="Célula Vinculada 135" xfId="7168"/>
    <cellStyle name="Célula Vinculada 136" xfId="7169"/>
    <cellStyle name="Célula Vinculada 137" xfId="7170"/>
    <cellStyle name="Célula Vinculada 138" xfId="7171"/>
    <cellStyle name="Célula Vinculada 139" xfId="7172"/>
    <cellStyle name="Célula Vinculada 14" xfId="7173"/>
    <cellStyle name="Célula Vinculada 14 2" xfId="40563"/>
    <cellStyle name="Célula Vinculada 140" xfId="7174"/>
    <cellStyle name="Célula Vinculada 141" xfId="7175"/>
    <cellStyle name="Célula Vinculada 142" xfId="7176"/>
    <cellStyle name="Célula Vinculada 143" xfId="7177"/>
    <cellStyle name="Célula Vinculada 144" xfId="7178"/>
    <cellStyle name="Célula Vinculada 145" xfId="7179"/>
    <cellStyle name="Célula Vinculada 146" xfId="7180"/>
    <cellStyle name="Célula Vinculada 147" xfId="7181"/>
    <cellStyle name="Célula Vinculada 148" xfId="7182"/>
    <cellStyle name="Célula Vinculada 149" xfId="7183"/>
    <cellStyle name="Célula Vinculada 15" xfId="7184"/>
    <cellStyle name="Célula Vinculada 15 2" xfId="7185"/>
    <cellStyle name="Célula Vinculada 15 3" xfId="7186"/>
    <cellStyle name="Célula Vinculada 15 4" xfId="40564"/>
    <cellStyle name="Célula Vinculada 150" xfId="7187"/>
    <cellStyle name="Célula Vinculada 151" xfId="7188"/>
    <cellStyle name="Célula Vinculada 152" xfId="7189"/>
    <cellStyle name="Célula Vinculada 153" xfId="7190"/>
    <cellStyle name="Célula Vinculada 154" xfId="7191"/>
    <cellStyle name="Célula Vinculada 155" xfId="7192"/>
    <cellStyle name="Célula Vinculada 156" xfId="7193"/>
    <cellStyle name="Célula Vinculada 157" xfId="7194"/>
    <cellStyle name="Célula Vinculada 158" xfId="7195"/>
    <cellStyle name="Célula Vinculada 159" xfId="7196"/>
    <cellStyle name="Célula Vinculada 16" xfId="7197"/>
    <cellStyle name="Célula Vinculada 16 2" xfId="7198"/>
    <cellStyle name="Célula Vinculada 16 3" xfId="7199"/>
    <cellStyle name="Célula Vinculada 16 4" xfId="40565"/>
    <cellStyle name="Célula Vinculada 160" xfId="7200"/>
    <cellStyle name="Célula Vinculada 161" xfId="7201"/>
    <cellStyle name="Célula Vinculada 162" xfId="7202"/>
    <cellStyle name="Célula Vinculada 163" xfId="7203"/>
    <cellStyle name="Célula Vinculada 164" xfId="7204"/>
    <cellStyle name="Célula Vinculada 165" xfId="7205"/>
    <cellStyle name="Célula Vinculada 166" xfId="7206"/>
    <cellStyle name="Célula Vinculada 167" xfId="7207"/>
    <cellStyle name="Célula Vinculada 168" xfId="7208"/>
    <cellStyle name="Célula Vinculada 169" xfId="7209"/>
    <cellStyle name="Célula Vinculada 17" xfId="7210"/>
    <cellStyle name="Célula Vinculada 17 2" xfId="7211"/>
    <cellStyle name="Célula Vinculada 17 3" xfId="7212"/>
    <cellStyle name="Célula Vinculada 17 4" xfId="40566"/>
    <cellStyle name="Célula Vinculada 170" xfId="7213"/>
    <cellStyle name="Célula Vinculada 171" xfId="7214"/>
    <cellStyle name="Célula Vinculada 172" xfId="7215"/>
    <cellStyle name="Célula Vinculada 173" xfId="7216"/>
    <cellStyle name="Célula Vinculada 174" xfId="7217"/>
    <cellStyle name="Célula Vinculada 175" xfId="7218"/>
    <cellStyle name="Célula Vinculada 176" xfId="7219"/>
    <cellStyle name="Célula Vinculada 177" xfId="7220"/>
    <cellStyle name="Célula Vinculada 178" xfId="7221"/>
    <cellStyle name="Célula Vinculada 179" xfId="7222"/>
    <cellStyle name="Célula Vinculada 18" xfId="7223"/>
    <cellStyle name="Célula Vinculada 18 2" xfId="7224"/>
    <cellStyle name="Célula Vinculada 18 3" xfId="7225"/>
    <cellStyle name="Célula Vinculada 18 4" xfId="40567"/>
    <cellStyle name="Célula Vinculada 180" xfId="7226"/>
    <cellStyle name="Célula Vinculada 181" xfId="7227"/>
    <cellStyle name="Célula Vinculada 182" xfId="7228"/>
    <cellStyle name="Célula Vinculada 183" xfId="7229"/>
    <cellStyle name="Célula Vinculada 184" xfId="7230"/>
    <cellStyle name="Célula Vinculada 185" xfId="7231"/>
    <cellStyle name="Célula Vinculada 186" xfId="7232"/>
    <cellStyle name="Célula Vinculada 187" xfId="7233"/>
    <cellStyle name="Célula Vinculada 188" xfId="7234"/>
    <cellStyle name="Célula Vinculada 189" xfId="7235"/>
    <cellStyle name="Célula Vinculada 19" xfId="7236"/>
    <cellStyle name="Célula Vinculada 19 2" xfId="7237"/>
    <cellStyle name="Célula Vinculada 19 3" xfId="7238"/>
    <cellStyle name="Célula Vinculada 19 4" xfId="40568"/>
    <cellStyle name="Célula Vinculada 190" xfId="7239"/>
    <cellStyle name="Célula Vinculada 191" xfId="40466"/>
    <cellStyle name="Célula Vinculada 2" xfId="7240"/>
    <cellStyle name="Célula Vinculada 2 10" xfId="7241"/>
    <cellStyle name="Célula Vinculada 2 10 2" xfId="7242"/>
    <cellStyle name="Célula Vinculada 2 10 3" xfId="7243"/>
    <cellStyle name="Célula Vinculada 2 10 4" xfId="7244"/>
    <cellStyle name="Célula Vinculada 2 10 5" xfId="7245"/>
    <cellStyle name="Célula Vinculada 2 10 6" xfId="7246"/>
    <cellStyle name="Célula Vinculada 2 10 7" xfId="7247"/>
    <cellStyle name="Célula Vinculada 2 11" xfId="7248"/>
    <cellStyle name="Célula Vinculada 2 11 2" xfId="7249"/>
    <cellStyle name="Célula Vinculada 2 11 3" xfId="7250"/>
    <cellStyle name="Célula Vinculada 2 11 4" xfId="7251"/>
    <cellStyle name="Célula Vinculada 2 11 5" xfId="7252"/>
    <cellStyle name="Célula Vinculada 2 11 6" xfId="7253"/>
    <cellStyle name="Célula Vinculada 2 11 7" xfId="7254"/>
    <cellStyle name="Célula Vinculada 2 12" xfId="7255"/>
    <cellStyle name="Célula Vinculada 2 13" xfId="7256"/>
    <cellStyle name="Célula Vinculada 2 14" xfId="7257"/>
    <cellStyle name="Célula Vinculada 2 15" xfId="7258"/>
    <cellStyle name="Célula Vinculada 2 16" xfId="7259"/>
    <cellStyle name="Célula Vinculada 2 17" xfId="7260"/>
    <cellStyle name="Célula Vinculada 2 18" xfId="7261"/>
    <cellStyle name="Célula Vinculada 2 19" xfId="7262"/>
    <cellStyle name="Célula Vinculada 2 2" xfId="7263"/>
    <cellStyle name="Célula Vinculada 2 2 2" xfId="40569"/>
    <cellStyle name="Célula Vinculada 2 20" xfId="7264"/>
    <cellStyle name="Célula Vinculada 2 21" xfId="7265"/>
    <cellStyle name="Célula Vinculada 2 22" xfId="7266"/>
    <cellStyle name="Célula Vinculada 2 23" xfId="7267"/>
    <cellStyle name="Célula Vinculada 2 24" xfId="7268"/>
    <cellStyle name="Célula Vinculada 2 25" xfId="7269"/>
    <cellStyle name="Célula Vinculada 2 26" xfId="7270"/>
    <cellStyle name="Célula Vinculada 2 27" xfId="7271"/>
    <cellStyle name="Célula Vinculada 2 28" xfId="7272"/>
    <cellStyle name="Célula Vinculada 2 29" xfId="7273"/>
    <cellStyle name="Célula Vinculada 2 3" xfId="7274"/>
    <cellStyle name="Célula Vinculada 2 3 2" xfId="40570"/>
    <cellStyle name="Célula Vinculada 2 30" xfId="7275"/>
    <cellStyle name="Célula Vinculada 2 31" xfId="7276"/>
    <cellStyle name="Célula Vinculada 2 32" xfId="7277"/>
    <cellStyle name="Célula Vinculada 2 33" xfId="7278"/>
    <cellStyle name="Célula Vinculada 2 34" xfId="7279"/>
    <cellStyle name="Célula Vinculada 2 35" xfId="7280"/>
    <cellStyle name="Célula Vinculada 2 36" xfId="40471"/>
    <cellStyle name="Célula Vinculada 2 4" xfId="7281"/>
    <cellStyle name="Célula Vinculada 2 4 2" xfId="40571"/>
    <cellStyle name="Célula Vinculada 2 5" xfId="7282"/>
    <cellStyle name="Célula Vinculada 2 5 2" xfId="40572"/>
    <cellStyle name="Célula Vinculada 2 6" xfId="7283"/>
    <cellStyle name="Célula Vinculada 2 6 2" xfId="40573"/>
    <cellStyle name="Célula Vinculada 2 7" xfId="7284"/>
    <cellStyle name="Célula Vinculada 2 7 2" xfId="40574"/>
    <cellStyle name="Célula Vinculada 2 8" xfId="7285"/>
    <cellStyle name="Célula Vinculada 2 8 2" xfId="7286"/>
    <cellStyle name="Célula Vinculada 2 8 3" xfId="7287"/>
    <cellStyle name="Célula Vinculada 2 8 4" xfId="7288"/>
    <cellStyle name="Célula Vinculada 2 8 5" xfId="7289"/>
    <cellStyle name="Célula Vinculada 2 8 6" xfId="7290"/>
    <cellStyle name="Célula Vinculada 2 8 7" xfId="7291"/>
    <cellStyle name="Célula Vinculada 2 8 8" xfId="41051"/>
    <cellStyle name="Célula Vinculada 2 9" xfId="7292"/>
    <cellStyle name="Célula Vinculada 2 9 2" xfId="7293"/>
    <cellStyle name="Célula Vinculada 2 9 3" xfId="7294"/>
    <cellStyle name="Célula Vinculada 2 9 4" xfId="7295"/>
    <cellStyle name="Célula Vinculada 2 9 5" xfId="7296"/>
    <cellStyle name="Célula Vinculada 2 9 6" xfId="7297"/>
    <cellStyle name="Célula Vinculada 2 9 7" xfId="7298"/>
    <cellStyle name="Célula Vinculada 20" xfId="7299"/>
    <cellStyle name="Célula Vinculada 20 2" xfId="7300"/>
    <cellStyle name="Célula Vinculada 20 3" xfId="7301"/>
    <cellStyle name="Célula Vinculada 20 4" xfId="40575"/>
    <cellStyle name="Célula Vinculada 21" xfId="7302"/>
    <cellStyle name="Célula Vinculada 21 2" xfId="40576"/>
    <cellStyle name="Célula Vinculada 22" xfId="7303"/>
    <cellStyle name="Célula Vinculada 22 2" xfId="40577"/>
    <cellStyle name="Célula Vinculada 23" xfId="7304"/>
    <cellStyle name="Célula Vinculada 23 2" xfId="40578"/>
    <cellStyle name="Célula Vinculada 24" xfId="7305"/>
    <cellStyle name="Célula Vinculada 24 2" xfId="40964"/>
    <cellStyle name="Célula Vinculada 25" xfId="7306"/>
    <cellStyle name="Célula Vinculada 25 2" xfId="40999"/>
    <cellStyle name="Célula Vinculada 26" xfId="7307"/>
    <cellStyle name="Célula Vinculada 26 10" xfId="7308"/>
    <cellStyle name="Célula Vinculada 26 11" xfId="7309"/>
    <cellStyle name="Célula Vinculada 26 12" xfId="7310"/>
    <cellStyle name="Célula Vinculada 26 13" xfId="7311"/>
    <cellStyle name="Célula Vinculada 26 14" xfId="7312"/>
    <cellStyle name="Célula Vinculada 26 15" xfId="7313"/>
    <cellStyle name="Célula Vinculada 26 16" xfId="7314"/>
    <cellStyle name="Célula Vinculada 26 17" xfId="41017"/>
    <cellStyle name="Célula Vinculada 26 2" xfId="7315"/>
    <cellStyle name="Célula Vinculada 26 3" xfId="7316"/>
    <cellStyle name="Célula Vinculada 26 4" xfId="7317"/>
    <cellStyle name="Célula Vinculada 26 5" xfId="7318"/>
    <cellStyle name="Célula Vinculada 26 6" xfId="7319"/>
    <cellStyle name="Célula Vinculada 26 7" xfId="7320"/>
    <cellStyle name="Célula Vinculada 26 8" xfId="7321"/>
    <cellStyle name="Célula Vinculada 26 9" xfId="7322"/>
    <cellStyle name="Célula Vinculada 27" xfId="7323"/>
    <cellStyle name="Célula Vinculada 27 10" xfId="7324"/>
    <cellStyle name="Célula Vinculada 27 11" xfId="7325"/>
    <cellStyle name="Célula Vinculada 27 12" xfId="7326"/>
    <cellStyle name="Célula Vinculada 27 13" xfId="7327"/>
    <cellStyle name="Célula Vinculada 27 14" xfId="7328"/>
    <cellStyle name="Célula Vinculada 27 15" xfId="7329"/>
    <cellStyle name="Célula Vinculada 27 16" xfId="7330"/>
    <cellStyle name="Célula Vinculada 27 2" xfId="7331"/>
    <cellStyle name="Célula Vinculada 27 3" xfId="7332"/>
    <cellStyle name="Célula Vinculada 27 4" xfId="7333"/>
    <cellStyle name="Célula Vinculada 27 5" xfId="7334"/>
    <cellStyle name="Célula Vinculada 27 6" xfId="7335"/>
    <cellStyle name="Célula Vinculada 27 7" xfId="7336"/>
    <cellStyle name="Célula Vinculada 27 8" xfId="7337"/>
    <cellStyle name="Célula Vinculada 27 9" xfId="7338"/>
    <cellStyle name="Célula Vinculada 28" xfId="7339"/>
    <cellStyle name="Célula Vinculada 28 10" xfId="7340"/>
    <cellStyle name="Célula Vinculada 28 11" xfId="7341"/>
    <cellStyle name="Célula Vinculada 28 12" xfId="7342"/>
    <cellStyle name="Célula Vinculada 28 13" xfId="7343"/>
    <cellStyle name="Célula Vinculada 28 14" xfId="7344"/>
    <cellStyle name="Célula Vinculada 28 15" xfId="7345"/>
    <cellStyle name="Célula Vinculada 28 16" xfId="7346"/>
    <cellStyle name="Célula Vinculada 28 2" xfId="7347"/>
    <cellStyle name="Célula Vinculada 28 3" xfId="7348"/>
    <cellStyle name="Célula Vinculada 28 4" xfId="7349"/>
    <cellStyle name="Célula Vinculada 28 5" xfId="7350"/>
    <cellStyle name="Célula Vinculada 28 6" xfId="7351"/>
    <cellStyle name="Célula Vinculada 28 7" xfId="7352"/>
    <cellStyle name="Célula Vinculada 28 8" xfId="7353"/>
    <cellStyle name="Célula Vinculada 28 9" xfId="7354"/>
    <cellStyle name="Célula Vinculada 29" xfId="7355"/>
    <cellStyle name="Célula Vinculada 29 10" xfId="7356"/>
    <cellStyle name="Célula Vinculada 29 11" xfId="7357"/>
    <cellStyle name="Célula Vinculada 29 12" xfId="7358"/>
    <cellStyle name="Célula Vinculada 29 13" xfId="7359"/>
    <cellStyle name="Célula Vinculada 29 14" xfId="7360"/>
    <cellStyle name="Célula Vinculada 29 15" xfId="7361"/>
    <cellStyle name="Célula Vinculada 29 16" xfId="7362"/>
    <cellStyle name="Célula Vinculada 29 2" xfId="7363"/>
    <cellStyle name="Célula Vinculada 29 3" xfId="7364"/>
    <cellStyle name="Célula Vinculada 29 4" xfId="7365"/>
    <cellStyle name="Célula Vinculada 29 5" xfId="7366"/>
    <cellStyle name="Célula Vinculada 29 6" xfId="7367"/>
    <cellStyle name="Célula Vinculada 29 7" xfId="7368"/>
    <cellStyle name="Célula Vinculada 29 8" xfId="7369"/>
    <cellStyle name="Célula Vinculada 29 9" xfId="7370"/>
    <cellStyle name="Célula Vinculada 3" xfId="7371"/>
    <cellStyle name="Célula Vinculada 3 10" xfId="7372"/>
    <cellStyle name="Célula Vinculada 3 11" xfId="7373"/>
    <cellStyle name="Célula Vinculada 3 12" xfId="40579"/>
    <cellStyle name="Célula Vinculada 3 2" xfId="7374"/>
    <cellStyle name="Célula Vinculada 3 2 2" xfId="40580"/>
    <cellStyle name="Célula Vinculada 3 3" xfId="7375"/>
    <cellStyle name="Célula Vinculada 3 3 2" xfId="40581"/>
    <cellStyle name="Célula Vinculada 3 4" xfId="7376"/>
    <cellStyle name="Célula Vinculada 3 4 2" xfId="40582"/>
    <cellStyle name="Célula Vinculada 3 5" xfId="7377"/>
    <cellStyle name="Célula Vinculada 3 6" xfId="7378"/>
    <cellStyle name="Célula Vinculada 3 7" xfId="7379"/>
    <cellStyle name="Célula Vinculada 3 8" xfId="7380"/>
    <cellStyle name="Célula Vinculada 3 9" xfId="7381"/>
    <cellStyle name="Célula Vinculada 30" xfId="7382"/>
    <cellStyle name="Célula Vinculada 31" xfId="7383"/>
    <cellStyle name="Célula Vinculada 32" xfId="7384"/>
    <cellStyle name="Célula Vinculada 33" xfId="7385"/>
    <cellStyle name="Célula Vinculada 34" xfId="7386"/>
    <cellStyle name="Célula Vinculada 35" xfId="7387"/>
    <cellStyle name="Célula Vinculada 36" xfId="7388"/>
    <cellStyle name="Célula Vinculada 37" xfId="7389"/>
    <cellStyle name="Célula Vinculada 38" xfId="7390"/>
    <cellStyle name="Célula Vinculada 39" xfId="7391"/>
    <cellStyle name="Célula Vinculada 4" xfId="7392"/>
    <cellStyle name="Célula Vinculada 4 10" xfId="7393"/>
    <cellStyle name="Célula Vinculada 4 11" xfId="7394"/>
    <cellStyle name="Célula Vinculada 4 12" xfId="40583"/>
    <cellStyle name="Célula Vinculada 4 2" xfId="7395"/>
    <cellStyle name="Célula Vinculada 4 2 2" xfId="40584"/>
    <cellStyle name="Célula Vinculada 4 3" xfId="7396"/>
    <cellStyle name="Célula Vinculada 4 3 2" xfId="40585"/>
    <cellStyle name="Célula Vinculada 4 4" xfId="7397"/>
    <cellStyle name="Célula Vinculada 4 4 2" xfId="40586"/>
    <cellStyle name="Célula Vinculada 4 5" xfId="7398"/>
    <cellStyle name="Célula Vinculada 4 6" xfId="7399"/>
    <cellStyle name="Célula Vinculada 4 7" xfId="7400"/>
    <cellStyle name="Célula Vinculada 4 8" xfId="7401"/>
    <cellStyle name="Célula Vinculada 4 9" xfId="7402"/>
    <cellStyle name="Célula Vinculada 40" xfId="7403"/>
    <cellStyle name="Célula Vinculada 41" xfId="7404"/>
    <cellStyle name="Célula Vinculada 42" xfId="7405"/>
    <cellStyle name="Célula Vinculada 43" xfId="7406"/>
    <cellStyle name="Célula Vinculada 44" xfId="7407"/>
    <cellStyle name="Célula Vinculada 45" xfId="7408"/>
    <cellStyle name="Célula Vinculada 46" xfId="7409"/>
    <cellStyle name="Célula Vinculada 47" xfId="7410"/>
    <cellStyle name="Célula Vinculada 48" xfId="7411"/>
    <cellStyle name="Célula Vinculada 49" xfId="7412"/>
    <cellStyle name="Célula Vinculada 5" xfId="7413"/>
    <cellStyle name="Célula Vinculada 5 2" xfId="7414"/>
    <cellStyle name="Célula Vinculada 5 3" xfId="7415"/>
    <cellStyle name="Célula Vinculada 5 4" xfId="7416"/>
    <cellStyle name="Célula Vinculada 5 5" xfId="40587"/>
    <cellStyle name="Célula Vinculada 50" xfId="7417"/>
    <cellStyle name="Célula Vinculada 51" xfId="7418"/>
    <cellStyle name="Célula Vinculada 52" xfId="7419"/>
    <cellStyle name="Célula Vinculada 53" xfId="7420"/>
    <cellStyle name="Célula Vinculada 54" xfId="7421"/>
    <cellStyle name="Célula Vinculada 55" xfId="7422"/>
    <cellStyle name="Célula Vinculada 56" xfId="7423"/>
    <cellStyle name="Célula Vinculada 57" xfId="7424"/>
    <cellStyle name="Célula Vinculada 58" xfId="7425"/>
    <cellStyle name="Célula Vinculada 59" xfId="7426"/>
    <cellStyle name="Célula Vinculada 6" xfId="7427"/>
    <cellStyle name="Célula Vinculada 6 2" xfId="7428"/>
    <cellStyle name="Célula Vinculada 6 3" xfId="7429"/>
    <cellStyle name="Célula Vinculada 6 4" xfId="7430"/>
    <cellStyle name="Célula Vinculada 6 5" xfId="40588"/>
    <cellStyle name="Célula Vinculada 60" xfId="7431"/>
    <cellStyle name="Célula Vinculada 61" xfId="7432"/>
    <cellStyle name="Célula Vinculada 62" xfId="7433"/>
    <cellStyle name="Célula Vinculada 63" xfId="7434"/>
    <cellStyle name="Célula Vinculada 64" xfId="7435"/>
    <cellStyle name="Célula Vinculada 65" xfId="7436"/>
    <cellStyle name="Célula Vinculada 66" xfId="7437"/>
    <cellStyle name="Célula Vinculada 67" xfId="7438"/>
    <cellStyle name="Célula Vinculada 68" xfId="7439"/>
    <cellStyle name="Célula Vinculada 69" xfId="7440"/>
    <cellStyle name="Célula Vinculada 7" xfId="7441"/>
    <cellStyle name="Célula Vinculada 7 2" xfId="7442"/>
    <cellStyle name="Célula Vinculada 7 3" xfId="7443"/>
    <cellStyle name="Célula Vinculada 7 4" xfId="7444"/>
    <cellStyle name="Célula Vinculada 7 5" xfId="40589"/>
    <cellStyle name="Célula Vinculada 70" xfId="7445"/>
    <cellStyle name="Célula Vinculada 71" xfId="7446"/>
    <cellStyle name="Célula Vinculada 72" xfId="7447"/>
    <cellStyle name="Célula Vinculada 73" xfId="7448"/>
    <cellStyle name="Célula Vinculada 74" xfId="7449"/>
    <cellStyle name="Célula Vinculada 75" xfId="7450"/>
    <cellStyle name="Célula Vinculada 76" xfId="7451"/>
    <cellStyle name="Célula Vinculada 77" xfId="7452"/>
    <cellStyle name="Célula Vinculada 78" xfId="7453"/>
    <cellStyle name="Célula Vinculada 79" xfId="7454"/>
    <cellStyle name="Célula Vinculada 8" xfId="7455"/>
    <cellStyle name="Célula Vinculada 8 2" xfId="7456"/>
    <cellStyle name="Célula Vinculada 8 3" xfId="7457"/>
    <cellStyle name="Célula Vinculada 8 4" xfId="7458"/>
    <cellStyle name="Célula Vinculada 8 5" xfId="40590"/>
    <cellStyle name="Célula Vinculada 80" xfId="7459"/>
    <cellStyle name="Célula Vinculada 81" xfId="7460"/>
    <cellStyle name="Célula Vinculada 82" xfId="7461"/>
    <cellStyle name="Célula Vinculada 83" xfId="7462"/>
    <cellStyle name="Célula Vinculada 84" xfId="7463"/>
    <cellStyle name="Célula Vinculada 85" xfId="7464"/>
    <cellStyle name="Célula Vinculada 86" xfId="7465"/>
    <cellStyle name="Célula Vinculada 87" xfId="7466"/>
    <cellStyle name="Célula Vinculada 88" xfId="7467"/>
    <cellStyle name="Célula Vinculada 89" xfId="7468"/>
    <cellStyle name="Célula Vinculada 9" xfId="7469"/>
    <cellStyle name="Célula Vinculada 9 2" xfId="40591"/>
    <cellStyle name="Célula Vinculada 90" xfId="7470"/>
    <cellStyle name="Célula Vinculada 91" xfId="7471"/>
    <cellStyle name="Célula Vinculada 92" xfId="7472"/>
    <cellStyle name="Célula Vinculada 93" xfId="7473"/>
    <cellStyle name="Célula Vinculada 94" xfId="7474"/>
    <cellStyle name="Célula Vinculada 95" xfId="7475"/>
    <cellStyle name="Célula Vinculada 96" xfId="7476"/>
    <cellStyle name="Célula Vinculada 97" xfId="7477"/>
    <cellStyle name="Célula Vinculada 98" xfId="7478"/>
    <cellStyle name="Célula Vinculada 99" xfId="7479"/>
    <cellStyle name="Check Cell" xfId="41115"/>
    <cellStyle name="Data" xfId="7480"/>
    <cellStyle name="Ênfase1 10" xfId="7481"/>
    <cellStyle name="Ênfase1 10 2" xfId="40592"/>
    <cellStyle name="Ênfase1 100" xfId="7482"/>
    <cellStyle name="Ênfase1 101" xfId="7483"/>
    <cellStyle name="Ênfase1 102" xfId="7484"/>
    <cellStyle name="Ênfase1 103" xfId="7485"/>
    <cellStyle name="Ênfase1 104" xfId="7486"/>
    <cellStyle name="Ênfase1 105" xfId="7487"/>
    <cellStyle name="Ênfase1 106" xfId="7488"/>
    <cellStyle name="Ênfase1 107" xfId="7489"/>
    <cellStyle name="Ênfase1 108" xfId="7490"/>
    <cellStyle name="Ênfase1 109" xfId="7491"/>
    <cellStyle name="Ênfase1 11" xfId="7492"/>
    <cellStyle name="Ênfase1 11 2" xfId="40593"/>
    <cellStyle name="Ênfase1 110" xfId="7493"/>
    <cellStyle name="Ênfase1 111" xfId="7494"/>
    <cellStyle name="Ênfase1 112" xfId="7495"/>
    <cellStyle name="Ênfase1 113" xfId="7496"/>
    <cellStyle name="Ênfase1 114" xfId="7497"/>
    <cellStyle name="Ênfase1 115" xfId="7498"/>
    <cellStyle name="Ênfase1 116" xfId="7499"/>
    <cellStyle name="Ênfase1 117" xfId="7500"/>
    <cellStyle name="Ênfase1 118" xfId="7501"/>
    <cellStyle name="Ênfase1 119" xfId="7502"/>
    <cellStyle name="Ênfase1 12" xfId="7503"/>
    <cellStyle name="Ênfase1 12 2" xfId="40594"/>
    <cellStyle name="Ênfase1 120" xfId="7504"/>
    <cellStyle name="Ênfase1 121" xfId="7505"/>
    <cellStyle name="Ênfase1 122" xfId="7506"/>
    <cellStyle name="Ênfase1 123" xfId="7507"/>
    <cellStyle name="Ênfase1 124" xfId="7508"/>
    <cellStyle name="Ênfase1 125" xfId="7509"/>
    <cellStyle name="Ênfase1 126" xfId="7510"/>
    <cellStyle name="Ênfase1 127" xfId="7511"/>
    <cellStyle name="Ênfase1 128" xfId="7512"/>
    <cellStyle name="Ênfase1 129" xfId="7513"/>
    <cellStyle name="Ênfase1 13" xfId="7514"/>
    <cellStyle name="Ênfase1 13 2" xfId="40595"/>
    <cellStyle name="Ênfase1 130" xfId="7515"/>
    <cellStyle name="Ênfase1 131" xfId="7516"/>
    <cellStyle name="Ênfase1 132" xfId="7517"/>
    <cellStyle name="Ênfase1 133" xfId="7518"/>
    <cellStyle name="Ênfase1 134" xfId="7519"/>
    <cellStyle name="Ênfase1 135" xfId="7520"/>
    <cellStyle name="Ênfase1 136" xfId="7521"/>
    <cellStyle name="Ênfase1 137" xfId="7522"/>
    <cellStyle name="Ênfase1 138" xfId="7523"/>
    <cellStyle name="Ênfase1 139" xfId="7524"/>
    <cellStyle name="Ênfase1 14" xfId="7525"/>
    <cellStyle name="Ênfase1 140" xfId="7526"/>
    <cellStyle name="Ênfase1 141" xfId="7527"/>
    <cellStyle name="Ênfase1 142" xfId="7528"/>
    <cellStyle name="Ênfase1 143" xfId="7529"/>
    <cellStyle name="Ênfase1 144" xfId="7530"/>
    <cellStyle name="Ênfase1 145" xfId="7531"/>
    <cellStyle name="Ênfase1 146" xfId="7532"/>
    <cellStyle name="Ênfase1 147" xfId="7533"/>
    <cellStyle name="Ênfase1 148" xfId="7534"/>
    <cellStyle name="Ênfase1 149" xfId="7535"/>
    <cellStyle name="Ênfase1 15" xfId="7536"/>
    <cellStyle name="Ênfase1 15 2" xfId="7537"/>
    <cellStyle name="Ênfase1 15 3" xfId="7538"/>
    <cellStyle name="Ênfase1 150" xfId="7539"/>
    <cellStyle name="Ênfase1 151" xfId="7540"/>
    <cellStyle name="Ênfase1 152" xfId="7541"/>
    <cellStyle name="Ênfase1 153" xfId="7542"/>
    <cellStyle name="Ênfase1 154" xfId="7543"/>
    <cellStyle name="Ênfase1 155" xfId="7544"/>
    <cellStyle name="Ênfase1 156" xfId="7545"/>
    <cellStyle name="Ênfase1 157" xfId="7546"/>
    <cellStyle name="Ênfase1 158" xfId="7547"/>
    <cellStyle name="Ênfase1 159" xfId="7548"/>
    <cellStyle name="Ênfase1 16" xfId="7549"/>
    <cellStyle name="Ênfase1 16 2" xfId="7550"/>
    <cellStyle name="Ênfase1 16 3" xfId="7551"/>
    <cellStyle name="Ênfase1 160" xfId="7552"/>
    <cellStyle name="Ênfase1 161" xfId="7553"/>
    <cellStyle name="Ênfase1 162" xfId="7554"/>
    <cellStyle name="Ênfase1 163" xfId="7555"/>
    <cellStyle name="Ênfase1 164" xfId="7556"/>
    <cellStyle name="Ênfase1 165" xfId="7557"/>
    <cellStyle name="Ênfase1 166" xfId="7558"/>
    <cellStyle name="Ênfase1 167" xfId="7559"/>
    <cellStyle name="Ênfase1 168" xfId="7560"/>
    <cellStyle name="Ênfase1 169" xfId="7561"/>
    <cellStyle name="Ênfase1 17" xfId="7562"/>
    <cellStyle name="Ênfase1 17 2" xfId="7563"/>
    <cellStyle name="Ênfase1 17 3" xfId="7564"/>
    <cellStyle name="Ênfase1 170" xfId="7565"/>
    <cellStyle name="Ênfase1 171" xfId="7566"/>
    <cellStyle name="Ênfase1 172" xfId="7567"/>
    <cellStyle name="Ênfase1 173" xfId="7568"/>
    <cellStyle name="Ênfase1 174" xfId="7569"/>
    <cellStyle name="Ênfase1 175" xfId="7570"/>
    <cellStyle name="Ênfase1 176" xfId="7571"/>
    <cellStyle name="Ênfase1 177" xfId="7572"/>
    <cellStyle name="Ênfase1 178" xfId="7573"/>
    <cellStyle name="Ênfase1 179" xfId="7574"/>
    <cellStyle name="Ênfase1 18" xfId="7575"/>
    <cellStyle name="Ênfase1 18 2" xfId="7576"/>
    <cellStyle name="Ênfase1 18 3" xfId="7577"/>
    <cellStyle name="Ênfase1 180" xfId="7578"/>
    <cellStyle name="Ênfase1 181" xfId="7579"/>
    <cellStyle name="Ênfase1 182" xfId="7580"/>
    <cellStyle name="Ênfase1 183" xfId="7581"/>
    <cellStyle name="Ênfase1 184" xfId="7582"/>
    <cellStyle name="Ênfase1 185" xfId="7583"/>
    <cellStyle name="Ênfase1 186" xfId="7584"/>
    <cellStyle name="Ênfase1 187" xfId="7585"/>
    <cellStyle name="Ênfase1 188" xfId="7586"/>
    <cellStyle name="Ênfase1 189" xfId="7587"/>
    <cellStyle name="Ênfase1 19" xfId="7588"/>
    <cellStyle name="Ênfase1 19 2" xfId="7589"/>
    <cellStyle name="Ênfase1 19 3" xfId="7590"/>
    <cellStyle name="Ênfase1 190" xfId="7591"/>
    <cellStyle name="Ênfase1 2" xfId="7592"/>
    <cellStyle name="Ênfase1 2 10" xfId="7593"/>
    <cellStyle name="Ênfase1 2 10 2" xfId="7594"/>
    <cellStyle name="Ênfase1 2 10 3" xfId="7595"/>
    <cellStyle name="Ênfase1 2 10 4" xfId="7596"/>
    <cellStyle name="Ênfase1 2 10 5" xfId="7597"/>
    <cellStyle name="Ênfase1 2 10 6" xfId="7598"/>
    <cellStyle name="Ênfase1 2 10 7" xfId="7599"/>
    <cellStyle name="Ênfase1 2 11" xfId="7600"/>
    <cellStyle name="Ênfase1 2 11 2" xfId="7601"/>
    <cellStyle name="Ênfase1 2 11 3" xfId="7602"/>
    <cellStyle name="Ênfase1 2 11 4" xfId="7603"/>
    <cellStyle name="Ênfase1 2 11 5" xfId="7604"/>
    <cellStyle name="Ênfase1 2 11 6" xfId="7605"/>
    <cellStyle name="Ênfase1 2 11 7" xfId="7606"/>
    <cellStyle name="Ênfase1 2 12" xfId="7607"/>
    <cellStyle name="Ênfase1 2 13" xfId="7608"/>
    <cellStyle name="Ênfase1 2 14" xfId="7609"/>
    <cellStyle name="Ênfase1 2 15" xfId="7610"/>
    <cellStyle name="Ênfase1 2 16" xfId="7611"/>
    <cellStyle name="Ênfase1 2 17" xfId="7612"/>
    <cellStyle name="Ênfase1 2 18" xfId="7613"/>
    <cellStyle name="Ênfase1 2 19" xfId="7614"/>
    <cellStyle name="Ênfase1 2 2" xfId="7615"/>
    <cellStyle name="Ênfase1 2 20" xfId="7616"/>
    <cellStyle name="Ênfase1 2 21" xfId="7617"/>
    <cellStyle name="Ênfase1 2 22" xfId="7618"/>
    <cellStyle name="Ênfase1 2 23" xfId="7619"/>
    <cellStyle name="Ênfase1 2 24" xfId="7620"/>
    <cellStyle name="Ênfase1 2 25" xfId="7621"/>
    <cellStyle name="Ênfase1 2 26" xfId="7622"/>
    <cellStyle name="Ênfase1 2 27" xfId="7623"/>
    <cellStyle name="Ênfase1 2 28" xfId="7624"/>
    <cellStyle name="Ênfase1 2 29" xfId="7625"/>
    <cellStyle name="Ênfase1 2 3" xfId="7626"/>
    <cellStyle name="Ênfase1 2 30" xfId="7627"/>
    <cellStyle name="Ênfase1 2 31" xfId="7628"/>
    <cellStyle name="Ênfase1 2 32" xfId="7629"/>
    <cellStyle name="Ênfase1 2 33" xfId="7630"/>
    <cellStyle name="Ênfase1 2 34" xfId="7631"/>
    <cellStyle name="Ênfase1 2 35" xfId="7632"/>
    <cellStyle name="Ênfase1 2 4" xfId="7633"/>
    <cellStyle name="Ênfase1 2 5" xfId="7634"/>
    <cellStyle name="Ênfase1 2 6" xfId="7635"/>
    <cellStyle name="Ênfase1 2 7" xfId="7636"/>
    <cellStyle name="Ênfase1 2 8" xfId="7637"/>
    <cellStyle name="Ênfase1 2 8 2" xfId="7638"/>
    <cellStyle name="Ênfase1 2 8 3" xfId="7639"/>
    <cellStyle name="Ênfase1 2 8 4" xfId="7640"/>
    <cellStyle name="Ênfase1 2 8 5" xfId="7641"/>
    <cellStyle name="Ênfase1 2 8 6" xfId="7642"/>
    <cellStyle name="Ênfase1 2 8 7" xfId="7643"/>
    <cellStyle name="Ênfase1 2 9" xfId="7644"/>
    <cellStyle name="Ênfase1 2 9 2" xfId="7645"/>
    <cellStyle name="Ênfase1 2 9 3" xfId="7646"/>
    <cellStyle name="Ênfase1 2 9 4" xfId="7647"/>
    <cellStyle name="Ênfase1 2 9 5" xfId="7648"/>
    <cellStyle name="Ênfase1 2 9 6" xfId="7649"/>
    <cellStyle name="Ênfase1 2 9 7" xfId="7650"/>
    <cellStyle name="Ênfase1 20" xfId="7651"/>
    <cellStyle name="Ênfase1 20 2" xfId="7652"/>
    <cellStyle name="Ênfase1 20 3" xfId="7653"/>
    <cellStyle name="Ênfase1 21" xfId="7654"/>
    <cellStyle name="Ênfase1 22" xfId="7655"/>
    <cellStyle name="Ênfase1 23" xfId="7656"/>
    <cellStyle name="Ênfase1 24" xfId="7657"/>
    <cellStyle name="Ênfase1 24 2" xfId="40965"/>
    <cellStyle name="Ênfase1 25" xfId="7658"/>
    <cellStyle name="Ênfase1 25 2" xfId="41000"/>
    <cellStyle name="Ênfase1 26" xfId="7659"/>
    <cellStyle name="Ênfase1 26 10" xfId="7660"/>
    <cellStyle name="Ênfase1 26 11" xfId="7661"/>
    <cellStyle name="Ênfase1 26 12" xfId="7662"/>
    <cellStyle name="Ênfase1 26 13" xfId="7663"/>
    <cellStyle name="Ênfase1 26 14" xfId="7664"/>
    <cellStyle name="Ênfase1 26 15" xfId="7665"/>
    <cellStyle name="Ênfase1 26 16" xfId="7666"/>
    <cellStyle name="Ênfase1 26 2" xfId="7667"/>
    <cellStyle name="Ênfase1 26 3" xfId="7668"/>
    <cellStyle name="Ênfase1 26 4" xfId="7669"/>
    <cellStyle name="Ênfase1 26 5" xfId="7670"/>
    <cellStyle name="Ênfase1 26 6" xfId="7671"/>
    <cellStyle name="Ênfase1 26 7" xfId="7672"/>
    <cellStyle name="Ênfase1 26 8" xfId="7673"/>
    <cellStyle name="Ênfase1 26 9" xfId="7674"/>
    <cellStyle name="Ênfase1 27" xfId="7675"/>
    <cellStyle name="Ênfase1 27 10" xfId="7676"/>
    <cellStyle name="Ênfase1 27 11" xfId="7677"/>
    <cellStyle name="Ênfase1 27 12" xfId="7678"/>
    <cellStyle name="Ênfase1 27 13" xfId="7679"/>
    <cellStyle name="Ênfase1 27 14" xfId="7680"/>
    <cellStyle name="Ênfase1 27 15" xfId="7681"/>
    <cellStyle name="Ênfase1 27 16" xfId="7682"/>
    <cellStyle name="Ênfase1 27 2" xfId="7683"/>
    <cellStyle name="Ênfase1 27 3" xfId="7684"/>
    <cellStyle name="Ênfase1 27 4" xfId="7685"/>
    <cellStyle name="Ênfase1 27 5" xfId="7686"/>
    <cellStyle name="Ênfase1 27 6" xfId="7687"/>
    <cellStyle name="Ênfase1 27 7" xfId="7688"/>
    <cellStyle name="Ênfase1 27 8" xfId="7689"/>
    <cellStyle name="Ênfase1 27 9" xfId="7690"/>
    <cellStyle name="Ênfase1 28" xfId="7691"/>
    <cellStyle name="Ênfase1 28 10" xfId="7692"/>
    <cellStyle name="Ênfase1 28 11" xfId="7693"/>
    <cellStyle name="Ênfase1 28 12" xfId="7694"/>
    <cellStyle name="Ênfase1 28 13" xfId="7695"/>
    <cellStyle name="Ênfase1 28 14" xfId="7696"/>
    <cellStyle name="Ênfase1 28 15" xfId="7697"/>
    <cellStyle name="Ênfase1 28 16" xfId="7698"/>
    <cellStyle name="Ênfase1 28 2" xfId="7699"/>
    <cellStyle name="Ênfase1 28 3" xfId="7700"/>
    <cellStyle name="Ênfase1 28 4" xfId="7701"/>
    <cellStyle name="Ênfase1 28 5" xfId="7702"/>
    <cellStyle name="Ênfase1 28 6" xfId="7703"/>
    <cellStyle name="Ênfase1 28 7" xfId="7704"/>
    <cellStyle name="Ênfase1 28 8" xfId="7705"/>
    <cellStyle name="Ênfase1 28 9" xfId="7706"/>
    <cellStyle name="Ênfase1 29" xfId="7707"/>
    <cellStyle name="Ênfase1 29 10" xfId="7708"/>
    <cellStyle name="Ênfase1 29 11" xfId="7709"/>
    <cellStyle name="Ênfase1 29 12" xfId="7710"/>
    <cellStyle name="Ênfase1 29 13" xfId="7711"/>
    <cellStyle name="Ênfase1 29 14" xfId="7712"/>
    <cellStyle name="Ênfase1 29 15" xfId="7713"/>
    <cellStyle name="Ênfase1 29 16" xfId="7714"/>
    <cellStyle name="Ênfase1 29 2" xfId="7715"/>
    <cellStyle name="Ênfase1 29 3" xfId="7716"/>
    <cellStyle name="Ênfase1 29 4" xfId="7717"/>
    <cellStyle name="Ênfase1 29 5" xfId="7718"/>
    <cellStyle name="Ênfase1 29 6" xfId="7719"/>
    <cellStyle name="Ênfase1 29 7" xfId="7720"/>
    <cellStyle name="Ênfase1 29 8" xfId="7721"/>
    <cellStyle name="Ênfase1 29 9" xfId="7722"/>
    <cellStyle name="Ênfase1 3" xfId="7723"/>
    <cellStyle name="Ênfase1 3 10" xfId="7724"/>
    <cellStyle name="Ênfase1 3 11" xfId="7725"/>
    <cellStyle name="Ênfase1 3 2" xfId="7726"/>
    <cellStyle name="Ênfase1 3 3" xfId="7727"/>
    <cellStyle name="Ênfase1 3 4" xfId="7728"/>
    <cellStyle name="Ênfase1 3 5" xfId="7729"/>
    <cellStyle name="Ênfase1 3 6" xfId="7730"/>
    <cellStyle name="Ênfase1 3 7" xfId="7731"/>
    <cellStyle name="Ênfase1 3 8" xfId="7732"/>
    <cellStyle name="Ênfase1 3 9" xfId="7733"/>
    <cellStyle name="Ênfase1 30" xfId="7734"/>
    <cellStyle name="Ênfase1 31" xfId="7735"/>
    <cellStyle name="Ênfase1 32" xfId="7736"/>
    <cellStyle name="Ênfase1 33" xfId="7737"/>
    <cellStyle name="Ênfase1 34" xfId="7738"/>
    <cellStyle name="Ênfase1 35" xfId="7739"/>
    <cellStyle name="Ênfase1 36" xfId="7740"/>
    <cellStyle name="Ênfase1 37" xfId="7741"/>
    <cellStyle name="Ênfase1 38" xfId="7742"/>
    <cellStyle name="Ênfase1 39" xfId="7743"/>
    <cellStyle name="Ênfase1 4" xfId="7744"/>
    <cellStyle name="Ênfase1 4 10" xfId="7745"/>
    <cellStyle name="Ênfase1 4 11" xfId="7746"/>
    <cellStyle name="Ênfase1 4 2" xfId="7747"/>
    <cellStyle name="Ênfase1 4 3" xfId="7748"/>
    <cellStyle name="Ênfase1 4 4" xfId="7749"/>
    <cellStyle name="Ênfase1 4 5" xfId="7750"/>
    <cellStyle name="Ênfase1 4 6" xfId="7751"/>
    <cellStyle name="Ênfase1 4 7" xfId="7752"/>
    <cellStyle name="Ênfase1 4 8" xfId="7753"/>
    <cellStyle name="Ênfase1 4 9" xfId="7754"/>
    <cellStyle name="Ênfase1 40" xfId="7755"/>
    <cellStyle name="Ênfase1 41" xfId="7756"/>
    <cellStyle name="Ênfase1 42" xfId="7757"/>
    <cellStyle name="Ênfase1 43" xfId="7758"/>
    <cellStyle name="Ênfase1 44" xfId="7759"/>
    <cellStyle name="Ênfase1 45" xfId="7760"/>
    <cellStyle name="Ênfase1 46" xfId="7761"/>
    <cellStyle name="Ênfase1 47" xfId="7762"/>
    <cellStyle name="Ênfase1 48" xfId="7763"/>
    <cellStyle name="Ênfase1 49" xfId="7764"/>
    <cellStyle name="Ênfase1 5" xfId="7765"/>
    <cellStyle name="Ênfase1 5 2" xfId="7766"/>
    <cellStyle name="Ênfase1 5 3" xfId="7767"/>
    <cellStyle name="Ênfase1 5 4" xfId="7768"/>
    <cellStyle name="Ênfase1 50" xfId="7769"/>
    <cellStyle name="Ênfase1 51" xfId="7770"/>
    <cellStyle name="Ênfase1 52" xfId="7771"/>
    <cellStyle name="Ênfase1 53" xfId="7772"/>
    <cellStyle name="Ênfase1 54" xfId="7773"/>
    <cellStyle name="Ênfase1 55" xfId="7774"/>
    <cellStyle name="Ênfase1 56" xfId="7775"/>
    <cellStyle name="Ênfase1 57" xfId="7776"/>
    <cellStyle name="Ênfase1 58" xfId="7777"/>
    <cellStyle name="Ênfase1 59" xfId="7778"/>
    <cellStyle name="Ênfase1 6" xfId="7779"/>
    <cellStyle name="Ênfase1 6 2" xfId="7780"/>
    <cellStyle name="Ênfase1 6 3" xfId="7781"/>
    <cellStyle name="Ênfase1 6 4" xfId="7782"/>
    <cellStyle name="Ênfase1 60" xfId="7783"/>
    <cellStyle name="Ênfase1 61" xfId="7784"/>
    <cellStyle name="Ênfase1 62" xfId="7785"/>
    <cellStyle name="Ênfase1 63" xfId="7786"/>
    <cellStyle name="Ênfase1 64" xfId="7787"/>
    <cellStyle name="Ênfase1 65" xfId="7788"/>
    <cellStyle name="Ênfase1 66" xfId="7789"/>
    <cellStyle name="Ênfase1 67" xfId="7790"/>
    <cellStyle name="Ênfase1 68" xfId="7791"/>
    <cellStyle name="Ênfase1 69" xfId="7792"/>
    <cellStyle name="Ênfase1 7" xfId="7793"/>
    <cellStyle name="Ênfase1 7 2" xfId="7794"/>
    <cellStyle name="Ênfase1 7 3" xfId="7795"/>
    <cellStyle name="Ênfase1 7 4" xfId="7796"/>
    <cellStyle name="Ênfase1 70" xfId="7797"/>
    <cellStyle name="Ênfase1 71" xfId="7798"/>
    <cellStyle name="Ênfase1 72" xfId="7799"/>
    <cellStyle name="Ênfase1 73" xfId="7800"/>
    <cellStyle name="Ênfase1 74" xfId="7801"/>
    <cellStyle name="Ênfase1 75" xfId="7802"/>
    <cellStyle name="Ênfase1 76" xfId="7803"/>
    <cellStyle name="Ênfase1 77" xfId="7804"/>
    <cellStyle name="Ênfase1 78" xfId="7805"/>
    <cellStyle name="Ênfase1 79" xfId="7806"/>
    <cellStyle name="Ênfase1 8" xfId="7807"/>
    <cellStyle name="Ênfase1 8 2" xfId="7808"/>
    <cellStyle name="Ênfase1 8 3" xfId="7809"/>
    <cellStyle name="Ênfase1 8 4" xfId="7810"/>
    <cellStyle name="Ênfase1 80" xfId="7811"/>
    <cellStyle name="Ênfase1 81" xfId="7812"/>
    <cellStyle name="Ênfase1 82" xfId="7813"/>
    <cellStyle name="Ênfase1 83" xfId="7814"/>
    <cellStyle name="Ênfase1 84" xfId="7815"/>
    <cellStyle name="Ênfase1 85" xfId="7816"/>
    <cellStyle name="Ênfase1 86" xfId="7817"/>
    <cellStyle name="Ênfase1 87" xfId="7818"/>
    <cellStyle name="Ênfase1 88" xfId="7819"/>
    <cellStyle name="Ênfase1 89" xfId="7820"/>
    <cellStyle name="Ênfase1 9" xfId="7821"/>
    <cellStyle name="Ênfase1 90" xfId="7822"/>
    <cellStyle name="Ênfase1 91" xfId="7823"/>
    <cellStyle name="Ênfase1 92" xfId="7824"/>
    <cellStyle name="Ênfase1 93" xfId="7825"/>
    <cellStyle name="Ênfase1 94" xfId="7826"/>
    <cellStyle name="Ênfase1 95" xfId="7827"/>
    <cellStyle name="Ênfase1 96" xfId="7828"/>
    <cellStyle name="Ênfase1 97" xfId="7829"/>
    <cellStyle name="Ênfase1 98" xfId="7830"/>
    <cellStyle name="Ênfase1 99" xfId="7831"/>
    <cellStyle name="Ênfase2 10" xfId="7832"/>
    <cellStyle name="Ênfase2 10 2" xfId="40596"/>
    <cellStyle name="Ênfase2 100" xfId="7833"/>
    <cellStyle name="Ênfase2 101" xfId="7834"/>
    <cellStyle name="Ênfase2 102" xfId="7835"/>
    <cellStyle name="Ênfase2 103" xfId="7836"/>
    <cellStyle name="Ênfase2 104" xfId="7837"/>
    <cellStyle name="Ênfase2 105" xfId="7838"/>
    <cellStyle name="Ênfase2 106" xfId="7839"/>
    <cellStyle name="Ênfase2 107" xfId="7840"/>
    <cellStyle name="Ênfase2 108" xfId="7841"/>
    <cellStyle name="Ênfase2 109" xfId="7842"/>
    <cellStyle name="Ênfase2 11" xfId="7843"/>
    <cellStyle name="Ênfase2 11 2" xfId="40597"/>
    <cellStyle name="Ênfase2 110" xfId="7844"/>
    <cellStyle name="Ênfase2 111" xfId="7845"/>
    <cellStyle name="Ênfase2 112" xfId="7846"/>
    <cellStyle name="Ênfase2 113" xfId="7847"/>
    <cellStyle name="Ênfase2 114" xfId="7848"/>
    <cellStyle name="Ênfase2 115" xfId="7849"/>
    <cellStyle name="Ênfase2 116" xfId="7850"/>
    <cellStyle name="Ênfase2 117" xfId="7851"/>
    <cellStyle name="Ênfase2 118" xfId="7852"/>
    <cellStyle name="Ênfase2 119" xfId="7853"/>
    <cellStyle name="Ênfase2 12" xfId="7854"/>
    <cellStyle name="Ênfase2 12 2" xfId="40598"/>
    <cellStyle name="Ênfase2 120" xfId="7855"/>
    <cellStyle name="Ênfase2 121" xfId="7856"/>
    <cellStyle name="Ênfase2 122" xfId="7857"/>
    <cellStyle name="Ênfase2 123" xfId="7858"/>
    <cellStyle name="Ênfase2 124" xfId="7859"/>
    <cellStyle name="Ênfase2 125" xfId="7860"/>
    <cellStyle name="Ênfase2 126" xfId="7861"/>
    <cellStyle name="Ênfase2 127" xfId="7862"/>
    <cellStyle name="Ênfase2 128" xfId="7863"/>
    <cellStyle name="Ênfase2 129" xfId="7864"/>
    <cellStyle name="Ênfase2 13" xfId="7865"/>
    <cellStyle name="Ênfase2 13 2" xfId="40599"/>
    <cellStyle name="Ênfase2 130" xfId="7866"/>
    <cellStyle name="Ênfase2 131" xfId="7867"/>
    <cellStyle name="Ênfase2 132" xfId="7868"/>
    <cellStyle name="Ênfase2 133" xfId="7869"/>
    <cellStyle name="Ênfase2 134" xfId="7870"/>
    <cellStyle name="Ênfase2 135" xfId="7871"/>
    <cellStyle name="Ênfase2 136" xfId="7872"/>
    <cellStyle name="Ênfase2 137" xfId="7873"/>
    <cellStyle name="Ênfase2 138" xfId="7874"/>
    <cellStyle name="Ênfase2 139" xfId="7875"/>
    <cellStyle name="Ênfase2 14" xfId="7876"/>
    <cellStyle name="Ênfase2 140" xfId="7877"/>
    <cellStyle name="Ênfase2 141" xfId="7878"/>
    <cellStyle name="Ênfase2 142" xfId="7879"/>
    <cellStyle name="Ênfase2 143" xfId="7880"/>
    <cellStyle name="Ênfase2 144" xfId="7881"/>
    <cellStyle name="Ênfase2 145" xfId="7882"/>
    <cellStyle name="Ênfase2 146" xfId="7883"/>
    <cellStyle name="Ênfase2 147" xfId="7884"/>
    <cellStyle name="Ênfase2 148" xfId="7885"/>
    <cellStyle name="Ênfase2 149" xfId="7886"/>
    <cellStyle name="Ênfase2 15" xfId="7887"/>
    <cellStyle name="Ênfase2 15 2" xfId="7888"/>
    <cellStyle name="Ênfase2 15 3" xfId="7889"/>
    <cellStyle name="Ênfase2 150" xfId="7890"/>
    <cellStyle name="Ênfase2 151" xfId="7891"/>
    <cellStyle name="Ênfase2 152" xfId="7892"/>
    <cellStyle name="Ênfase2 153" xfId="7893"/>
    <cellStyle name="Ênfase2 154" xfId="7894"/>
    <cellStyle name="Ênfase2 155" xfId="7895"/>
    <cellStyle name="Ênfase2 156" xfId="7896"/>
    <cellStyle name="Ênfase2 157" xfId="7897"/>
    <cellStyle name="Ênfase2 158" xfId="7898"/>
    <cellStyle name="Ênfase2 159" xfId="7899"/>
    <cellStyle name="Ênfase2 16" xfId="7900"/>
    <cellStyle name="Ênfase2 16 2" xfId="7901"/>
    <cellStyle name="Ênfase2 16 3" xfId="7902"/>
    <cellStyle name="Ênfase2 160" xfId="7903"/>
    <cellStyle name="Ênfase2 161" xfId="7904"/>
    <cellStyle name="Ênfase2 162" xfId="7905"/>
    <cellStyle name="Ênfase2 163" xfId="7906"/>
    <cellStyle name="Ênfase2 164" xfId="7907"/>
    <cellStyle name="Ênfase2 165" xfId="7908"/>
    <cellStyle name="Ênfase2 166" xfId="7909"/>
    <cellStyle name="Ênfase2 167" xfId="7910"/>
    <cellStyle name="Ênfase2 168" xfId="7911"/>
    <cellStyle name="Ênfase2 169" xfId="7912"/>
    <cellStyle name="Ênfase2 17" xfId="7913"/>
    <cellStyle name="Ênfase2 17 2" xfId="7914"/>
    <cellStyle name="Ênfase2 17 3" xfId="7915"/>
    <cellStyle name="Ênfase2 170" xfId="7916"/>
    <cellStyle name="Ênfase2 171" xfId="7917"/>
    <cellStyle name="Ênfase2 172" xfId="7918"/>
    <cellStyle name="Ênfase2 173" xfId="7919"/>
    <cellStyle name="Ênfase2 174" xfId="7920"/>
    <cellStyle name="Ênfase2 175" xfId="7921"/>
    <cellStyle name="Ênfase2 176" xfId="7922"/>
    <cellStyle name="Ênfase2 177" xfId="7923"/>
    <cellStyle name="Ênfase2 178" xfId="7924"/>
    <cellStyle name="Ênfase2 179" xfId="7925"/>
    <cellStyle name="Ênfase2 18" xfId="7926"/>
    <cellStyle name="Ênfase2 18 2" xfId="7927"/>
    <cellStyle name="Ênfase2 18 3" xfId="7928"/>
    <cellStyle name="Ênfase2 180" xfId="7929"/>
    <cellStyle name="Ênfase2 181" xfId="7930"/>
    <cellStyle name="Ênfase2 182" xfId="7931"/>
    <cellStyle name="Ênfase2 183" xfId="7932"/>
    <cellStyle name="Ênfase2 184" xfId="7933"/>
    <cellStyle name="Ênfase2 185" xfId="7934"/>
    <cellStyle name="Ênfase2 186" xfId="7935"/>
    <cellStyle name="Ênfase2 187" xfId="7936"/>
    <cellStyle name="Ênfase2 188" xfId="7937"/>
    <cellStyle name="Ênfase2 189" xfId="7938"/>
    <cellStyle name="Ênfase2 19" xfId="7939"/>
    <cellStyle name="Ênfase2 19 2" xfId="7940"/>
    <cellStyle name="Ênfase2 19 3" xfId="7941"/>
    <cellStyle name="Ênfase2 190" xfId="7942"/>
    <cellStyle name="Ênfase2 2" xfId="7943"/>
    <cellStyle name="Ênfase2 2 10" xfId="7944"/>
    <cellStyle name="Ênfase2 2 10 2" xfId="7945"/>
    <cellStyle name="Ênfase2 2 10 3" xfId="7946"/>
    <cellStyle name="Ênfase2 2 10 4" xfId="7947"/>
    <cellStyle name="Ênfase2 2 10 5" xfId="7948"/>
    <cellStyle name="Ênfase2 2 10 6" xfId="7949"/>
    <cellStyle name="Ênfase2 2 10 7" xfId="7950"/>
    <cellStyle name="Ênfase2 2 11" xfId="7951"/>
    <cellStyle name="Ênfase2 2 11 2" xfId="7952"/>
    <cellStyle name="Ênfase2 2 11 3" xfId="7953"/>
    <cellStyle name="Ênfase2 2 11 4" xfId="7954"/>
    <cellStyle name="Ênfase2 2 11 5" xfId="7955"/>
    <cellStyle name="Ênfase2 2 11 6" xfId="7956"/>
    <cellStyle name="Ênfase2 2 11 7" xfId="7957"/>
    <cellStyle name="Ênfase2 2 12" xfId="7958"/>
    <cellStyle name="Ênfase2 2 13" xfId="7959"/>
    <cellStyle name="Ênfase2 2 14" xfId="7960"/>
    <cellStyle name="Ênfase2 2 15" xfId="7961"/>
    <cellStyle name="Ênfase2 2 16" xfId="7962"/>
    <cellStyle name="Ênfase2 2 17" xfId="7963"/>
    <cellStyle name="Ênfase2 2 18" xfId="7964"/>
    <cellStyle name="Ênfase2 2 19" xfId="7965"/>
    <cellStyle name="Ênfase2 2 2" xfId="7966"/>
    <cellStyle name="Ênfase2 2 20" xfId="7967"/>
    <cellStyle name="Ênfase2 2 21" xfId="7968"/>
    <cellStyle name="Ênfase2 2 22" xfId="7969"/>
    <cellStyle name="Ênfase2 2 23" xfId="7970"/>
    <cellStyle name="Ênfase2 2 24" xfId="7971"/>
    <cellStyle name="Ênfase2 2 25" xfId="7972"/>
    <cellStyle name="Ênfase2 2 26" xfId="7973"/>
    <cellStyle name="Ênfase2 2 27" xfId="7974"/>
    <cellStyle name="Ênfase2 2 28" xfId="7975"/>
    <cellStyle name="Ênfase2 2 29" xfId="7976"/>
    <cellStyle name="Ênfase2 2 3" xfId="7977"/>
    <cellStyle name="Ênfase2 2 30" xfId="7978"/>
    <cellStyle name="Ênfase2 2 31" xfId="7979"/>
    <cellStyle name="Ênfase2 2 32" xfId="7980"/>
    <cellStyle name="Ênfase2 2 33" xfId="7981"/>
    <cellStyle name="Ênfase2 2 34" xfId="7982"/>
    <cellStyle name="Ênfase2 2 35" xfId="7983"/>
    <cellStyle name="Ênfase2 2 4" xfId="7984"/>
    <cellStyle name="Ênfase2 2 5" xfId="7985"/>
    <cellStyle name="Ênfase2 2 6" xfId="7986"/>
    <cellStyle name="Ênfase2 2 7" xfId="7987"/>
    <cellStyle name="Ênfase2 2 8" xfId="7988"/>
    <cellStyle name="Ênfase2 2 8 2" xfId="7989"/>
    <cellStyle name="Ênfase2 2 8 3" xfId="7990"/>
    <cellStyle name="Ênfase2 2 8 4" xfId="7991"/>
    <cellStyle name="Ênfase2 2 8 5" xfId="7992"/>
    <cellStyle name="Ênfase2 2 8 6" xfId="7993"/>
    <cellStyle name="Ênfase2 2 8 7" xfId="7994"/>
    <cellStyle name="Ênfase2 2 9" xfId="7995"/>
    <cellStyle name="Ênfase2 2 9 2" xfId="7996"/>
    <cellStyle name="Ênfase2 2 9 3" xfId="7997"/>
    <cellStyle name="Ênfase2 2 9 4" xfId="7998"/>
    <cellStyle name="Ênfase2 2 9 5" xfId="7999"/>
    <cellStyle name="Ênfase2 2 9 6" xfId="8000"/>
    <cellStyle name="Ênfase2 2 9 7" xfId="8001"/>
    <cellStyle name="Ênfase2 20" xfId="8002"/>
    <cellStyle name="Ênfase2 20 2" xfId="8003"/>
    <cellStyle name="Ênfase2 20 3" xfId="8004"/>
    <cellStyle name="Ênfase2 21" xfId="8005"/>
    <cellStyle name="Ênfase2 22" xfId="8006"/>
    <cellStyle name="Ênfase2 23" xfId="8007"/>
    <cellStyle name="Ênfase2 24" xfId="8008"/>
    <cellStyle name="Ênfase2 24 2" xfId="40966"/>
    <cellStyle name="Ênfase2 25" xfId="8009"/>
    <cellStyle name="Ênfase2 25 2" xfId="41001"/>
    <cellStyle name="Ênfase2 26" xfId="8010"/>
    <cellStyle name="Ênfase2 26 10" xfId="8011"/>
    <cellStyle name="Ênfase2 26 11" xfId="8012"/>
    <cellStyle name="Ênfase2 26 12" xfId="8013"/>
    <cellStyle name="Ênfase2 26 13" xfId="8014"/>
    <cellStyle name="Ênfase2 26 14" xfId="8015"/>
    <cellStyle name="Ênfase2 26 15" xfId="8016"/>
    <cellStyle name="Ênfase2 26 16" xfId="8017"/>
    <cellStyle name="Ênfase2 26 2" xfId="8018"/>
    <cellStyle name="Ênfase2 26 3" xfId="8019"/>
    <cellStyle name="Ênfase2 26 4" xfId="8020"/>
    <cellStyle name="Ênfase2 26 5" xfId="8021"/>
    <cellStyle name="Ênfase2 26 6" xfId="8022"/>
    <cellStyle name="Ênfase2 26 7" xfId="8023"/>
    <cellStyle name="Ênfase2 26 8" xfId="8024"/>
    <cellStyle name="Ênfase2 26 9" xfId="8025"/>
    <cellStyle name="Ênfase2 27" xfId="8026"/>
    <cellStyle name="Ênfase2 27 10" xfId="8027"/>
    <cellStyle name="Ênfase2 27 11" xfId="8028"/>
    <cellStyle name="Ênfase2 27 12" xfId="8029"/>
    <cellStyle name="Ênfase2 27 13" xfId="8030"/>
    <cellStyle name="Ênfase2 27 14" xfId="8031"/>
    <cellStyle name="Ênfase2 27 15" xfId="8032"/>
    <cellStyle name="Ênfase2 27 16" xfId="8033"/>
    <cellStyle name="Ênfase2 27 2" xfId="8034"/>
    <cellStyle name="Ênfase2 27 3" xfId="8035"/>
    <cellStyle name="Ênfase2 27 4" xfId="8036"/>
    <cellStyle name="Ênfase2 27 5" xfId="8037"/>
    <cellStyle name="Ênfase2 27 6" xfId="8038"/>
    <cellStyle name="Ênfase2 27 7" xfId="8039"/>
    <cellStyle name="Ênfase2 27 8" xfId="8040"/>
    <cellStyle name="Ênfase2 27 9" xfId="8041"/>
    <cellStyle name="Ênfase2 28" xfId="8042"/>
    <cellStyle name="Ênfase2 28 10" xfId="8043"/>
    <cellStyle name="Ênfase2 28 11" xfId="8044"/>
    <cellStyle name="Ênfase2 28 12" xfId="8045"/>
    <cellStyle name="Ênfase2 28 13" xfId="8046"/>
    <cellStyle name="Ênfase2 28 14" xfId="8047"/>
    <cellStyle name="Ênfase2 28 15" xfId="8048"/>
    <cellStyle name="Ênfase2 28 16" xfId="8049"/>
    <cellStyle name="Ênfase2 28 2" xfId="8050"/>
    <cellStyle name="Ênfase2 28 3" xfId="8051"/>
    <cellStyle name="Ênfase2 28 4" xfId="8052"/>
    <cellStyle name="Ênfase2 28 5" xfId="8053"/>
    <cellStyle name="Ênfase2 28 6" xfId="8054"/>
    <cellStyle name="Ênfase2 28 7" xfId="8055"/>
    <cellStyle name="Ênfase2 28 8" xfId="8056"/>
    <cellStyle name="Ênfase2 28 9" xfId="8057"/>
    <cellStyle name="Ênfase2 29" xfId="8058"/>
    <cellStyle name="Ênfase2 29 10" xfId="8059"/>
    <cellStyle name="Ênfase2 29 11" xfId="8060"/>
    <cellStyle name="Ênfase2 29 12" xfId="8061"/>
    <cellStyle name="Ênfase2 29 13" xfId="8062"/>
    <cellStyle name="Ênfase2 29 14" xfId="8063"/>
    <cellStyle name="Ênfase2 29 15" xfId="8064"/>
    <cellStyle name="Ênfase2 29 16" xfId="8065"/>
    <cellStyle name="Ênfase2 29 2" xfId="8066"/>
    <cellStyle name="Ênfase2 29 3" xfId="8067"/>
    <cellStyle name="Ênfase2 29 4" xfId="8068"/>
    <cellStyle name="Ênfase2 29 5" xfId="8069"/>
    <cellStyle name="Ênfase2 29 6" xfId="8070"/>
    <cellStyle name="Ênfase2 29 7" xfId="8071"/>
    <cellStyle name="Ênfase2 29 8" xfId="8072"/>
    <cellStyle name="Ênfase2 29 9" xfId="8073"/>
    <cellStyle name="Ênfase2 3" xfId="8074"/>
    <cellStyle name="Ênfase2 3 10" xfId="8075"/>
    <cellStyle name="Ênfase2 3 11" xfId="8076"/>
    <cellStyle name="Ênfase2 3 2" xfId="8077"/>
    <cellStyle name="Ênfase2 3 3" xfId="8078"/>
    <cellStyle name="Ênfase2 3 4" xfId="8079"/>
    <cellStyle name="Ênfase2 3 5" xfId="8080"/>
    <cellStyle name="Ênfase2 3 6" xfId="8081"/>
    <cellStyle name="Ênfase2 3 7" xfId="8082"/>
    <cellStyle name="Ênfase2 3 8" xfId="8083"/>
    <cellStyle name="Ênfase2 3 9" xfId="8084"/>
    <cellStyle name="Ênfase2 30" xfId="8085"/>
    <cellStyle name="Ênfase2 31" xfId="8086"/>
    <cellStyle name="Ênfase2 32" xfId="8087"/>
    <cellStyle name="Ênfase2 33" xfId="8088"/>
    <cellStyle name="Ênfase2 34" xfId="8089"/>
    <cellStyle name="Ênfase2 35" xfId="8090"/>
    <cellStyle name="Ênfase2 36" xfId="8091"/>
    <cellStyle name="Ênfase2 37" xfId="8092"/>
    <cellStyle name="Ênfase2 38" xfId="8093"/>
    <cellStyle name="Ênfase2 39" xfId="8094"/>
    <cellStyle name="Ênfase2 4" xfId="8095"/>
    <cellStyle name="Ênfase2 4 10" xfId="8096"/>
    <cellStyle name="Ênfase2 4 11" xfId="8097"/>
    <cellStyle name="Ênfase2 4 2" xfId="8098"/>
    <cellStyle name="Ênfase2 4 3" xfId="8099"/>
    <cellStyle name="Ênfase2 4 4" xfId="8100"/>
    <cellStyle name="Ênfase2 4 5" xfId="8101"/>
    <cellStyle name="Ênfase2 4 6" xfId="8102"/>
    <cellStyle name="Ênfase2 4 7" xfId="8103"/>
    <cellStyle name="Ênfase2 4 8" xfId="8104"/>
    <cellStyle name="Ênfase2 4 9" xfId="8105"/>
    <cellStyle name="Ênfase2 40" xfId="8106"/>
    <cellStyle name="Ênfase2 41" xfId="8107"/>
    <cellStyle name="Ênfase2 42" xfId="8108"/>
    <cellStyle name="Ênfase2 43" xfId="8109"/>
    <cellStyle name="Ênfase2 44" xfId="8110"/>
    <cellStyle name="Ênfase2 45" xfId="8111"/>
    <cellStyle name="Ênfase2 46" xfId="8112"/>
    <cellStyle name="Ênfase2 47" xfId="8113"/>
    <cellStyle name="Ênfase2 48" xfId="8114"/>
    <cellStyle name="Ênfase2 49" xfId="8115"/>
    <cellStyle name="Ênfase2 5" xfId="8116"/>
    <cellStyle name="Ênfase2 5 2" xfId="8117"/>
    <cellStyle name="Ênfase2 5 3" xfId="8118"/>
    <cellStyle name="Ênfase2 5 4" xfId="8119"/>
    <cellStyle name="Ênfase2 50" xfId="8120"/>
    <cellStyle name="Ênfase2 51" xfId="8121"/>
    <cellStyle name="Ênfase2 52" xfId="8122"/>
    <cellStyle name="Ênfase2 53" xfId="8123"/>
    <cellStyle name="Ênfase2 54" xfId="8124"/>
    <cellStyle name="Ênfase2 55" xfId="8125"/>
    <cellStyle name="Ênfase2 56" xfId="8126"/>
    <cellStyle name="Ênfase2 57" xfId="8127"/>
    <cellStyle name="Ênfase2 58" xfId="8128"/>
    <cellStyle name="Ênfase2 59" xfId="8129"/>
    <cellStyle name="Ênfase2 6" xfId="8130"/>
    <cellStyle name="Ênfase2 6 2" xfId="8131"/>
    <cellStyle name="Ênfase2 6 3" xfId="8132"/>
    <cellStyle name="Ênfase2 6 4" xfId="8133"/>
    <cellStyle name="Ênfase2 60" xfId="8134"/>
    <cellStyle name="Ênfase2 61" xfId="8135"/>
    <cellStyle name="Ênfase2 62" xfId="8136"/>
    <cellStyle name="Ênfase2 63" xfId="8137"/>
    <cellStyle name="Ênfase2 64" xfId="8138"/>
    <cellStyle name="Ênfase2 65" xfId="8139"/>
    <cellStyle name="Ênfase2 66" xfId="8140"/>
    <cellStyle name="Ênfase2 67" xfId="8141"/>
    <cellStyle name="Ênfase2 68" xfId="8142"/>
    <cellStyle name="Ênfase2 69" xfId="8143"/>
    <cellStyle name="Ênfase2 7" xfId="8144"/>
    <cellStyle name="Ênfase2 7 2" xfId="8145"/>
    <cellStyle name="Ênfase2 7 3" xfId="8146"/>
    <cellStyle name="Ênfase2 7 4" xfId="8147"/>
    <cellStyle name="Ênfase2 70" xfId="8148"/>
    <cellStyle name="Ênfase2 71" xfId="8149"/>
    <cellStyle name="Ênfase2 72" xfId="8150"/>
    <cellStyle name="Ênfase2 73" xfId="8151"/>
    <cellStyle name="Ênfase2 74" xfId="8152"/>
    <cellStyle name="Ênfase2 75" xfId="8153"/>
    <cellStyle name="Ênfase2 76" xfId="8154"/>
    <cellStyle name="Ênfase2 77" xfId="8155"/>
    <cellStyle name="Ênfase2 78" xfId="8156"/>
    <cellStyle name="Ênfase2 79" xfId="8157"/>
    <cellStyle name="Ênfase2 8" xfId="8158"/>
    <cellStyle name="Ênfase2 8 2" xfId="8159"/>
    <cellStyle name="Ênfase2 8 3" xfId="8160"/>
    <cellStyle name="Ênfase2 8 4" xfId="8161"/>
    <cellStyle name="Ênfase2 80" xfId="8162"/>
    <cellStyle name="Ênfase2 81" xfId="8163"/>
    <cellStyle name="Ênfase2 82" xfId="8164"/>
    <cellStyle name="Ênfase2 83" xfId="8165"/>
    <cellStyle name="Ênfase2 84" xfId="8166"/>
    <cellStyle name="Ênfase2 85" xfId="8167"/>
    <cellStyle name="Ênfase2 86" xfId="8168"/>
    <cellStyle name="Ênfase2 87" xfId="8169"/>
    <cellStyle name="Ênfase2 88" xfId="8170"/>
    <cellStyle name="Ênfase2 89" xfId="8171"/>
    <cellStyle name="Ênfase2 9" xfId="8172"/>
    <cellStyle name="Ênfase2 90" xfId="8173"/>
    <cellStyle name="Ênfase2 91" xfId="8174"/>
    <cellStyle name="Ênfase2 92" xfId="8175"/>
    <cellStyle name="Ênfase2 93" xfId="8176"/>
    <cellStyle name="Ênfase2 94" xfId="8177"/>
    <cellStyle name="Ênfase2 95" xfId="8178"/>
    <cellStyle name="Ênfase2 96" xfId="8179"/>
    <cellStyle name="Ênfase2 97" xfId="8180"/>
    <cellStyle name="Ênfase2 98" xfId="8181"/>
    <cellStyle name="Ênfase2 99" xfId="8182"/>
    <cellStyle name="Ênfase3 10" xfId="8183"/>
    <cellStyle name="Ênfase3 10 2" xfId="40600"/>
    <cellStyle name="Ênfase3 100" xfId="8184"/>
    <cellStyle name="Ênfase3 101" xfId="8185"/>
    <cellStyle name="Ênfase3 102" xfId="8186"/>
    <cellStyle name="Ênfase3 103" xfId="8187"/>
    <cellStyle name="Ênfase3 104" xfId="8188"/>
    <cellStyle name="Ênfase3 105" xfId="8189"/>
    <cellStyle name="Ênfase3 106" xfId="8190"/>
    <cellStyle name="Ênfase3 107" xfId="8191"/>
    <cellStyle name="Ênfase3 108" xfId="8192"/>
    <cellStyle name="Ênfase3 109" xfId="8193"/>
    <cellStyle name="Ênfase3 11" xfId="8194"/>
    <cellStyle name="Ênfase3 11 2" xfId="40601"/>
    <cellStyle name="Ênfase3 110" xfId="8195"/>
    <cellStyle name="Ênfase3 111" xfId="8196"/>
    <cellStyle name="Ênfase3 112" xfId="8197"/>
    <cellStyle name="Ênfase3 113" xfId="8198"/>
    <cellStyle name="Ênfase3 114" xfId="8199"/>
    <cellStyle name="Ênfase3 115" xfId="8200"/>
    <cellStyle name="Ênfase3 116" xfId="8201"/>
    <cellStyle name="Ênfase3 117" xfId="8202"/>
    <cellStyle name="Ênfase3 118" xfId="8203"/>
    <cellStyle name="Ênfase3 119" xfId="8204"/>
    <cellStyle name="Ênfase3 12" xfId="8205"/>
    <cellStyle name="Ênfase3 12 2" xfId="40602"/>
    <cellStyle name="Ênfase3 120" xfId="8206"/>
    <cellStyle name="Ênfase3 121" xfId="8207"/>
    <cellStyle name="Ênfase3 122" xfId="8208"/>
    <cellStyle name="Ênfase3 123" xfId="8209"/>
    <cellStyle name="Ênfase3 124" xfId="8210"/>
    <cellStyle name="Ênfase3 125" xfId="8211"/>
    <cellStyle name="Ênfase3 126" xfId="8212"/>
    <cellStyle name="Ênfase3 127" xfId="8213"/>
    <cellStyle name="Ênfase3 128" xfId="8214"/>
    <cellStyle name="Ênfase3 129" xfId="8215"/>
    <cellStyle name="Ênfase3 13" xfId="8216"/>
    <cellStyle name="Ênfase3 13 2" xfId="40603"/>
    <cellStyle name="Ênfase3 130" xfId="8217"/>
    <cellStyle name="Ênfase3 131" xfId="8218"/>
    <cellStyle name="Ênfase3 132" xfId="8219"/>
    <cellStyle name="Ênfase3 133" xfId="8220"/>
    <cellStyle name="Ênfase3 134" xfId="8221"/>
    <cellStyle name="Ênfase3 135" xfId="8222"/>
    <cellStyle name="Ênfase3 136" xfId="8223"/>
    <cellStyle name="Ênfase3 137" xfId="8224"/>
    <cellStyle name="Ênfase3 138" xfId="8225"/>
    <cellStyle name="Ênfase3 139" xfId="8226"/>
    <cellStyle name="Ênfase3 14" xfId="8227"/>
    <cellStyle name="Ênfase3 140" xfId="8228"/>
    <cellStyle name="Ênfase3 141" xfId="8229"/>
    <cellStyle name="Ênfase3 142" xfId="8230"/>
    <cellStyle name="Ênfase3 143" xfId="8231"/>
    <cellStyle name="Ênfase3 144" xfId="8232"/>
    <cellStyle name="Ênfase3 145" xfId="8233"/>
    <cellStyle name="Ênfase3 146" xfId="8234"/>
    <cellStyle name="Ênfase3 147" xfId="8235"/>
    <cellStyle name="Ênfase3 148" xfId="8236"/>
    <cellStyle name="Ênfase3 149" xfId="8237"/>
    <cellStyle name="Ênfase3 15" xfId="8238"/>
    <cellStyle name="Ênfase3 15 2" xfId="8239"/>
    <cellStyle name="Ênfase3 15 3" xfId="8240"/>
    <cellStyle name="Ênfase3 150" xfId="8241"/>
    <cellStyle name="Ênfase3 151" xfId="8242"/>
    <cellStyle name="Ênfase3 152" xfId="8243"/>
    <cellStyle name="Ênfase3 153" xfId="8244"/>
    <cellStyle name="Ênfase3 154" xfId="8245"/>
    <cellStyle name="Ênfase3 155" xfId="8246"/>
    <cellStyle name="Ênfase3 156" xfId="8247"/>
    <cellStyle name="Ênfase3 157" xfId="8248"/>
    <cellStyle name="Ênfase3 158" xfId="8249"/>
    <cellStyle name="Ênfase3 159" xfId="8250"/>
    <cellStyle name="Ênfase3 16" xfId="8251"/>
    <cellStyle name="Ênfase3 16 2" xfId="8252"/>
    <cellStyle name="Ênfase3 16 3" xfId="8253"/>
    <cellStyle name="Ênfase3 160" xfId="8254"/>
    <cellStyle name="Ênfase3 161" xfId="8255"/>
    <cellStyle name="Ênfase3 162" xfId="8256"/>
    <cellStyle name="Ênfase3 163" xfId="8257"/>
    <cellStyle name="Ênfase3 164" xfId="8258"/>
    <cellStyle name="Ênfase3 165" xfId="8259"/>
    <cellStyle name="Ênfase3 166" xfId="8260"/>
    <cellStyle name="Ênfase3 167" xfId="8261"/>
    <cellStyle name="Ênfase3 168" xfId="8262"/>
    <cellStyle name="Ênfase3 169" xfId="8263"/>
    <cellStyle name="Ênfase3 17" xfId="8264"/>
    <cellStyle name="Ênfase3 17 2" xfId="8265"/>
    <cellStyle name="Ênfase3 17 3" xfId="8266"/>
    <cellStyle name="Ênfase3 170" xfId="8267"/>
    <cellStyle name="Ênfase3 171" xfId="8268"/>
    <cellStyle name="Ênfase3 172" xfId="8269"/>
    <cellStyle name="Ênfase3 173" xfId="8270"/>
    <cellStyle name="Ênfase3 174" xfId="8271"/>
    <cellStyle name="Ênfase3 175" xfId="8272"/>
    <cellStyle name="Ênfase3 176" xfId="8273"/>
    <cellStyle name="Ênfase3 177" xfId="8274"/>
    <cellStyle name="Ênfase3 178" xfId="8275"/>
    <cellStyle name="Ênfase3 179" xfId="8276"/>
    <cellStyle name="Ênfase3 18" xfId="8277"/>
    <cellStyle name="Ênfase3 18 2" xfId="8278"/>
    <cellStyle name="Ênfase3 18 3" xfId="8279"/>
    <cellStyle name="Ênfase3 180" xfId="8280"/>
    <cellStyle name="Ênfase3 181" xfId="8281"/>
    <cellStyle name="Ênfase3 182" xfId="8282"/>
    <cellStyle name="Ênfase3 183" xfId="8283"/>
    <cellStyle name="Ênfase3 184" xfId="8284"/>
    <cellStyle name="Ênfase3 185" xfId="8285"/>
    <cellStyle name="Ênfase3 186" xfId="8286"/>
    <cellStyle name="Ênfase3 187" xfId="8287"/>
    <cellStyle name="Ênfase3 188" xfId="8288"/>
    <cellStyle name="Ênfase3 189" xfId="8289"/>
    <cellStyle name="Ênfase3 19" xfId="8290"/>
    <cellStyle name="Ênfase3 19 2" xfId="8291"/>
    <cellStyle name="Ênfase3 19 3" xfId="8292"/>
    <cellStyle name="Ênfase3 190" xfId="8293"/>
    <cellStyle name="Ênfase3 2" xfId="8294"/>
    <cellStyle name="Ênfase3 2 10" xfId="8295"/>
    <cellStyle name="Ênfase3 2 10 2" xfId="8296"/>
    <cellStyle name="Ênfase3 2 10 3" xfId="8297"/>
    <cellStyle name="Ênfase3 2 10 4" xfId="8298"/>
    <cellStyle name="Ênfase3 2 10 5" xfId="8299"/>
    <cellStyle name="Ênfase3 2 10 6" xfId="8300"/>
    <cellStyle name="Ênfase3 2 10 7" xfId="8301"/>
    <cellStyle name="Ênfase3 2 11" xfId="8302"/>
    <cellStyle name="Ênfase3 2 11 2" xfId="8303"/>
    <cellStyle name="Ênfase3 2 11 3" xfId="8304"/>
    <cellStyle name="Ênfase3 2 11 4" xfId="8305"/>
    <cellStyle name="Ênfase3 2 11 5" xfId="8306"/>
    <cellStyle name="Ênfase3 2 11 6" xfId="8307"/>
    <cellStyle name="Ênfase3 2 11 7" xfId="8308"/>
    <cellStyle name="Ênfase3 2 12" xfId="37"/>
    <cellStyle name="Ênfase3 2 12 2" xfId="29379"/>
    <cellStyle name="Ênfase3 2 13" xfId="8309"/>
    <cellStyle name="Ênfase3 2 14" xfId="8310"/>
    <cellStyle name="Ênfase3 2 15" xfId="8311"/>
    <cellStyle name="Ênfase3 2 16" xfId="8312"/>
    <cellStyle name="Ênfase3 2 17" xfId="8313"/>
    <cellStyle name="Ênfase3 2 18" xfId="8314"/>
    <cellStyle name="Ênfase3 2 19" xfId="8315"/>
    <cellStyle name="Ênfase3 2 2" xfId="8316"/>
    <cellStyle name="Ênfase3 2 20" xfId="8317"/>
    <cellStyle name="Ênfase3 2 21" xfId="8318"/>
    <cellStyle name="Ênfase3 2 22" xfId="8319"/>
    <cellStyle name="Ênfase3 2 23" xfId="8320"/>
    <cellStyle name="Ênfase3 2 24" xfId="8321"/>
    <cellStyle name="Ênfase3 2 25" xfId="8322"/>
    <cellStyle name="Ênfase3 2 26" xfId="8323"/>
    <cellStyle name="Ênfase3 2 27" xfId="8324"/>
    <cellStyle name="Ênfase3 2 28" xfId="8325"/>
    <cellStyle name="Ênfase3 2 29" xfId="8326"/>
    <cellStyle name="Ênfase3 2 3" xfId="8327"/>
    <cellStyle name="Ênfase3 2 30" xfId="8328"/>
    <cellStyle name="Ênfase3 2 31" xfId="8329"/>
    <cellStyle name="Ênfase3 2 32" xfId="8330"/>
    <cellStyle name="Ênfase3 2 33" xfId="8331"/>
    <cellStyle name="Ênfase3 2 34" xfId="8332"/>
    <cellStyle name="Ênfase3 2 35" xfId="8333"/>
    <cellStyle name="Ênfase3 2 4" xfId="8334"/>
    <cellStyle name="Ênfase3 2 5" xfId="8335"/>
    <cellStyle name="Ênfase3 2 6" xfId="8336"/>
    <cellStyle name="Ênfase3 2 7" xfId="8337"/>
    <cellStyle name="Ênfase3 2 8" xfId="8338"/>
    <cellStyle name="Ênfase3 2 8 2" xfId="8339"/>
    <cellStyle name="Ênfase3 2 8 3" xfId="8340"/>
    <cellStyle name="Ênfase3 2 8 4" xfId="8341"/>
    <cellStyle name="Ênfase3 2 8 5" xfId="8342"/>
    <cellStyle name="Ênfase3 2 8 6" xfId="8343"/>
    <cellStyle name="Ênfase3 2 8 7" xfId="8344"/>
    <cellStyle name="Ênfase3 2 9" xfId="8345"/>
    <cellStyle name="Ênfase3 2 9 2" xfId="8346"/>
    <cellStyle name="Ênfase3 2 9 3" xfId="8347"/>
    <cellStyle name="Ênfase3 2 9 4" xfId="8348"/>
    <cellStyle name="Ênfase3 2 9 5" xfId="8349"/>
    <cellStyle name="Ênfase3 2 9 6" xfId="8350"/>
    <cellStyle name="Ênfase3 2 9 7" xfId="8351"/>
    <cellStyle name="Ênfase3 20" xfId="8352"/>
    <cellStyle name="Ênfase3 20 2" xfId="8353"/>
    <cellStyle name="Ênfase3 20 3" xfId="8354"/>
    <cellStyle name="Ênfase3 21" xfId="8355"/>
    <cellStyle name="Ênfase3 22" xfId="8356"/>
    <cellStyle name="Ênfase3 23" xfId="8357"/>
    <cellStyle name="Ênfase3 24" xfId="8358"/>
    <cellStyle name="Ênfase3 24 2" xfId="40967"/>
    <cellStyle name="Ênfase3 25" xfId="8359"/>
    <cellStyle name="Ênfase3 25 2" xfId="41002"/>
    <cellStyle name="Ênfase3 26" xfId="8360"/>
    <cellStyle name="Ênfase3 26 10" xfId="8361"/>
    <cellStyle name="Ênfase3 26 11" xfId="8362"/>
    <cellStyle name="Ênfase3 26 12" xfId="8363"/>
    <cellStyle name="Ênfase3 26 13" xfId="8364"/>
    <cellStyle name="Ênfase3 26 14" xfId="8365"/>
    <cellStyle name="Ênfase3 26 15" xfId="8366"/>
    <cellStyle name="Ênfase3 26 16" xfId="8367"/>
    <cellStyle name="Ênfase3 26 2" xfId="8368"/>
    <cellStyle name="Ênfase3 26 3" xfId="8369"/>
    <cellStyle name="Ênfase3 26 4" xfId="8370"/>
    <cellStyle name="Ênfase3 26 5" xfId="8371"/>
    <cellStyle name="Ênfase3 26 6" xfId="8372"/>
    <cellStyle name="Ênfase3 26 7" xfId="8373"/>
    <cellStyle name="Ênfase3 26 8" xfId="8374"/>
    <cellStyle name="Ênfase3 26 9" xfId="8375"/>
    <cellStyle name="Ênfase3 27" xfId="8376"/>
    <cellStyle name="Ênfase3 27 10" xfId="8377"/>
    <cellStyle name="Ênfase3 27 11" xfId="8378"/>
    <cellStyle name="Ênfase3 27 12" xfId="8379"/>
    <cellStyle name="Ênfase3 27 13" xfId="8380"/>
    <cellStyle name="Ênfase3 27 14" xfId="8381"/>
    <cellStyle name="Ênfase3 27 15" xfId="8382"/>
    <cellStyle name="Ênfase3 27 16" xfId="8383"/>
    <cellStyle name="Ênfase3 27 2" xfId="8384"/>
    <cellStyle name="Ênfase3 27 3" xfId="8385"/>
    <cellStyle name="Ênfase3 27 4" xfId="8386"/>
    <cellStyle name="Ênfase3 27 5" xfId="8387"/>
    <cellStyle name="Ênfase3 27 6" xfId="8388"/>
    <cellStyle name="Ênfase3 27 7" xfId="8389"/>
    <cellStyle name="Ênfase3 27 8" xfId="8390"/>
    <cellStyle name="Ênfase3 27 9" xfId="8391"/>
    <cellStyle name="Ênfase3 28" xfId="8392"/>
    <cellStyle name="Ênfase3 28 10" xfId="8393"/>
    <cellStyle name="Ênfase3 28 11" xfId="8394"/>
    <cellStyle name="Ênfase3 28 12" xfId="8395"/>
    <cellStyle name="Ênfase3 28 13" xfId="8396"/>
    <cellStyle name="Ênfase3 28 14" xfId="8397"/>
    <cellStyle name="Ênfase3 28 15" xfId="8398"/>
    <cellStyle name="Ênfase3 28 16" xfId="8399"/>
    <cellStyle name="Ênfase3 28 2" xfId="8400"/>
    <cellStyle name="Ênfase3 28 3" xfId="8401"/>
    <cellStyle name="Ênfase3 28 4" xfId="8402"/>
    <cellStyle name="Ênfase3 28 5" xfId="8403"/>
    <cellStyle name="Ênfase3 28 6" xfId="8404"/>
    <cellStyle name="Ênfase3 28 7" xfId="8405"/>
    <cellStyle name="Ênfase3 28 8" xfId="8406"/>
    <cellStyle name="Ênfase3 28 9" xfId="8407"/>
    <cellStyle name="Ênfase3 29" xfId="8408"/>
    <cellStyle name="Ênfase3 29 10" xfId="8409"/>
    <cellStyle name="Ênfase3 29 11" xfId="8410"/>
    <cellStyle name="Ênfase3 29 12" xfId="8411"/>
    <cellStyle name="Ênfase3 29 13" xfId="8412"/>
    <cellStyle name="Ênfase3 29 14" xfId="8413"/>
    <cellStyle name="Ênfase3 29 15" xfId="8414"/>
    <cellStyle name="Ênfase3 29 16" xfId="8415"/>
    <cellStyle name="Ênfase3 29 2" xfId="8416"/>
    <cellStyle name="Ênfase3 29 3" xfId="8417"/>
    <cellStyle name="Ênfase3 29 4" xfId="8418"/>
    <cellStyle name="Ênfase3 29 5" xfId="8419"/>
    <cellStyle name="Ênfase3 29 6" xfId="8420"/>
    <cellStyle name="Ênfase3 29 7" xfId="8421"/>
    <cellStyle name="Ênfase3 29 8" xfId="8422"/>
    <cellStyle name="Ênfase3 29 9" xfId="8423"/>
    <cellStyle name="Ênfase3 3" xfId="8424"/>
    <cellStyle name="Ênfase3 3 10" xfId="8425"/>
    <cellStyle name="Ênfase3 3 11" xfId="8426"/>
    <cellStyle name="Ênfase3 3 2" xfId="8427"/>
    <cellStyle name="Ênfase3 3 3" xfId="8428"/>
    <cellStyle name="Ênfase3 3 4" xfId="8429"/>
    <cellStyle name="Ênfase3 3 5" xfId="8430"/>
    <cellStyle name="Ênfase3 3 6" xfId="8431"/>
    <cellStyle name="Ênfase3 3 7" xfId="8432"/>
    <cellStyle name="Ênfase3 3 8" xfId="8433"/>
    <cellStyle name="Ênfase3 3 9" xfId="8434"/>
    <cellStyle name="Ênfase3 30" xfId="8435"/>
    <cellStyle name="Ênfase3 31" xfId="8436"/>
    <cellStyle name="Ênfase3 32" xfId="8437"/>
    <cellStyle name="Ênfase3 33" xfId="8438"/>
    <cellStyle name="Ênfase3 34" xfId="8439"/>
    <cellStyle name="Ênfase3 35" xfId="8440"/>
    <cellStyle name="Ênfase3 36" xfId="8441"/>
    <cellStyle name="Ênfase3 37" xfId="8442"/>
    <cellStyle name="Ênfase3 38" xfId="8443"/>
    <cellStyle name="Ênfase3 39" xfId="8444"/>
    <cellStyle name="Ênfase3 4" xfId="8445"/>
    <cellStyle name="Ênfase3 4 10" xfId="8446"/>
    <cellStyle name="Ênfase3 4 11" xfId="8447"/>
    <cellStyle name="Ênfase3 4 2" xfId="8448"/>
    <cellStyle name="Ênfase3 4 3" xfId="8449"/>
    <cellStyle name="Ênfase3 4 4" xfId="8450"/>
    <cellStyle name="Ênfase3 4 5" xfId="8451"/>
    <cellStyle name="Ênfase3 4 6" xfId="8452"/>
    <cellStyle name="Ênfase3 4 7" xfId="8453"/>
    <cellStyle name="Ênfase3 4 8" xfId="8454"/>
    <cellStyle name="Ênfase3 4 9" xfId="8455"/>
    <cellStyle name="Ênfase3 40" xfId="8456"/>
    <cellStyle name="Ênfase3 41" xfId="8457"/>
    <cellStyle name="Ênfase3 42" xfId="8458"/>
    <cellStyle name="Ênfase3 43" xfId="8459"/>
    <cellStyle name="Ênfase3 44" xfId="8460"/>
    <cellStyle name="Ênfase3 45" xfId="8461"/>
    <cellStyle name="Ênfase3 46" xfId="8462"/>
    <cellStyle name="Ênfase3 47" xfId="8463"/>
    <cellStyle name="Ênfase3 48" xfId="8464"/>
    <cellStyle name="Ênfase3 49" xfId="8465"/>
    <cellStyle name="Ênfase3 5" xfId="8466"/>
    <cellStyle name="Ênfase3 5 2" xfId="8467"/>
    <cellStyle name="Ênfase3 5 3" xfId="8468"/>
    <cellStyle name="Ênfase3 5 4" xfId="8469"/>
    <cellStyle name="Ênfase3 50" xfId="8470"/>
    <cellStyle name="Ênfase3 51" xfId="8471"/>
    <cellStyle name="Ênfase3 52" xfId="8472"/>
    <cellStyle name="Ênfase3 53" xfId="8473"/>
    <cellStyle name="Ênfase3 54" xfId="8474"/>
    <cellStyle name="Ênfase3 55" xfId="8475"/>
    <cellStyle name="Ênfase3 56" xfId="8476"/>
    <cellStyle name="Ênfase3 57" xfId="8477"/>
    <cellStyle name="Ênfase3 58" xfId="8478"/>
    <cellStyle name="Ênfase3 59" xfId="8479"/>
    <cellStyle name="Ênfase3 6" xfId="8480"/>
    <cellStyle name="Ênfase3 6 2" xfId="8481"/>
    <cellStyle name="Ênfase3 6 3" xfId="8482"/>
    <cellStyle name="Ênfase3 6 4" xfId="8483"/>
    <cellStyle name="Ênfase3 60" xfId="8484"/>
    <cellStyle name="Ênfase3 61" xfId="8485"/>
    <cellStyle name="Ênfase3 62" xfId="8486"/>
    <cellStyle name="Ênfase3 63" xfId="8487"/>
    <cellStyle name="Ênfase3 64" xfId="8488"/>
    <cellStyle name="Ênfase3 65" xfId="8489"/>
    <cellStyle name="Ênfase3 66" xfId="8490"/>
    <cellStyle name="Ênfase3 67" xfId="8491"/>
    <cellStyle name="Ênfase3 68" xfId="8492"/>
    <cellStyle name="Ênfase3 69" xfId="8493"/>
    <cellStyle name="Ênfase3 7" xfId="8494"/>
    <cellStyle name="Ênfase3 7 2" xfId="8495"/>
    <cellStyle name="Ênfase3 7 3" xfId="8496"/>
    <cellStyle name="Ênfase3 7 4" xfId="8497"/>
    <cellStyle name="Ênfase3 70" xfId="8498"/>
    <cellStyle name="Ênfase3 71" xfId="8499"/>
    <cellStyle name="Ênfase3 72" xfId="8500"/>
    <cellStyle name="Ênfase3 73" xfId="8501"/>
    <cellStyle name="Ênfase3 74" xfId="8502"/>
    <cellStyle name="Ênfase3 75" xfId="8503"/>
    <cellStyle name="Ênfase3 76" xfId="8504"/>
    <cellStyle name="Ênfase3 77" xfId="8505"/>
    <cellStyle name="Ênfase3 78" xfId="8506"/>
    <cellStyle name="Ênfase3 79" xfId="8507"/>
    <cellStyle name="Ênfase3 8" xfId="8508"/>
    <cellStyle name="Ênfase3 8 2" xfId="8509"/>
    <cellStyle name="Ênfase3 8 3" xfId="8510"/>
    <cellStyle name="Ênfase3 8 4" xfId="8511"/>
    <cellStyle name="Ênfase3 80" xfId="8512"/>
    <cellStyle name="Ênfase3 81" xfId="8513"/>
    <cellStyle name="Ênfase3 82" xfId="8514"/>
    <cellStyle name="Ênfase3 83" xfId="8515"/>
    <cellStyle name="Ênfase3 84" xfId="8516"/>
    <cellStyle name="Ênfase3 85" xfId="8517"/>
    <cellStyle name="Ênfase3 86" xfId="8518"/>
    <cellStyle name="Ênfase3 87" xfId="8519"/>
    <cellStyle name="Ênfase3 88" xfId="8520"/>
    <cellStyle name="Ênfase3 89" xfId="8521"/>
    <cellStyle name="Ênfase3 9" xfId="8522"/>
    <cellStyle name="Ênfase3 90" xfId="8523"/>
    <cellStyle name="Ênfase3 91" xfId="8524"/>
    <cellStyle name="Ênfase3 92" xfId="8525"/>
    <cellStyle name="Ênfase3 93" xfId="8526"/>
    <cellStyle name="Ênfase3 94" xfId="8527"/>
    <cellStyle name="Ênfase3 95" xfId="8528"/>
    <cellStyle name="Ênfase3 96" xfId="8529"/>
    <cellStyle name="Ênfase3 97" xfId="8530"/>
    <cellStyle name="Ênfase3 98" xfId="8531"/>
    <cellStyle name="Ênfase3 99" xfId="8532"/>
    <cellStyle name="Ênfase4 10" xfId="8533"/>
    <cellStyle name="Ênfase4 10 2" xfId="40604"/>
    <cellStyle name="Ênfase4 100" xfId="8534"/>
    <cellStyle name="Ênfase4 101" xfId="8535"/>
    <cellStyle name="Ênfase4 102" xfId="8536"/>
    <cellStyle name="Ênfase4 103" xfId="8537"/>
    <cellStyle name="Ênfase4 104" xfId="8538"/>
    <cellStyle name="Ênfase4 105" xfId="8539"/>
    <cellStyle name="Ênfase4 106" xfId="8540"/>
    <cellStyle name="Ênfase4 107" xfId="8541"/>
    <cellStyle name="Ênfase4 108" xfId="8542"/>
    <cellStyle name="Ênfase4 109" xfId="8543"/>
    <cellStyle name="Ênfase4 11" xfId="8544"/>
    <cellStyle name="Ênfase4 11 2" xfId="40605"/>
    <cellStyle name="Ênfase4 110" xfId="8545"/>
    <cellStyle name="Ênfase4 111" xfId="8546"/>
    <cellStyle name="Ênfase4 112" xfId="8547"/>
    <cellStyle name="Ênfase4 113" xfId="8548"/>
    <cellStyle name="Ênfase4 114" xfId="8549"/>
    <cellStyle name="Ênfase4 115" xfId="8550"/>
    <cellStyle name="Ênfase4 116" xfId="8551"/>
    <cellStyle name="Ênfase4 117" xfId="8552"/>
    <cellStyle name="Ênfase4 118" xfId="8553"/>
    <cellStyle name="Ênfase4 119" xfId="8554"/>
    <cellStyle name="Ênfase4 12" xfId="8555"/>
    <cellStyle name="Ênfase4 12 2" xfId="40606"/>
    <cellStyle name="Ênfase4 120" xfId="8556"/>
    <cellStyle name="Ênfase4 121" xfId="8557"/>
    <cellStyle name="Ênfase4 122" xfId="8558"/>
    <cellStyle name="Ênfase4 123" xfId="8559"/>
    <cellStyle name="Ênfase4 124" xfId="8560"/>
    <cellStyle name="Ênfase4 125" xfId="8561"/>
    <cellStyle name="Ênfase4 126" xfId="8562"/>
    <cellStyle name="Ênfase4 127" xfId="8563"/>
    <cellStyle name="Ênfase4 128" xfId="8564"/>
    <cellStyle name="Ênfase4 129" xfId="8565"/>
    <cellStyle name="Ênfase4 13" xfId="8566"/>
    <cellStyle name="Ênfase4 13 2" xfId="40607"/>
    <cellStyle name="Ênfase4 130" xfId="8567"/>
    <cellStyle name="Ênfase4 131" xfId="8568"/>
    <cellStyle name="Ênfase4 132" xfId="8569"/>
    <cellStyle name="Ênfase4 133" xfId="8570"/>
    <cellStyle name="Ênfase4 134" xfId="8571"/>
    <cellStyle name="Ênfase4 135" xfId="8572"/>
    <cellStyle name="Ênfase4 136" xfId="8573"/>
    <cellStyle name="Ênfase4 137" xfId="8574"/>
    <cellStyle name="Ênfase4 138" xfId="8575"/>
    <cellStyle name="Ênfase4 139" xfId="8576"/>
    <cellStyle name="Ênfase4 14" xfId="8577"/>
    <cellStyle name="Ênfase4 140" xfId="8578"/>
    <cellStyle name="Ênfase4 141" xfId="8579"/>
    <cellStyle name="Ênfase4 142" xfId="8580"/>
    <cellStyle name="Ênfase4 143" xfId="8581"/>
    <cellStyle name="Ênfase4 144" xfId="8582"/>
    <cellStyle name="Ênfase4 145" xfId="8583"/>
    <cellStyle name="Ênfase4 146" xfId="8584"/>
    <cellStyle name="Ênfase4 147" xfId="8585"/>
    <cellStyle name="Ênfase4 148" xfId="8586"/>
    <cellStyle name="Ênfase4 149" xfId="8587"/>
    <cellStyle name="Ênfase4 15" xfId="8588"/>
    <cellStyle name="Ênfase4 15 2" xfId="8589"/>
    <cellStyle name="Ênfase4 15 3" xfId="8590"/>
    <cellStyle name="Ênfase4 150" xfId="8591"/>
    <cellStyle name="Ênfase4 151" xfId="8592"/>
    <cellStyle name="Ênfase4 152" xfId="8593"/>
    <cellStyle name="Ênfase4 153" xfId="8594"/>
    <cellStyle name="Ênfase4 154" xfId="8595"/>
    <cellStyle name="Ênfase4 155" xfId="8596"/>
    <cellStyle name="Ênfase4 156" xfId="8597"/>
    <cellStyle name="Ênfase4 157" xfId="8598"/>
    <cellStyle name="Ênfase4 158" xfId="8599"/>
    <cellStyle name="Ênfase4 159" xfId="8600"/>
    <cellStyle name="Ênfase4 16" xfId="8601"/>
    <cellStyle name="Ênfase4 16 2" xfId="8602"/>
    <cellStyle name="Ênfase4 16 3" xfId="8603"/>
    <cellStyle name="Ênfase4 160" xfId="8604"/>
    <cellStyle name="Ênfase4 161" xfId="8605"/>
    <cellStyle name="Ênfase4 162" xfId="8606"/>
    <cellStyle name="Ênfase4 163" xfId="8607"/>
    <cellStyle name="Ênfase4 164" xfId="8608"/>
    <cellStyle name="Ênfase4 165" xfId="8609"/>
    <cellStyle name="Ênfase4 166" xfId="8610"/>
    <cellStyle name="Ênfase4 167" xfId="8611"/>
    <cellStyle name="Ênfase4 168" xfId="8612"/>
    <cellStyle name="Ênfase4 169" xfId="8613"/>
    <cellStyle name="Ênfase4 17" xfId="8614"/>
    <cellStyle name="Ênfase4 17 2" xfId="8615"/>
    <cellStyle name="Ênfase4 17 3" xfId="8616"/>
    <cellStyle name="Ênfase4 170" xfId="8617"/>
    <cellStyle name="Ênfase4 171" xfId="8618"/>
    <cellStyle name="Ênfase4 172" xfId="8619"/>
    <cellStyle name="Ênfase4 173" xfId="8620"/>
    <cellStyle name="Ênfase4 174" xfId="8621"/>
    <cellStyle name="Ênfase4 175" xfId="8622"/>
    <cellStyle name="Ênfase4 176" xfId="8623"/>
    <cellStyle name="Ênfase4 177" xfId="8624"/>
    <cellStyle name="Ênfase4 178" xfId="8625"/>
    <cellStyle name="Ênfase4 179" xfId="8626"/>
    <cellStyle name="Ênfase4 18" xfId="8627"/>
    <cellStyle name="Ênfase4 18 2" xfId="8628"/>
    <cellStyle name="Ênfase4 18 3" xfId="8629"/>
    <cellStyle name="Ênfase4 180" xfId="8630"/>
    <cellStyle name="Ênfase4 181" xfId="8631"/>
    <cellStyle name="Ênfase4 182" xfId="8632"/>
    <cellStyle name="Ênfase4 183" xfId="8633"/>
    <cellStyle name="Ênfase4 184" xfId="8634"/>
    <cellStyle name="Ênfase4 185" xfId="8635"/>
    <cellStyle name="Ênfase4 186" xfId="8636"/>
    <cellStyle name="Ênfase4 187" xfId="8637"/>
    <cellStyle name="Ênfase4 188" xfId="8638"/>
    <cellStyle name="Ênfase4 189" xfId="8639"/>
    <cellStyle name="Ênfase4 19" xfId="8640"/>
    <cellStyle name="Ênfase4 19 2" xfId="8641"/>
    <cellStyle name="Ênfase4 19 3" xfId="8642"/>
    <cellStyle name="Ênfase4 190" xfId="8643"/>
    <cellStyle name="Ênfase4 2" xfId="8644"/>
    <cellStyle name="Ênfase4 2 10" xfId="8645"/>
    <cellStyle name="Ênfase4 2 10 2" xfId="8646"/>
    <cellStyle name="Ênfase4 2 10 3" xfId="8647"/>
    <cellStyle name="Ênfase4 2 10 4" xfId="8648"/>
    <cellStyle name="Ênfase4 2 10 5" xfId="8649"/>
    <cellStyle name="Ênfase4 2 10 6" xfId="8650"/>
    <cellStyle name="Ênfase4 2 10 7" xfId="8651"/>
    <cellStyle name="Ênfase4 2 11" xfId="8652"/>
    <cellStyle name="Ênfase4 2 11 2" xfId="8653"/>
    <cellStyle name="Ênfase4 2 11 3" xfId="8654"/>
    <cellStyle name="Ênfase4 2 11 4" xfId="8655"/>
    <cellStyle name="Ênfase4 2 11 5" xfId="8656"/>
    <cellStyle name="Ênfase4 2 11 6" xfId="8657"/>
    <cellStyle name="Ênfase4 2 11 7" xfId="8658"/>
    <cellStyle name="Ênfase4 2 12" xfId="8659"/>
    <cellStyle name="Ênfase4 2 13" xfId="8660"/>
    <cellStyle name="Ênfase4 2 14" xfId="8661"/>
    <cellStyle name="Ênfase4 2 15" xfId="8662"/>
    <cellStyle name="Ênfase4 2 16" xfId="8663"/>
    <cellStyle name="Ênfase4 2 17" xfId="8664"/>
    <cellStyle name="Ênfase4 2 18" xfId="8665"/>
    <cellStyle name="Ênfase4 2 19" xfId="8666"/>
    <cellStyle name="Ênfase4 2 2" xfId="8667"/>
    <cellStyle name="Ênfase4 2 20" xfId="8668"/>
    <cellStyle name="Ênfase4 2 21" xfId="8669"/>
    <cellStyle name="Ênfase4 2 22" xfId="8670"/>
    <cellStyle name="Ênfase4 2 23" xfId="8671"/>
    <cellStyle name="Ênfase4 2 24" xfId="8672"/>
    <cellStyle name="Ênfase4 2 25" xfId="8673"/>
    <cellStyle name="Ênfase4 2 26" xfId="8674"/>
    <cellStyle name="Ênfase4 2 27" xfId="8675"/>
    <cellStyle name="Ênfase4 2 28" xfId="8676"/>
    <cellStyle name="Ênfase4 2 29" xfId="8677"/>
    <cellStyle name="Ênfase4 2 3" xfId="8678"/>
    <cellStyle name="Ênfase4 2 30" xfId="8679"/>
    <cellStyle name="Ênfase4 2 31" xfId="8680"/>
    <cellStyle name="Ênfase4 2 32" xfId="8681"/>
    <cellStyle name="Ênfase4 2 33" xfId="8682"/>
    <cellStyle name="Ênfase4 2 34" xfId="8683"/>
    <cellStyle name="Ênfase4 2 35" xfId="8684"/>
    <cellStyle name="Ênfase4 2 4" xfId="8685"/>
    <cellStyle name="Ênfase4 2 5" xfId="8686"/>
    <cellStyle name="Ênfase4 2 6" xfId="8687"/>
    <cellStyle name="Ênfase4 2 7" xfId="8688"/>
    <cellStyle name="Ênfase4 2 8" xfId="8689"/>
    <cellStyle name="Ênfase4 2 8 2" xfId="8690"/>
    <cellStyle name="Ênfase4 2 8 3" xfId="8691"/>
    <cellStyle name="Ênfase4 2 8 4" xfId="8692"/>
    <cellStyle name="Ênfase4 2 8 5" xfId="8693"/>
    <cellStyle name="Ênfase4 2 8 6" xfId="8694"/>
    <cellStyle name="Ênfase4 2 8 7" xfId="8695"/>
    <cellStyle name="Ênfase4 2 9" xfId="8696"/>
    <cellStyle name="Ênfase4 2 9 2" xfId="8697"/>
    <cellStyle name="Ênfase4 2 9 3" xfId="8698"/>
    <cellStyle name="Ênfase4 2 9 4" xfId="8699"/>
    <cellStyle name="Ênfase4 2 9 5" xfId="8700"/>
    <cellStyle name="Ênfase4 2 9 6" xfId="8701"/>
    <cellStyle name="Ênfase4 2 9 7" xfId="8702"/>
    <cellStyle name="Ênfase4 20" xfId="8703"/>
    <cellStyle name="Ênfase4 20 2" xfId="8704"/>
    <cellStyle name="Ênfase4 20 3" xfId="8705"/>
    <cellStyle name="Ênfase4 21" xfId="8706"/>
    <cellStyle name="Ênfase4 22" xfId="8707"/>
    <cellStyle name="Ênfase4 23" xfId="8708"/>
    <cellStyle name="Ênfase4 24" xfId="8709"/>
    <cellStyle name="Ênfase4 24 2" xfId="40968"/>
    <cellStyle name="Ênfase4 25" xfId="8710"/>
    <cellStyle name="Ênfase4 25 2" xfId="41003"/>
    <cellStyle name="Ênfase4 26" xfId="8711"/>
    <cellStyle name="Ênfase4 26 10" xfId="8712"/>
    <cellStyle name="Ênfase4 26 11" xfId="8713"/>
    <cellStyle name="Ênfase4 26 12" xfId="8714"/>
    <cellStyle name="Ênfase4 26 13" xfId="8715"/>
    <cellStyle name="Ênfase4 26 14" xfId="8716"/>
    <cellStyle name="Ênfase4 26 15" xfId="8717"/>
    <cellStyle name="Ênfase4 26 16" xfId="8718"/>
    <cellStyle name="Ênfase4 26 2" xfId="8719"/>
    <cellStyle name="Ênfase4 26 3" xfId="8720"/>
    <cellStyle name="Ênfase4 26 4" xfId="8721"/>
    <cellStyle name="Ênfase4 26 5" xfId="8722"/>
    <cellStyle name="Ênfase4 26 6" xfId="8723"/>
    <cellStyle name="Ênfase4 26 7" xfId="8724"/>
    <cellStyle name="Ênfase4 26 8" xfId="8725"/>
    <cellStyle name="Ênfase4 26 9" xfId="8726"/>
    <cellStyle name="Ênfase4 27" xfId="8727"/>
    <cellStyle name="Ênfase4 27 10" xfId="8728"/>
    <cellStyle name="Ênfase4 27 11" xfId="8729"/>
    <cellStyle name="Ênfase4 27 12" xfId="8730"/>
    <cellStyle name="Ênfase4 27 13" xfId="8731"/>
    <cellStyle name="Ênfase4 27 14" xfId="8732"/>
    <cellStyle name="Ênfase4 27 15" xfId="8733"/>
    <cellStyle name="Ênfase4 27 16" xfId="8734"/>
    <cellStyle name="Ênfase4 27 2" xfId="8735"/>
    <cellStyle name="Ênfase4 27 3" xfId="8736"/>
    <cellStyle name="Ênfase4 27 4" xfId="8737"/>
    <cellStyle name="Ênfase4 27 5" xfId="8738"/>
    <cellStyle name="Ênfase4 27 6" xfId="8739"/>
    <cellStyle name="Ênfase4 27 7" xfId="8740"/>
    <cellStyle name="Ênfase4 27 8" xfId="8741"/>
    <cellStyle name="Ênfase4 27 9" xfId="8742"/>
    <cellStyle name="Ênfase4 28" xfId="8743"/>
    <cellStyle name="Ênfase4 28 10" xfId="8744"/>
    <cellStyle name="Ênfase4 28 11" xfId="8745"/>
    <cellStyle name="Ênfase4 28 12" xfId="8746"/>
    <cellStyle name="Ênfase4 28 13" xfId="8747"/>
    <cellStyle name="Ênfase4 28 14" xfId="8748"/>
    <cellStyle name="Ênfase4 28 15" xfId="8749"/>
    <cellStyle name="Ênfase4 28 16" xfId="8750"/>
    <cellStyle name="Ênfase4 28 2" xfId="8751"/>
    <cellStyle name="Ênfase4 28 3" xfId="8752"/>
    <cellStyle name="Ênfase4 28 4" xfId="8753"/>
    <cellStyle name="Ênfase4 28 5" xfId="8754"/>
    <cellStyle name="Ênfase4 28 6" xfId="8755"/>
    <cellStyle name="Ênfase4 28 7" xfId="8756"/>
    <cellStyle name="Ênfase4 28 8" xfId="8757"/>
    <cellStyle name="Ênfase4 28 9" xfId="8758"/>
    <cellStyle name="Ênfase4 29" xfId="8759"/>
    <cellStyle name="Ênfase4 29 10" xfId="8760"/>
    <cellStyle name="Ênfase4 29 11" xfId="8761"/>
    <cellStyle name="Ênfase4 29 12" xfId="8762"/>
    <cellStyle name="Ênfase4 29 13" xfId="8763"/>
    <cellStyle name="Ênfase4 29 14" xfId="8764"/>
    <cellStyle name="Ênfase4 29 15" xfId="8765"/>
    <cellStyle name="Ênfase4 29 16" xfId="8766"/>
    <cellStyle name="Ênfase4 29 2" xfId="8767"/>
    <cellStyle name="Ênfase4 29 3" xfId="8768"/>
    <cellStyle name="Ênfase4 29 4" xfId="8769"/>
    <cellStyle name="Ênfase4 29 5" xfId="8770"/>
    <cellStyle name="Ênfase4 29 6" xfId="8771"/>
    <cellStyle name="Ênfase4 29 7" xfId="8772"/>
    <cellStyle name="Ênfase4 29 8" xfId="8773"/>
    <cellStyle name="Ênfase4 29 9" xfId="8774"/>
    <cellStyle name="Ênfase4 3" xfId="8775"/>
    <cellStyle name="Ênfase4 3 10" xfId="8776"/>
    <cellStyle name="Ênfase4 3 11" xfId="8777"/>
    <cellStyle name="Ênfase4 3 2" xfId="8778"/>
    <cellStyle name="Ênfase4 3 3" xfId="8779"/>
    <cellStyle name="Ênfase4 3 4" xfId="8780"/>
    <cellStyle name="Ênfase4 3 5" xfId="8781"/>
    <cellStyle name="Ênfase4 3 6" xfId="8782"/>
    <cellStyle name="Ênfase4 3 7" xfId="8783"/>
    <cellStyle name="Ênfase4 3 8" xfId="8784"/>
    <cellStyle name="Ênfase4 3 9" xfId="8785"/>
    <cellStyle name="Ênfase4 30" xfId="8786"/>
    <cellStyle name="Ênfase4 31" xfId="8787"/>
    <cellStyle name="Ênfase4 32" xfId="8788"/>
    <cellStyle name="Ênfase4 33" xfId="8789"/>
    <cellStyle name="Ênfase4 34" xfId="8790"/>
    <cellStyle name="Ênfase4 35" xfId="8791"/>
    <cellStyle name="Ênfase4 36" xfId="8792"/>
    <cellStyle name="Ênfase4 37" xfId="8793"/>
    <cellStyle name="Ênfase4 38" xfId="8794"/>
    <cellStyle name="Ênfase4 39" xfId="8795"/>
    <cellStyle name="Ênfase4 4" xfId="8796"/>
    <cellStyle name="Ênfase4 4 10" xfId="8797"/>
    <cellStyle name="Ênfase4 4 11" xfId="8798"/>
    <cellStyle name="Ênfase4 4 2" xfId="8799"/>
    <cellStyle name="Ênfase4 4 3" xfId="8800"/>
    <cellStyle name="Ênfase4 4 4" xfId="8801"/>
    <cellStyle name="Ênfase4 4 5" xfId="8802"/>
    <cellStyle name="Ênfase4 4 6" xfId="8803"/>
    <cellStyle name="Ênfase4 4 7" xfId="8804"/>
    <cellStyle name="Ênfase4 4 8" xfId="8805"/>
    <cellStyle name="Ênfase4 4 9" xfId="8806"/>
    <cellStyle name="Ênfase4 40" xfId="8807"/>
    <cellStyle name="Ênfase4 41" xfId="8808"/>
    <cellStyle name="Ênfase4 42" xfId="8809"/>
    <cellStyle name="Ênfase4 43" xfId="8810"/>
    <cellStyle name="Ênfase4 44" xfId="8811"/>
    <cellStyle name="Ênfase4 45" xfId="8812"/>
    <cellStyle name="Ênfase4 46" xfId="8813"/>
    <cellStyle name="Ênfase4 47" xfId="8814"/>
    <cellStyle name="Ênfase4 48" xfId="8815"/>
    <cellStyle name="Ênfase4 49" xfId="8816"/>
    <cellStyle name="Ênfase4 5" xfId="8817"/>
    <cellStyle name="Ênfase4 5 2" xfId="8818"/>
    <cellStyle name="Ênfase4 5 3" xfId="8819"/>
    <cellStyle name="Ênfase4 5 4" xfId="8820"/>
    <cellStyle name="Ênfase4 50" xfId="8821"/>
    <cellStyle name="Ênfase4 51" xfId="8822"/>
    <cellStyle name="Ênfase4 52" xfId="8823"/>
    <cellStyle name="Ênfase4 53" xfId="8824"/>
    <cellStyle name="Ênfase4 54" xfId="8825"/>
    <cellStyle name="Ênfase4 55" xfId="8826"/>
    <cellStyle name="Ênfase4 56" xfId="8827"/>
    <cellStyle name="Ênfase4 57" xfId="8828"/>
    <cellStyle name="Ênfase4 58" xfId="8829"/>
    <cellStyle name="Ênfase4 59" xfId="8830"/>
    <cellStyle name="Ênfase4 6" xfId="8831"/>
    <cellStyle name="Ênfase4 6 2" xfId="8832"/>
    <cellStyle name="Ênfase4 6 3" xfId="8833"/>
    <cellStyle name="Ênfase4 6 4" xfId="8834"/>
    <cellStyle name="Ênfase4 60" xfId="8835"/>
    <cellStyle name="Ênfase4 61" xfId="8836"/>
    <cellStyle name="Ênfase4 62" xfId="8837"/>
    <cellStyle name="Ênfase4 63" xfId="8838"/>
    <cellStyle name="Ênfase4 64" xfId="8839"/>
    <cellStyle name="Ênfase4 65" xfId="8840"/>
    <cellStyle name="Ênfase4 66" xfId="8841"/>
    <cellStyle name="Ênfase4 67" xfId="8842"/>
    <cellStyle name="Ênfase4 68" xfId="8843"/>
    <cellStyle name="Ênfase4 69" xfId="8844"/>
    <cellStyle name="Ênfase4 7" xfId="8845"/>
    <cellStyle name="Ênfase4 7 2" xfId="8846"/>
    <cellStyle name="Ênfase4 7 3" xfId="8847"/>
    <cellStyle name="Ênfase4 7 4" xfId="8848"/>
    <cellStyle name="Ênfase4 70" xfId="8849"/>
    <cellStyle name="Ênfase4 71" xfId="8850"/>
    <cellStyle name="Ênfase4 72" xfId="8851"/>
    <cellStyle name="Ênfase4 73" xfId="8852"/>
    <cellStyle name="Ênfase4 74" xfId="8853"/>
    <cellStyle name="Ênfase4 75" xfId="8854"/>
    <cellStyle name="Ênfase4 76" xfId="8855"/>
    <cellStyle name="Ênfase4 77" xfId="8856"/>
    <cellStyle name="Ênfase4 78" xfId="8857"/>
    <cellStyle name="Ênfase4 79" xfId="8858"/>
    <cellStyle name="Ênfase4 8" xfId="8859"/>
    <cellStyle name="Ênfase4 8 2" xfId="8860"/>
    <cellStyle name="Ênfase4 8 3" xfId="8861"/>
    <cellStyle name="Ênfase4 8 4" xfId="8862"/>
    <cellStyle name="Ênfase4 80" xfId="8863"/>
    <cellStyle name="Ênfase4 81" xfId="8864"/>
    <cellStyle name="Ênfase4 82" xfId="8865"/>
    <cellStyle name="Ênfase4 83" xfId="8866"/>
    <cellStyle name="Ênfase4 84" xfId="8867"/>
    <cellStyle name="Ênfase4 85" xfId="8868"/>
    <cellStyle name="Ênfase4 86" xfId="8869"/>
    <cellStyle name="Ênfase4 87" xfId="8870"/>
    <cellStyle name="Ênfase4 88" xfId="8871"/>
    <cellStyle name="Ênfase4 89" xfId="8872"/>
    <cellStyle name="Ênfase4 9" xfId="8873"/>
    <cellStyle name="Ênfase4 90" xfId="8874"/>
    <cellStyle name="Ênfase4 91" xfId="8875"/>
    <cellStyle name="Ênfase4 92" xfId="8876"/>
    <cellStyle name="Ênfase4 93" xfId="8877"/>
    <cellStyle name="Ênfase4 94" xfId="8878"/>
    <cellStyle name="Ênfase4 95" xfId="8879"/>
    <cellStyle name="Ênfase4 96" xfId="8880"/>
    <cellStyle name="Ênfase4 97" xfId="8881"/>
    <cellStyle name="Ênfase4 98" xfId="8882"/>
    <cellStyle name="Ênfase4 99" xfId="8883"/>
    <cellStyle name="Ênfase5 10" xfId="8884"/>
    <cellStyle name="Ênfase5 10 2" xfId="40608"/>
    <cellStyle name="Ênfase5 100" xfId="8885"/>
    <cellStyle name="Ênfase5 101" xfId="8886"/>
    <cellStyle name="Ênfase5 102" xfId="8887"/>
    <cellStyle name="Ênfase5 103" xfId="8888"/>
    <cellStyle name="Ênfase5 104" xfId="8889"/>
    <cellStyle name="Ênfase5 105" xfId="8890"/>
    <cellStyle name="Ênfase5 106" xfId="8891"/>
    <cellStyle name="Ênfase5 107" xfId="8892"/>
    <cellStyle name="Ênfase5 108" xfId="8893"/>
    <cellStyle name="Ênfase5 109" xfId="8894"/>
    <cellStyle name="Ênfase5 11" xfId="8895"/>
    <cellStyle name="Ênfase5 11 2" xfId="40609"/>
    <cellStyle name="Ênfase5 110" xfId="8896"/>
    <cellStyle name="Ênfase5 111" xfId="8897"/>
    <cellStyle name="Ênfase5 112" xfId="8898"/>
    <cellStyle name="Ênfase5 113" xfId="8899"/>
    <cellStyle name="Ênfase5 114" xfId="8900"/>
    <cellStyle name="Ênfase5 115" xfId="8901"/>
    <cellStyle name="Ênfase5 116" xfId="8902"/>
    <cellStyle name="Ênfase5 117" xfId="8903"/>
    <cellStyle name="Ênfase5 118" xfId="8904"/>
    <cellStyle name="Ênfase5 119" xfId="8905"/>
    <cellStyle name="Ênfase5 12" xfId="8906"/>
    <cellStyle name="Ênfase5 12 2" xfId="40610"/>
    <cellStyle name="Ênfase5 120" xfId="8907"/>
    <cellStyle name="Ênfase5 121" xfId="8908"/>
    <cellStyle name="Ênfase5 122" xfId="8909"/>
    <cellStyle name="Ênfase5 123" xfId="8910"/>
    <cellStyle name="Ênfase5 124" xfId="8911"/>
    <cellStyle name="Ênfase5 125" xfId="8912"/>
    <cellStyle name="Ênfase5 126" xfId="8913"/>
    <cellStyle name="Ênfase5 127" xfId="8914"/>
    <cellStyle name="Ênfase5 128" xfId="8915"/>
    <cellStyle name="Ênfase5 129" xfId="8916"/>
    <cellStyle name="Ênfase5 13" xfId="8917"/>
    <cellStyle name="Ênfase5 13 2" xfId="40611"/>
    <cellStyle name="Ênfase5 130" xfId="8918"/>
    <cellStyle name="Ênfase5 131" xfId="8919"/>
    <cellStyle name="Ênfase5 132" xfId="8920"/>
    <cellStyle name="Ênfase5 133" xfId="8921"/>
    <cellStyle name="Ênfase5 134" xfId="8922"/>
    <cellStyle name="Ênfase5 135" xfId="8923"/>
    <cellStyle name="Ênfase5 136" xfId="8924"/>
    <cellStyle name="Ênfase5 137" xfId="8925"/>
    <cellStyle name="Ênfase5 138" xfId="8926"/>
    <cellStyle name="Ênfase5 139" xfId="8927"/>
    <cellStyle name="Ênfase5 14" xfId="8928"/>
    <cellStyle name="Ênfase5 140" xfId="8929"/>
    <cellStyle name="Ênfase5 141" xfId="8930"/>
    <cellStyle name="Ênfase5 142" xfId="8931"/>
    <cellStyle name="Ênfase5 143" xfId="8932"/>
    <cellStyle name="Ênfase5 144" xfId="8933"/>
    <cellStyle name="Ênfase5 145" xfId="8934"/>
    <cellStyle name="Ênfase5 146" xfId="8935"/>
    <cellStyle name="Ênfase5 147" xfId="8936"/>
    <cellStyle name="Ênfase5 148" xfId="8937"/>
    <cellStyle name="Ênfase5 149" xfId="8938"/>
    <cellStyle name="Ênfase5 15" xfId="8939"/>
    <cellStyle name="Ênfase5 15 2" xfId="8940"/>
    <cellStyle name="Ênfase5 15 3" xfId="8941"/>
    <cellStyle name="Ênfase5 150" xfId="8942"/>
    <cellStyle name="Ênfase5 151" xfId="8943"/>
    <cellStyle name="Ênfase5 152" xfId="8944"/>
    <cellStyle name="Ênfase5 153" xfId="8945"/>
    <cellStyle name="Ênfase5 154" xfId="8946"/>
    <cellStyle name="Ênfase5 155" xfId="8947"/>
    <cellStyle name="Ênfase5 156" xfId="8948"/>
    <cellStyle name="Ênfase5 157" xfId="8949"/>
    <cellStyle name="Ênfase5 158" xfId="8950"/>
    <cellStyle name="Ênfase5 159" xfId="8951"/>
    <cellStyle name="Ênfase5 16" xfId="8952"/>
    <cellStyle name="Ênfase5 16 2" xfId="8953"/>
    <cellStyle name="Ênfase5 16 3" xfId="8954"/>
    <cellStyle name="Ênfase5 160" xfId="8955"/>
    <cellStyle name="Ênfase5 161" xfId="8956"/>
    <cellStyle name="Ênfase5 162" xfId="8957"/>
    <cellStyle name="Ênfase5 163" xfId="8958"/>
    <cellStyle name="Ênfase5 164" xfId="8959"/>
    <cellStyle name="Ênfase5 165" xfId="8960"/>
    <cellStyle name="Ênfase5 166" xfId="8961"/>
    <cellStyle name="Ênfase5 167" xfId="8962"/>
    <cellStyle name="Ênfase5 168" xfId="8963"/>
    <cellStyle name="Ênfase5 169" xfId="8964"/>
    <cellStyle name="Ênfase5 17" xfId="8965"/>
    <cellStyle name="Ênfase5 17 2" xfId="8966"/>
    <cellStyle name="Ênfase5 17 3" xfId="8967"/>
    <cellStyle name="Ênfase5 170" xfId="8968"/>
    <cellStyle name="Ênfase5 171" xfId="8969"/>
    <cellStyle name="Ênfase5 172" xfId="8970"/>
    <cellStyle name="Ênfase5 173" xfId="8971"/>
    <cellStyle name="Ênfase5 174" xfId="8972"/>
    <cellStyle name="Ênfase5 175" xfId="8973"/>
    <cellStyle name="Ênfase5 176" xfId="8974"/>
    <cellStyle name="Ênfase5 177" xfId="8975"/>
    <cellStyle name="Ênfase5 178" xfId="8976"/>
    <cellStyle name="Ênfase5 179" xfId="8977"/>
    <cellStyle name="Ênfase5 18" xfId="8978"/>
    <cellStyle name="Ênfase5 18 2" xfId="8979"/>
    <cellStyle name="Ênfase5 18 3" xfId="8980"/>
    <cellStyle name="Ênfase5 180" xfId="8981"/>
    <cellStyle name="Ênfase5 181" xfId="8982"/>
    <cellStyle name="Ênfase5 182" xfId="8983"/>
    <cellStyle name="Ênfase5 183" xfId="8984"/>
    <cellStyle name="Ênfase5 184" xfId="8985"/>
    <cellStyle name="Ênfase5 185" xfId="8986"/>
    <cellStyle name="Ênfase5 186" xfId="8987"/>
    <cellStyle name="Ênfase5 187" xfId="8988"/>
    <cellStyle name="Ênfase5 188" xfId="8989"/>
    <cellStyle name="Ênfase5 189" xfId="8990"/>
    <cellStyle name="Ênfase5 19" xfId="8991"/>
    <cellStyle name="Ênfase5 19 2" xfId="8992"/>
    <cellStyle name="Ênfase5 19 3" xfId="8993"/>
    <cellStyle name="Ênfase5 190" xfId="8994"/>
    <cellStyle name="Ênfase5 2" xfId="8995"/>
    <cellStyle name="Ênfase5 2 10" xfId="8996"/>
    <cellStyle name="Ênfase5 2 11" xfId="8997"/>
    <cellStyle name="Ênfase5 2 12" xfId="8998"/>
    <cellStyle name="Ênfase5 2 13" xfId="8999"/>
    <cellStyle name="Ênfase5 2 14" xfId="9000"/>
    <cellStyle name="Ênfase5 2 15" xfId="9001"/>
    <cellStyle name="Ênfase5 2 16" xfId="9002"/>
    <cellStyle name="Ênfase5 2 17" xfId="9003"/>
    <cellStyle name="Ênfase5 2 18" xfId="9004"/>
    <cellStyle name="Ênfase5 2 19" xfId="9005"/>
    <cellStyle name="Ênfase5 2 2" xfId="9006"/>
    <cellStyle name="Ênfase5 2 20" xfId="9007"/>
    <cellStyle name="Ênfase5 2 21" xfId="9008"/>
    <cellStyle name="Ênfase5 2 22" xfId="9009"/>
    <cellStyle name="Ênfase5 2 23" xfId="9010"/>
    <cellStyle name="Ênfase5 2 24" xfId="9011"/>
    <cellStyle name="Ênfase5 2 25" xfId="9012"/>
    <cellStyle name="Ênfase5 2 26" xfId="9013"/>
    <cellStyle name="Ênfase5 2 27" xfId="9014"/>
    <cellStyle name="Ênfase5 2 28" xfId="9015"/>
    <cellStyle name="Ênfase5 2 29" xfId="9016"/>
    <cellStyle name="Ênfase5 2 3" xfId="9017"/>
    <cellStyle name="Ênfase5 2 30" xfId="9018"/>
    <cellStyle name="Ênfase5 2 31" xfId="9019"/>
    <cellStyle name="Ênfase5 2 32" xfId="38"/>
    <cellStyle name="Ênfase5 2 32 2" xfId="29378"/>
    <cellStyle name="Ênfase5 2 33" xfId="9020"/>
    <cellStyle name="Ênfase5 2 34" xfId="9021"/>
    <cellStyle name="Ênfase5 2 35" xfId="9022"/>
    <cellStyle name="Ênfase5 2 4" xfId="9023"/>
    <cellStyle name="Ênfase5 2 5" xfId="9024"/>
    <cellStyle name="Ênfase5 2 6" xfId="9025"/>
    <cellStyle name="Ênfase5 2 7" xfId="9026"/>
    <cellStyle name="Ênfase5 2 8" xfId="9027"/>
    <cellStyle name="Ênfase5 2 9" xfId="9028"/>
    <cellStyle name="Ênfase5 20" xfId="9029"/>
    <cellStyle name="Ênfase5 20 2" xfId="9030"/>
    <cellStyle name="Ênfase5 20 3" xfId="9031"/>
    <cellStyle name="Ênfase5 21" xfId="9032"/>
    <cellStyle name="Ênfase5 22" xfId="9033"/>
    <cellStyle name="Ênfase5 23" xfId="9034"/>
    <cellStyle name="Ênfase5 24" xfId="9035"/>
    <cellStyle name="Ênfase5 25" xfId="9036"/>
    <cellStyle name="Ênfase5 26" xfId="9037"/>
    <cellStyle name="Ênfase5 27" xfId="9038"/>
    <cellStyle name="Ênfase5 28" xfId="9039"/>
    <cellStyle name="Ênfase5 29" xfId="9040"/>
    <cellStyle name="Ênfase5 3" xfId="9041"/>
    <cellStyle name="Ênfase5 3 2" xfId="9042"/>
    <cellStyle name="Ênfase5 3 3" xfId="9043"/>
    <cellStyle name="Ênfase5 3 4" xfId="9044"/>
    <cellStyle name="Ênfase5 3 5" xfId="9045"/>
    <cellStyle name="Ênfase5 3 6" xfId="9046"/>
    <cellStyle name="Ênfase5 3 7" xfId="9047"/>
    <cellStyle name="Ênfase5 30" xfId="9048"/>
    <cellStyle name="Ênfase5 31" xfId="9049"/>
    <cellStyle name="Ênfase5 32" xfId="9050"/>
    <cellStyle name="Ênfase5 33" xfId="9051"/>
    <cellStyle name="Ênfase5 34" xfId="9052"/>
    <cellStyle name="Ênfase5 35" xfId="9053"/>
    <cellStyle name="Ênfase5 36" xfId="9054"/>
    <cellStyle name="Ênfase5 37" xfId="9055"/>
    <cellStyle name="Ênfase5 38" xfId="9056"/>
    <cellStyle name="Ênfase5 39" xfId="9057"/>
    <cellStyle name="Ênfase5 4" xfId="9058"/>
    <cellStyle name="Ênfase5 4 2" xfId="9059"/>
    <cellStyle name="Ênfase5 4 3" xfId="9060"/>
    <cellStyle name="Ênfase5 4 4" xfId="9061"/>
    <cellStyle name="Ênfase5 4 5" xfId="9062"/>
    <cellStyle name="Ênfase5 4 6" xfId="9063"/>
    <cellStyle name="Ênfase5 4 7" xfId="9064"/>
    <cellStyle name="Ênfase5 40" xfId="9065"/>
    <cellStyle name="Ênfase5 41" xfId="9066"/>
    <cellStyle name="Ênfase5 42" xfId="9067"/>
    <cellStyle name="Ênfase5 43" xfId="9068"/>
    <cellStyle name="Ênfase5 44" xfId="9069"/>
    <cellStyle name="Ênfase5 45" xfId="9070"/>
    <cellStyle name="Ênfase5 46" xfId="9071"/>
    <cellStyle name="Ênfase5 47" xfId="9072"/>
    <cellStyle name="Ênfase5 48" xfId="9073"/>
    <cellStyle name="Ênfase5 49" xfId="9074"/>
    <cellStyle name="Ênfase5 5" xfId="9075"/>
    <cellStyle name="Ênfase5 5 2" xfId="9076"/>
    <cellStyle name="Ênfase5 5 3" xfId="9077"/>
    <cellStyle name="Ênfase5 5 4" xfId="9078"/>
    <cellStyle name="Ênfase5 50" xfId="9079"/>
    <cellStyle name="Ênfase5 51" xfId="9080"/>
    <cellStyle name="Ênfase5 52" xfId="9081"/>
    <cellStyle name="Ênfase5 53" xfId="9082"/>
    <cellStyle name="Ênfase5 54" xfId="9083"/>
    <cellStyle name="Ênfase5 55" xfId="9084"/>
    <cellStyle name="Ênfase5 56" xfId="9085"/>
    <cellStyle name="Ênfase5 57" xfId="9086"/>
    <cellStyle name="Ênfase5 58" xfId="9087"/>
    <cellStyle name="Ênfase5 59" xfId="9088"/>
    <cellStyle name="Ênfase5 6" xfId="9089"/>
    <cellStyle name="Ênfase5 6 2" xfId="9090"/>
    <cellStyle name="Ênfase5 6 3" xfId="9091"/>
    <cellStyle name="Ênfase5 6 4" xfId="9092"/>
    <cellStyle name="Ênfase5 60" xfId="9093"/>
    <cellStyle name="Ênfase5 61" xfId="9094"/>
    <cellStyle name="Ênfase5 62" xfId="9095"/>
    <cellStyle name="Ênfase5 63" xfId="9096"/>
    <cellStyle name="Ênfase5 64" xfId="9097"/>
    <cellStyle name="Ênfase5 65" xfId="9098"/>
    <cellStyle name="Ênfase5 66" xfId="9099"/>
    <cellStyle name="Ênfase5 67" xfId="9100"/>
    <cellStyle name="Ênfase5 68" xfId="9101"/>
    <cellStyle name="Ênfase5 69" xfId="9102"/>
    <cellStyle name="Ênfase5 7" xfId="9103"/>
    <cellStyle name="Ênfase5 7 2" xfId="9104"/>
    <cellStyle name="Ênfase5 7 3" xfId="9105"/>
    <cellStyle name="Ênfase5 7 4" xfId="9106"/>
    <cellStyle name="Ênfase5 70" xfId="9107"/>
    <cellStyle name="Ênfase5 71" xfId="9108"/>
    <cellStyle name="Ênfase5 72" xfId="9109"/>
    <cellStyle name="Ênfase5 73" xfId="9110"/>
    <cellStyle name="Ênfase5 74" xfId="9111"/>
    <cellStyle name="Ênfase5 75" xfId="9112"/>
    <cellStyle name="Ênfase5 76" xfId="9113"/>
    <cellStyle name="Ênfase5 77" xfId="9114"/>
    <cellStyle name="Ênfase5 78" xfId="9115"/>
    <cellStyle name="Ênfase5 79" xfId="9116"/>
    <cellStyle name="Ênfase5 8" xfId="9117"/>
    <cellStyle name="Ênfase5 8 2" xfId="9118"/>
    <cellStyle name="Ênfase5 8 3" xfId="9119"/>
    <cellStyle name="Ênfase5 8 4" xfId="9120"/>
    <cellStyle name="Ênfase5 80" xfId="9121"/>
    <cellStyle name="Ênfase5 81" xfId="9122"/>
    <cellStyle name="Ênfase5 82" xfId="9123"/>
    <cellStyle name="Ênfase5 83" xfId="9124"/>
    <cellStyle name="Ênfase5 84" xfId="9125"/>
    <cellStyle name="Ênfase5 85" xfId="9126"/>
    <cellStyle name="Ênfase5 86" xfId="9127"/>
    <cellStyle name="Ênfase5 87" xfId="9128"/>
    <cellStyle name="Ênfase5 88" xfId="9129"/>
    <cellStyle name="Ênfase5 89" xfId="9130"/>
    <cellStyle name="Ênfase5 9" xfId="9131"/>
    <cellStyle name="Ênfase5 90" xfId="9132"/>
    <cellStyle name="Ênfase5 91" xfId="9133"/>
    <cellStyle name="Ênfase5 92" xfId="9134"/>
    <cellStyle name="Ênfase5 93" xfId="9135"/>
    <cellStyle name="Ênfase5 94" xfId="9136"/>
    <cellStyle name="Ênfase5 95" xfId="9137"/>
    <cellStyle name="Ênfase5 96" xfId="9138"/>
    <cellStyle name="Ênfase5 97" xfId="9139"/>
    <cellStyle name="Ênfase5 98" xfId="9140"/>
    <cellStyle name="Ênfase5 99" xfId="9141"/>
    <cellStyle name="Ênfase6 10" xfId="9142"/>
    <cellStyle name="Ênfase6 10 2" xfId="40612"/>
    <cellStyle name="Ênfase6 100" xfId="9143"/>
    <cellStyle name="Ênfase6 101" xfId="9144"/>
    <cellStyle name="Ênfase6 102" xfId="9145"/>
    <cellStyle name="Ênfase6 103" xfId="9146"/>
    <cellStyle name="Ênfase6 104" xfId="9147"/>
    <cellStyle name="Ênfase6 105" xfId="9148"/>
    <cellStyle name="Ênfase6 106" xfId="9149"/>
    <cellStyle name="Ênfase6 107" xfId="9150"/>
    <cellStyle name="Ênfase6 108" xfId="9151"/>
    <cellStyle name="Ênfase6 109" xfId="9152"/>
    <cellStyle name="Ênfase6 11" xfId="9153"/>
    <cellStyle name="Ênfase6 11 2" xfId="40613"/>
    <cellStyle name="Ênfase6 110" xfId="9154"/>
    <cellStyle name="Ênfase6 111" xfId="9155"/>
    <cellStyle name="Ênfase6 112" xfId="9156"/>
    <cellStyle name="Ênfase6 113" xfId="9157"/>
    <cellStyle name="Ênfase6 114" xfId="9158"/>
    <cellStyle name="Ênfase6 115" xfId="9159"/>
    <cellStyle name="Ênfase6 116" xfId="9160"/>
    <cellStyle name="Ênfase6 117" xfId="9161"/>
    <cellStyle name="Ênfase6 118" xfId="9162"/>
    <cellStyle name="Ênfase6 119" xfId="9163"/>
    <cellStyle name="Ênfase6 12" xfId="9164"/>
    <cellStyle name="Ênfase6 12 2" xfId="40614"/>
    <cellStyle name="Ênfase6 120" xfId="9165"/>
    <cellStyle name="Ênfase6 121" xfId="9166"/>
    <cellStyle name="Ênfase6 122" xfId="9167"/>
    <cellStyle name="Ênfase6 123" xfId="9168"/>
    <cellStyle name="Ênfase6 124" xfId="9169"/>
    <cellStyle name="Ênfase6 125" xfId="9170"/>
    <cellStyle name="Ênfase6 126" xfId="9171"/>
    <cellStyle name="Ênfase6 127" xfId="9172"/>
    <cellStyle name="Ênfase6 128" xfId="9173"/>
    <cellStyle name="Ênfase6 129" xfId="9174"/>
    <cellStyle name="Ênfase6 13" xfId="9175"/>
    <cellStyle name="Ênfase6 13 2" xfId="40615"/>
    <cellStyle name="Ênfase6 130" xfId="9176"/>
    <cellStyle name="Ênfase6 131" xfId="9177"/>
    <cellStyle name="Ênfase6 132" xfId="9178"/>
    <cellStyle name="Ênfase6 133" xfId="9179"/>
    <cellStyle name="Ênfase6 134" xfId="9180"/>
    <cellStyle name="Ênfase6 135" xfId="9181"/>
    <cellStyle name="Ênfase6 136" xfId="9182"/>
    <cellStyle name="Ênfase6 137" xfId="9183"/>
    <cellStyle name="Ênfase6 138" xfId="9184"/>
    <cellStyle name="Ênfase6 139" xfId="9185"/>
    <cellStyle name="Ênfase6 14" xfId="9186"/>
    <cellStyle name="Ênfase6 140" xfId="9187"/>
    <cellStyle name="Ênfase6 141" xfId="9188"/>
    <cellStyle name="Ênfase6 142" xfId="9189"/>
    <cellStyle name="Ênfase6 143" xfId="9190"/>
    <cellStyle name="Ênfase6 144" xfId="9191"/>
    <cellStyle name="Ênfase6 145" xfId="9192"/>
    <cellStyle name="Ênfase6 146" xfId="9193"/>
    <cellStyle name="Ênfase6 147" xfId="9194"/>
    <cellStyle name="Ênfase6 148" xfId="9195"/>
    <cellStyle name="Ênfase6 149" xfId="9196"/>
    <cellStyle name="Ênfase6 15" xfId="9197"/>
    <cellStyle name="Ênfase6 15 2" xfId="9198"/>
    <cellStyle name="Ênfase6 15 3" xfId="9199"/>
    <cellStyle name="Ênfase6 150" xfId="9200"/>
    <cellStyle name="Ênfase6 151" xfId="9201"/>
    <cellStyle name="Ênfase6 152" xfId="9202"/>
    <cellStyle name="Ênfase6 153" xfId="9203"/>
    <cellStyle name="Ênfase6 154" xfId="9204"/>
    <cellStyle name="Ênfase6 155" xfId="9205"/>
    <cellStyle name="Ênfase6 156" xfId="9206"/>
    <cellStyle name="Ênfase6 157" xfId="9207"/>
    <cellStyle name="Ênfase6 158" xfId="9208"/>
    <cellStyle name="Ênfase6 159" xfId="9209"/>
    <cellStyle name="Ênfase6 16" xfId="9210"/>
    <cellStyle name="Ênfase6 16 2" xfId="9211"/>
    <cellStyle name="Ênfase6 16 3" xfId="9212"/>
    <cellStyle name="Ênfase6 160" xfId="9213"/>
    <cellStyle name="Ênfase6 161" xfId="9214"/>
    <cellStyle name="Ênfase6 162" xfId="9215"/>
    <cellStyle name="Ênfase6 163" xfId="9216"/>
    <cellStyle name="Ênfase6 164" xfId="9217"/>
    <cellStyle name="Ênfase6 165" xfId="9218"/>
    <cellStyle name="Ênfase6 166" xfId="9219"/>
    <cellStyle name="Ênfase6 167" xfId="9220"/>
    <cellStyle name="Ênfase6 168" xfId="9221"/>
    <cellStyle name="Ênfase6 169" xfId="9222"/>
    <cellStyle name="Ênfase6 17" xfId="9223"/>
    <cellStyle name="Ênfase6 17 2" xfId="9224"/>
    <cellStyle name="Ênfase6 17 3" xfId="9225"/>
    <cellStyle name="Ênfase6 170" xfId="9226"/>
    <cellStyle name="Ênfase6 171" xfId="9227"/>
    <cellStyle name="Ênfase6 172" xfId="9228"/>
    <cellStyle name="Ênfase6 173" xfId="9229"/>
    <cellStyle name="Ênfase6 174" xfId="9230"/>
    <cellStyle name="Ênfase6 175" xfId="9231"/>
    <cellStyle name="Ênfase6 176" xfId="9232"/>
    <cellStyle name="Ênfase6 177" xfId="9233"/>
    <cellStyle name="Ênfase6 178" xfId="9234"/>
    <cellStyle name="Ênfase6 179" xfId="9235"/>
    <cellStyle name="Ênfase6 18" xfId="9236"/>
    <cellStyle name="Ênfase6 18 2" xfId="9237"/>
    <cellStyle name="Ênfase6 18 3" xfId="9238"/>
    <cellStyle name="Ênfase6 180" xfId="9239"/>
    <cellStyle name="Ênfase6 181" xfId="9240"/>
    <cellStyle name="Ênfase6 182" xfId="9241"/>
    <cellStyle name="Ênfase6 183" xfId="9242"/>
    <cellStyle name="Ênfase6 184" xfId="9243"/>
    <cellStyle name="Ênfase6 185" xfId="9244"/>
    <cellStyle name="Ênfase6 186" xfId="9245"/>
    <cellStyle name="Ênfase6 187" xfId="9246"/>
    <cellStyle name="Ênfase6 188" xfId="9247"/>
    <cellStyle name="Ênfase6 189" xfId="9248"/>
    <cellStyle name="Ênfase6 19" xfId="9249"/>
    <cellStyle name="Ênfase6 19 2" xfId="9250"/>
    <cellStyle name="Ênfase6 19 3" xfId="9251"/>
    <cellStyle name="Ênfase6 190" xfId="9252"/>
    <cellStyle name="Ênfase6 2" xfId="9253"/>
    <cellStyle name="Ênfase6 2 10" xfId="9254"/>
    <cellStyle name="Ênfase6 2 10 2" xfId="9255"/>
    <cellStyle name="Ênfase6 2 10 3" xfId="9256"/>
    <cellStyle name="Ênfase6 2 10 4" xfId="9257"/>
    <cellStyle name="Ênfase6 2 10 5" xfId="9258"/>
    <cellStyle name="Ênfase6 2 10 6" xfId="9259"/>
    <cellStyle name="Ênfase6 2 10 7" xfId="9260"/>
    <cellStyle name="Ênfase6 2 11" xfId="9261"/>
    <cellStyle name="Ênfase6 2 11 2" xfId="9262"/>
    <cellStyle name="Ênfase6 2 11 3" xfId="9263"/>
    <cellStyle name="Ênfase6 2 11 4" xfId="9264"/>
    <cellStyle name="Ênfase6 2 11 5" xfId="9265"/>
    <cellStyle name="Ênfase6 2 11 6" xfId="9266"/>
    <cellStyle name="Ênfase6 2 11 7" xfId="9267"/>
    <cellStyle name="Ênfase6 2 12" xfId="9268"/>
    <cellStyle name="Ênfase6 2 13" xfId="9269"/>
    <cellStyle name="Ênfase6 2 14" xfId="9270"/>
    <cellStyle name="Ênfase6 2 15" xfId="9271"/>
    <cellStyle name="Ênfase6 2 16" xfId="9272"/>
    <cellStyle name="Ênfase6 2 17" xfId="9273"/>
    <cellStyle name="Ênfase6 2 18" xfId="9274"/>
    <cellStyle name="Ênfase6 2 19" xfId="9275"/>
    <cellStyle name="Ênfase6 2 2" xfId="9276"/>
    <cellStyle name="Ênfase6 2 20" xfId="9277"/>
    <cellStyle name="Ênfase6 2 21" xfId="9278"/>
    <cellStyle name="Ênfase6 2 22" xfId="9279"/>
    <cellStyle name="Ênfase6 2 23" xfId="9280"/>
    <cellStyle name="Ênfase6 2 24" xfId="9281"/>
    <cellStyle name="Ênfase6 2 25" xfId="9282"/>
    <cellStyle name="Ênfase6 2 26" xfId="9283"/>
    <cellStyle name="Ênfase6 2 27" xfId="9284"/>
    <cellStyle name="Ênfase6 2 28" xfId="9285"/>
    <cellStyle name="Ênfase6 2 29" xfId="9286"/>
    <cellStyle name="Ênfase6 2 3" xfId="9287"/>
    <cellStyle name="Ênfase6 2 30" xfId="9288"/>
    <cellStyle name="Ênfase6 2 31" xfId="9289"/>
    <cellStyle name="Ênfase6 2 32" xfId="9290"/>
    <cellStyle name="Ênfase6 2 33" xfId="9291"/>
    <cellStyle name="Ênfase6 2 34" xfId="9292"/>
    <cellStyle name="Ênfase6 2 35" xfId="9293"/>
    <cellStyle name="Ênfase6 2 4" xfId="9294"/>
    <cellStyle name="Ênfase6 2 5" xfId="9295"/>
    <cellStyle name="Ênfase6 2 6" xfId="9296"/>
    <cellStyle name="Ênfase6 2 7" xfId="9297"/>
    <cellStyle name="Ênfase6 2 8" xfId="9298"/>
    <cellStyle name="Ênfase6 2 8 2" xfId="9299"/>
    <cellStyle name="Ênfase6 2 8 3" xfId="9300"/>
    <cellStyle name="Ênfase6 2 8 4" xfId="9301"/>
    <cellStyle name="Ênfase6 2 8 5" xfId="9302"/>
    <cellStyle name="Ênfase6 2 8 6" xfId="9303"/>
    <cellStyle name="Ênfase6 2 8 7" xfId="9304"/>
    <cellStyle name="Ênfase6 2 9" xfId="9305"/>
    <cellStyle name="Ênfase6 2 9 2" xfId="9306"/>
    <cellStyle name="Ênfase6 2 9 3" xfId="9307"/>
    <cellStyle name="Ênfase6 2 9 4" xfId="9308"/>
    <cellStyle name="Ênfase6 2 9 5" xfId="9309"/>
    <cellStyle name="Ênfase6 2 9 6" xfId="9310"/>
    <cellStyle name="Ênfase6 2 9 7" xfId="9311"/>
    <cellStyle name="Ênfase6 20" xfId="9312"/>
    <cellStyle name="Ênfase6 20 2" xfId="9313"/>
    <cellStyle name="Ênfase6 20 3" xfId="9314"/>
    <cellStyle name="Ênfase6 21" xfId="9315"/>
    <cellStyle name="Ênfase6 22" xfId="9316"/>
    <cellStyle name="Ênfase6 23" xfId="9317"/>
    <cellStyle name="Ênfase6 24" xfId="9318"/>
    <cellStyle name="Ênfase6 24 2" xfId="40969"/>
    <cellStyle name="Ênfase6 25" xfId="9319"/>
    <cellStyle name="Ênfase6 25 2" xfId="41004"/>
    <cellStyle name="Ênfase6 26" xfId="9320"/>
    <cellStyle name="Ênfase6 26 10" xfId="9321"/>
    <cellStyle name="Ênfase6 26 11" xfId="9322"/>
    <cellStyle name="Ênfase6 26 12" xfId="9323"/>
    <cellStyle name="Ênfase6 26 13" xfId="9324"/>
    <cellStyle name="Ênfase6 26 14" xfId="9325"/>
    <cellStyle name="Ênfase6 26 15" xfId="9326"/>
    <cellStyle name="Ênfase6 26 16" xfId="9327"/>
    <cellStyle name="Ênfase6 26 2" xfId="9328"/>
    <cellStyle name="Ênfase6 26 3" xfId="9329"/>
    <cellStyle name="Ênfase6 26 4" xfId="9330"/>
    <cellStyle name="Ênfase6 26 5" xfId="9331"/>
    <cellStyle name="Ênfase6 26 6" xfId="9332"/>
    <cellStyle name="Ênfase6 26 7" xfId="9333"/>
    <cellStyle name="Ênfase6 26 8" xfId="9334"/>
    <cellStyle name="Ênfase6 26 9" xfId="9335"/>
    <cellStyle name="Ênfase6 27" xfId="9336"/>
    <cellStyle name="Ênfase6 27 10" xfId="9337"/>
    <cellStyle name="Ênfase6 27 11" xfId="9338"/>
    <cellStyle name="Ênfase6 27 12" xfId="9339"/>
    <cellStyle name="Ênfase6 27 13" xfId="9340"/>
    <cellStyle name="Ênfase6 27 14" xfId="9341"/>
    <cellStyle name="Ênfase6 27 15" xfId="9342"/>
    <cellStyle name="Ênfase6 27 16" xfId="9343"/>
    <cellStyle name="Ênfase6 27 2" xfId="9344"/>
    <cellStyle name="Ênfase6 27 3" xfId="9345"/>
    <cellStyle name="Ênfase6 27 4" xfId="9346"/>
    <cellStyle name="Ênfase6 27 5" xfId="9347"/>
    <cellStyle name="Ênfase6 27 6" xfId="9348"/>
    <cellStyle name="Ênfase6 27 7" xfId="9349"/>
    <cellStyle name="Ênfase6 27 8" xfId="9350"/>
    <cellStyle name="Ênfase6 27 9" xfId="9351"/>
    <cellStyle name="Ênfase6 28" xfId="9352"/>
    <cellStyle name="Ênfase6 28 10" xfId="9353"/>
    <cellStyle name="Ênfase6 28 11" xfId="9354"/>
    <cellStyle name="Ênfase6 28 12" xfId="9355"/>
    <cellStyle name="Ênfase6 28 13" xfId="9356"/>
    <cellStyle name="Ênfase6 28 14" xfId="9357"/>
    <cellStyle name="Ênfase6 28 15" xfId="9358"/>
    <cellStyle name="Ênfase6 28 16" xfId="9359"/>
    <cellStyle name="Ênfase6 28 2" xfId="9360"/>
    <cellStyle name="Ênfase6 28 3" xfId="9361"/>
    <cellStyle name="Ênfase6 28 4" xfId="9362"/>
    <cellStyle name="Ênfase6 28 5" xfId="9363"/>
    <cellStyle name="Ênfase6 28 6" xfId="9364"/>
    <cellStyle name="Ênfase6 28 7" xfId="9365"/>
    <cellStyle name="Ênfase6 28 8" xfId="9366"/>
    <cellStyle name="Ênfase6 28 9" xfId="9367"/>
    <cellStyle name="Ênfase6 29" xfId="9368"/>
    <cellStyle name="Ênfase6 29 10" xfId="9369"/>
    <cellStyle name="Ênfase6 29 11" xfId="9370"/>
    <cellStyle name="Ênfase6 29 12" xfId="9371"/>
    <cellStyle name="Ênfase6 29 13" xfId="9372"/>
    <cellStyle name="Ênfase6 29 14" xfId="9373"/>
    <cellStyle name="Ênfase6 29 15" xfId="9374"/>
    <cellStyle name="Ênfase6 29 16" xfId="9375"/>
    <cellStyle name="Ênfase6 29 2" xfId="9376"/>
    <cellStyle name="Ênfase6 29 3" xfId="9377"/>
    <cellStyle name="Ênfase6 29 4" xfId="9378"/>
    <cellStyle name="Ênfase6 29 5" xfId="9379"/>
    <cellStyle name="Ênfase6 29 6" xfId="9380"/>
    <cellStyle name="Ênfase6 29 7" xfId="9381"/>
    <cellStyle name="Ênfase6 29 8" xfId="9382"/>
    <cellStyle name="Ênfase6 29 9" xfId="9383"/>
    <cellStyle name="Ênfase6 3" xfId="9384"/>
    <cellStyle name="Ênfase6 3 10" xfId="9385"/>
    <cellStyle name="Ênfase6 3 11" xfId="9386"/>
    <cellStyle name="Ênfase6 3 2" xfId="9387"/>
    <cellStyle name="Ênfase6 3 3" xfId="9388"/>
    <cellStyle name="Ênfase6 3 4" xfId="9389"/>
    <cellStyle name="Ênfase6 3 5" xfId="9390"/>
    <cellStyle name="Ênfase6 3 6" xfId="9391"/>
    <cellStyle name="Ênfase6 3 7" xfId="9392"/>
    <cellStyle name="Ênfase6 3 8" xfId="9393"/>
    <cellStyle name="Ênfase6 3 9" xfId="9394"/>
    <cellStyle name="Ênfase6 30" xfId="9395"/>
    <cellStyle name="Ênfase6 31" xfId="9396"/>
    <cellStyle name="Ênfase6 32" xfId="9397"/>
    <cellStyle name="Ênfase6 33" xfId="9398"/>
    <cellStyle name="Ênfase6 34" xfId="9399"/>
    <cellStyle name="Ênfase6 35" xfId="9400"/>
    <cellStyle name="Ênfase6 36" xfId="9401"/>
    <cellStyle name="Ênfase6 37" xfId="9402"/>
    <cellStyle name="Ênfase6 38" xfId="9403"/>
    <cellStyle name="Ênfase6 39" xfId="9404"/>
    <cellStyle name="Ênfase6 4" xfId="9405"/>
    <cellStyle name="Ênfase6 4 10" xfId="9406"/>
    <cellStyle name="Ênfase6 4 11" xfId="9407"/>
    <cellStyle name="Ênfase6 4 2" xfId="9408"/>
    <cellStyle name="Ênfase6 4 3" xfId="9409"/>
    <cellStyle name="Ênfase6 4 4" xfId="9410"/>
    <cellStyle name="Ênfase6 4 5" xfId="9411"/>
    <cellStyle name="Ênfase6 4 6" xfId="9412"/>
    <cellStyle name="Ênfase6 4 7" xfId="9413"/>
    <cellStyle name="Ênfase6 4 8" xfId="9414"/>
    <cellStyle name="Ênfase6 4 9" xfId="9415"/>
    <cellStyle name="Ênfase6 40" xfId="9416"/>
    <cellStyle name="Ênfase6 41" xfId="9417"/>
    <cellStyle name="Ênfase6 42" xfId="9418"/>
    <cellStyle name="Ênfase6 43" xfId="9419"/>
    <cellStyle name="Ênfase6 44" xfId="9420"/>
    <cellStyle name="Ênfase6 45" xfId="9421"/>
    <cellStyle name="Ênfase6 46" xfId="9422"/>
    <cellStyle name="Ênfase6 47" xfId="9423"/>
    <cellStyle name="Ênfase6 48" xfId="9424"/>
    <cellStyle name="Ênfase6 49" xfId="9425"/>
    <cellStyle name="Ênfase6 5" xfId="9426"/>
    <cellStyle name="Ênfase6 5 2" xfId="9427"/>
    <cellStyle name="Ênfase6 5 3" xfId="9428"/>
    <cellStyle name="Ênfase6 5 4" xfId="9429"/>
    <cellStyle name="Ênfase6 50" xfId="9430"/>
    <cellStyle name="Ênfase6 51" xfId="9431"/>
    <cellStyle name="Ênfase6 52" xfId="9432"/>
    <cellStyle name="Ênfase6 53" xfId="9433"/>
    <cellStyle name="Ênfase6 54" xfId="9434"/>
    <cellStyle name="Ênfase6 55" xfId="9435"/>
    <cellStyle name="Ênfase6 56" xfId="9436"/>
    <cellStyle name="Ênfase6 57" xfId="9437"/>
    <cellStyle name="Ênfase6 58" xfId="9438"/>
    <cellStyle name="Ênfase6 59" xfId="9439"/>
    <cellStyle name="Ênfase6 6" xfId="9440"/>
    <cellStyle name="Ênfase6 6 2" xfId="9441"/>
    <cellStyle name="Ênfase6 6 3" xfId="9442"/>
    <cellStyle name="Ênfase6 6 4" xfId="9443"/>
    <cellStyle name="Ênfase6 60" xfId="9444"/>
    <cellStyle name="Ênfase6 61" xfId="9445"/>
    <cellStyle name="Ênfase6 62" xfId="9446"/>
    <cellStyle name="Ênfase6 63" xfId="9447"/>
    <cellStyle name="Ênfase6 64" xfId="9448"/>
    <cellStyle name="Ênfase6 65" xfId="9449"/>
    <cellStyle name="Ênfase6 66" xfId="9450"/>
    <cellStyle name="Ênfase6 67" xfId="9451"/>
    <cellStyle name="Ênfase6 68" xfId="9452"/>
    <cellStyle name="Ênfase6 69" xfId="9453"/>
    <cellStyle name="Ênfase6 7" xfId="9454"/>
    <cellStyle name="Ênfase6 7 2" xfId="9455"/>
    <cellStyle name="Ênfase6 7 3" xfId="9456"/>
    <cellStyle name="Ênfase6 7 4" xfId="9457"/>
    <cellStyle name="Ênfase6 70" xfId="9458"/>
    <cellStyle name="Ênfase6 71" xfId="9459"/>
    <cellStyle name="Ênfase6 72" xfId="9460"/>
    <cellStyle name="Ênfase6 73" xfId="9461"/>
    <cellStyle name="Ênfase6 74" xfId="9462"/>
    <cellStyle name="Ênfase6 75" xfId="9463"/>
    <cellStyle name="Ênfase6 76" xfId="9464"/>
    <cellStyle name="Ênfase6 77" xfId="9465"/>
    <cellStyle name="Ênfase6 78" xfId="9466"/>
    <cellStyle name="Ênfase6 79" xfId="9467"/>
    <cellStyle name="Ênfase6 8" xfId="9468"/>
    <cellStyle name="Ênfase6 8 2" xfId="9469"/>
    <cellStyle name="Ênfase6 8 3" xfId="9470"/>
    <cellStyle name="Ênfase6 8 4" xfId="9471"/>
    <cellStyle name="Ênfase6 80" xfId="9472"/>
    <cellStyle name="Ênfase6 81" xfId="9473"/>
    <cellStyle name="Ênfase6 82" xfId="9474"/>
    <cellStyle name="Ênfase6 83" xfId="9475"/>
    <cellStyle name="Ênfase6 84" xfId="9476"/>
    <cellStyle name="Ênfase6 85" xfId="9477"/>
    <cellStyle name="Ênfase6 86" xfId="9478"/>
    <cellStyle name="Ênfase6 87" xfId="9479"/>
    <cellStyle name="Ênfase6 88" xfId="9480"/>
    <cellStyle name="Ênfase6 89" xfId="9481"/>
    <cellStyle name="Ênfase6 9" xfId="9482"/>
    <cellStyle name="Ênfase6 90" xfId="9483"/>
    <cellStyle name="Ênfase6 91" xfId="9484"/>
    <cellStyle name="Ênfase6 92" xfId="9485"/>
    <cellStyle name="Ênfase6 93" xfId="9486"/>
    <cellStyle name="Ênfase6 94" xfId="9487"/>
    <cellStyle name="Ênfase6 95" xfId="9488"/>
    <cellStyle name="Ênfase6 96" xfId="9489"/>
    <cellStyle name="Ênfase6 97" xfId="9490"/>
    <cellStyle name="Ênfase6 98" xfId="9491"/>
    <cellStyle name="Ênfase6 99" xfId="9492"/>
    <cellStyle name="Entrada 10" xfId="9493"/>
    <cellStyle name="Entrada 10 2" xfId="29142"/>
    <cellStyle name="Entrada 100" xfId="9494"/>
    <cellStyle name="Entrada 100 2" xfId="29692"/>
    <cellStyle name="Entrada 101" xfId="9495"/>
    <cellStyle name="Entrada 101 2" xfId="29693"/>
    <cellStyle name="Entrada 102" xfId="9496"/>
    <cellStyle name="Entrada 102 2" xfId="29694"/>
    <cellStyle name="Entrada 103" xfId="9497"/>
    <cellStyle name="Entrada 103 2" xfId="29695"/>
    <cellStyle name="Entrada 104" xfId="9498"/>
    <cellStyle name="Entrada 104 2" xfId="29696"/>
    <cellStyle name="Entrada 105" xfId="9499"/>
    <cellStyle name="Entrada 105 2" xfId="29697"/>
    <cellStyle name="Entrada 106" xfId="9500"/>
    <cellStyle name="Entrada 106 2" xfId="29698"/>
    <cellStyle name="Entrada 107" xfId="9501"/>
    <cellStyle name="Entrada 107 2" xfId="29699"/>
    <cellStyle name="Entrada 108" xfId="9502"/>
    <cellStyle name="Entrada 108 2" xfId="29700"/>
    <cellStyle name="Entrada 109" xfId="9503"/>
    <cellStyle name="Entrada 109 2" xfId="29701"/>
    <cellStyle name="Entrada 11" xfId="9504"/>
    <cellStyle name="Entrada 11 2" xfId="29143"/>
    <cellStyle name="Entrada 110" xfId="9505"/>
    <cellStyle name="Entrada 110 2" xfId="29702"/>
    <cellStyle name="Entrada 111" xfId="9506"/>
    <cellStyle name="Entrada 111 2" xfId="29703"/>
    <cellStyle name="Entrada 112" xfId="9507"/>
    <cellStyle name="Entrada 112 2" xfId="29704"/>
    <cellStyle name="Entrada 113" xfId="9508"/>
    <cellStyle name="Entrada 113 2" xfId="29705"/>
    <cellStyle name="Entrada 114" xfId="9509"/>
    <cellStyle name="Entrada 114 2" xfId="29706"/>
    <cellStyle name="Entrada 115" xfId="9510"/>
    <cellStyle name="Entrada 115 2" xfId="29707"/>
    <cellStyle name="Entrada 116" xfId="9511"/>
    <cellStyle name="Entrada 116 2" xfId="29708"/>
    <cellStyle name="Entrada 117" xfId="9512"/>
    <cellStyle name="Entrada 117 2" xfId="29709"/>
    <cellStyle name="Entrada 118" xfId="9513"/>
    <cellStyle name="Entrada 118 2" xfId="29710"/>
    <cellStyle name="Entrada 119" xfId="9514"/>
    <cellStyle name="Entrada 119 2" xfId="29711"/>
    <cellStyle name="Entrada 12" xfId="9515"/>
    <cellStyle name="Entrada 12 2" xfId="29144"/>
    <cellStyle name="Entrada 120" xfId="9516"/>
    <cellStyle name="Entrada 120 2" xfId="29712"/>
    <cellStyle name="Entrada 121" xfId="9517"/>
    <cellStyle name="Entrada 121 2" xfId="29713"/>
    <cellStyle name="Entrada 122" xfId="9518"/>
    <cellStyle name="Entrada 122 2" xfId="29714"/>
    <cellStyle name="Entrada 123" xfId="9519"/>
    <cellStyle name="Entrada 123 2" xfId="29715"/>
    <cellStyle name="Entrada 124" xfId="9520"/>
    <cellStyle name="Entrada 124 2" xfId="29716"/>
    <cellStyle name="Entrada 125" xfId="9521"/>
    <cellStyle name="Entrada 125 2" xfId="29717"/>
    <cellStyle name="Entrada 126" xfId="9522"/>
    <cellStyle name="Entrada 126 2" xfId="29718"/>
    <cellStyle name="Entrada 127" xfId="9523"/>
    <cellStyle name="Entrada 127 2" xfId="29719"/>
    <cellStyle name="Entrada 128" xfId="9524"/>
    <cellStyle name="Entrada 128 2" xfId="29720"/>
    <cellStyle name="Entrada 129" xfId="9525"/>
    <cellStyle name="Entrada 129 2" xfId="29721"/>
    <cellStyle name="Entrada 13" xfId="9526"/>
    <cellStyle name="Entrada 13 2" xfId="29145"/>
    <cellStyle name="Entrada 130" xfId="9527"/>
    <cellStyle name="Entrada 130 2" xfId="29722"/>
    <cellStyle name="Entrada 131" xfId="9528"/>
    <cellStyle name="Entrada 131 2" xfId="29723"/>
    <cellStyle name="Entrada 132" xfId="9529"/>
    <cellStyle name="Entrada 132 2" xfId="29724"/>
    <cellStyle name="Entrada 133" xfId="9530"/>
    <cellStyle name="Entrada 133 2" xfId="29725"/>
    <cellStyle name="Entrada 134" xfId="9531"/>
    <cellStyle name="Entrada 134 2" xfId="29726"/>
    <cellStyle name="Entrada 135" xfId="9532"/>
    <cellStyle name="Entrada 135 2" xfId="29727"/>
    <cellStyle name="Entrada 136" xfId="9533"/>
    <cellStyle name="Entrada 136 2" xfId="29728"/>
    <cellStyle name="Entrada 137" xfId="9534"/>
    <cellStyle name="Entrada 137 2" xfId="29729"/>
    <cellStyle name="Entrada 138" xfId="9535"/>
    <cellStyle name="Entrada 138 2" xfId="29730"/>
    <cellStyle name="Entrada 139" xfId="9536"/>
    <cellStyle name="Entrada 139 2" xfId="29731"/>
    <cellStyle name="Entrada 14" xfId="9537"/>
    <cellStyle name="Entrada 14 2" xfId="29146"/>
    <cellStyle name="Entrada 140" xfId="9538"/>
    <cellStyle name="Entrada 140 2" xfId="29732"/>
    <cellStyle name="Entrada 141" xfId="9539"/>
    <cellStyle name="Entrada 141 2" xfId="29733"/>
    <cellStyle name="Entrada 142" xfId="9540"/>
    <cellStyle name="Entrada 142 2" xfId="29734"/>
    <cellStyle name="Entrada 143" xfId="9541"/>
    <cellStyle name="Entrada 143 2" xfId="29735"/>
    <cellStyle name="Entrada 144" xfId="9542"/>
    <cellStyle name="Entrada 144 2" xfId="29736"/>
    <cellStyle name="Entrada 145" xfId="9543"/>
    <cellStyle name="Entrada 145 2" xfId="29737"/>
    <cellStyle name="Entrada 146" xfId="9544"/>
    <cellStyle name="Entrada 146 2" xfId="29738"/>
    <cellStyle name="Entrada 147" xfId="9545"/>
    <cellStyle name="Entrada 147 2" xfId="29739"/>
    <cellStyle name="Entrada 148" xfId="9546"/>
    <cellStyle name="Entrada 148 2" xfId="29740"/>
    <cellStyle name="Entrada 149" xfId="9547"/>
    <cellStyle name="Entrada 149 2" xfId="29741"/>
    <cellStyle name="Entrada 15" xfId="9548"/>
    <cellStyle name="Entrada 15 2" xfId="9549"/>
    <cellStyle name="Entrada 15 2 2" xfId="29742"/>
    <cellStyle name="Entrada 15 3" xfId="9550"/>
    <cellStyle name="Entrada 15 3 2" xfId="29743"/>
    <cellStyle name="Entrada 15 4" xfId="29147"/>
    <cellStyle name="Entrada 150" xfId="9551"/>
    <cellStyle name="Entrada 150 2" xfId="29744"/>
    <cellStyle name="Entrada 151" xfId="9552"/>
    <cellStyle name="Entrada 151 2" xfId="29745"/>
    <cellStyle name="Entrada 152" xfId="9553"/>
    <cellStyle name="Entrada 152 2" xfId="29746"/>
    <cellStyle name="Entrada 153" xfId="9554"/>
    <cellStyle name="Entrada 153 2" xfId="29747"/>
    <cellStyle name="Entrada 154" xfId="9555"/>
    <cellStyle name="Entrada 154 2" xfId="29748"/>
    <cellStyle name="Entrada 155" xfId="9556"/>
    <cellStyle name="Entrada 155 2" xfId="29749"/>
    <cellStyle name="Entrada 156" xfId="9557"/>
    <cellStyle name="Entrada 156 2" xfId="29750"/>
    <cellStyle name="Entrada 157" xfId="9558"/>
    <cellStyle name="Entrada 157 2" xfId="29751"/>
    <cellStyle name="Entrada 158" xfId="9559"/>
    <cellStyle name="Entrada 158 2" xfId="29752"/>
    <cellStyle name="Entrada 159" xfId="9560"/>
    <cellStyle name="Entrada 159 2" xfId="29753"/>
    <cellStyle name="Entrada 16" xfId="9561"/>
    <cellStyle name="Entrada 16 2" xfId="9562"/>
    <cellStyle name="Entrada 16 2 2" xfId="29754"/>
    <cellStyle name="Entrada 16 3" xfId="9563"/>
    <cellStyle name="Entrada 16 3 2" xfId="29755"/>
    <cellStyle name="Entrada 16 4" xfId="29148"/>
    <cellStyle name="Entrada 160" xfId="9564"/>
    <cellStyle name="Entrada 160 2" xfId="29756"/>
    <cellStyle name="Entrada 161" xfId="9565"/>
    <cellStyle name="Entrada 161 2" xfId="29757"/>
    <cellStyle name="Entrada 162" xfId="9566"/>
    <cellStyle name="Entrada 162 2" xfId="29758"/>
    <cellStyle name="Entrada 163" xfId="9567"/>
    <cellStyle name="Entrada 163 2" xfId="29759"/>
    <cellStyle name="Entrada 164" xfId="9568"/>
    <cellStyle name="Entrada 164 2" xfId="29760"/>
    <cellStyle name="Entrada 165" xfId="9569"/>
    <cellStyle name="Entrada 165 2" xfId="29761"/>
    <cellStyle name="Entrada 166" xfId="9570"/>
    <cellStyle name="Entrada 166 2" xfId="29762"/>
    <cellStyle name="Entrada 167" xfId="9571"/>
    <cellStyle name="Entrada 167 2" xfId="29763"/>
    <cellStyle name="Entrada 168" xfId="9572"/>
    <cellStyle name="Entrada 168 2" xfId="29764"/>
    <cellStyle name="Entrada 169" xfId="9573"/>
    <cellStyle name="Entrada 169 2" xfId="29765"/>
    <cellStyle name="Entrada 17" xfId="9574"/>
    <cellStyle name="Entrada 17 2" xfId="9575"/>
    <cellStyle name="Entrada 17 2 2" xfId="29766"/>
    <cellStyle name="Entrada 17 3" xfId="9576"/>
    <cellStyle name="Entrada 17 3 2" xfId="29767"/>
    <cellStyle name="Entrada 17 4" xfId="29149"/>
    <cellStyle name="Entrada 170" xfId="9577"/>
    <cellStyle name="Entrada 170 2" xfId="29768"/>
    <cellStyle name="Entrada 171" xfId="9578"/>
    <cellStyle name="Entrada 171 2" xfId="29769"/>
    <cellStyle name="Entrada 172" xfId="9579"/>
    <cellStyle name="Entrada 172 2" xfId="29770"/>
    <cellStyle name="Entrada 173" xfId="9580"/>
    <cellStyle name="Entrada 173 2" xfId="29771"/>
    <cellStyle name="Entrada 174" xfId="9581"/>
    <cellStyle name="Entrada 174 2" xfId="29772"/>
    <cellStyle name="Entrada 175" xfId="9582"/>
    <cellStyle name="Entrada 175 2" xfId="29773"/>
    <cellStyle name="Entrada 176" xfId="9583"/>
    <cellStyle name="Entrada 176 2" xfId="29774"/>
    <cellStyle name="Entrada 177" xfId="9584"/>
    <cellStyle name="Entrada 177 2" xfId="29775"/>
    <cellStyle name="Entrada 178" xfId="9585"/>
    <cellStyle name="Entrada 178 2" xfId="29776"/>
    <cellStyle name="Entrada 179" xfId="9586"/>
    <cellStyle name="Entrada 179 2" xfId="29777"/>
    <cellStyle name="Entrada 18" xfId="9587"/>
    <cellStyle name="Entrada 18 2" xfId="9588"/>
    <cellStyle name="Entrada 18 2 2" xfId="29778"/>
    <cellStyle name="Entrada 18 3" xfId="9589"/>
    <cellStyle name="Entrada 18 3 2" xfId="29779"/>
    <cellStyle name="Entrada 18 4" xfId="29150"/>
    <cellStyle name="Entrada 180" xfId="9590"/>
    <cellStyle name="Entrada 180 2" xfId="29780"/>
    <cellStyle name="Entrada 181" xfId="9591"/>
    <cellStyle name="Entrada 181 2" xfId="29781"/>
    <cellStyle name="Entrada 182" xfId="9592"/>
    <cellStyle name="Entrada 182 2" xfId="29782"/>
    <cellStyle name="Entrada 183" xfId="9593"/>
    <cellStyle name="Entrada 183 2" xfId="29783"/>
    <cellStyle name="Entrada 184" xfId="9594"/>
    <cellStyle name="Entrada 184 2" xfId="29784"/>
    <cellStyle name="Entrada 185" xfId="9595"/>
    <cellStyle name="Entrada 185 2" xfId="29785"/>
    <cellStyle name="Entrada 186" xfId="9596"/>
    <cellStyle name="Entrada 186 2" xfId="29786"/>
    <cellStyle name="Entrada 187" xfId="9597"/>
    <cellStyle name="Entrada 187 2" xfId="29787"/>
    <cellStyle name="Entrada 188" xfId="9598"/>
    <cellStyle name="Entrada 188 2" xfId="29788"/>
    <cellStyle name="Entrada 189" xfId="9599"/>
    <cellStyle name="Entrada 189 2" xfId="29789"/>
    <cellStyle name="Entrada 19" xfId="9600"/>
    <cellStyle name="Entrada 19 2" xfId="9601"/>
    <cellStyle name="Entrada 19 2 2" xfId="29790"/>
    <cellStyle name="Entrada 19 3" xfId="9602"/>
    <cellStyle name="Entrada 19 3 2" xfId="29791"/>
    <cellStyle name="Entrada 19 4" xfId="29151"/>
    <cellStyle name="Entrada 190" xfId="9603"/>
    <cellStyle name="Entrada 190 2" xfId="29792"/>
    <cellStyle name="Entrada 2" xfId="9604"/>
    <cellStyle name="Entrada 2 10" xfId="9605"/>
    <cellStyle name="Entrada 2 10 2" xfId="9606"/>
    <cellStyle name="Entrada 2 10 2 2" xfId="29794"/>
    <cellStyle name="Entrada 2 10 3" xfId="9607"/>
    <cellStyle name="Entrada 2 10 3 2" xfId="29795"/>
    <cellStyle name="Entrada 2 10 4" xfId="9608"/>
    <cellStyle name="Entrada 2 10 4 2" xfId="29796"/>
    <cellStyle name="Entrada 2 10 5" xfId="9609"/>
    <cellStyle name="Entrada 2 10 5 2" xfId="29797"/>
    <cellStyle name="Entrada 2 10 6" xfId="9610"/>
    <cellStyle name="Entrada 2 10 6 2" xfId="29798"/>
    <cellStyle name="Entrada 2 10 7" xfId="9611"/>
    <cellStyle name="Entrada 2 10 7 2" xfId="29799"/>
    <cellStyle name="Entrada 2 10 8" xfId="29793"/>
    <cellStyle name="Entrada 2 11" xfId="9612"/>
    <cellStyle name="Entrada 2 11 2" xfId="9613"/>
    <cellStyle name="Entrada 2 11 2 2" xfId="29801"/>
    <cellStyle name="Entrada 2 11 3" xfId="9614"/>
    <cellStyle name="Entrada 2 11 3 2" xfId="29802"/>
    <cellStyle name="Entrada 2 11 4" xfId="9615"/>
    <cellStyle name="Entrada 2 11 4 2" xfId="29803"/>
    <cellStyle name="Entrada 2 11 5" xfId="9616"/>
    <cellStyle name="Entrada 2 11 5 2" xfId="29804"/>
    <cellStyle name="Entrada 2 11 6" xfId="9617"/>
    <cellStyle name="Entrada 2 11 6 2" xfId="29805"/>
    <cellStyle name="Entrada 2 11 7" xfId="9618"/>
    <cellStyle name="Entrada 2 11 7 2" xfId="29806"/>
    <cellStyle name="Entrada 2 11 8" xfId="29800"/>
    <cellStyle name="Entrada 2 12" xfId="9619"/>
    <cellStyle name="Entrada 2 12 2" xfId="29807"/>
    <cellStyle name="Entrada 2 13" xfId="9620"/>
    <cellStyle name="Entrada 2 13 2" xfId="29808"/>
    <cellStyle name="Entrada 2 14" xfId="9621"/>
    <cellStyle name="Entrada 2 14 2" xfId="29809"/>
    <cellStyle name="Entrada 2 15" xfId="9622"/>
    <cellStyle name="Entrada 2 15 2" xfId="29810"/>
    <cellStyle name="Entrada 2 16" xfId="9623"/>
    <cellStyle name="Entrada 2 16 2" xfId="29811"/>
    <cellStyle name="Entrada 2 17" xfId="9624"/>
    <cellStyle name="Entrada 2 17 2" xfId="29812"/>
    <cellStyle name="Entrada 2 18" xfId="9625"/>
    <cellStyle name="Entrada 2 18 2" xfId="29813"/>
    <cellStyle name="Entrada 2 19" xfId="9626"/>
    <cellStyle name="Entrada 2 19 2" xfId="29814"/>
    <cellStyle name="Entrada 2 2" xfId="9627"/>
    <cellStyle name="Entrada 2 2 2" xfId="29152"/>
    <cellStyle name="Entrada 2 20" xfId="9628"/>
    <cellStyle name="Entrada 2 20 2" xfId="29815"/>
    <cellStyle name="Entrada 2 21" xfId="9629"/>
    <cellStyle name="Entrada 2 21 2" xfId="29816"/>
    <cellStyle name="Entrada 2 22" xfId="9630"/>
    <cellStyle name="Entrada 2 22 2" xfId="29817"/>
    <cellStyle name="Entrada 2 23" xfId="9631"/>
    <cellStyle name="Entrada 2 23 2" xfId="29818"/>
    <cellStyle name="Entrada 2 24" xfId="9632"/>
    <cellStyle name="Entrada 2 24 2" xfId="29819"/>
    <cellStyle name="Entrada 2 25" xfId="9633"/>
    <cellStyle name="Entrada 2 25 2" xfId="29820"/>
    <cellStyle name="Entrada 2 26" xfId="9634"/>
    <cellStyle name="Entrada 2 26 2" xfId="29821"/>
    <cellStyle name="Entrada 2 27" xfId="9635"/>
    <cellStyle name="Entrada 2 27 2" xfId="29822"/>
    <cellStyle name="Entrada 2 28" xfId="9636"/>
    <cellStyle name="Entrada 2 28 2" xfId="29823"/>
    <cellStyle name="Entrada 2 29" xfId="9637"/>
    <cellStyle name="Entrada 2 29 2" xfId="29824"/>
    <cellStyle name="Entrada 2 3" xfId="9638"/>
    <cellStyle name="Entrada 2 3 2" xfId="29153"/>
    <cellStyle name="Entrada 2 30" xfId="9639"/>
    <cellStyle name="Entrada 2 30 2" xfId="29825"/>
    <cellStyle name="Entrada 2 31" xfId="9640"/>
    <cellStyle name="Entrada 2 31 2" xfId="29826"/>
    <cellStyle name="Entrada 2 32" xfId="9641"/>
    <cellStyle name="Entrada 2 32 2" xfId="29827"/>
    <cellStyle name="Entrada 2 33" xfId="9642"/>
    <cellStyle name="Entrada 2 33 2" xfId="29828"/>
    <cellStyle name="Entrada 2 34" xfId="9643"/>
    <cellStyle name="Entrada 2 34 2" xfId="29829"/>
    <cellStyle name="Entrada 2 35" xfId="9644"/>
    <cellStyle name="Entrada 2 35 2" xfId="29830"/>
    <cellStyle name="Entrada 2 36" xfId="29391"/>
    <cellStyle name="Entrada 2 4" xfId="9645"/>
    <cellStyle name="Entrada 2 4 2" xfId="29154"/>
    <cellStyle name="Entrada 2 5" xfId="9646"/>
    <cellStyle name="Entrada 2 5 2" xfId="29155"/>
    <cellStyle name="Entrada 2 6" xfId="9647"/>
    <cellStyle name="Entrada 2 6 2" xfId="29156"/>
    <cellStyle name="Entrada 2 7" xfId="9648"/>
    <cellStyle name="Entrada 2 7 2" xfId="29157"/>
    <cellStyle name="Entrada 2 8" xfId="9649"/>
    <cellStyle name="Entrada 2 8 2" xfId="9650"/>
    <cellStyle name="Entrada 2 8 2 2" xfId="29832"/>
    <cellStyle name="Entrada 2 8 3" xfId="9651"/>
    <cellStyle name="Entrada 2 8 3 2" xfId="29833"/>
    <cellStyle name="Entrada 2 8 4" xfId="9652"/>
    <cellStyle name="Entrada 2 8 4 2" xfId="29834"/>
    <cellStyle name="Entrada 2 8 5" xfId="9653"/>
    <cellStyle name="Entrada 2 8 5 2" xfId="29835"/>
    <cellStyle name="Entrada 2 8 6" xfId="9654"/>
    <cellStyle name="Entrada 2 8 6 2" xfId="29836"/>
    <cellStyle name="Entrada 2 8 7" xfId="9655"/>
    <cellStyle name="Entrada 2 8 7 2" xfId="29837"/>
    <cellStyle name="Entrada 2 8 8" xfId="29831"/>
    <cellStyle name="Entrada 2 9" xfId="9656"/>
    <cellStyle name="Entrada 2 9 2" xfId="9657"/>
    <cellStyle name="Entrada 2 9 2 2" xfId="29839"/>
    <cellStyle name="Entrada 2 9 3" xfId="9658"/>
    <cellStyle name="Entrada 2 9 3 2" xfId="29840"/>
    <cellStyle name="Entrada 2 9 4" xfId="9659"/>
    <cellStyle name="Entrada 2 9 4 2" xfId="29841"/>
    <cellStyle name="Entrada 2 9 5" xfId="9660"/>
    <cellStyle name="Entrada 2 9 5 2" xfId="29842"/>
    <cellStyle name="Entrada 2 9 6" xfId="9661"/>
    <cellStyle name="Entrada 2 9 6 2" xfId="29843"/>
    <cellStyle name="Entrada 2 9 7" xfId="9662"/>
    <cellStyle name="Entrada 2 9 7 2" xfId="29844"/>
    <cellStyle name="Entrada 2 9 8" xfId="29838"/>
    <cellStyle name="Entrada 20" xfId="9663"/>
    <cellStyle name="Entrada 20 2" xfId="9664"/>
    <cellStyle name="Entrada 20 2 2" xfId="29845"/>
    <cellStyle name="Entrada 20 3" xfId="9665"/>
    <cellStyle name="Entrada 20 3 2" xfId="29846"/>
    <cellStyle name="Entrada 20 4" xfId="29158"/>
    <cellStyle name="Entrada 21" xfId="9666"/>
    <cellStyle name="Entrada 21 2" xfId="29159"/>
    <cellStyle name="Entrada 22" xfId="9667"/>
    <cellStyle name="Entrada 22 2" xfId="29160"/>
    <cellStyle name="Entrada 23" xfId="9668"/>
    <cellStyle name="Entrada 23 2" xfId="29161"/>
    <cellStyle name="Entrada 24" xfId="9669"/>
    <cellStyle name="Entrada 24 2" xfId="29162"/>
    <cellStyle name="Entrada 24 2 2" xfId="40970"/>
    <cellStyle name="Entrada 25" xfId="9670"/>
    <cellStyle name="Entrada 25 2" xfId="29163"/>
    <cellStyle name="Entrada 25 2 2" xfId="41005"/>
    <cellStyle name="Entrada 26" xfId="9671"/>
    <cellStyle name="Entrada 26 10" xfId="9672"/>
    <cellStyle name="Entrada 26 10 2" xfId="29848"/>
    <cellStyle name="Entrada 26 11" xfId="9673"/>
    <cellStyle name="Entrada 26 11 2" xfId="29849"/>
    <cellStyle name="Entrada 26 12" xfId="9674"/>
    <cellStyle name="Entrada 26 12 2" xfId="29850"/>
    <cellStyle name="Entrada 26 13" xfId="9675"/>
    <cellStyle name="Entrada 26 13 2" xfId="29851"/>
    <cellStyle name="Entrada 26 14" xfId="9676"/>
    <cellStyle name="Entrada 26 14 2" xfId="29852"/>
    <cellStyle name="Entrada 26 15" xfId="9677"/>
    <cellStyle name="Entrada 26 15 2" xfId="29853"/>
    <cellStyle name="Entrada 26 16" xfId="9678"/>
    <cellStyle name="Entrada 26 16 2" xfId="29854"/>
    <cellStyle name="Entrada 26 17" xfId="29847"/>
    <cellStyle name="Entrada 26 2" xfId="9679"/>
    <cellStyle name="Entrada 26 2 2" xfId="29855"/>
    <cellStyle name="Entrada 26 3" xfId="9680"/>
    <cellStyle name="Entrada 26 3 2" xfId="29856"/>
    <cellStyle name="Entrada 26 4" xfId="9681"/>
    <cellStyle name="Entrada 26 4 2" xfId="29857"/>
    <cellStyle name="Entrada 26 5" xfId="9682"/>
    <cellStyle name="Entrada 26 5 2" xfId="29858"/>
    <cellStyle name="Entrada 26 6" xfId="9683"/>
    <cellStyle name="Entrada 26 6 2" xfId="29859"/>
    <cellStyle name="Entrada 26 7" xfId="9684"/>
    <cellStyle name="Entrada 26 7 2" xfId="29860"/>
    <cellStyle name="Entrada 26 8" xfId="9685"/>
    <cellStyle name="Entrada 26 8 2" xfId="29861"/>
    <cellStyle name="Entrada 26 9" xfId="9686"/>
    <cellStyle name="Entrada 26 9 2" xfId="29862"/>
    <cellStyle name="Entrada 27" xfId="9687"/>
    <cellStyle name="Entrada 27 10" xfId="9688"/>
    <cellStyle name="Entrada 27 10 2" xfId="29864"/>
    <cellStyle name="Entrada 27 11" xfId="9689"/>
    <cellStyle name="Entrada 27 11 2" xfId="29865"/>
    <cellStyle name="Entrada 27 12" xfId="9690"/>
    <cellStyle name="Entrada 27 12 2" xfId="29866"/>
    <cellStyle name="Entrada 27 13" xfId="9691"/>
    <cellStyle name="Entrada 27 13 2" xfId="29867"/>
    <cellStyle name="Entrada 27 14" xfId="9692"/>
    <cellStyle name="Entrada 27 14 2" xfId="29868"/>
    <cellStyle name="Entrada 27 15" xfId="9693"/>
    <cellStyle name="Entrada 27 15 2" xfId="29869"/>
    <cellStyle name="Entrada 27 16" xfId="9694"/>
    <cellStyle name="Entrada 27 16 2" xfId="29870"/>
    <cellStyle name="Entrada 27 17" xfId="29863"/>
    <cellStyle name="Entrada 27 2" xfId="9695"/>
    <cellStyle name="Entrada 27 2 2" xfId="29871"/>
    <cellStyle name="Entrada 27 3" xfId="9696"/>
    <cellStyle name="Entrada 27 3 2" xfId="29872"/>
    <cellStyle name="Entrada 27 4" xfId="9697"/>
    <cellStyle name="Entrada 27 4 2" xfId="29873"/>
    <cellStyle name="Entrada 27 5" xfId="9698"/>
    <cellStyle name="Entrada 27 5 2" xfId="29874"/>
    <cellStyle name="Entrada 27 6" xfId="9699"/>
    <cellStyle name="Entrada 27 6 2" xfId="29875"/>
    <cellStyle name="Entrada 27 7" xfId="9700"/>
    <cellStyle name="Entrada 27 7 2" xfId="29876"/>
    <cellStyle name="Entrada 27 8" xfId="9701"/>
    <cellStyle name="Entrada 27 8 2" xfId="29877"/>
    <cellStyle name="Entrada 27 9" xfId="9702"/>
    <cellStyle name="Entrada 27 9 2" xfId="29878"/>
    <cellStyle name="Entrada 28" xfId="9703"/>
    <cellStyle name="Entrada 28 10" xfId="9704"/>
    <cellStyle name="Entrada 28 10 2" xfId="29880"/>
    <cellStyle name="Entrada 28 11" xfId="9705"/>
    <cellStyle name="Entrada 28 11 2" xfId="29881"/>
    <cellStyle name="Entrada 28 12" xfId="9706"/>
    <cellStyle name="Entrada 28 12 2" xfId="29882"/>
    <cellStyle name="Entrada 28 13" xfId="9707"/>
    <cellStyle name="Entrada 28 13 2" xfId="29883"/>
    <cellStyle name="Entrada 28 14" xfId="9708"/>
    <cellStyle name="Entrada 28 14 2" xfId="29884"/>
    <cellStyle name="Entrada 28 15" xfId="9709"/>
    <cellStyle name="Entrada 28 15 2" xfId="29885"/>
    <cellStyle name="Entrada 28 16" xfId="9710"/>
    <cellStyle name="Entrada 28 16 2" xfId="29886"/>
    <cellStyle name="Entrada 28 17" xfId="29879"/>
    <cellStyle name="Entrada 28 2" xfId="9711"/>
    <cellStyle name="Entrada 28 2 2" xfId="29887"/>
    <cellStyle name="Entrada 28 3" xfId="9712"/>
    <cellStyle name="Entrada 28 3 2" xfId="29888"/>
    <cellStyle name="Entrada 28 4" xfId="9713"/>
    <cellStyle name="Entrada 28 4 2" xfId="29889"/>
    <cellStyle name="Entrada 28 5" xfId="9714"/>
    <cellStyle name="Entrada 28 5 2" xfId="29890"/>
    <cellStyle name="Entrada 28 6" xfId="9715"/>
    <cellStyle name="Entrada 28 6 2" xfId="29891"/>
    <cellStyle name="Entrada 28 7" xfId="9716"/>
    <cellStyle name="Entrada 28 7 2" xfId="29892"/>
    <cellStyle name="Entrada 28 8" xfId="9717"/>
    <cellStyle name="Entrada 28 8 2" xfId="29893"/>
    <cellStyle name="Entrada 28 9" xfId="9718"/>
    <cellStyle name="Entrada 28 9 2" xfId="29894"/>
    <cellStyle name="Entrada 29" xfId="9719"/>
    <cellStyle name="Entrada 29 10" xfId="9720"/>
    <cellStyle name="Entrada 29 10 2" xfId="29896"/>
    <cellStyle name="Entrada 29 11" xfId="9721"/>
    <cellStyle name="Entrada 29 11 2" xfId="29897"/>
    <cellStyle name="Entrada 29 12" xfId="9722"/>
    <cellStyle name="Entrada 29 12 2" xfId="29898"/>
    <cellStyle name="Entrada 29 13" xfId="9723"/>
    <cellStyle name="Entrada 29 13 2" xfId="29899"/>
    <cellStyle name="Entrada 29 14" xfId="9724"/>
    <cellStyle name="Entrada 29 14 2" xfId="29900"/>
    <cellStyle name="Entrada 29 15" xfId="9725"/>
    <cellStyle name="Entrada 29 15 2" xfId="29901"/>
    <cellStyle name="Entrada 29 16" xfId="9726"/>
    <cellStyle name="Entrada 29 16 2" xfId="29902"/>
    <cellStyle name="Entrada 29 17" xfId="29895"/>
    <cellStyle name="Entrada 29 2" xfId="9727"/>
    <cellStyle name="Entrada 29 2 2" xfId="29903"/>
    <cellStyle name="Entrada 29 3" xfId="9728"/>
    <cellStyle name="Entrada 29 3 2" xfId="29904"/>
    <cellStyle name="Entrada 29 4" xfId="9729"/>
    <cellStyle name="Entrada 29 4 2" xfId="29905"/>
    <cellStyle name="Entrada 29 5" xfId="9730"/>
    <cellStyle name="Entrada 29 5 2" xfId="29906"/>
    <cellStyle name="Entrada 29 6" xfId="9731"/>
    <cellStyle name="Entrada 29 6 2" xfId="29907"/>
    <cellStyle name="Entrada 29 7" xfId="9732"/>
    <cellStyle name="Entrada 29 7 2" xfId="29908"/>
    <cellStyle name="Entrada 29 8" xfId="9733"/>
    <cellStyle name="Entrada 29 8 2" xfId="29909"/>
    <cellStyle name="Entrada 29 9" xfId="9734"/>
    <cellStyle name="Entrada 29 9 2" xfId="29910"/>
    <cellStyle name="Entrada 3" xfId="9735"/>
    <cellStyle name="Entrada 3 10" xfId="9736"/>
    <cellStyle name="Entrada 3 10 2" xfId="29911"/>
    <cellStyle name="Entrada 3 11" xfId="9737"/>
    <cellStyle name="Entrada 3 11 2" xfId="29912"/>
    <cellStyle name="Entrada 3 2" xfId="9738"/>
    <cellStyle name="Entrada 3 2 2" xfId="29164"/>
    <cellStyle name="Entrada 3 3" xfId="9739"/>
    <cellStyle name="Entrada 3 3 2" xfId="29165"/>
    <cellStyle name="Entrada 3 4" xfId="9740"/>
    <cellStyle name="Entrada 3 4 2" xfId="29166"/>
    <cellStyle name="Entrada 3 5" xfId="9741"/>
    <cellStyle name="Entrada 3 5 2" xfId="29167"/>
    <cellStyle name="Entrada 3 6" xfId="9742"/>
    <cellStyle name="Entrada 3 6 2" xfId="29168"/>
    <cellStyle name="Entrada 3 7" xfId="9743"/>
    <cellStyle name="Entrada 3 7 2" xfId="29169"/>
    <cellStyle name="Entrada 3 8" xfId="9744"/>
    <cellStyle name="Entrada 3 8 2" xfId="29913"/>
    <cellStyle name="Entrada 3 9" xfId="9745"/>
    <cellStyle name="Entrada 3 9 2" xfId="29914"/>
    <cellStyle name="Entrada 30" xfId="9746"/>
    <cellStyle name="Entrada 30 2" xfId="29915"/>
    <cellStyle name="Entrada 31" xfId="9747"/>
    <cellStyle name="Entrada 31 2" xfId="29916"/>
    <cellStyle name="Entrada 32" xfId="9748"/>
    <cellStyle name="Entrada 32 2" xfId="29917"/>
    <cellStyle name="Entrada 33" xfId="9749"/>
    <cellStyle name="Entrada 33 2" xfId="29918"/>
    <cellStyle name="Entrada 34" xfId="9750"/>
    <cellStyle name="Entrada 34 2" xfId="29919"/>
    <cellStyle name="Entrada 35" xfId="9751"/>
    <cellStyle name="Entrada 35 2" xfId="29920"/>
    <cellStyle name="Entrada 36" xfId="9752"/>
    <cellStyle name="Entrada 36 2" xfId="29921"/>
    <cellStyle name="Entrada 37" xfId="9753"/>
    <cellStyle name="Entrada 37 2" xfId="29922"/>
    <cellStyle name="Entrada 38" xfId="9754"/>
    <cellStyle name="Entrada 38 2" xfId="29923"/>
    <cellStyle name="Entrada 39" xfId="9755"/>
    <cellStyle name="Entrada 39 2" xfId="29924"/>
    <cellStyle name="Entrada 4" xfId="9756"/>
    <cellStyle name="Entrada 4 10" xfId="9757"/>
    <cellStyle name="Entrada 4 10 2" xfId="29925"/>
    <cellStyle name="Entrada 4 11" xfId="9758"/>
    <cellStyle name="Entrada 4 11 2" xfId="29926"/>
    <cellStyle name="Entrada 4 2" xfId="9759"/>
    <cellStyle name="Entrada 4 2 2" xfId="29170"/>
    <cellStyle name="Entrada 4 3" xfId="9760"/>
    <cellStyle name="Entrada 4 3 2" xfId="29171"/>
    <cellStyle name="Entrada 4 4" xfId="9761"/>
    <cellStyle name="Entrada 4 4 2" xfId="29172"/>
    <cellStyle name="Entrada 4 5" xfId="9762"/>
    <cellStyle name="Entrada 4 5 2" xfId="29173"/>
    <cellStyle name="Entrada 4 6" xfId="9763"/>
    <cellStyle name="Entrada 4 6 2" xfId="29174"/>
    <cellStyle name="Entrada 4 7" xfId="9764"/>
    <cellStyle name="Entrada 4 7 2" xfId="29175"/>
    <cellStyle name="Entrada 4 8" xfId="9765"/>
    <cellStyle name="Entrada 4 8 2" xfId="29927"/>
    <cellStyle name="Entrada 4 9" xfId="9766"/>
    <cellStyle name="Entrada 4 9 2" xfId="29928"/>
    <cellStyle name="Entrada 40" xfId="9767"/>
    <cellStyle name="Entrada 40 2" xfId="29929"/>
    <cellStyle name="Entrada 41" xfId="9768"/>
    <cellStyle name="Entrada 41 2" xfId="29930"/>
    <cellStyle name="Entrada 42" xfId="9769"/>
    <cellStyle name="Entrada 42 2" xfId="29931"/>
    <cellStyle name="Entrada 43" xfId="9770"/>
    <cellStyle name="Entrada 43 2" xfId="29932"/>
    <cellStyle name="Entrada 44" xfId="9771"/>
    <cellStyle name="Entrada 44 2" xfId="29933"/>
    <cellStyle name="Entrada 45" xfId="9772"/>
    <cellStyle name="Entrada 45 2" xfId="29934"/>
    <cellStyle name="Entrada 46" xfId="9773"/>
    <cellStyle name="Entrada 46 2" xfId="29935"/>
    <cellStyle name="Entrada 47" xfId="9774"/>
    <cellStyle name="Entrada 47 2" xfId="29936"/>
    <cellStyle name="Entrada 48" xfId="9775"/>
    <cellStyle name="Entrada 48 2" xfId="29937"/>
    <cellStyle name="Entrada 49" xfId="9776"/>
    <cellStyle name="Entrada 49 2" xfId="29938"/>
    <cellStyle name="Entrada 5" xfId="9777"/>
    <cellStyle name="Entrada 5 2" xfId="9778"/>
    <cellStyle name="Entrada 5 2 2" xfId="29177"/>
    <cellStyle name="Entrada 5 3" xfId="9779"/>
    <cellStyle name="Entrada 5 3 2" xfId="29178"/>
    <cellStyle name="Entrada 5 4" xfId="9780"/>
    <cellStyle name="Entrada 5 4 2" xfId="29179"/>
    <cellStyle name="Entrada 5 5" xfId="29176"/>
    <cellStyle name="Entrada 50" xfId="9781"/>
    <cellStyle name="Entrada 50 2" xfId="29939"/>
    <cellStyle name="Entrada 51" xfId="9782"/>
    <cellStyle name="Entrada 51 2" xfId="29940"/>
    <cellStyle name="Entrada 52" xfId="9783"/>
    <cellStyle name="Entrada 52 2" xfId="29941"/>
    <cellStyle name="Entrada 53" xfId="9784"/>
    <cellStyle name="Entrada 53 2" xfId="29942"/>
    <cellStyle name="Entrada 54" xfId="9785"/>
    <cellStyle name="Entrada 54 2" xfId="29943"/>
    <cellStyle name="Entrada 55" xfId="9786"/>
    <cellStyle name="Entrada 55 2" xfId="29944"/>
    <cellStyle name="Entrada 56" xfId="9787"/>
    <cellStyle name="Entrada 56 2" xfId="29945"/>
    <cellStyle name="Entrada 57" xfId="9788"/>
    <cellStyle name="Entrada 57 2" xfId="29946"/>
    <cellStyle name="Entrada 58" xfId="9789"/>
    <cellStyle name="Entrada 58 2" xfId="29947"/>
    <cellStyle name="Entrada 59" xfId="9790"/>
    <cellStyle name="Entrada 59 2" xfId="29948"/>
    <cellStyle name="Entrada 6" xfId="39"/>
    <cellStyle name="Entrada 6 2" xfId="9791"/>
    <cellStyle name="Entrada 6 2 2" xfId="29181"/>
    <cellStyle name="Entrada 6 3" xfId="9792"/>
    <cellStyle name="Entrada 6 3 2" xfId="29182"/>
    <cellStyle name="Entrada 6 4" xfId="9793"/>
    <cellStyle name="Entrada 6 4 2" xfId="29183"/>
    <cellStyle name="Entrada 6 5" xfId="29180"/>
    <cellStyle name="Entrada 6 6" xfId="29377"/>
    <cellStyle name="Entrada 60" xfId="9794"/>
    <cellStyle name="Entrada 60 2" xfId="29949"/>
    <cellStyle name="Entrada 61" xfId="9795"/>
    <cellStyle name="Entrada 61 2" xfId="29950"/>
    <cellStyle name="Entrada 62" xfId="9796"/>
    <cellStyle name="Entrada 62 2" xfId="29951"/>
    <cellStyle name="Entrada 63" xfId="9797"/>
    <cellStyle name="Entrada 63 2" xfId="29952"/>
    <cellStyle name="Entrada 64" xfId="9798"/>
    <cellStyle name="Entrada 64 2" xfId="29953"/>
    <cellStyle name="Entrada 65" xfId="9799"/>
    <cellStyle name="Entrada 65 2" xfId="29954"/>
    <cellStyle name="Entrada 66" xfId="9800"/>
    <cellStyle name="Entrada 66 2" xfId="29955"/>
    <cellStyle name="Entrada 67" xfId="9801"/>
    <cellStyle name="Entrada 67 2" xfId="29956"/>
    <cellStyle name="Entrada 68" xfId="9802"/>
    <cellStyle name="Entrada 68 2" xfId="29957"/>
    <cellStyle name="Entrada 69" xfId="9803"/>
    <cellStyle name="Entrada 69 2" xfId="29958"/>
    <cellStyle name="Entrada 7" xfId="9804"/>
    <cellStyle name="Entrada 7 2" xfId="9805"/>
    <cellStyle name="Entrada 7 2 2" xfId="29185"/>
    <cellStyle name="Entrada 7 3" xfId="9806"/>
    <cellStyle name="Entrada 7 3 2" xfId="29186"/>
    <cellStyle name="Entrada 7 4" xfId="9807"/>
    <cellStyle name="Entrada 7 4 2" xfId="29187"/>
    <cellStyle name="Entrada 7 5" xfId="29184"/>
    <cellStyle name="Entrada 70" xfId="9808"/>
    <cellStyle name="Entrada 70 2" xfId="29959"/>
    <cellStyle name="Entrada 71" xfId="9809"/>
    <cellStyle name="Entrada 71 2" xfId="29960"/>
    <cellStyle name="Entrada 72" xfId="9810"/>
    <cellStyle name="Entrada 72 2" xfId="29961"/>
    <cellStyle name="Entrada 73" xfId="9811"/>
    <cellStyle name="Entrada 73 2" xfId="29962"/>
    <cellStyle name="Entrada 74" xfId="9812"/>
    <cellStyle name="Entrada 74 2" xfId="29963"/>
    <cellStyle name="Entrada 75" xfId="9813"/>
    <cellStyle name="Entrada 75 2" xfId="29964"/>
    <cellStyle name="Entrada 76" xfId="9814"/>
    <cellStyle name="Entrada 76 2" xfId="29965"/>
    <cellStyle name="Entrada 77" xfId="9815"/>
    <cellStyle name="Entrada 77 2" xfId="29966"/>
    <cellStyle name="Entrada 78" xfId="9816"/>
    <cellStyle name="Entrada 78 2" xfId="29967"/>
    <cellStyle name="Entrada 79" xfId="9817"/>
    <cellStyle name="Entrada 79 2" xfId="29968"/>
    <cellStyle name="Entrada 8" xfId="9818"/>
    <cellStyle name="Entrada 8 2" xfId="9819"/>
    <cellStyle name="Entrada 8 2 2" xfId="29189"/>
    <cellStyle name="Entrada 8 3" xfId="9820"/>
    <cellStyle name="Entrada 8 3 2" xfId="29190"/>
    <cellStyle name="Entrada 8 4" xfId="9821"/>
    <cellStyle name="Entrada 8 4 2" xfId="29191"/>
    <cellStyle name="Entrada 8 5" xfId="29188"/>
    <cellStyle name="Entrada 80" xfId="9822"/>
    <cellStyle name="Entrada 80 2" xfId="29969"/>
    <cellStyle name="Entrada 81" xfId="9823"/>
    <cellStyle name="Entrada 81 2" xfId="29970"/>
    <cellStyle name="Entrada 82" xfId="9824"/>
    <cellStyle name="Entrada 82 2" xfId="29971"/>
    <cellStyle name="Entrada 83" xfId="9825"/>
    <cellStyle name="Entrada 83 2" xfId="29972"/>
    <cellStyle name="Entrada 84" xfId="9826"/>
    <cellStyle name="Entrada 84 2" xfId="29973"/>
    <cellStyle name="Entrada 85" xfId="9827"/>
    <cellStyle name="Entrada 85 2" xfId="29974"/>
    <cellStyle name="Entrada 86" xfId="9828"/>
    <cellStyle name="Entrada 86 2" xfId="29975"/>
    <cellStyle name="Entrada 87" xfId="9829"/>
    <cellStyle name="Entrada 87 2" xfId="29976"/>
    <cellStyle name="Entrada 88" xfId="9830"/>
    <cellStyle name="Entrada 88 2" xfId="29977"/>
    <cellStyle name="Entrada 89" xfId="9831"/>
    <cellStyle name="Entrada 89 2" xfId="29978"/>
    <cellStyle name="Entrada 9" xfId="9832"/>
    <cellStyle name="Entrada 9 2" xfId="29192"/>
    <cellStyle name="Entrada 90" xfId="9833"/>
    <cellStyle name="Entrada 90 2" xfId="29979"/>
    <cellStyle name="Entrada 91" xfId="9834"/>
    <cellStyle name="Entrada 91 2" xfId="29980"/>
    <cellStyle name="Entrada 92" xfId="9835"/>
    <cellStyle name="Entrada 92 2" xfId="29981"/>
    <cellStyle name="Entrada 93" xfId="9836"/>
    <cellStyle name="Entrada 93 2" xfId="29982"/>
    <cellStyle name="Entrada 94" xfId="9837"/>
    <cellStyle name="Entrada 94 2" xfId="29983"/>
    <cellStyle name="Entrada 95" xfId="9838"/>
    <cellStyle name="Entrada 95 2" xfId="29984"/>
    <cellStyle name="Entrada 96" xfId="9839"/>
    <cellStyle name="Entrada 96 2" xfId="29985"/>
    <cellStyle name="Entrada 97" xfId="9840"/>
    <cellStyle name="Entrada 97 2" xfId="29986"/>
    <cellStyle name="Entrada 98" xfId="9841"/>
    <cellStyle name="Entrada 98 2" xfId="29987"/>
    <cellStyle name="Entrada 99" xfId="9842"/>
    <cellStyle name="Entrada 99 2" xfId="29988"/>
    <cellStyle name="Euro" xfId="9843"/>
    <cellStyle name="Euro 10" xfId="9844"/>
    <cellStyle name="Euro 10 10" xfId="9845"/>
    <cellStyle name="Euro 10 11" xfId="9846"/>
    <cellStyle name="Euro 10 12" xfId="9847"/>
    <cellStyle name="Euro 10 13" xfId="9848"/>
    <cellStyle name="Euro 10 14" xfId="9849"/>
    <cellStyle name="Euro 10 15" xfId="9850"/>
    <cellStyle name="Euro 10 2" xfId="9851"/>
    <cellStyle name="Euro 10 3" xfId="9852"/>
    <cellStyle name="Euro 10 4" xfId="9853"/>
    <cellStyle name="Euro 10 5" xfId="9854"/>
    <cellStyle name="Euro 10 6" xfId="9855"/>
    <cellStyle name="Euro 10 7" xfId="9856"/>
    <cellStyle name="Euro 10 8" xfId="9857"/>
    <cellStyle name="Euro 10 9" xfId="9858"/>
    <cellStyle name="Euro 11" xfId="9859"/>
    <cellStyle name="Euro 11 10" xfId="9860"/>
    <cellStyle name="Euro 11 11" xfId="9861"/>
    <cellStyle name="Euro 11 12" xfId="9862"/>
    <cellStyle name="Euro 11 13" xfId="9863"/>
    <cellStyle name="Euro 11 14" xfId="9864"/>
    <cellStyle name="Euro 11 15" xfId="9865"/>
    <cellStyle name="Euro 11 2" xfId="9866"/>
    <cellStyle name="Euro 11 3" xfId="9867"/>
    <cellStyle name="Euro 11 4" xfId="9868"/>
    <cellStyle name="Euro 11 5" xfId="9869"/>
    <cellStyle name="Euro 11 6" xfId="9870"/>
    <cellStyle name="Euro 11 7" xfId="9871"/>
    <cellStyle name="Euro 11 8" xfId="9872"/>
    <cellStyle name="Euro 11 9" xfId="9873"/>
    <cellStyle name="Euro 12" xfId="9874"/>
    <cellStyle name="Euro 12 10" xfId="9875"/>
    <cellStyle name="Euro 12 11" xfId="9876"/>
    <cellStyle name="Euro 12 12" xfId="9877"/>
    <cellStyle name="Euro 12 13" xfId="9878"/>
    <cellStyle name="Euro 12 14" xfId="9879"/>
    <cellStyle name="Euro 12 15" xfId="9880"/>
    <cellStyle name="Euro 12 2" xfId="9881"/>
    <cellStyle name="Euro 12 3" xfId="9882"/>
    <cellStyle name="Euro 12 4" xfId="9883"/>
    <cellStyle name="Euro 12 5" xfId="9884"/>
    <cellStyle name="Euro 12 6" xfId="9885"/>
    <cellStyle name="Euro 12 7" xfId="9886"/>
    <cellStyle name="Euro 12 8" xfId="9887"/>
    <cellStyle name="Euro 12 9" xfId="9888"/>
    <cellStyle name="Euro 13" xfId="40467"/>
    <cellStyle name="Euro 2" xfId="9889"/>
    <cellStyle name="Euro 2 2" xfId="9890"/>
    <cellStyle name="Euro 2 2 2" xfId="9891"/>
    <cellStyle name="Euro 2 2 3" xfId="9892"/>
    <cellStyle name="Euro 2 2 4" xfId="9893"/>
    <cellStyle name="Euro 2 2 5" xfId="9894"/>
    <cellStyle name="Euro 2 2 6" xfId="9895"/>
    <cellStyle name="Euro 2 2 7" xfId="9896"/>
    <cellStyle name="Euro 2 3" xfId="9897"/>
    <cellStyle name="Euro 2 4" xfId="9898"/>
    <cellStyle name="Euro 2 5" xfId="9899"/>
    <cellStyle name="Euro 2 6" xfId="9900"/>
    <cellStyle name="Euro 2 7" xfId="9901"/>
    <cellStyle name="Euro 2 8" xfId="9902"/>
    <cellStyle name="Euro 2 9" xfId="40616"/>
    <cellStyle name="Euro 3" xfId="9903"/>
    <cellStyle name="Euro 4" xfId="9904"/>
    <cellStyle name="Euro 5" xfId="9905"/>
    <cellStyle name="Euro 6" xfId="9906"/>
    <cellStyle name="Euro 7" xfId="9907"/>
    <cellStyle name="Euro 8" xfId="9908"/>
    <cellStyle name="Euro 9" xfId="9909"/>
    <cellStyle name="Euro 9 10" xfId="9910"/>
    <cellStyle name="Euro 9 11" xfId="9911"/>
    <cellStyle name="Euro 9 12" xfId="9912"/>
    <cellStyle name="Euro 9 13" xfId="9913"/>
    <cellStyle name="Euro 9 14" xfId="9914"/>
    <cellStyle name="Euro 9 15" xfId="9915"/>
    <cellStyle name="Euro 9 2" xfId="9916"/>
    <cellStyle name="Euro 9 3" xfId="9917"/>
    <cellStyle name="Euro 9 4" xfId="9918"/>
    <cellStyle name="Euro 9 5" xfId="9919"/>
    <cellStyle name="Euro 9 6" xfId="9920"/>
    <cellStyle name="Euro 9 7" xfId="9921"/>
    <cellStyle name="Euro 9 8" xfId="9922"/>
    <cellStyle name="Euro 9 9" xfId="9923"/>
    <cellStyle name="Explanatory Text" xfId="41116"/>
    <cellStyle name="Fixo" xfId="9924"/>
    <cellStyle name="Good" xfId="41117"/>
    <cellStyle name="Heading 1" xfId="41118"/>
    <cellStyle name="Heading 2" xfId="41119"/>
    <cellStyle name="Heading 3" xfId="41120"/>
    <cellStyle name="Heading 4" xfId="41121"/>
    <cellStyle name="Hyperlink 2" xfId="9925"/>
    <cellStyle name="Hyperlink 2 2" xfId="9926"/>
    <cellStyle name="Incorreto 10" xfId="9927"/>
    <cellStyle name="Incorreto 10 2" xfId="40617"/>
    <cellStyle name="Incorreto 100" xfId="9928"/>
    <cellStyle name="Incorreto 101" xfId="9929"/>
    <cellStyle name="Incorreto 102" xfId="9930"/>
    <cellStyle name="Incorreto 103" xfId="9931"/>
    <cellStyle name="Incorreto 104" xfId="9932"/>
    <cellStyle name="Incorreto 105" xfId="9933"/>
    <cellStyle name="Incorreto 106" xfId="9934"/>
    <cellStyle name="Incorreto 107" xfId="9935"/>
    <cellStyle name="Incorreto 108" xfId="9936"/>
    <cellStyle name="Incorreto 109" xfId="9937"/>
    <cellStyle name="Incorreto 11" xfId="9938"/>
    <cellStyle name="Incorreto 11 2" xfId="40618"/>
    <cellStyle name="Incorreto 110" xfId="9939"/>
    <cellStyle name="Incorreto 111" xfId="9940"/>
    <cellStyle name="Incorreto 112" xfId="9941"/>
    <cellStyle name="Incorreto 113" xfId="9942"/>
    <cellStyle name="Incorreto 114" xfId="9943"/>
    <cellStyle name="Incorreto 115" xfId="9944"/>
    <cellStyle name="Incorreto 116" xfId="9945"/>
    <cellStyle name="Incorreto 117" xfId="9946"/>
    <cellStyle name="Incorreto 118" xfId="9947"/>
    <cellStyle name="Incorreto 119" xfId="9948"/>
    <cellStyle name="Incorreto 12" xfId="9949"/>
    <cellStyle name="Incorreto 12 2" xfId="40619"/>
    <cellStyle name="Incorreto 120" xfId="9950"/>
    <cellStyle name="Incorreto 121" xfId="9951"/>
    <cellStyle name="Incorreto 122" xfId="9952"/>
    <cellStyle name="Incorreto 123" xfId="9953"/>
    <cellStyle name="Incorreto 124" xfId="9954"/>
    <cellStyle name="Incorreto 125" xfId="9955"/>
    <cellStyle name="Incorreto 126" xfId="9956"/>
    <cellStyle name="Incorreto 127" xfId="9957"/>
    <cellStyle name="Incorreto 128" xfId="9958"/>
    <cellStyle name="Incorreto 129" xfId="9959"/>
    <cellStyle name="Incorreto 13" xfId="9960"/>
    <cellStyle name="Incorreto 13 2" xfId="40620"/>
    <cellStyle name="Incorreto 130" xfId="9961"/>
    <cellStyle name="Incorreto 131" xfId="9962"/>
    <cellStyle name="Incorreto 132" xfId="9963"/>
    <cellStyle name="Incorreto 133" xfId="9964"/>
    <cellStyle name="Incorreto 134" xfId="9965"/>
    <cellStyle name="Incorreto 135" xfId="9966"/>
    <cellStyle name="Incorreto 136" xfId="9967"/>
    <cellStyle name="Incorreto 137" xfId="9968"/>
    <cellStyle name="Incorreto 138" xfId="9969"/>
    <cellStyle name="Incorreto 139" xfId="9970"/>
    <cellStyle name="Incorreto 14" xfId="9971"/>
    <cellStyle name="Incorreto 140" xfId="9972"/>
    <cellStyle name="Incorreto 141" xfId="9973"/>
    <cellStyle name="Incorreto 142" xfId="9974"/>
    <cellStyle name="Incorreto 143" xfId="9975"/>
    <cellStyle name="Incorreto 144" xfId="9976"/>
    <cellStyle name="Incorreto 145" xfId="9977"/>
    <cellStyle name="Incorreto 146" xfId="9978"/>
    <cellStyle name="Incorreto 147" xfId="9979"/>
    <cellStyle name="Incorreto 148" xfId="9980"/>
    <cellStyle name="Incorreto 149" xfId="9981"/>
    <cellStyle name="Incorreto 15" xfId="9982"/>
    <cellStyle name="Incorreto 15 2" xfId="9983"/>
    <cellStyle name="Incorreto 15 3" xfId="9984"/>
    <cellStyle name="Incorreto 150" xfId="9985"/>
    <cellStyle name="Incorreto 151" xfId="9986"/>
    <cellStyle name="Incorreto 152" xfId="9987"/>
    <cellStyle name="Incorreto 153" xfId="9988"/>
    <cellStyle name="Incorreto 154" xfId="9989"/>
    <cellStyle name="Incorreto 155" xfId="9990"/>
    <cellStyle name="Incorreto 156" xfId="9991"/>
    <cellStyle name="Incorreto 157" xfId="9992"/>
    <cellStyle name="Incorreto 158" xfId="9993"/>
    <cellStyle name="Incorreto 159" xfId="9994"/>
    <cellStyle name="Incorreto 16" xfId="9995"/>
    <cellStyle name="Incorreto 16 2" xfId="9996"/>
    <cellStyle name="Incorreto 16 3" xfId="9997"/>
    <cellStyle name="Incorreto 160" xfId="9998"/>
    <cellStyle name="Incorreto 161" xfId="9999"/>
    <cellStyle name="Incorreto 162" xfId="10000"/>
    <cellStyle name="Incorreto 163" xfId="10001"/>
    <cellStyle name="Incorreto 164" xfId="10002"/>
    <cellStyle name="Incorreto 165" xfId="10003"/>
    <cellStyle name="Incorreto 166" xfId="10004"/>
    <cellStyle name="Incorreto 167" xfId="10005"/>
    <cellStyle name="Incorreto 168" xfId="10006"/>
    <cellStyle name="Incorreto 169" xfId="10007"/>
    <cellStyle name="Incorreto 17" xfId="10008"/>
    <cellStyle name="Incorreto 17 2" xfId="10009"/>
    <cellStyle name="Incorreto 17 3" xfId="10010"/>
    <cellStyle name="Incorreto 170" xfId="10011"/>
    <cellStyle name="Incorreto 171" xfId="10012"/>
    <cellStyle name="Incorreto 172" xfId="10013"/>
    <cellStyle name="Incorreto 173" xfId="10014"/>
    <cellStyle name="Incorreto 174" xfId="10015"/>
    <cellStyle name="Incorreto 175" xfId="10016"/>
    <cellStyle name="Incorreto 176" xfId="10017"/>
    <cellStyle name="Incorreto 177" xfId="10018"/>
    <cellStyle name="Incorreto 178" xfId="10019"/>
    <cellStyle name="Incorreto 179" xfId="10020"/>
    <cellStyle name="Incorreto 18" xfId="10021"/>
    <cellStyle name="Incorreto 18 2" xfId="10022"/>
    <cellStyle name="Incorreto 18 3" xfId="10023"/>
    <cellStyle name="Incorreto 180" xfId="10024"/>
    <cellStyle name="Incorreto 181" xfId="10025"/>
    <cellStyle name="Incorreto 182" xfId="10026"/>
    <cellStyle name="Incorreto 183" xfId="10027"/>
    <cellStyle name="Incorreto 184" xfId="10028"/>
    <cellStyle name="Incorreto 185" xfId="10029"/>
    <cellStyle name="Incorreto 186" xfId="10030"/>
    <cellStyle name="Incorreto 187" xfId="10031"/>
    <cellStyle name="Incorreto 188" xfId="10032"/>
    <cellStyle name="Incorreto 189" xfId="10033"/>
    <cellStyle name="Incorreto 19" xfId="10034"/>
    <cellStyle name="Incorreto 19 2" xfId="10035"/>
    <cellStyle name="Incorreto 19 3" xfId="10036"/>
    <cellStyle name="Incorreto 190" xfId="10037"/>
    <cellStyle name="Incorreto 2" xfId="10038"/>
    <cellStyle name="Incorreto 2 10" xfId="10039"/>
    <cellStyle name="Incorreto 2 10 2" xfId="10040"/>
    <cellStyle name="Incorreto 2 10 3" xfId="10041"/>
    <cellStyle name="Incorreto 2 10 4" xfId="10042"/>
    <cellStyle name="Incorreto 2 10 5" xfId="10043"/>
    <cellStyle name="Incorreto 2 10 6" xfId="10044"/>
    <cellStyle name="Incorreto 2 10 7" xfId="10045"/>
    <cellStyle name="Incorreto 2 11" xfId="10046"/>
    <cellStyle name="Incorreto 2 11 2" xfId="10047"/>
    <cellStyle name="Incorreto 2 11 3" xfId="10048"/>
    <cellStyle name="Incorreto 2 11 4" xfId="10049"/>
    <cellStyle name="Incorreto 2 11 5" xfId="10050"/>
    <cellStyle name="Incorreto 2 11 6" xfId="10051"/>
    <cellStyle name="Incorreto 2 11 7" xfId="10052"/>
    <cellStyle name="Incorreto 2 12" xfId="10053"/>
    <cellStyle name="Incorreto 2 13" xfId="10054"/>
    <cellStyle name="Incorreto 2 14" xfId="10055"/>
    <cellStyle name="Incorreto 2 15" xfId="10056"/>
    <cellStyle name="Incorreto 2 16" xfId="10057"/>
    <cellStyle name="Incorreto 2 17" xfId="10058"/>
    <cellStyle name="Incorreto 2 18" xfId="10059"/>
    <cellStyle name="Incorreto 2 19" xfId="10060"/>
    <cellStyle name="Incorreto 2 2" xfId="10061"/>
    <cellStyle name="Incorreto 2 20" xfId="10062"/>
    <cellStyle name="Incorreto 2 21" xfId="10063"/>
    <cellStyle name="Incorreto 2 22" xfId="10064"/>
    <cellStyle name="Incorreto 2 23" xfId="10065"/>
    <cellStyle name="Incorreto 2 24" xfId="10066"/>
    <cellStyle name="Incorreto 2 25" xfId="10067"/>
    <cellStyle name="Incorreto 2 26" xfId="10068"/>
    <cellStyle name="Incorreto 2 27" xfId="10069"/>
    <cellStyle name="Incorreto 2 28" xfId="10070"/>
    <cellStyle name="Incorreto 2 29" xfId="10071"/>
    <cellStyle name="Incorreto 2 3" xfId="10072"/>
    <cellStyle name="Incorreto 2 30" xfId="10073"/>
    <cellStyle name="Incorreto 2 31" xfId="10074"/>
    <cellStyle name="Incorreto 2 32" xfId="10075"/>
    <cellStyle name="Incorreto 2 33" xfId="10076"/>
    <cellStyle name="Incorreto 2 34" xfId="10077"/>
    <cellStyle name="Incorreto 2 35" xfId="10078"/>
    <cellStyle name="Incorreto 2 4" xfId="10079"/>
    <cellStyle name="Incorreto 2 5" xfId="10080"/>
    <cellStyle name="Incorreto 2 6" xfId="10081"/>
    <cellStyle name="Incorreto 2 7" xfId="10082"/>
    <cellStyle name="Incorreto 2 8" xfId="10083"/>
    <cellStyle name="Incorreto 2 8 2" xfId="10084"/>
    <cellStyle name="Incorreto 2 8 3" xfId="10085"/>
    <cellStyle name="Incorreto 2 8 4" xfId="10086"/>
    <cellStyle name="Incorreto 2 8 5" xfId="10087"/>
    <cellStyle name="Incorreto 2 8 6" xfId="10088"/>
    <cellStyle name="Incorreto 2 8 7" xfId="10089"/>
    <cellStyle name="Incorreto 2 9" xfId="10090"/>
    <cellStyle name="Incorreto 2 9 2" xfId="10091"/>
    <cellStyle name="Incorreto 2 9 3" xfId="10092"/>
    <cellStyle name="Incorreto 2 9 4" xfId="10093"/>
    <cellStyle name="Incorreto 2 9 5" xfId="10094"/>
    <cellStyle name="Incorreto 2 9 6" xfId="10095"/>
    <cellStyle name="Incorreto 2 9 7" xfId="10096"/>
    <cellStyle name="Incorreto 20" xfId="10097"/>
    <cellStyle name="Incorreto 20 2" xfId="10098"/>
    <cellStyle name="Incorreto 20 3" xfId="10099"/>
    <cellStyle name="Incorreto 21" xfId="10100"/>
    <cellStyle name="Incorreto 22" xfId="10101"/>
    <cellStyle name="Incorreto 23" xfId="10102"/>
    <cellStyle name="Incorreto 24" xfId="10103"/>
    <cellStyle name="Incorreto 24 2" xfId="40971"/>
    <cellStyle name="Incorreto 25" xfId="10104"/>
    <cellStyle name="Incorreto 25 2" xfId="41006"/>
    <cellStyle name="Incorreto 26" xfId="10105"/>
    <cellStyle name="Incorreto 26 10" xfId="10106"/>
    <cellStyle name="Incorreto 26 11" xfId="10107"/>
    <cellStyle name="Incorreto 26 12" xfId="10108"/>
    <cellStyle name="Incorreto 26 13" xfId="10109"/>
    <cellStyle name="Incorreto 26 14" xfId="10110"/>
    <cellStyle name="Incorreto 26 15" xfId="10111"/>
    <cellStyle name="Incorreto 26 16" xfId="10112"/>
    <cellStyle name="Incorreto 26 2" xfId="10113"/>
    <cellStyle name="Incorreto 26 3" xfId="10114"/>
    <cellStyle name="Incorreto 26 4" xfId="10115"/>
    <cellStyle name="Incorreto 26 5" xfId="10116"/>
    <cellStyle name="Incorreto 26 6" xfId="10117"/>
    <cellStyle name="Incorreto 26 7" xfId="10118"/>
    <cellStyle name="Incorreto 26 8" xfId="10119"/>
    <cellStyle name="Incorreto 26 9" xfId="10120"/>
    <cellStyle name="Incorreto 27" xfId="10121"/>
    <cellStyle name="Incorreto 27 10" xfId="10122"/>
    <cellStyle name="Incorreto 27 11" xfId="10123"/>
    <cellStyle name="Incorreto 27 12" xfId="10124"/>
    <cellStyle name="Incorreto 27 13" xfId="10125"/>
    <cellStyle name="Incorreto 27 14" xfId="10126"/>
    <cellStyle name="Incorreto 27 15" xfId="10127"/>
    <cellStyle name="Incorreto 27 16" xfId="10128"/>
    <cellStyle name="Incorreto 27 2" xfId="10129"/>
    <cellStyle name="Incorreto 27 3" xfId="10130"/>
    <cellStyle name="Incorreto 27 4" xfId="10131"/>
    <cellStyle name="Incorreto 27 5" xfId="10132"/>
    <cellStyle name="Incorreto 27 6" xfId="10133"/>
    <cellStyle name="Incorreto 27 7" xfId="10134"/>
    <cellStyle name="Incorreto 27 8" xfId="10135"/>
    <cellStyle name="Incorreto 27 9" xfId="10136"/>
    <cellStyle name="Incorreto 28" xfId="10137"/>
    <cellStyle name="Incorreto 28 10" xfId="10138"/>
    <cellStyle name="Incorreto 28 11" xfId="10139"/>
    <cellStyle name="Incorreto 28 12" xfId="10140"/>
    <cellStyle name="Incorreto 28 13" xfId="10141"/>
    <cellStyle name="Incorreto 28 14" xfId="10142"/>
    <cellStyle name="Incorreto 28 15" xfId="10143"/>
    <cellStyle name="Incorreto 28 16" xfId="10144"/>
    <cellStyle name="Incorreto 28 2" xfId="10145"/>
    <cellStyle name="Incorreto 28 3" xfId="10146"/>
    <cellStyle name="Incorreto 28 4" xfId="10147"/>
    <cellStyle name="Incorreto 28 5" xfId="10148"/>
    <cellStyle name="Incorreto 28 6" xfId="10149"/>
    <cellStyle name="Incorreto 28 7" xfId="10150"/>
    <cellStyle name="Incorreto 28 8" xfId="10151"/>
    <cellStyle name="Incorreto 28 9" xfId="10152"/>
    <cellStyle name="Incorreto 29" xfId="10153"/>
    <cellStyle name="Incorreto 29 10" xfId="10154"/>
    <cellStyle name="Incorreto 29 11" xfId="10155"/>
    <cellStyle name="Incorreto 29 12" xfId="10156"/>
    <cellStyle name="Incorreto 29 13" xfId="10157"/>
    <cellStyle name="Incorreto 29 14" xfId="10158"/>
    <cellStyle name="Incorreto 29 15" xfId="10159"/>
    <cellStyle name="Incorreto 29 16" xfId="10160"/>
    <cellStyle name="Incorreto 29 2" xfId="10161"/>
    <cellStyle name="Incorreto 29 3" xfId="10162"/>
    <cellStyle name="Incorreto 29 4" xfId="10163"/>
    <cellStyle name="Incorreto 29 5" xfId="10164"/>
    <cellStyle name="Incorreto 29 6" xfId="10165"/>
    <cellStyle name="Incorreto 29 7" xfId="10166"/>
    <cellStyle name="Incorreto 29 8" xfId="10167"/>
    <cellStyle name="Incorreto 29 9" xfId="10168"/>
    <cellStyle name="Incorreto 3" xfId="10169"/>
    <cellStyle name="Incorreto 3 10" xfId="10170"/>
    <cellStyle name="Incorreto 3 11" xfId="10171"/>
    <cellStyle name="Incorreto 3 2" xfId="10172"/>
    <cellStyle name="Incorreto 3 3" xfId="10173"/>
    <cellStyle name="Incorreto 3 4" xfId="10174"/>
    <cellStyle name="Incorreto 3 5" xfId="10175"/>
    <cellStyle name="Incorreto 3 6" xfId="10176"/>
    <cellStyle name="Incorreto 3 7" xfId="10177"/>
    <cellStyle name="Incorreto 3 8" xfId="10178"/>
    <cellStyle name="Incorreto 3 9" xfId="10179"/>
    <cellStyle name="Incorreto 30" xfId="10180"/>
    <cellStyle name="Incorreto 31" xfId="10181"/>
    <cellStyle name="Incorreto 32" xfId="10182"/>
    <cellStyle name="Incorreto 33" xfId="10183"/>
    <cellStyle name="Incorreto 34" xfId="10184"/>
    <cellStyle name="Incorreto 35" xfId="10185"/>
    <cellStyle name="Incorreto 36" xfId="10186"/>
    <cellStyle name="Incorreto 37" xfId="10187"/>
    <cellStyle name="Incorreto 38" xfId="10188"/>
    <cellStyle name="Incorreto 39" xfId="10189"/>
    <cellStyle name="Incorreto 4" xfId="10190"/>
    <cellStyle name="Incorreto 4 10" xfId="10191"/>
    <cellStyle name="Incorreto 4 11" xfId="10192"/>
    <cellStyle name="Incorreto 4 2" xfId="10193"/>
    <cellStyle name="Incorreto 4 3" xfId="10194"/>
    <cellStyle name="Incorreto 4 4" xfId="10195"/>
    <cellStyle name="Incorreto 4 5" xfId="10196"/>
    <cellStyle name="Incorreto 4 6" xfId="10197"/>
    <cellStyle name="Incorreto 4 7" xfId="10198"/>
    <cellStyle name="Incorreto 4 8" xfId="10199"/>
    <cellStyle name="Incorreto 4 9" xfId="10200"/>
    <cellStyle name="Incorreto 40" xfId="10201"/>
    <cellStyle name="Incorreto 41" xfId="10202"/>
    <cellStyle name="Incorreto 42" xfId="10203"/>
    <cellStyle name="Incorreto 43" xfId="10204"/>
    <cellStyle name="Incorreto 44" xfId="10205"/>
    <cellStyle name="Incorreto 45" xfId="10206"/>
    <cellStyle name="Incorreto 46" xfId="10207"/>
    <cellStyle name="Incorreto 47" xfId="10208"/>
    <cellStyle name="Incorreto 48" xfId="10209"/>
    <cellStyle name="Incorreto 49" xfId="10210"/>
    <cellStyle name="Incorreto 5" xfId="10211"/>
    <cellStyle name="Incorreto 5 2" xfId="10212"/>
    <cellStyle name="Incorreto 5 3" xfId="10213"/>
    <cellStyle name="Incorreto 5 4" xfId="10214"/>
    <cellStyle name="Incorreto 50" xfId="10215"/>
    <cellStyle name="Incorreto 51" xfId="10216"/>
    <cellStyle name="Incorreto 52" xfId="10217"/>
    <cellStyle name="Incorreto 53" xfId="10218"/>
    <cellStyle name="Incorreto 54" xfId="10219"/>
    <cellStyle name="Incorreto 55" xfId="10220"/>
    <cellStyle name="Incorreto 56" xfId="10221"/>
    <cellStyle name="Incorreto 57" xfId="10222"/>
    <cellStyle name="Incorreto 58" xfId="10223"/>
    <cellStyle name="Incorreto 59" xfId="10224"/>
    <cellStyle name="Incorreto 6" xfId="10225"/>
    <cellStyle name="Incorreto 6 2" xfId="10226"/>
    <cellStyle name="Incorreto 6 3" xfId="10227"/>
    <cellStyle name="Incorreto 6 4" xfId="10228"/>
    <cellStyle name="Incorreto 60" xfId="10229"/>
    <cellStyle name="Incorreto 61" xfId="10230"/>
    <cellStyle name="Incorreto 62" xfId="10231"/>
    <cellStyle name="Incorreto 63" xfId="10232"/>
    <cellStyle name="Incorreto 64" xfId="10233"/>
    <cellStyle name="Incorreto 65" xfId="10234"/>
    <cellStyle name="Incorreto 66" xfId="10235"/>
    <cellStyle name="Incorreto 67" xfId="10236"/>
    <cellStyle name="Incorreto 68" xfId="10237"/>
    <cellStyle name="Incorreto 69" xfId="10238"/>
    <cellStyle name="Incorreto 7" xfId="10239"/>
    <cellStyle name="Incorreto 7 2" xfId="10240"/>
    <cellStyle name="Incorreto 7 3" xfId="10241"/>
    <cellStyle name="Incorreto 7 4" xfId="10242"/>
    <cellStyle name="Incorreto 70" xfId="10243"/>
    <cellStyle name="Incorreto 71" xfId="10244"/>
    <cellStyle name="Incorreto 72" xfId="10245"/>
    <cellStyle name="Incorreto 73" xfId="10246"/>
    <cellStyle name="Incorreto 74" xfId="10247"/>
    <cellStyle name="Incorreto 75" xfId="10248"/>
    <cellStyle name="Incorreto 76" xfId="10249"/>
    <cellStyle name="Incorreto 77" xfId="10250"/>
    <cellStyle name="Incorreto 78" xfId="10251"/>
    <cellStyle name="Incorreto 79" xfId="10252"/>
    <cellStyle name="Incorreto 8" xfId="10253"/>
    <cellStyle name="Incorreto 8 2" xfId="10254"/>
    <cellStyle name="Incorreto 8 3" xfId="10255"/>
    <cellStyle name="Incorreto 8 4" xfId="10256"/>
    <cellStyle name="Incorreto 80" xfId="10257"/>
    <cellStyle name="Incorreto 81" xfId="10258"/>
    <cellStyle name="Incorreto 82" xfId="10259"/>
    <cellStyle name="Incorreto 83" xfId="10260"/>
    <cellStyle name="Incorreto 84" xfId="10261"/>
    <cellStyle name="Incorreto 85" xfId="10262"/>
    <cellStyle name="Incorreto 86" xfId="10263"/>
    <cellStyle name="Incorreto 87" xfId="10264"/>
    <cellStyle name="Incorreto 88" xfId="10265"/>
    <cellStyle name="Incorreto 89" xfId="10266"/>
    <cellStyle name="Incorreto 9" xfId="10267"/>
    <cellStyle name="Incorreto 90" xfId="10268"/>
    <cellStyle name="Incorreto 91" xfId="10269"/>
    <cellStyle name="Incorreto 92" xfId="10270"/>
    <cellStyle name="Incorreto 93" xfId="10271"/>
    <cellStyle name="Incorreto 94" xfId="10272"/>
    <cellStyle name="Incorreto 95" xfId="10273"/>
    <cellStyle name="Incorreto 96" xfId="10274"/>
    <cellStyle name="Incorreto 97" xfId="10275"/>
    <cellStyle name="Incorreto 98" xfId="10276"/>
    <cellStyle name="Incorreto 99" xfId="10277"/>
    <cellStyle name="Indefinido" xfId="10278"/>
    <cellStyle name="Input" xfId="41122"/>
    <cellStyle name="Input 2" xfId="41123"/>
    <cellStyle name="Linked Cell" xfId="41124"/>
    <cellStyle name="Moeda" xfId="16" builtinId="4"/>
    <cellStyle name="Moeda 2" xfId="13"/>
    <cellStyle name="Moeda 2 2" xfId="10279"/>
    <cellStyle name="Moeda 3" xfId="10280"/>
    <cellStyle name="Moeda 3 2 2 2 2" xfId="18"/>
    <cellStyle name="Moeda 4" xfId="29389"/>
    <cellStyle name="Moeda 4 2" xfId="41070"/>
    <cellStyle name="Moeda 5" xfId="40465"/>
    <cellStyle name="Neutra 10" xfId="10281"/>
    <cellStyle name="Neutra 10 2" xfId="40621"/>
    <cellStyle name="Neutra 100" xfId="10282"/>
    <cellStyle name="Neutra 101" xfId="10283"/>
    <cellStyle name="Neutra 102" xfId="10284"/>
    <cellStyle name="Neutra 103" xfId="10285"/>
    <cellStyle name="Neutra 104" xfId="10286"/>
    <cellStyle name="Neutra 105" xfId="10287"/>
    <cellStyle name="Neutra 106" xfId="10288"/>
    <cellStyle name="Neutra 107" xfId="10289"/>
    <cellStyle name="Neutra 108" xfId="10290"/>
    <cellStyle name="Neutra 109" xfId="10291"/>
    <cellStyle name="Neutra 11" xfId="10292"/>
    <cellStyle name="Neutra 11 2" xfId="40622"/>
    <cellStyle name="Neutra 110" xfId="10293"/>
    <cellStyle name="Neutra 111" xfId="10294"/>
    <cellStyle name="Neutra 112" xfId="10295"/>
    <cellStyle name="Neutra 113" xfId="10296"/>
    <cellStyle name="Neutra 114" xfId="10297"/>
    <cellStyle name="Neutra 115" xfId="10298"/>
    <cellStyle name="Neutra 116" xfId="10299"/>
    <cellStyle name="Neutra 117" xfId="10300"/>
    <cellStyle name="Neutra 118" xfId="10301"/>
    <cellStyle name="Neutra 119" xfId="10302"/>
    <cellStyle name="Neutra 12" xfId="10303"/>
    <cellStyle name="Neutra 12 2" xfId="40623"/>
    <cellStyle name="Neutra 120" xfId="10304"/>
    <cellStyle name="Neutra 121" xfId="10305"/>
    <cellStyle name="Neutra 122" xfId="10306"/>
    <cellStyle name="Neutra 123" xfId="10307"/>
    <cellStyle name="Neutra 124" xfId="10308"/>
    <cellStyle name="Neutra 125" xfId="10309"/>
    <cellStyle name="Neutra 126" xfId="10310"/>
    <cellStyle name="Neutra 127" xfId="10311"/>
    <cellStyle name="Neutra 128" xfId="10312"/>
    <cellStyle name="Neutra 129" xfId="10313"/>
    <cellStyle name="Neutra 13" xfId="10314"/>
    <cellStyle name="Neutra 13 2" xfId="40624"/>
    <cellStyle name="Neutra 130" xfId="10315"/>
    <cellStyle name="Neutra 131" xfId="10316"/>
    <cellStyle name="Neutra 132" xfId="10317"/>
    <cellStyle name="Neutra 133" xfId="10318"/>
    <cellStyle name="Neutra 134" xfId="10319"/>
    <cellStyle name="Neutra 135" xfId="10320"/>
    <cellStyle name="Neutra 136" xfId="10321"/>
    <cellStyle name="Neutra 137" xfId="10322"/>
    <cellStyle name="Neutra 138" xfId="10323"/>
    <cellStyle name="Neutra 139" xfId="10324"/>
    <cellStyle name="Neutra 14" xfId="10325"/>
    <cellStyle name="Neutra 140" xfId="10326"/>
    <cellStyle name="Neutra 141" xfId="10327"/>
    <cellStyle name="Neutra 142" xfId="10328"/>
    <cellStyle name="Neutra 143" xfId="10329"/>
    <cellStyle name="Neutra 144" xfId="10330"/>
    <cellStyle name="Neutra 145" xfId="10331"/>
    <cellStyle name="Neutra 146" xfId="10332"/>
    <cellStyle name="Neutra 147" xfId="10333"/>
    <cellStyle name="Neutra 148" xfId="10334"/>
    <cellStyle name="Neutra 149" xfId="10335"/>
    <cellStyle name="Neutra 15" xfId="10336"/>
    <cellStyle name="Neutra 15 2" xfId="10337"/>
    <cellStyle name="Neutra 15 3" xfId="10338"/>
    <cellStyle name="Neutra 150" xfId="10339"/>
    <cellStyle name="Neutra 151" xfId="10340"/>
    <cellStyle name="Neutra 152" xfId="10341"/>
    <cellStyle name="Neutra 153" xfId="10342"/>
    <cellStyle name="Neutra 154" xfId="10343"/>
    <cellStyle name="Neutra 155" xfId="10344"/>
    <cellStyle name="Neutra 156" xfId="10345"/>
    <cellStyle name="Neutra 157" xfId="10346"/>
    <cellStyle name="Neutra 158" xfId="10347"/>
    <cellStyle name="Neutra 159" xfId="10348"/>
    <cellStyle name="Neutra 16" xfId="10349"/>
    <cellStyle name="Neutra 16 2" xfId="10350"/>
    <cellStyle name="Neutra 16 3" xfId="10351"/>
    <cellStyle name="Neutra 160" xfId="10352"/>
    <cellStyle name="Neutra 161" xfId="10353"/>
    <cellStyle name="Neutra 162" xfId="10354"/>
    <cellStyle name="Neutra 163" xfId="10355"/>
    <cellStyle name="Neutra 164" xfId="10356"/>
    <cellStyle name="Neutra 165" xfId="10357"/>
    <cellStyle name="Neutra 166" xfId="10358"/>
    <cellStyle name="Neutra 167" xfId="10359"/>
    <cellStyle name="Neutra 168" xfId="10360"/>
    <cellStyle name="Neutra 169" xfId="10361"/>
    <cellStyle name="Neutra 17" xfId="10362"/>
    <cellStyle name="Neutra 17 2" xfId="10363"/>
    <cellStyle name="Neutra 17 3" xfId="10364"/>
    <cellStyle name="Neutra 170" xfId="10365"/>
    <cellStyle name="Neutra 171" xfId="10366"/>
    <cellStyle name="Neutra 172" xfId="10367"/>
    <cellStyle name="Neutra 173" xfId="10368"/>
    <cellStyle name="Neutra 174" xfId="10369"/>
    <cellStyle name="Neutra 175" xfId="10370"/>
    <cellStyle name="Neutra 176" xfId="10371"/>
    <cellStyle name="Neutra 177" xfId="10372"/>
    <cellStyle name="Neutra 178" xfId="10373"/>
    <cellStyle name="Neutra 179" xfId="10374"/>
    <cellStyle name="Neutra 18" xfId="10375"/>
    <cellStyle name="Neutra 18 2" xfId="10376"/>
    <cellStyle name="Neutra 18 3" xfId="10377"/>
    <cellStyle name="Neutra 180" xfId="10378"/>
    <cellStyle name="Neutra 181" xfId="10379"/>
    <cellStyle name="Neutra 182" xfId="10380"/>
    <cellStyle name="Neutra 183" xfId="10381"/>
    <cellStyle name="Neutra 184" xfId="10382"/>
    <cellStyle name="Neutra 185" xfId="10383"/>
    <cellStyle name="Neutra 186" xfId="10384"/>
    <cellStyle name="Neutra 187" xfId="10385"/>
    <cellStyle name="Neutra 188" xfId="10386"/>
    <cellStyle name="Neutra 189" xfId="10387"/>
    <cellStyle name="Neutra 19" xfId="10388"/>
    <cellStyle name="Neutra 19 2" xfId="10389"/>
    <cellStyle name="Neutra 19 3" xfId="10390"/>
    <cellStyle name="Neutra 190" xfId="10391"/>
    <cellStyle name="Neutra 2" xfId="10392"/>
    <cellStyle name="Neutra 2 10" xfId="10393"/>
    <cellStyle name="Neutra 2 10 2" xfId="10394"/>
    <cellStyle name="Neutra 2 10 3" xfId="10395"/>
    <cellStyle name="Neutra 2 10 4" xfId="10396"/>
    <cellStyle name="Neutra 2 10 5" xfId="10397"/>
    <cellStyle name="Neutra 2 10 6" xfId="10398"/>
    <cellStyle name="Neutra 2 10 7" xfId="10399"/>
    <cellStyle name="Neutra 2 11" xfId="10400"/>
    <cellStyle name="Neutra 2 11 2" xfId="10401"/>
    <cellStyle name="Neutra 2 11 3" xfId="10402"/>
    <cellStyle name="Neutra 2 11 4" xfId="10403"/>
    <cellStyle name="Neutra 2 11 5" xfId="10404"/>
    <cellStyle name="Neutra 2 11 6" xfId="10405"/>
    <cellStyle name="Neutra 2 11 7" xfId="10406"/>
    <cellStyle name="Neutra 2 12" xfId="10407"/>
    <cellStyle name="Neutra 2 13" xfId="10408"/>
    <cellStyle name="Neutra 2 14" xfId="10409"/>
    <cellStyle name="Neutra 2 15" xfId="10410"/>
    <cellStyle name="Neutra 2 16" xfId="10411"/>
    <cellStyle name="Neutra 2 17" xfId="10412"/>
    <cellStyle name="Neutra 2 18" xfId="10413"/>
    <cellStyle name="Neutra 2 19" xfId="10414"/>
    <cellStyle name="Neutra 2 2" xfId="10415"/>
    <cellStyle name="Neutra 2 20" xfId="10416"/>
    <cellStyle name="Neutra 2 21" xfId="10417"/>
    <cellStyle name="Neutra 2 22" xfId="10418"/>
    <cellStyle name="Neutra 2 23" xfId="10419"/>
    <cellStyle name="Neutra 2 24" xfId="10420"/>
    <cellStyle name="Neutra 2 25" xfId="10421"/>
    <cellStyle name="Neutra 2 26" xfId="10422"/>
    <cellStyle name="Neutra 2 27" xfId="10423"/>
    <cellStyle name="Neutra 2 28" xfId="10424"/>
    <cellStyle name="Neutra 2 29" xfId="10425"/>
    <cellStyle name="Neutra 2 3" xfId="10426"/>
    <cellStyle name="Neutra 2 30" xfId="10427"/>
    <cellStyle name="Neutra 2 31" xfId="10428"/>
    <cellStyle name="Neutra 2 32" xfId="10429"/>
    <cellStyle name="Neutra 2 33" xfId="10430"/>
    <cellStyle name="Neutra 2 34" xfId="10431"/>
    <cellStyle name="Neutra 2 35" xfId="10432"/>
    <cellStyle name="Neutra 2 4" xfId="10433"/>
    <cellStyle name="Neutra 2 5" xfId="10434"/>
    <cellStyle name="Neutra 2 6" xfId="10435"/>
    <cellStyle name="Neutra 2 7" xfId="10436"/>
    <cellStyle name="Neutra 2 8" xfId="10437"/>
    <cellStyle name="Neutra 2 8 2" xfId="10438"/>
    <cellStyle name="Neutra 2 8 3" xfId="10439"/>
    <cellStyle name="Neutra 2 8 4" xfId="10440"/>
    <cellStyle name="Neutra 2 8 5" xfId="10441"/>
    <cellStyle name="Neutra 2 8 6" xfId="10442"/>
    <cellStyle name="Neutra 2 8 7" xfId="10443"/>
    <cellStyle name="Neutra 2 9" xfId="10444"/>
    <cellStyle name="Neutra 2 9 2" xfId="10445"/>
    <cellStyle name="Neutra 2 9 3" xfId="10446"/>
    <cellStyle name="Neutra 2 9 4" xfId="10447"/>
    <cellStyle name="Neutra 2 9 5" xfId="10448"/>
    <cellStyle name="Neutra 2 9 6" xfId="10449"/>
    <cellStyle name="Neutra 2 9 7" xfId="10450"/>
    <cellStyle name="Neutra 20" xfId="10451"/>
    <cellStyle name="Neutra 20 2" xfId="10452"/>
    <cellStyle name="Neutra 20 3" xfId="10453"/>
    <cellStyle name="Neutra 21" xfId="10454"/>
    <cellStyle name="Neutra 22" xfId="10455"/>
    <cellStyle name="Neutra 23" xfId="10456"/>
    <cellStyle name="Neutra 24" xfId="10457"/>
    <cellStyle name="Neutra 24 2" xfId="40972"/>
    <cellStyle name="Neutra 25" xfId="10458"/>
    <cellStyle name="Neutra 25 2" xfId="41007"/>
    <cellStyle name="Neutra 26" xfId="10459"/>
    <cellStyle name="Neutra 26 10" xfId="10460"/>
    <cellStyle name="Neutra 26 11" xfId="10461"/>
    <cellStyle name="Neutra 26 12" xfId="10462"/>
    <cellStyle name="Neutra 26 13" xfId="10463"/>
    <cellStyle name="Neutra 26 14" xfId="10464"/>
    <cellStyle name="Neutra 26 15" xfId="10465"/>
    <cellStyle name="Neutra 26 16" xfId="10466"/>
    <cellStyle name="Neutra 26 2" xfId="10467"/>
    <cellStyle name="Neutra 26 3" xfId="10468"/>
    <cellStyle name="Neutra 26 4" xfId="10469"/>
    <cellStyle name="Neutra 26 5" xfId="10470"/>
    <cellStyle name="Neutra 26 6" xfId="10471"/>
    <cellStyle name="Neutra 26 7" xfId="10472"/>
    <cellStyle name="Neutra 26 8" xfId="10473"/>
    <cellStyle name="Neutra 26 9" xfId="10474"/>
    <cellStyle name="Neutra 27" xfId="10475"/>
    <cellStyle name="Neutra 27 10" xfId="10476"/>
    <cellStyle name="Neutra 27 11" xfId="10477"/>
    <cellStyle name="Neutra 27 12" xfId="10478"/>
    <cellStyle name="Neutra 27 13" xfId="10479"/>
    <cellStyle name="Neutra 27 14" xfId="10480"/>
    <cellStyle name="Neutra 27 15" xfId="10481"/>
    <cellStyle name="Neutra 27 16" xfId="10482"/>
    <cellStyle name="Neutra 27 2" xfId="10483"/>
    <cellStyle name="Neutra 27 3" xfId="10484"/>
    <cellStyle name="Neutra 27 4" xfId="10485"/>
    <cellStyle name="Neutra 27 5" xfId="10486"/>
    <cellStyle name="Neutra 27 6" xfId="10487"/>
    <cellStyle name="Neutra 27 7" xfId="10488"/>
    <cellStyle name="Neutra 27 8" xfId="10489"/>
    <cellStyle name="Neutra 27 9" xfId="10490"/>
    <cellStyle name="Neutra 28" xfId="10491"/>
    <cellStyle name="Neutra 28 10" xfId="10492"/>
    <cellStyle name="Neutra 28 11" xfId="10493"/>
    <cellStyle name="Neutra 28 12" xfId="10494"/>
    <cellStyle name="Neutra 28 13" xfId="10495"/>
    <cellStyle name="Neutra 28 14" xfId="10496"/>
    <cellStyle name="Neutra 28 15" xfId="10497"/>
    <cellStyle name="Neutra 28 16" xfId="10498"/>
    <cellStyle name="Neutra 28 2" xfId="10499"/>
    <cellStyle name="Neutra 28 3" xfId="10500"/>
    <cellStyle name="Neutra 28 4" xfId="10501"/>
    <cellStyle name="Neutra 28 5" xfId="10502"/>
    <cellStyle name="Neutra 28 6" xfId="10503"/>
    <cellStyle name="Neutra 28 7" xfId="10504"/>
    <cellStyle name="Neutra 28 8" xfId="10505"/>
    <cellStyle name="Neutra 28 9" xfId="10506"/>
    <cellStyle name="Neutra 29" xfId="10507"/>
    <cellStyle name="Neutra 29 10" xfId="10508"/>
    <cellStyle name="Neutra 29 11" xfId="10509"/>
    <cellStyle name="Neutra 29 12" xfId="10510"/>
    <cellStyle name="Neutra 29 13" xfId="10511"/>
    <cellStyle name="Neutra 29 14" xfId="10512"/>
    <cellStyle name="Neutra 29 15" xfId="10513"/>
    <cellStyle name="Neutra 29 16" xfId="10514"/>
    <cellStyle name="Neutra 29 2" xfId="10515"/>
    <cellStyle name="Neutra 29 3" xfId="10516"/>
    <cellStyle name="Neutra 29 4" xfId="10517"/>
    <cellStyle name="Neutra 29 5" xfId="10518"/>
    <cellStyle name="Neutra 29 6" xfId="10519"/>
    <cellStyle name="Neutra 29 7" xfId="10520"/>
    <cellStyle name="Neutra 29 8" xfId="10521"/>
    <cellStyle name="Neutra 29 9" xfId="10522"/>
    <cellStyle name="Neutra 3" xfId="10523"/>
    <cellStyle name="Neutra 3 10" xfId="10524"/>
    <cellStyle name="Neutra 3 11" xfId="10525"/>
    <cellStyle name="Neutra 3 2" xfId="10526"/>
    <cellStyle name="Neutra 3 3" xfId="10527"/>
    <cellStyle name="Neutra 3 4" xfId="10528"/>
    <cellStyle name="Neutra 3 5" xfId="10529"/>
    <cellStyle name="Neutra 3 6" xfId="10530"/>
    <cellStyle name="Neutra 3 7" xfId="10531"/>
    <cellStyle name="Neutra 3 8" xfId="10532"/>
    <cellStyle name="Neutra 3 9" xfId="10533"/>
    <cellStyle name="Neutra 30" xfId="10534"/>
    <cellStyle name="Neutra 31" xfId="10535"/>
    <cellStyle name="Neutra 32" xfId="10536"/>
    <cellStyle name="Neutra 33" xfId="10537"/>
    <cellStyle name="Neutra 34" xfId="10538"/>
    <cellStyle name="Neutra 35" xfId="10539"/>
    <cellStyle name="Neutra 36" xfId="10540"/>
    <cellStyle name="Neutra 37" xfId="10541"/>
    <cellStyle name="Neutra 38" xfId="10542"/>
    <cellStyle name="Neutra 39" xfId="10543"/>
    <cellStyle name="Neutra 4" xfId="10544"/>
    <cellStyle name="Neutra 4 10" xfId="10545"/>
    <cellStyle name="Neutra 4 11" xfId="10546"/>
    <cellStyle name="Neutra 4 2" xfId="10547"/>
    <cellStyle name="Neutra 4 3" xfId="10548"/>
    <cellStyle name="Neutra 4 4" xfId="10549"/>
    <cellStyle name="Neutra 4 5" xfId="10550"/>
    <cellStyle name="Neutra 4 6" xfId="10551"/>
    <cellStyle name="Neutra 4 7" xfId="10552"/>
    <cellStyle name="Neutra 4 8" xfId="10553"/>
    <cellStyle name="Neutra 4 9" xfId="10554"/>
    <cellStyle name="Neutra 40" xfId="10555"/>
    <cellStyle name="Neutra 41" xfId="10556"/>
    <cellStyle name="Neutra 42" xfId="10557"/>
    <cellStyle name="Neutra 43" xfId="10558"/>
    <cellStyle name="Neutra 44" xfId="10559"/>
    <cellStyle name="Neutra 45" xfId="10560"/>
    <cellStyle name="Neutra 46" xfId="10561"/>
    <cellStyle name="Neutra 47" xfId="10562"/>
    <cellStyle name="Neutra 48" xfId="10563"/>
    <cellStyle name="Neutra 49" xfId="10564"/>
    <cellStyle name="Neutra 5" xfId="10565"/>
    <cellStyle name="Neutra 5 2" xfId="10566"/>
    <cellStyle name="Neutra 5 3" xfId="10567"/>
    <cellStyle name="Neutra 5 4" xfId="10568"/>
    <cellStyle name="Neutra 50" xfId="10569"/>
    <cellStyle name="Neutra 51" xfId="10570"/>
    <cellStyle name="Neutra 52" xfId="10571"/>
    <cellStyle name="Neutra 53" xfId="10572"/>
    <cellStyle name="Neutra 54" xfId="10573"/>
    <cellStyle name="Neutra 55" xfId="10574"/>
    <cellStyle name="Neutra 56" xfId="10575"/>
    <cellStyle name="Neutra 57" xfId="10576"/>
    <cellStyle name="Neutra 58" xfId="10577"/>
    <cellStyle name="Neutra 59" xfId="10578"/>
    <cellStyle name="Neutra 6" xfId="10579"/>
    <cellStyle name="Neutra 6 2" xfId="10580"/>
    <cellStyle name="Neutra 6 3" xfId="10581"/>
    <cellStyle name="Neutra 6 4" xfId="10582"/>
    <cellStyle name="Neutra 60" xfId="10583"/>
    <cellStyle name="Neutra 61" xfId="10584"/>
    <cellStyle name="Neutra 62" xfId="10585"/>
    <cellStyle name="Neutra 63" xfId="10586"/>
    <cellStyle name="Neutra 64" xfId="10587"/>
    <cellStyle name="Neutra 65" xfId="10588"/>
    <cellStyle name="Neutra 66" xfId="10589"/>
    <cellStyle name="Neutra 67" xfId="10590"/>
    <cellStyle name="Neutra 68" xfId="10591"/>
    <cellStyle name="Neutra 69" xfId="10592"/>
    <cellStyle name="Neutra 7" xfId="10593"/>
    <cellStyle name="Neutra 7 2" xfId="10594"/>
    <cellStyle name="Neutra 7 3" xfId="10595"/>
    <cellStyle name="Neutra 7 4" xfId="10596"/>
    <cellStyle name="Neutra 70" xfId="10597"/>
    <cellStyle name="Neutra 71" xfId="10598"/>
    <cellStyle name="Neutra 72" xfId="10599"/>
    <cellStyle name="Neutra 73" xfId="10600"/>
    <cellStyle name="Neutra 74" xfId="10601"/>
    <cellStyle name="Neutra 75" xfId="10602"/>
    <cellStyle name="Neutra 76" xfId="10603"/>
    <cellStyle name="Neutra 77" xfId="10604"/>
    <cellStyle name="Neutra 78" xfId="10605"/>
    <cellStyle name="Neutra 79" xfId="10606"/>
    <cellStyle name="Neutra 8" xfId="10607"/>
    <cellStyle name="Neutra 8 2" xfId="10608"/>
    <cellStyle name="Neutra 8 3" xfId="10609"/>
    <cellStyle name="Neutra 8 4" xfId="10610"/>
    <cellStyle name="Neutra 80" xfId="10611"/>
    <cellStyle name="Neutra 81" xfId="10612"/>
    <cellStyle name="Neutra 82" xfId="10613"/>
    <cellStyle name="Neutra 83" xfId="10614"/>
    <cellStyle name="Neutra 84" xfId="10615"/>
    <cellStyle name="Neutra 85" xfId="10616"/>
    <cellStyle name="Neutra 86" xfId="10617"/>
    <cellStyle name="Neutra 87" xfId="10618"/>
    <cellStyle name="Neutra 88" xfId="10619"/>
    <cellStyle name="Neutra 89" xfId="10620"/>
    <cellStyle name="Neutra 9" xfId="10621"/>
    <cellStyle name="Neutra 90" xfId="10622"/>
    <cellStyle name="Neutra 91" xfId="10623"/>
    <cellStyle name="Neutra 92" xfId="10624"/>
    <cellStyle name="Neutra 93" xfId="10625"/>
    <cellStyle name="Neutra 94" xfId="10626"/>
    <cellStyle name="Neutra 95" xfId="10627"/>
    <cellStyle name="Neutra 96" xfId="10628"/>
    <cellStyle name="Neutra 97" xfId="10629"/>
    <cellStyle name="Neutra 98" xfId="10630"/>
    <cellStyle name="Neutra 99" xfId="10631"/>
    <cellStyle name="Normal" xfId="0" builtinId="0"/>
    <cellStyle name="Normal 10" xfId="10632"/>
    <cellStyle name="Normal 10 10" xfId="10633"/>
    <cellStyle name="Normal 10 11" xfId="10634"/>
    <cellStyle name="Normal 10 2" xfId="10635"/>
    <cellStyle name="Normal 10 2 2" xfId="22"/>
    <cellStyle name="Normal 10 2 3" xfId="10636"/>
    <cellStyle name="Normal 10 2 4" xfId="10637"/>
    <cellStyle name="Normal 10 2 5" xfId="10638"/>
    <cellStyle name="Normal 10 2 6" xfId="10639"/>
    <cellStyle name="Normal 10 2 7" xfId="10640"/>
    <cellStyle name="Normal 10 3" xfId="10641"/>
    <cellStyle name="Normal 10 3 2" xfId="10642"/>
    <cellStyle name="Normal 10 4" xfId="10643"/>
    <cellStyle name="Normal 10 4 2" xfId="10644"/>
    <cellStyle name="Normal 10 5" xfId="10645"/>
    <cellStyle name="Normal 10 5 2" xfId="10646"/>
    <cellStyle name="Normal 10 6" xfId="10647"/>
    <cellStyle name="Normal 10 6 2" xfId="10648"/>
    <cellStyle name="Normal 10 7" xfId="10649"/>
    <cellStyle name="Normal 10 8" xfId="10650"/>
    <cellStyle name="Normal 10 9" xfId="10651"/>
    <cellStyle name="Normal 11" xfId="10652"/>
    <cellStyle name="Normal 11 10" xfId="10653"/>
    <cellStyle name="Normal 11 2" xfId="10654"/>
    <cellStyle name="Normal 11 2 10" xfId="10655"/>
    <cellStyle name="Normal 11 2 11" xfId="10656"/>
    <cellStyle name="Normal 11 2 12" xfId="10657"/>
    <cellStyle name="Normal 11 2 13" xfId="10658"/>
    <cellStyle name="Normal 11 2 14" xfId="10659"/>
    <cellStyle name="Normal 11 2 15" xfId="10660"/>
    <cellStyle name="Normal 11 2 16" xfId="10661"/>
    <cellStyle name="Normal 11 2 2" xfId="10662"/>
    <cellStyle name="Normal 11 2 3" xfId="10663"/>
    <cellStyle name="Normal 11 2 4" xfId="10664"/>
    <cellStyle name="Normal 11 2 5" xfId="10665"/>
    <cellStyle name="Normal 11 2 6" xfId="10666"/>
    <cellStyle name="Normal 11 2 7" xfId="10667"/>
    <cellStyle name="Normal 11 2 8" xfId="10668"/>
    <cellStyle name="Normal 11 2 9" xfId="10669"/>
    <cellStyle name="Normal 11 3" xfId="10670"/>
    <cellStyle name="Normal 11 3 10" xfId="10671"/>
    <cellStyle name="Normal 11 3 11" xfId="10672"/>
    <cellStyle name="Normal 11 3 12" xfId="10673"/>
    <cellStyle name="Normal 11 3 13" xfId="10674"/>
    <cellStyle name="Normal 11 3 14" xfId="10675"/>
    <cellStyle name="Normal 11 3 15" xfId="10676"/>
    <cellStyle name="Normal 11 3 16" xfId="10677"/>
    <cellStyle name="Normal 11 3 2" xfId="10678"/>
    <cellStyle name="Normal 11 3 3" xfId="10679"/>
    <cellStyle name="Normal 11 3 4" xfId="10680"/>
    <cellStyle name="Normal 11 3 5" xfId="10681"/>
    <cellStyle name="Normal 11 3 6" xfId="10682"/>
    <cellStyle name="Normal 11 3 7" xfId="10683"/>
    <cellStyle name="Normal 11 3 8" xfId="10684"/>
    <cellStyle name="Normal 11 3 9" xfId="10685"/>
    <cellStyle name="Normal 11 4" xfId="10686"/>
    <cellStyle name="Normal 11 4 10" xfId="10687"/>
    <cellStyle name="Normal 11 4 11" xfId="10688"/>
    <cellStyle name="Normal 11 4 12" xfId="10689"/>
    <cellStyle name="Normal 11 4 13" xfId="10690"/>
    <cellStyle name="Normal 11 4 14" xfId="10691"/>
    <cellStyle name="Normal 11 4 15" xfId="10692"/>
    <cellStyle name="Normal 11 4 16" xfId="10693"/>
    <cellStyle name="Normal 11 4 2" xfId="10694"/>
    <cellStyle name="Normal 11 4 3" xfId="10695"/>
    <cellStyle name="Normal 11 4 4" xfId="10696"/>
    <cellStyle name="Normal 11 4 5" xfId="10697"/>
    <cellStyle name="Normal 11 4 6" xfId="10698"/>
    <cellStyle name="Normal 11 4 7" xfId="10699"/>
    <cellStyle name="Normal 11 4 8" xfId="10700"/>
    <cellStyle name="Normal 11 4 9" xfId="10701"/>
    <cellStyle name="Normal 11 5" xfId="10702"/>
    <cellStyle name="Normal 11 5 10" xfId="10703"/>
    <cellStyle name="Normal 11 5 11" xfId="10704"/>
    <cellStyle name="Normal 11 5 12" xfId="10705"/>
    <cellStyle name="Normal 11 5 13" xfId="10706"/>
    <cellStyle name="Normal 11 5 14" xfId="10707"/>
    <cellStyle name="Normal 11 5 15" xfId="10708"/>
    <cellStyle name="Normal 11 5 16" xfId="10709"/>
    <cellStyle name="Normal 11 5 2" xfId="10710"/>
    <cellStyle name="Normal 11 5 3" xfId="10711"/>
    <cellStyle name="Normal 11 5 4" xfId="10712"/>
    <cellStyle name="Normal 11 5 5" xfId="10713"/>
    <cellStyle name="Normal 11 5 6" xfId="10714"/>
    <cellStyle name="Normal 11 5 7" xfId="10715"/>
    <cellStyle name="Normal 11 5 8" xfId="10716"/>
    <cellStyle name="Normal 11 5 9" xfId="10717"/>
    <cellStyle name="Normal 11 6" xfId="10718"/>
    <cellStyle name="Normal 11 7" xfId="10719"/>
    <cellStyle name="Normal 11 8" xfId="10720"/>
    <cellStyle name="Normal 11 9" xfId="10721"/>
    <cellStyle name="Normal 12" xfId="10722"/>
    <cellStyle name="Normal 12 2" xfId="10723"/>
    <cellStyle name="Normal 12 2 2" xfId="10724"/>
    <cellStyle name="Normal 12 2 3" xfId="10725"/>
    <cellStyle name="Normal 12 2 4" xfId="10726"/>
    <cellStyle name="Normal 12 2 5" xfId="10727"/>
    <cellStyle name="Normal 12 2 6" xfId="10728"/>
    <cellStyle name="Normal 12 2 7" xfId="10729"/>
    <cellStyle name="Normal 12 3" xfId="10730"/>
    <cellStyle name="Normal 12 4" xfId="10731"/>
    <cellStyle name="Normal 12 5" xfId="10732"/>
    <cellStyle name="Normal 12 6" xfId="10733"/>
    <cellStyle name="Normal 12 7" xfId="10734"/>
    <cellStyle name="Normal 13" xfId="10735"/>
    <cellStyle name="Normal 13 10" xfId="10736"/>
    <cellStyle name="Normal 13 10 2" xfId="29989"/>
    <cellStyle name="Normal 13 2" xfId="10737"/>
    <cellStyle name="Normal 13 2 2" xfId="10738"/>
    <cellStyle name="Normal 13 2 2 2" xfId="10739"/>
    <cellStyle name="Normal 13 2 2 3" xfId="10740"/>
    <cellStyle name="Normal 13 2 2 4" xfId="10741"/>
    <cellStyle name="Normal 13 2 2 5" xfId="10742"/>
    <cellStyle name="Normal 13 2 2 6" xfId="10743"/>
    <cellStyle name="Normal 13 2 2 7" xfId="10744"/>
    <cellStyle name="Normal 13 2 3" xfId="10745"/>
    <cellStyle name="Normal 13 2 4" xfId="10746"/>
    <cellStyle name="Normal 13 2 5" xfId="10747"/>
    <cellStyle name="Normal 13 2 6" xfId="10748"/>
    <cellStyle name="Normal 13 2 7" xfId="10749"/>
    <cellStyle name="Normal 13 2 8" xfId="29990"/>
    <cellStyle name="Normal 13 3" xfId="10750"/>
    <cellStyle name="Normal 13 4" xfId="10751"/>
    <cellStyle name="Normal 13 5" xfId="10752"/>
    <cellStyle name="Normal 13 6" xfId="10753"/>
    <cellStyle name="Normal 13 6 2" xfId="29991"/>
    <cellStyle name="Normal 13 7" xfId="10754"/>
    <cellStyle name="Normal 13 7 2" xfId="29992"/>
    <cellStyle name="Normal 13 8" xfId="10755"/>
    <cellStyle name="Normal 13 8 2" xfId="29993"/>
    <cellStyle name="Normal 13 9" xfId="10756"/>
    <cellStyle name="Normal 13 9 2" xfId="29994"/>
    <cellStyle name="Normal 14" xfId="10757"/>
    <cellStyle name="Normal 14 2" xfId="41071"/>
    <cellStyle name="Normal 15" xfId="10758"/>
    <cellStyle name="Normal 15 2" xfId="10759"/>
    <cellStyle name="Normal 15 2 10" xfId="10760"/>
    <cellStyle name="Normal 15 2 11" xfId="10761"/>
    <cellStyle name="Normal 15 2 12" xfId="10762"/>
    <cellStyle name="Normal 15 2 13" xfId="10763"/>
    <cellStyle name="Normal 15 2 14" xfId="10764"/>
    <cellStyle name="Normal 15 2 15" xfId="10765"/>
    <cellStyle name="Normal 15 2 2" xfId="10766"/>
    <cellStyle name="Normal 15 2 3" xfId="10767"/>
    <cellStyle name="Normal 15 2 4" xfId="10768"/>
    <cellStyle name="Normal 15 2 5" xfId="10769"/>
    <cellStyle name="Normal 15 2 6" xfId="10770"/>
    <cellStyle name="Normal 15 2 7" xfId="10771"/>
    <cellStyle name="Normal 15 2 8" xfId="10772"/>
    <cellStyle name="Normal 15 2 9" xfId="10773"/>
    <cellStyle name="Normal 15 3" xfId="10774"/>
    <cellStyle name="Normal 15 3 10" xfId="10775"/>
    <cellStyle name="Normal 15 3 11" xfId="10776"/>
    <cellStyle name="Normal 15 3 12" xfId="10777"/>
    <cellStyle name="Normal 15 3 13" xfId="10778"/>
    <cellStyle name="Normal 15 3 14" xfId="10779"/>
    <cellStyle name="Normal 15 3 15" xfId="10780"/>
    <cellStyle name="Normal 15 3 2" xfId="10781"/>
    <cellStyle name="Normal 15 3 3" xfId="10782"/>
    <cellStyle name="Normal 15 3 4" xfId="10783"/>
    <cellStyle name="Normal 15 3 5" xfId="10784"/>
    <cellStyle name="Normal 15 3 6" xfId="10785"/>
    <cellStyle name="Normal 15 3 7" xfId="10786"/>
    <cellStyle name="Normal 15 3 8" xfId="10787"/>
    <cellStyle name="Normal 15 3 9" xfId="10788"/>
    <cellStyle name="Normal 15 4" xfId="10789"/>
    <cellStyle name="Normal 15 4 10" xfId="10790"/>
    <cellStyle name="Normal 15 4 11" xfId="10791"/>
    <cellStyle name="Normal 15 4 12" xfId="10792"/>
    <cellStyle name="Normal 15 4 13" xfId="10793"/>
    <cellStyle name="Normal 15 4 14" xfId="10794"/>
    <cellStyle name="Normal 15 4 15" xfId="10795"/>
    <cellStyle name="Normal 15 4 2" xfId="10796"/>
    <cellStyle name="Normal 15 4 3" xfId="10797"/>
    <cellStyle name="Normal 15 4 4" xfId="10798"/>
    <cellStyle name="Normal 15 4 5" xfId="10799"/>
    <cellStyle name="Normal 15 4 6" xfId="10800"/>
    <cellStyle name="Normal 15 4 7" xfId="10801"/>
    <cellStyle name="Normal 15 4 8" xfId="10802"/>
    <cellStyle name="Normal 15 4 9" xfId="10803"/>
    <cellStyle name="Normal 15 5" xfId="10804"/>
    <cellStyle name="Normal 15 5 10" xfId="10805"/>
    <cellStyle name="Normal 15 5 11" xfId="10806"/>
    <cellStyle name="Normal 15 5 12" xfId="10807"/>
    <cellStyle name="Normal 15 5 13" xfId="10808"/>
    <cellStyle name="Normal 15 5 14" xfId="10809"/>
    <cellStyle name="Normal 15 5 15" xfId="10810"/>
    <cellStyle name="Normal 15 5 2" xfId="10811"/>
    <cellStyle name="Normal 15 5 3" xfId="10812"/>
    <cellStyle name="Normal 15 5 4" xfId="10813"/>
    <cellStyle name="Normal 15 5 5" xfId="10814"/>
    <cellStyle name="Normal 15 5 6" xfId="10815"/>
    <cellStyle name="Normal 15 5 7" xfId="10816"/>
    <cellStyle name="Normal 15 5 8" xfId="10817"/>
    <cellStyle name="Normal 15 5 9" xfId="10818"/>
    <cellStyle name="Normal 16" xfId="10819"/>
    <cellStyle name="Normal 17" xfId="10820"/>
    <cellStyle name="Normal 17 2" xfId="10821"/>
    <cellStyle name="Normal 17 3" xfId="10822"/>
    <cellStyle name="Normal 17 4" xfId="10823"/>
    <cellStyle name="Normal 17 5" xfId="10824"/>
    <cellStyle name="Normal 17 6" xfId="10825"/>
    <cellStyle name="Normal 17 7" xfId="10826"/>
    <cellStyle name="Normal 18" xfId="10827"/>
    <cellStyle name="Normal 18 2" xfId="10828"/>
    <cellStyle name="Normal 18 3" xfId="10829"/>
    <cellStyle name="Normal 18 4" xfId="10830"/>
    <cellStyle name="Normal 18 5" xfId="10831"/>
    <cellStyle name="Normal 18 6" xfId="10832"/>
    <cellStyle name="Normal 18 7" xfId="10833"/>
    <cellStyle name="Normal 19" xfId="10834"/>
    <cellStyle name="Normal 19 2" xfId="10835"/>
    <cellStyle name="Normal 19 3" xfId="10836"/>
    <cellStyle name="Normal 2" xfId="4"/>
    <cellStyle name="Normal 2 10" xfId="10837"/>
    <cellStyle name="Normal 2 10 10" xfId="10838"/>
    <cellStyle name="Normal 2 10 11" xfId="10839"/>
    <cellStyle name="Normal 2 10 12" xfId="10840"/>
    <cellStyle name="Normal 2 10 2" xfId="10841"/>
    <cellStyle name="Normal 2 10 2 2" xfId="10842"/>
    <cellStyle name="Normal 2 10 2 3" xfId="10843"/>
    <cellStyle name="Normal 2 10 2 4" xfId="10844"/>
    <cellStyle name="Normal 2 10 2 5" xfId="10845"/>
    <cellStyle name="Normal 2 10 2 6" xfId="10846"/>
    <cellStyle name="Normal 2 10 2 7" xfId="10847"/>
    <cellStyle name="Normal 2 10 2 8" xfId="40625"/>
    <cellStyle name="Normal 2 10 3" xfId="10848"/>
    <cellStyle name="Normal 2 10 3 2" xfId="40626"/>
    <cellStyle name="Normal 2 10 4" xfId="10849"/>
    <cellStyle name="Normal 2 10 4 2" xfId="40627"/>
    <cellStyle name="Normal 2 10 5" xfId="10850"/>
    <cellStyle name="Normal 2 10 6" xfId="10851"/>
    <cellStyle name="Normal 2 10 7" xfId="10852"/>
    <cellStyle name="Normal 2 10 8" xfId="10853"/>
    <cellStyle name="Normal 2 10 9" xfId="10854"/>
    <cellStyle name="Normal 2 100" xfId="10855"/>
    <cellStyle name="Normal 2 101" xfId="10856"/>
    <cellStyle name="Normal 2 102" xfId="10857"/>
    <cellStyle name="Normal 2 103" xfId="10858"/>
    <cellStyle name="Normal 2 104" xfId="10859"/>
    <cellStyle name="Normal 2 105" xfId="10860"/>
    <cellStyle name="Normal 2 106" xfId="10861"/>
    <cellStyle name="Normal 2 107" xfId="10862"/>
    <cellStyle name="Normal 2 108" xfId="10863"/>
    <cellStyle name="Normal 2 109" xfId="10864"/>
    <cellStyle name="Normal 2 11" xfId="10865"/>
    <cellStyle name="Normal 2 11 10" xfId="10866"/>
    <cellStyle name="Normal 2 11 11" xfId="10867"/>
    <cellStyle name="Normal 2 11 12" xfId="10868"/>
    <cellStyle name="Normal 2 11 2" xfId="10869"/>
    <cellStyle name="Normal 2 11 2 2" xfId="10870"/>
    <cellStyle name="Normal 2 11 2 3" xfId="10871"/>
    <cellStyle name="Normal 2 11 2 4" xfId="10872"/>
    <cellStyle name="Normal 2 11 2 5" xfId="10873"/>
    <cellStyle name="Normal 2 11 2 6" xfId="10874"/>
    <cellStyle name="Normal 2 11 2 7" xfId="10875"/>
    <cellStyle name="Normal 2 11 2 8" xfId="40628"/>
    <cellStyle name="Normal 2 11 3" xfId="10876"/>
    <cellStyle name="Normal 2 11 3 2" xfId="40629"/>
    <cellStyle name="Normal 2 11 4" xfId="10877"/>
    <cellStyle name="Normal 2 11 4 2" xfId="40630"/>
    <cellStyle name="Normal 2 11 5" xfId="10878"/>
    <cellStyle name="Normal 2 11 6" xfId="10879"/>
    <cellStyle name="Normal 2 11 7" xfId="10880"/>
    <cellStyle name="Normal 2 11 8" xfId="10881"/>
    <cellStyle name="Normal 2 11 9" xfId="10882"/>
    <cellStyle name="Normal 2 110" xfId="10883"/>
    <cellStyle name="Normal 2 111" xfId="10884"/>
    <cellStyle name="Normal 2 112" xfId="10885"/>
    <cellStyle name="Normal 2 113" xfId="10886"/>
    <cellStyle name="Normal 2 114" xfId="10887"/>
    <cellStyle name="Normal 2 115" xfId="10888"/>
    <cellStyle name="Normal 2 116" xfId="10889"/>
    <cellStyle name="Normal 2 117" xfId="10890"/>
    <cellStyle name="Normal 2 118" xfId="10891"/>
    <cellStyle name="Normal 2 119" xfId="10892"/>
    <cellStyle name="Normal 2 12" xfId="10893"/>
    <cellStyle name="Normal 2 12 10" xfId="10894"/>
    <cellStyle name="Normal 2 12 11" xfId="10895"/>
    <cellStyle name="Normal 2 12 12" xfId="10896"/>
    <cellStyle name="Normal 2 12 2" xfId="10897"/>
    <cellStyle name="Normal 2 12 2 2" xfId="10898"/>
    <cellStyle name="Normal 2 12 2 3" xfId="10899"/>
    <cellStyle name="Normal 2 12 2 4" xfId="10900"/>
    <cellStyle name="Normal 2 12 2 5" xfId="10901"/>
    <cellStyle name="Normal 2 12 2 6" xfId="10902"/>
    <cellStyle name="Normal 2 12 2 7" xfId="10903"/>
    <cellStyle name="Normal 2 12 2 8" xfId="40631"/>
    <cellStyle name="Normal 2 12 3" xfId="10904"/>
    <cellStyle name="Normal 2 12 3 2" xfId="40632"/>
    <cellStyle name="Normal 2 12 4" xfId="10905"/>
    <cellStyle name="Normal 2 12 4 2" xfId="40633"/>
    <cellStyle name="Normal 2 12 5" xfId="10906"/>
    <cellStyle name="Normal 2 12 6" xfId="10907"/>
    <cellStyle name="Normal 2 12 7" xfId="10908"/>
    <cellStyle name="Normal 2 12 8" xfId="10909"/>
    <cellStyle name="Normal 2 12 9" xfId="10910"/>
    <cellStyle name="Normal 2 120" xfId="10911"/>
    <cellStyle name="Normal 2 121" xfId="10912"/>
    <cellStyle name="Normal 2 122" xfId="10913"/>
    <cellStyle name="Normal 2 123" xfId="10914"/>
    <cellStyle name="Normal 2 124" xfId="10915"/>
    <cellStyle name="Normal 2 125" xfId="10916"/>
    <cellStyle name="Normal 2 126" xfId="10917"/>
    <cellStyle name="Normal 2 127" xfId="10918"/>
    <cellStyle name="Normal 2 128" xfId="10919"/>
    <cellStyle name="Normal 2 129" xfId="10920"/>
    <cellStyle name="Normal 2 13" xfId="10921"/>
    <cellStyle name="Normal 2 13 10" xfId="10922"/>
    <cellStyle name="Normal 2 13 11" xfId="10923"/>
    <cellStyle name="Normal 2 13 12" xfId="10924"/>
    <cellStyle name="Normal 2 13 13" xfId="10925"/>
    <cellStyle name="Normal 2 13 14" xfId="10926"/>
    <cellStyle name="Normal 2 13 15" xfId="10927"/>
    <cellStyle name="Normal 2 13 16" xfId="10928"/>
    <cellStyle name="Normal 2 13 17" xfId="10929"/>
    <cellStyle name="Normal 2 13 18" xfId="10930"/>
    <cellStyle name="Normal 2 13 19" xfId="10931"/>
    <cellStyle name="Normal 2 13 2" xfId="10932"/>
    <cellStyle name="Normal 2 13 2 2" xfId="10933"/>
    <cellStyle name="Normal 2 13 2 3" xfId="10934"/>
    <cellStyle name="Normal 2 13 2 4" xfId="10935"/>
    <cellStyle name="Normal 2 13 2 5" xfId="10936"/>
    <cellStyle name="Normal 2 13 2 6" xfId="10937"/>
    <cellStyle name="Normal 2 13 2 7" xfId="10938"/>
    <cellStyle name="Normal 2 13 2 8" xfId="40634"/>
    <cellStyle name="Normal 2 13 20" xfId="10939"/>
    <cellStyle name="Normal 2 13 21" xfId="10940"/>
    <cellStyle name="Normal 2 13 22" xfId="10941"/>
    <cellStyle name="Normal 2 13 23" xfId="10942"/>
    <cellStyle name="Normal 2 13 24" xfId="10943"/>
    <cellStyle name="Normal 2 13 25" xfId="10944"/>
    <cellStyle name="Normal 2 13 26" xfId="10945"/>
    <cellStyle name="Normal 2 13 27" xfId="10946"/>
    <cellStyle name="Normal 2 13 28" xfId="10947"/>
    <cellStyle name="Normal 2 13 29" xfId="10948"/>
    <cellStyle name="Normal 2 13 3" xfId="10949"/>
    <cellStyle name="Normal 2 13 3 2" xfId="40635"/>
    <cellStyle name="Normal 2 13 4" xfId="10950"/>
    <cellStyle name="Normal 2 13 4 2" xfId="40636"/>
    <cellStyle name="Normal 2 13 5" xfId="10951"/>
    <cellStyle name="Normal 2 13 6" xfId="10952"/>
    <cellStyle name="Normal 2 13 7" xfId="10953"/>
    <cellStyle name="Normal 2 13 8" xfId="10954"/>
    <cellStyle name="Normal 2 13 9" xfId="10955"/>
    <cellStyle name="Normal 2 130" xfId="10956"/>
    <cellStyle name="Normal 2 131" xfId="10957"/>
    <cellStyle name="Normal 2 132" xfId="10958"/>
    <cellStyle name="Normal 2 133" xfId="10959"/>
    <cellStyle name="Normal 2 134" xfId="10960"/>
    <cellStyle name="Normal 2 135" xfId="10961"/>
    <cellStyle name="Normal 2 136" xfId="10962"/>
    <cellStyle name="Normal 2 137" xfId="10963"/>
    <cellStyle name="Normal 2 138" xfId="10964"/>
    <cellStyle name="Normal 2 139" xfId="10965"/>
    <cellStyle name="Normal 2 14" xfId="10966"/>
    <cellStyle name="Normal 2 14 10" xfId="10967"/>
    <cellStyle name="Normal 2 14 11" xfId="10968"/>
    <cellStyle name="Normal 2 14 12" xfId="10969"/>
    <cellStyle name="Normal 2 14 13" xfId="10970"/>
    <cellStyle name="Normal 2 14 14" xfId="10971"/>
    <cellStyle name="Normal 2 14 2" xfId="10972"/>
    <cellStyle name="Normal 2 14 2 10" xfId="10973"/>
    <cellStyle name="Normal 2 14 2 11" xfId="10974"/>
    <cellStyle name="Normal 2 14 2 12" xfId="10975"/>
    <cellStyle name="Normal 2 14 2 13" xfId="10976"/>
    <cellStyle name="Normal 2 14 2 14" xfId="10977"/>
    <cellStyle name="Normal 2 14 2 15" xfId="10978"/>
    <cellStyle name="Normal 2 14 2 16" xfId="10979"/>
    <cellStyle name="Normal 2 14 2 17" xfId="10980"/>
    <cellStyle name="Normal 2 14 2 18" xfId="10981"/>
    <cellStyle name="Normal 2 14 2 19" xfId="10982"/>
    <cellStyle name="Normal 2 14 2 2" xfId="10983"/>
    <cellStyle name="Normal 2 14 2 2 2" xfId="10984"/>
    <cellStyle name="Normal 2 14 2 2 3" xfId="10985"/>
    <cellStyle name="Normal 2 14 2 2 4" xfId="10986"/>
    <cellStyle name="Normal 2 14 2 2 5" xfId="10987"/>
    <cellStyle name="Normal 2 14 2 2 6" xfId="10988"/>
    <cellStyle name="Normal 2 14 2 2 7" xfId="10989"/>
    <cellStyle name="Normal 2 14 2 20" xfId="10990"/>
    <cellStyle name="Normal 2 14 2 21" xfId="10991"/>
    <cellStyle name="Normal 2 14 2 22" xfId="40637"/>
    <cellStyle name="Normal 2 14 2 3" xfId="10992"/>
    <cellStyle name="Normal 2 14 2 4" xfId="10993"/>
    <cellStyle name="Normal 2 14 2 5" xfId="10994"/>
    <cellStyle name="Normal 2 14 2 6" xfId="10995"/>
    <cellStyle name="Normal 2 14 2 7" xfId="10996"/>
    <cellStyle name="Normal 2 14 2 8" xfId="10997"/>
    <cellStyle name="Normal 2 14 2 9" xfId="10998"/>
    <cellStyle name="Normal 2 14 3" xfId="10999"/>
    <cellStyle name="Normal 2 14 3 2" xfId="40638"/>
    <cellStyle name="Normal 2 14 4" xfId="11000"/>
    <cellStyle name="Normal 2 14 4 2" xfId="40639"/>
    <cellStyle name="Normal 2 14 5" xfId="11001"/>
    <cellStyle name="Normal 2 14 6" xfId="11002"/>
    <cellStyle name="Normal 2 14 7" xfId="11003"/>
    <cellStyle name="Normal 2 14 8" xfId="11004"/>
    <cellStyle name="Normal 2 14 9" xfId="11005"/>
    <cellStyle name="Normal 2 140" xfId="11006"/>
    <cellStyle name="Normal 2 141" xfId="11007"/>
    <cellStyle name="Normal 2 142" xfId="11008"/>
    <cellStyle name="Normal 2 143" xfId="11009"/>
    <cellStyle name="Normal 2 144" xfId="11010"/>
    <cellStyle name="Normal 2 145" xfId="11011"/>
    <cellStyle name="Normal 2 146" xfId="11012"/>
    <cellStyle name="Normal 2 147" xfId="11013"/>
    <cellStyle name="Normal 2 148" xfId="11014"/>
    <cellStyle name="Normal 2 149" xfId="11015"/>
    <cellStyle name="Normal 2 15" xfId="11016"/>
    <cellStyle name="Normal 2 15 10" xfId="11017"/>
    <cellStyle name="Normal 2 15 11" xfId="11018"/>
    <cellStyle name="Normal 2 15 12" xfId="11019"/>
    <cellStyle name="Normal 2 15 13" xfId="11020"/>
    <cellStyle name="Normal 2 15 14" xfId="11021"/>
    <cellStyle name="Normal 2 15 15" xfId="40640"/>
    <cellStyle name="Normal 2 15 2" xfId="11022"/>
    <cellStyle name="Normal 2 15 2 10" xfId="11023"/>
    <cellStyle name="Normal 2 15 2 11" xfId="11024"/>
    <cellStyle name="Normal 2 15 2 12" xfId="11025"/>
    <cellStyle name="Normal 2 15 2 13" xfId="11026"/>
    <cellStyle name="Normal 2 15 2 14" xfId="11027"/>
    <cellStyle name="Normal 2 15 2 15" xfId="11028"/>
    <cellStyle name="Normal 2 15 2 16" xfId="11029"/>
    <cellStyle name="Normal 2 15 2 17" xfId="11030"/>
    <cellStyle name="Normal 2 15 2 18" xfId="11031"/>
    <cellStyle name="Normal 2 15 2 19" xfId="11032"/>
    <cellStyle name="Normal 2 15 2 2" xfId="11033"/>
    <cellStyle name="Normal 2 15 2 2 2" xfId="11034"/>
    <cellStyle name="Normal 2 15 2 2 3" xfId="11035"/>
    <cellStyle name="Normal 2 15 2 2 4" xfId="11036"/>
    <cellStyle name="Normal 2 15 2 2 5" xfId="11037"/>
    <cellStyle name="Normal 2 15 2 2 6" xfId="11038"/>
    <cellStyle name="Normal 2 15 2 2 7" xfId="11039"/>
    <cellStyle name="Normal 2 15 2 20" xfId="11040"/>
    <cellStyle name="Normal 2 15 2 21" xfId="11041"/>
    <cellStyle name="Normal 2 15 2 3" xfId="11042"/>
    <cellStyle name="Normal 2 15 2 4" xfId="11043"/>
    <cellStyle name="Normal 2 15 2 5" xfId="11044"/>
    <cellStyle name="Normal 2 15 2 6" xfId="11045"/>
    <cellStyle name="Normal 2 15 2 7" xfId="11046"/>
    <cellStyle name="Normal 2 15 2 8" xfId="11047"/>
    <cellStyle name="Normal 2 15 2 9" xfId="11048"/>
    <cellStyle name="Normal 2 15 3" xfId="11049"/>
    <cellStyle name="Normal 2 15 4" xfId="11050"/>
    <cellStyle name="Normal 2 15 5" xfId="11051"/>
    <cellStyle name="Normal 2 15 6" xfId="11052"/>
    <cellStyle name="Normal 2 15 7" xfId="11053"/>
    <cellStyle name="Normal 2 15 8" xfId="11054"/>
    <cellStyle name="Normal 2 15 9" xfId="11055"/>
    <cellStyle name="Normal 2 150" xfId="11056"/>
    <cellStyle name="Normal 2 151" xfId="11057"/>
    <cellStyle name="Normal 2 152" xfId="11058"/>
    <cellStyle name="Normal 2 153" xfId="11059"/>
    <cellStyle name="Normal 2 154" xfId="11060"/>
    <cellStyle name="Normal 2 155" xfId="11061"/>
    <cellStyle name="Normal 2 156" xfId="11062"/>
    <cellStyle name="Normal 2 157" xfId="11063"/>
    <cellStyle name="Normal 2 158" xfId="11064"/>
    <cellStyle name="Normal 2 159" xfId="11065"/>
    <cellStyle name="Normal 2 16" xfId="11066"/>
    <cellStyle name="Normal 2 16 10" xfId="11067"/>
    <cellStyle name="Normal 2 16 11" xfId="11068"/>
    <cellStyle name="Normal 2 16 12" xfId="11069"/>
    <cellStyle name="Normal 2 16 13" xfId="11070"/>
    <cellStyle name="Normal 2 16 14" xfId="11071"/>
    <cellStyle name="Normal 2 16 15" xfId="40641"/>
    <cellStyle name="Normal 2 16 2" xfId="11072"/>
    <cellStyle name="Normal 2 16 2 10" xfId="11073"/>
    <cellStyle name="Normal 2 16 2 11" xfId="11074"/>
    <cellStyle name="Normal 2 16 2 12" xfId="11075"/>
    <cellStyle name="Normal 2 16 2 13" xfId="11076"/>
    <cellStyle name="Normal 2 16 2 14" xfId="11077"/>
    <cellStyle name="Normal 2 16 2 15" xfId="11078"/>
    <cellStyle name="Normal 2 16 2 16" xfId="11079"/>
    <cellStyle name="Normal 2 16 2 17" xfId="11080"/>
    <cellStyle name="Normal 2 16 2 18" xfId="11081"/>
    <cellStyle name="Normal 2 16 2 19" xfId="11082"/>
    <cellStyle name="Normal 2 16 2 2" xfId="11083"/>
    <cellStyle name="Normal 2 16 2 2 2" xfId="11084"/>
    <cellStyle name="Normal 2 16 2 2 3" xfId="11085"/>
    <cellStyle name="Normal 2 16 2 2 4" xfId="11086"/>
    <cellStyle name="Normal 2 16 2 2 5" xfId="11087"/>
    <cellStyle name="Normal 2 16 2 2 6" xfId="11088"/>
    <cellStyle name="Normal 2 16 2 2 7" xfId="11089"/>
    <cellStyle name="Normal 2 16 2 20" xfId="11090"/>
    <cellStyle name="Normal 2 16 2 21" xfId="11091"/>
    <cellStyle name="Normal 2 16 2 3" xfId="11092"/>
    <cellStyle name="Normal 2 16 2 4" xfId="11093"/>
    <cellStyle name="Normal 2 16 2 5" xfId="11094"/>
    <cellStyle name="Normal 2 16 2 6" xfId="11095"/>
    <cellStyle name="Normal 2 16 2 7" xfId="11096"/>
    <cellStyle name="Normal 2 16 2 8" xfId="11097"/>
    <cellStyle name="Normal 2 16 2 9" xfId="11098"/>
    <cellStyle name="Normal 2 16 3" xfId="11099"/>
    <cellStyle name="Normal 2 16 4" xfId="11100"/>
    <cellStyle name="Normal 2 16 5" xfId="11101"/>
    <cellStyle name="Normal 2 16 6" xfId="11102"/>
    <cellStyle name="Normal 2 16 7" xfId="11103"/>
    <cellStyle name="Normal 2 16 8" xfId="11104"/>
    <cellStyle name="Normal 2 16 9" xfId="11105"/>
    <cellStyle name="Normal 2 160" xfId="11106"/>
    <cellStyle name="Normal 2 161" xfId="11107"/>
    <cellStyle name="Normal 2 162" xfId="11108"/>
    <cellStyle name="Normal 2 163" xfId="11109"/>
    <cellStyle name="Normal 2 164" xfId="11110"/>
    <cellStyle name="Normal 2 165" xfId="11111"/>
    <cellStyle name="Normal 2 166" xfId="11112"/>
    <cellStyle name="Normal 2 167" xfId="11113"/>
    <cellStyle name="Normal 2 168" xfId="11114"/>
    <cellStyle name="Normal 2 169" xfId="11115"/>
    <cellStyle name="Normal 2 17" xfId="11116"/>
    <cellStyle name="Normal 2 17 10" xfId="11117"/>
    <cellStyle name="Normal 2 17 11" xfId="11118"/>
    <cellStyle name="Normal 2 17 12" xfId="11119"/>
    <cellStyle name="Normal 2 17 13" xfId="11120"/>
    <cellStyle name="Normal 2 17 14" xfId="11121"/>
    <cellStyle name="Normal 2 17 15" xfId="40642"/>
    <cellStyle name="Normal 2 17 2" xfId="11122"/>
    <cellStyle name="Normal 2 17 2 10" xfId="11123"/>
    <cellStyle name="Normal 2 17 2 11" xfId="11124"/>
    <cellStyle name="Normal 2 17 2 12" xfId="11125"/>
    <cellStyle name="Normal 2 17 2 13" xfId="11126"/>
    <cellStyle name="Normal 2 17 2 14" xfId="11127"/>
    <cellStyle name="Normal 2 17 2 15" xfId="11128"/>
    <cellStyle name="Normal 2 17 2 16" xfId="11129"/>
    <cellStyle name="Normal 2 17 2 17" xfId="11130"/>
    <cellStyle name="Normal 2 17 2 18" xfId="11131"/>
    <cellStyle name="Normal 2 17 2 19" xfId="11132"/>
    <cellStyle name="Normal 2 17 2 2" xfId="11133"/>
    <cellStyle name="Normal 2 17 2 2 2" xfId="11134"/>
    <cellStyle name="Normal 2 17 2 2 3" xfId="11135"/>
    <cellStyle name="Normal 2 17 2 2 4" xfId="11136"/>
    <cellStyle name="Normal 2 17 2 2 5" xfId="11137"/>
    <cellStyle name="Normal 2 17 2 2 6" xfId="11138"/>
    <cellStyle name="Normal 2 17 2 2 7" xfId="11139"/>
    <cellStyle name="Normal 2 17 2 20" xfId="11140"/>
    <cellStyle name="Normal 2 17 2 21" xfId="11141"/>
    <cellStyle name="Normal 2 17 2 3" xfId="11142"/>
    <cellStyle name="Normal 2 17 2 4" xfId="11143"/>
    <cellStyle name="Normal 2 17 2 5" xfId="11144"/>
    <cellStyle name="Normal 2 17 2 6" xfId="11145"/>
    <cellStyle name="Normal 2 17 2 7" xfId="11146"/>
    <cellStyle name="Normal 2 17 2 8" xfId="11147"/>
    <cellStyle name="Normal 2 17 2 9" xfId="11148"/>
    <cellStyle name="Normal 2 17 3" xfId="11149"/>
    <cellStyle name="Normal 2 17 4" xfId="11150"/>
    <cellStyle name="Normal 2 17 5" xfId="11151"/>
    <cellStyle name="Normal 2 17 6" xfId="11152"/>
    <cellStyle name="Normal 2 17 7" xfId="11153"/>
    <cellStyle name="Normal 2 17 8" xfId="11154"/>
    <cellStyle name="Normal 2 17 9" xfId="11155"/>
    <cellStyle name="Normal 2 170" xfId="11156"/>
    <cellStyle name="Normal 2 171" xfId="11157"/>
    <cellStyle name="Normal 2 172" xfId="11158"/>
    <cellStyle name="Normal 2 173" xfId="11159"/>
    <cellStyle name="Normal 2 174" xfId="11160"/>
    <cellStyle name="Normal 2 175" xfId="11161"/>
    <cellStyle name="Normal 2 176" xfId="11162"/>
    <cellStyle name="Normal 2 177" xfId="11163"/>
    <cellStyle name="Normal 2 178" xfId="11164"/>
    <cellStyle name="Normal 2 179" xfId="11165"/>
    <cellStyle name="Normal 2 18" xfId="11166"/>
    <cellStyle name="Normal 2 18 10" xfId="11167"/>
    <cellStyle name="Normal 2 18 11" xfId="11168"/>
    <cellStyle name="Normal 2 18 12" xfId="11169"/>
    <cellStyle name="Normal 2 18 13" xfId="11170"/>
    <cellStyle name="Normal 2 18 14" xfId="11171"/>
    <cellStyle name="Normal 2 18 15" xfId="40643"/>
    <cellStyle name="Normal 2 18 2" xfId="11172"/>
    <cellStyle name="Normal 2 18 2 10" xfId="11173"/>
    <cellStyle name="Normal 2 18 2 11" xfId="11174"/>
    <cellStyle name="Normal 2 18 2 12" xfId="11175"/>
    <cellStyle name="Normal 2 18 2 13" xfId="11176"/>
    <cellStyle name="Normal 2 18 2 14" xfId="11177"/>
    <cellStyle name="Normal 2 18 2 15" xfId="11178"/>
    <cellStyle name="Normal 2 18 2 16" xfId="11179"/>
    <cellStyle name="Normal 2 18 2 17" xfId="11180"/>
    <cellStyle name="Normal 2 18 2 18" xfId="11181"/>
    <cellStyle name="Normal 2 18 2 19" xfId="11182"/>
    <cellStyle name="Normal 2 18 2 2" xfId="11183"/>
    <cellStyle name="Normal 2 18 2 2 2" xfId="11184"/>
    <cellStyle name="Normal 2 18 2 2 3" xfId="11185"/>
    <cellStyle name="Normal 2 18 2 2 4" xfId="11186"/>
    <cellStyle name="Normal 2 18 2 2 5" xfId="11187"/>
    <cellStyle name="Normal 2 18 2 2 6" xfId="11188"/>
    <cellStyle name="Normal 2 18 2 2 7" xfId="11189"/>
    <cellStyle name="Normal 2 18 2 20" xfId="11190"/>
    <cellStyle name="Normal 2 18 2 21" xfId="11191"/>
    <cellStyle name="Normal 2 18 2 3" xfId="11192"/>
    <cellStyle name="Normal 2 18 2 4" xfId="11193"/>
    <cellStyle name="Normal 2 18 2 5" xfId="11194"/>
    <cellStyle name="Normal 2 18 2 6" xfId="11195"/>
    <cellStyle name="Normal 2 18 2 7" xfId="11196"/>
    <cellStyle name="Normal 2 18 2 8" xfId="11197"/>
    <cellStyle name="Normal 2 18 2 9" xfId="11198"/>
    <cellStyle name="Normal 2 18 3" xfId="11199"/>
    <cellStyle name="Normal 2 18 4" xfId="11200"/>
    <cellStyle name="Normal 2 18 5" xfId="11201"/>
    <cellStyle name="Normal 2 18 6" xfId="11202"/>
    <cellStyle name="Normal 2 18 7" xfId="11203"/>
    <cellStyle name="Normal 2 18 8" xfId="11204"/>
    <cellStyle name="Normal 2 18 9" xfId="11205"/>
    <cellStyle name="Normal 2 180" xfId="11206"/>
    <cellStyle name="Normal 2 181" xfId="11207"/>
    <cellStyle name="Normal 2 182" xfId="11208"/>
    <cellStyle name="Normal 2 183" xfId="11209"/>
    <cellStyle name="Normal 2 184" xfId="11210"/>
    <cellStyle name="Normal 2 185" xfId="11211"/>
    <cellStyle name="Normal 2 186" xfId="11212"/>
    <cellStyle name="Normal 2 187" xfId="11213"/>
    <cellStyle name="Normal 2 188" xfId="11214"/>
    <cellStyle name="Normal 2 189" xfId="11215"/>
    <cellStyle name="Normal 2 19" xfId="11216"/>
    <cellStyle name="Normal 2 19 10" xfId="11217"/>
    <cellStyle name="Normal 2 19 11" xfId="40644"/>
    <cellStyle name="Normal 2 19 2" xfId="11218"/>
    <cellStyle name="Normal 2 19 2 2" xfId="11219"/>
    <cellStyle name="Normal 2 19 2 3" xfId="11220"/>
    <cellStyle name="Normal 2 19 2 4" xfId="11221"/>
    <cellStyle name="Normal 2 19 2 5" xfId="11222"/>
    <cellStyle name="Normal 2 19 2 6" xfId="11223"/>
    <cellStyle name="Normal 2 19 2 7" xfId="11224"/>
    <cellStyle name="Normal 2 19 3" xfId="11225"/>
    <cellStyle name="Normal 2 19 4" xfId="11226"/>
    <cellStyle name="Normal 2 19 5" xfId="11227"/>
    <cellStyle name="Normal 2 19 6" xfId="11228"/>
    <cellStyle name="Normal 2 19 7" xfId="11229"/>
    <cellStyle name="Normal 2 19 8" xfId="11230"/>
    <cellStyle name="Normal 2 19 9" xfId="11231"/>
    <cellStyle name="Normal 2 190" xfId="11232"/>
    <cellStyle name="Normal 2 191" xfId="11233"/>
    <cellStyle name="Normal 2 192" xfId="11234"/>
    <cellStyle name="Normal 2 193" xfId="11235"/>
    <cellStyle name="Normal 2 194" xfId="11236"/>
    <cellStyle name="Normal 2 195" xfId="11237"/>
    <cellStyle name="Normal 2 196" xfId="11238"/>
    <cellStyle name="Normal 2 197" xfId="11239"/>
    <cellStyle name="Normal 2 198" xfId="11240"/>
    <cellStyle name="Normal 2 199" xfId="11241"/>
    <cellStyle name="Normal 2 2" xfId="5"/>
    <cellStyle name="Normal 2 2 10" xfId="11243"/>
    <cellStyle name="Normal 2 2 10 2" xfId="11244"/>
    <cellStyle name="Normal 2 2 11" xfId="11245"/>
    <cellStyle name="Normal 2 2 11 2" xfId="11246"/>
    <cellStyle name="Normal 2 2 12" xfId="11247"/>
    <cellStyle name="Normal 2 2 12 2" xfId="11248"/>
    <cellStyle name="Normal 2 2 13" xfId="11249"/>
    <cellStyle name="Normal 2 2 13 2" xfId="11250"/>
    <cellStyle name="Normal 2 2 14" xfId="11251"/>
    <cellStyle name="Normal 2 2 14 2" xfId="11252"/>
    <cellStyle name="Normal 2 2 15" xfId="11253"/>
    <cellStyle name="Normal 2 2 15 2" xfId="11254"/>
    <cellStyle name="Normal 2 2 16" xfId="11255"/>
    <cellStyle name="Normal 2 2 16 2" xfId="11256"/>
    <cellStyle name="Normal 2 2 17" xfId="11257"/>
    <cellStyle name="Normal 2 2 17 2" xfId="11258"/>
    <cellStyle name="Normal 2 2 18" xfId="11259"/>
    <cellStyle name="Normal 2 2 18 2" xfId="11260"/>
    <cellStyle name="Normal 2 2 19" xfId="11261"/>
    <cellStyle name="Normal 2 2 19 2" xfId="11262"/>
    <cellStyle name="Normal 2 2 2" xfId="11263"/>
    <cellStyle name="Normal 2 2 2 10" xfId="11264"/>
    <cellStyle name="Normal 2 2 2 11" xfId="11265"/>
    <cellStyle name="Normal 2 2 2 12" xfId="11266"/>
    <cellStyle name="Normal 2 2 2 13" xfId="11267"/>
    <cellStyle name="Normal 2 2 2 14" xfId="11268"/>
    <cellStyle name="Normal 2 2 2 15" xfId="41074"/>
    <cellStyle name="Normal 2 2 2 2" xfId="11269"/>
    <cellStyle name="Normal 2 2 2 2 2" xfId="11270"/>
    <cellStyle name="Normal 2 2 2 2 3" xfId="11271"/>
    <cellStyle name="Normal 2 2 2 2 4" xfId="11272"/>
    <cellStyle name="Normal 2 2 2 2 5" xfId="11273"/>
    <cellStyle name="Normal 2 2 2 2 6" xfId="11274"/>
    <cellStyle name="Normal 2 2 2 2 7" xfId="11275"/>
    <cellStyle name="Normal 2 2 2 2 8" xfId="40646"/>
    <cellStyle name="Normal 2 2 2 3" xfId="11276"/>
    <cellStyle name="Normal 2 2 2 4" xfId="11277"/>
    <cellStyle name="Normal 2 2 2 4 10" xfId="11278"/>
    <cellStyle name="Normal 2 2 2 4 11" xfId="11279"/>
    <cellStyle name="Normal 2 2 2 4 12" xfId="11280"/>
    <cellStyle name="Normal 2 2 2 4 13" xfId="11281"/>
    <cellStyle name="Normal 2 2 2 4 14" xfId="11282"/>
    <cellStyle name="Normal 2 2 2 4 15" xfId="11283"/>
    <cellStyle name="Normal 2 2 2 4 16" xfId="11284"/>
    <cellStyle name="Normal 2 2 2 4 2" xfId="11285"/>
    <cellStyle name="Normal 2 2 2 4 3" xfId="11286"/>
    <cellStyle name="Normal 2 2 2 4 4" xfId="11287"/>
    <cellStyle name="Normal 2 2 2 4 5" xfId="11288"/>
    <cellStyle name="Normal 2 2 2 4 6" xfId="11289"/>
    <cellStyle name="Normal 2 2 2 4 7" xfId="11290"/>
    <cellStyle name="Normal 2 2 2 4 8" xfId="11291"/>
    <cellStyle name="Normal 2 2 2 4 9" xfId="11292"/>
    <cellStyle name="Normal 2 2 2 5" xfId="11293"/>
    <cellStyle name="Normal 2 2 2 5 10" xfId="11294"/>
    <cellStyle name="Normal 2 2 2 5 11" xfId="11295"/>
    <cellStyle name="Normal 2 2 2 5 12" xfId="11296"/>
    <cellStyle name="Normal 2 2 2 5 13" xfId="11297"/>
    <cellStyle name="Normal 2 2 2 5 14" xfId="11298"/>
    <cellStyle name="Normal 2 2 2 5 15" xfId="11299"/>
    <cellStyle name="Normal 2 2 2 5 16" xfId="11300"/>
    <cellStyle name="Normal 2 2 2 5 2" xfId="11301"/>
    <cellStyle name="Normal 2 2 2 5 3" xfId="11302"/>
    <cellStyle name="Normal 2 2 2 5 4" xfId="11303"/>
    <cellStyle name="Normal 2 2 2 5 5" xfId="11304"/>
    <cellStyle name="Normal 2 2 2 5 6" xfId="11305"/>
    <cellStyle name="Normal 2 2 2 5 7" xfId="11306"/>
    <cellStyle name="Normal 2 2 2 5 8" xfId="11307"/>
    <cellStyle name="Normal 2 2 2 5 9" xfId="11308"/>
    <cellStyle name="Normal 2 2 2 6" xfId="11309"/>
    <cellStyle name="Normal 2 2 2 6 2" xfId="11310"/>
    <cellStyle name="Normal 2 2 2 7" xfId="11311"/>
    <cellStyle name="Normal 2 2 2 7 2" xfId="11312"/>
    <cellStyle name="Normal 2 2 2 8" xfId="11313"/>
    <cellStyle name="Normal 2 2 2 8 2" xfId="11314"/>
    <cellStyle name="Normal 2 2 2 9" xfId="11315"/>
    <cellStyle name="Normal 2 2 20" xfId="11316"/>
    <cellStyle name="Normal 2 2 20 2" xfId="11317"/>
    <cellStyle name="Normal 2 2 21" xfId="11318"/>
    <cellStyle name="Normal 2 2 21 2" xfId="11319"/>
    <cellStyle name="Normal 2 2 22" xfId="11320"/>
    <cellStyle name="Normal 2 2 22 2" xfId="11321"/>
    <cellStyle name="Normal 2 2 23" xfId="11322"/>
    <cellStyle name="Normal 2 2 23 2" xfId="11323"/>
    <cellStyle name="Normal 2 2 24" xfId="11324"/>
    <cellStyle name="Normal 2 2 24 2" xfId="11325"/>
    <cellStyle name="Normal 2 2 25" xfId="11326"/>
    <cellStyle name="Normal 2 2 25 2" xfId="11327"/>
    <cellStyle name="Normal 2 2 26" xfId="11328"/>
    <cellStyle name="Normal 2 2 26 2" xfId="11329"/>
    <cellStyle name="Normal 2 2 27" xfId="11330"/>
    <cellStyle name="Normal 2 2 27 2" xfId="11331"/>
    <cellStyle name="Normal 2 2 28" xfId="11332"/>
    <cellStyle name="Normal 2 2 28 2" xfId="11333"/>
    <cellStyle name="Normal 2 2 29" xfId="11334"/>
    <cellStyle name="Normal 2 2 29 2" xfId="11335"/>
    <cellStyle name="Normal 2 2 3" xfId="11336"/>
    <cellStyle name="Normal 2 2 3 2" xfId="40648"/>
    <cellStyle name="Normal 2 2 3 3" xfId="40647"/>
    <cellStyle name="Normal 2 2 30" xfId="11337"/>
    <cellStyle name="Normal 2 2 30 2" xfId="11338"/>
    <cellStyle name="Normal 2 2 31" xfId="11339"/>
    <cellStyle name="Normal 2 2 31 2" xfId="11340"/>
    <cellStyle name="Normal 2 2 32" xfId="11341"/>
    <cellStyle name="Normal 2 2 32 2" xfId="11342"/>
    <cellStyle name="Normal 2 2 33" xfId="24"/>
    <cellStyle name="Normal 2 2 34" xfId="11343"/>
    <cellStyle name="Normal 2 2 35" xfId="11344"/>
    <cellStyle name="Normal 2 2 36" xfId="40645"/>
    <cellStyle name="Normal 2 2 37" xfId="11242"/>
    <cellStyle name="Normal 2 2 4" xfId="11345"/>
    <cellStyle name="Normal 2 2 4 10" xfId="11346"/>
    <cellStyle name="Normal 2 2 4 11" xfId="11347"/>
    <cellStyle name="Normal 2 2 4 12" xfId="11348"/>
    <cellStyle name="Normal 2 2 4 13" xfId="11349"/>
    <cellStyle name="Normal 2 2 4 14" xfId="11350"/>
    <cellStyle name="Normal 2 2 4 15" xfId="11351"/>
    <cellStyle name="Normal 2 2 4 16" xfId="11352"/>
    <cellStyle name="Normal 2 2 4 17" xfId="40649"/>
    <cellStyle name="Normal 2 2 4 2" xfId="11353"/>
    <cellStyle name="Normal 2 2 4 2 2" xfId="40650"/>
    <cellStyle name="Normal 2 2 4 3" xfId="11354"/>
    <cellStyle name="Normal 2 2 4 4" xfId="11355"/>
    <cellStyle name="Normal 2 2 4 5" xfId="11356"/>
    <cellStyle name="Normal 2 2 4 6" xfId="11357"/>
    <cellStyle name="Normal 2 2 4 7" xfId="11358"/>
    <cellStyle name="Normal 2 2 4 8" xfId="11359"/>
    <cellStyle name="Normal 2 2 4 9" xfId="11360"/>
    <cellStyle name="Normal 2 2 5" xfId="11361"/>
    <cellStyle name="Normal 2 2 5 10" xfId="11362"/>
    <cellStyle name="Normal 2 2 5 11" xfId="11363"/>
    <cellStyle name="Normal 2 2 5 12" xfId="11364"/>
    <cellStyle name="Normal 2 2 5 13" xfId="11365"/>
    <cellStyle name="Normal 2 2 5 14" xfId="11366"/>
    <cellStyle name="Normal 2 2 5 15" xfId="11367"/>
    <cellStyle name="Normal 2 2 5 16" xfId="11368"/>
    <cellStyle name="Normal 2 2 5 17" xfId="40651"/>
    <cellStyle name="Normal 2 2 5 2" xfId="11369"/>
    <cellStyle name="Normal 2 2 5 3" xfId="11370"/>
    <cellStyle name="Normal 2 2 5 4" xfId="11371"/>
    <cellStyle name="Normal 2 2 5 5" xfId="11372"/>
    <cellStyle name="Normal 2 2 5 6" xfId="11373"/>
    <cellStyle name="Normal 2 2 5 7" xfId="11374"/>
    <cellStyle name="Normal 2 2 5 8" xfId="11375"/>
    <cellStyle name="Normal 2 2 5 9" xfId="11376"/>
    <cellStyle name="Normal 2 2 6" xfId="11377"/>
    <cellStyle name="Normal 2 2 6 10" xfId="11378"/>
    <cellStyle name="Normal 2 2 6 11" xfId="11379"/>
    <cellStyle name="Normal 2 2 6 12" xfId="11380"/>
    <cellStyle name="Normal 2 2 6 13" xfId="11381"/>
    <cellStyle name="Normal 2 2 6 14" xfId="11382"/>
    <cellStyle name="Normal 2 2 6 15" xfId="11383"/>
    <cellStyle name="Normal 2 2 6 16" xfId="11384"/>
    <cellStyle name="Normal 2 2 6 17" xfId="40652"/>
    <cellStyle name="Normal 2 2 6 2" xfId="11385"/>
    <cellStyle name="Normal 2 2 6 3" xfId="11386"/>
    <cellStyle name="Normal 2 2 6 4" xfId="11387"/>
    <cellStyle name="Normal 2 2 6 5" xfId="11388"/>
    <cellStyle name="Normal 2 2 6 6" xfId="11389"/>
    <cellStyle name="Normal 2 2 6 7" xfId="11390"/>
    <cellStyle name="Normal 2 2 6 8" xfId="11391"/>
    <cellStyle name="Normal 2 2 6 9" xfId="11392"/>
    <cellStyle name="Normal 2 2 7" xfId="11393"/>
    <cellStyle name="Normal 2 2 7 10" xfId="11394"/>
    <cellStyle name="Normal 2 2 7 11" xfId="11395"/>
    <cellStyle name="Normal 2 2 7 12" xfId="11396"/>
    <cellStyle name="Normal 2 2 7 13" xfId="11397"/>
    <cellStyle name="Normal 2 2 7 14" xfId="11398"/>
    <cellStyle name="Normal 2 2 7 15" xfId="11399"/>
    <cellStyle name="Normal 2 2 7 16" xfId="11400"/>
    <cellStyle name="Normal 2 2 7 17" xfId="40653"/>
    <cellStyle name="Normal 2 2 7 2" xfId="11401"/>
    <cellStyle name="Normal 2 2 7 3" xfId="11402"/>
    <cellStyle name="Normal 2 2 7 4" xfId="11403"/>
    <cellStyle name="Normal 2 2 7 5" xfId="11404"/>
    <cellStyle name="Normal 2 2 7 6" xfId="11405"/>
    <cellStyle name="Normal 2 2 7 7" xfId="11406"/>
    <cellStyle name="Normal 2 2 7 8" xfId="11407"/>
    <cellStyle name="Normal 2 2 7 9" xfId="11408"/>
    <cellStyle name="Normal 2 2 8" xfId="11409"/>
    <cellStyle name="Normal 2 2 8 2" xfId="11410"/>
    <cellStyle name="Normal 2 2 9" xfId="11411"/>
    <cellStyle name="Normal 2 2 9 2" xfId="11412"/>
    <cellStyle name="Normal 2 20" xfId="11413"/>
    <cellStyle name="Normal 2 20 2" xfId="11414"/>
    <cellStyle name="Normal 2 20 3" xfId="11415"/>
    <cellStyle name="Normal 2 200" xfId="11416"/>
    <cellStyle name="Normal 2 201" xfId="11417"/>
    <cellStyle name="Normal 2 202" xfId="11418"/>
    <cellStyle name="Normal 2 203" xfId="11419"/>
    <cellStyle name="Normal 2 204" xfId="11420"/>
    <cellStyle name="Normal 2 205" xfId="11421"/>
    <cellStyle name="Normal 2 206" xfId="11422"/>
    <cellStyle name="Normal 2 207" xfId="11423"/>
    <cellStyle name="Normal 2 208" xfId="11424"/>
    <cellStyle name="Normal 2 209" xfId="11425"/>
    <cellStyle name="Normal 2 21" xfId="11426"/>
    <cellStyle name="Normal 2 21 2" xfId="11427"/>
    <cellStyle name="Normal 2 21 2 2" xfId="11428"/>
    <cellStyle name="Normal 2 21 2 3" xfId="11429"/>
    <cellStyle name="Normal 2 21 2 4" xfId="11430"/>
    <cellStyle name="Normal 2 21 2 5" xfId="11431"/>
    <cellStyle name="Normal 2 21 2 6" xfId="11432"/>
    <cellStyle name="Normal 2 21 2 7" xfId="11433"/>
    <cellStyle name="Normal 2 21 3" xfId="11434"/>
    <cellStyle name="Normal 2 21 4" xfId="11435"/>
    <cellStyle name="Normal 2 21 5" xfId="11436"/>
    <cellStyle name="Normal 2 21 6" xfId="11437"/>
    <cellStyle name="Normal 2 21 7" xfId="11438"/>
    <cellStyle name="Normal 2 21 8" xfId="11439"/>
    <cellStyle name="Normal 2 210" xfId="11440"/>
    <cellStyle name="Normal 2 211" xfId="11441"/>
    <cellStyle name="Normal 2 212" xfId="11442"/>
    <cellStyle name="Normal 2 213" xfId="11443"/>
    <cellStyle name="Normal 2 214" xfId="11444"/>
    <cellStyle name="Normal 2 215" xfId="11445"/>
    <cellStyle name="Normal 2 216" xfId="11446"/>
    <cellStyle name="Normal 2 217" xfId="11447"/>
    <cellStyle name="Normal 2 218" xfId="11448"/>
    <cellStyle name="Normal 2 219" xfId="11449"/>
    <cellStyle name="Normal 2 22" xfId="11450"/>
    <cellStyle name="Normal 2 22 2" xfId="11451"/>
    <cellStyle name="Normal 2 22 2 2" xfId="11452"/>
    <cellStyle name="Normal 2 22 2 3" xfId="11453"/>
    <cellStyle name="Normal 2 22 2 4" xfId="11454"/>
    <cellStyle name="Normal 2 22 2 5" xfId="11455"/>
    <cellStyle name="Normal 2 22 2 6" xfId="11456"/>
    <cellStyle name="Normal 2 22 2 7" xfId="11457"/>
    <cellStyle name="Normal 2 22 3" xfId="11458"/>
    <cellStyle name="Normal 2 22 4" xfId="11459"/>
    <cellStyle name="Normal 2 22 5" xfId="11460"/>
    <cellStyle name="Normal 2 22 6" xfId="11461"/>
    <cellStyle name="Normal 2 22 7" xfId="11462"/>
    <cellStyle name="Normal 2 22 8" xfId="11463"/>
    <cellStyle name="Normal 2 220" xfId="11464"/>
    <cellStyle name="Normal 2 221" xfId="11465"/>
    <cellStyle name="Normal 2 222" xfId="11466"/>
    <cellStyle name="Normal 2 223" xfId="11467"/>
    <cellStyle name="Normal 2 224" xfId="11468"/>
    <cellStyle name="Normal 2 225" xfId="11469"/>
    <cellStyle name="Normal 2 226" xfId="11470"/>
    <cellStyle name="Normal 2 227" xfId="11471"/>
    <cellStyle name="Normal 2 228" xfId="11472"/>
    <cellStyle name="Normal 2 229" xfId="11473"/>
    <cellStyle name="Normal 2 23" xfId="11474"/>
    <cellStyle name="Normal 2 230" xfId="11475"/>
    <cellStyle name="Normal 2 231" xfId="11476"/>
    <cellStyle name="Normal 2 232" xfId="11477"/>
    <cellStyle name="Normal 2 233" xfId="11478"/>
    <cellStyle name="Normal 2 234" xfId="11479"/>
    <cellStyle name="Normal 2 235" xfId="41076"/>
    <cellStyle name="Normal 2 236" xfId="41125"/>
    <cellStyle name="Normal 2 237" xfId="41136"/>
    <cellStyle name="Normal 2 238" xfId="40"/>
    <cellStyle name="Normal 2 24" xfId="11480"/>
    <cellStyle name="Normal 2 25" xfId="11481"/>
    <cellStyle name="Normal 2 26" xfId="11482"/>
    <cellStyle name="Normal 2 26 10" xfId="11483"/>
    <cellStyle name="Normal 2 26 10 2" xfId="11484"/>
    <cellStyle name="Normal 2 26 11" xfId="11485"/>
    <cellStyle name="Normal 2 26 12" xfId="11486"/>
    <cellStyle name="Normal 2 26 13" xfId="11487"/>
    <cellStyle name="Normal 2 26 14" xfId="11488"/>
    <cellStyle name="Normal 2 26 15" xfId="11489"/>
    <cellStyle name="Normal 2 26 16" xfId="11490"/>
    <cellStyle name="Normal 2 26 17" xfId="11491"/>
    <cellStyle name="Normal 2 26 18" xfId="11492"/>
    <cellStyle name="Normal 2 26 19" xfId="11493"/>
    <cellStyle name="Normal 2 26 2" xfId="11494"/>
    <cellStyle name="Normal 2 26 2 10" xfId="11495"/>
    <cellStyle name="Normal 2 26 2 11" xfId="11496"/>
    <cellStyle name="Normal 2 26 2 12" xfId="11497"/>
    <cellStyle name="Normal 2 26 2 13" xfId="11498"/>
    <cellStyle name="Normal 2 26 2 14" xfId="11499"/>
    <cellStyle name="Normal 2 26 2 15" xfId="11500"/>
    <cellStyle name="Normal 2 26 2 16" xfId="11501"/>
    <cellStyle name="Normal 2 26 2 2" xfId="11502"/>
    <cellStyle name="Normal 2 26 2 3" xfId="11503"/>
    <cellStyle name="Normal 2 26 2 4" xfId="11504"/>
    <cellStyle name="Normal 2 26 2 5" xfId="11505"/>
    <cellStyle name="Normal 2 26 2 6" xfId="11506"/>
    <cellStyle name="Normal 2 26 2 7" xfId="11507"/>
    <cellStyle name="Normal 2 26 2 8" xfId="11508"/>
    <cellStyle name="Normal 2 26 2 9" xfId="11509"/>
    <cellStyle name="Normal 2 26 20" xfId="11510"/>
    <cellStyle name="Normal 2 26 21" xfId="11511"/>
    <cellStyle name="Normal 2 26 22" xfId="11512"/>
    <cellStyle name="Normal 2 26 23" xfId="11513"/>
    <cellStyle name="Normal 2 26 24" xfId="11514"/>
    <cellStyle name="Normal 2 26 25" xfId="11515"/>
    <cellStyle name="Normal 2 26 3" xfId="11516"/>
    <cellStyle name="Normal 2 26 3 10" xfId="11517"/>
    <cellStyle name="Normal 2 26 3 11" xfId="11518"/>
    <cellStyle name="Normal 2 26 3 12" xfId="11519"/>
    <cellStyle name="Normal 2 26 3 13" xfId="11520"/>
    <cellStyle name="Normal 2 26 3 14" xfId="11521"/>
    <cellStyle name="Normal 2 26 3 15" xfId="11522"/>
    <cellStyle name="Normal 2 26 3 16" xfId="11523"/>
    <cellStyle name="Normal 2 26 3 2" xfId="11524"/>
    <cellStyle name="Normal 2 26 3 3" xfId="11525"/>
    <cellStyle name="Normal 2 26 3 4" xfId="11526"/>
    <cellStyle name="Normal 2 26 3 5" xfId="11527"/>
    <cellStyle name="Normal 2 26 3 6" xfId="11528"/>
    <cellStyle name="Normal 2 26 3 7" xfId="11529"/>
    <cellStyle name="Normal 2 26 3 8" xfId="11530"/>
    <cellStyle name="Normal 2 26 3 9" xfId="11531"/>
    <cellStyle name="Normal 2 26 4" xfId="11532"/>
    <cellStyle name="Normal 2 26 4 10" xfId="11533"/>
    <cellStyle name="Normal 2 26 4 11" xfId="11534"/>
    <cellStyle name="Normal 2 26 4 12" xfId="11535"/>
    <cellStyle name="Normal 2 26 4 13" xfId="11536"/>
    <cellStyle name="Normal 2 26 4 14" xfId="11537"/>
    <cellStyle name="Normal 2 26 4 15" xfId="11538"/>
    <cellStyle name="Normal 2 26 4 16" xfId="11539"/>
    <cellStyle name="Normal 2 26 4 2" xfId="11540"/>
    <cellStyle name="Normal 2 26 4 3" xfId="11541"/>
    <cellStyle name="Normal 2 26 4 4" xfId="11542"/>
    <cellStyle name="Normal 2 26 4 5" xfId="11543"/>
    <cellStyle name="Normal 2 26 4 6" xfId="11544"/>
    <cellStyle name="Normal 2 26 4 7" xfId="11545"/>
    <cellStyle name="Normal 2 26 4 8" xfId="11546"/>
    <cellStyle name="Normal 2 26 4 9" xfId="11547"/>
    <cellStyle name="Normal 2 26 5" xfId="11548"/>
    <cellStyle name="Normal 2 26 5 10" xfId="11549"/>
    <cellStyle name="Normal 2 26 5 11" xfId="11550"/>
    <cellStyle name="Normal 2 26 5 12" xfId="11551"/>
    <cellStyle name="Normal 2 26 5 13" xfId="11552"/>
    <cellStyle name="Normal 2 26 5 14" xfId="11553"/>
    <cellStyle name="Normal 2 26 5 15" xfId="11554"/>
    <cellStyle name="Normal 2 26 5 16" xfId="11555"/>
    <cellStyle name="Normal 2 26 5 2" xfId="11556"/>
    <cellStyle name="Normal 2 26 5 3" xfId="11557"/>
    <cellStyle name="Normal 2 26 5 4" xfId="11558"/>
    <cellStyle name="Normal 2 26 5 5" xfId="11559"/>
    <cellStyle name="Normal 2 26 5 6" xfId="11560"/>
    <cellStyle name="Normal 2 26 5 7" xfId="11561"/>
    <cellStyle name="Normal 2 26 5 8" xfId="11562"/>
    <cellStyle name="Normal 2 26 5 9" xfId="11563"/>
    <cellStyle name="Normal 2 26 6" xfId="11564"/>
    <cellStyle name="Normal 2 26 6 2" xfId="11565"/>
    <cellStyle name="Normal 2 26 7" xfId="11566"/>
    <cellStyle name="Normal 2 26 7 2" xfId="11567"/>
    <cellStyle name="Normal 2 26 8" xfId="11568"/>
    <cellStyle name="Normal 2 26 8 2" xfId="11569"/>
    <cellStyle name="Normal 2 26 9" xfId="11570"/>
    <cellStyle name="Normal 2 26 9 2" xfId="11571"/>
    <cellStyle name="Normal 2 27" xfId="11572"/>
    <cellStyle name="Normal 2 27 2" xfId="11573"/>
    <cellStyle name="Normal 2 27 3" xfId="11574"/>
    <cellStyle name="Normal 2 27 4" xfId="11575"/>
    <cellStyle name="Normal 2 27 5" xfId="11576"/>
    <cellStyle name="Normal 2 28" xfId="11577"/>
    <cellStyle name="Normal 2 28 2" xfId="11578"/>
    <cellStyle name="Normal 2 28 3" xfId="11579"/>
    <cellStyle name="Normal 2 28 4" xfId="11580"/>
    <cellStyle name="Normal 2 28 5" xfId="11581"/>
    <cellStyle name="Normal 2 29" xfId="11582"/>
    <cellStyle name="Normal 2 29 2" xfId="11583"/>
    <cellStyle name="Normal 2 29 3" xfId="11584"/>
    <cellStyle name="Normal 2 29 4" xfId="11585"/>
    <cellStyle name="Normal 2 29 5" xfId="11586"/>
    <cellStyle name="Normal 2 3" xfId="6"/>
    <cellStyle name="Normal 2 3 10" xfId="11588"/>
    <cellStyle name="Normal 2 3 10 2" xfId="11589"/>
    <cellStyle name="Normal 2 3 11" xfId="11590"/>
    <cellStyle name="Normal 2 3 11 2" xfId="11591"/>
    <cellStyle name="Normal 2 3 12" xfId="11592"/>
    <cellStyle name="Normal 2 3 12 2" xfId="11593"/>
    <cellStyle name="Normal 2 3 13" xfId="11594"/>
    <cellStyle name="Normal 2 3 14" xfId="11595"/>
    <cellStyle name="Normal 2 3 14 2" xfId="11596"/>
    <cellStyle name="Normal 2 3 15" xfId="11597"/>
    <cellStyle name="Normal 2 3 15 2" xfId="11598"/>
    <cellStyle name="Normal 2 3 16" xfId="11599"/>
    <cellStyle name="Normal 2 3 16 2" xfId="11600"/>
    <cellStyle name="Normal 2 3 17" xfId="11601"/>
    <cellStyle name="Normal 2 3 18" xfId="11602"/>
    <cellStyle name="Normal 2 3 19" xfId="11603"/>
    <cellStyle name="Normal 2 3 2" xfId="11604"/>
    <cellStyle name="Normal 2 3 2 2" xfId="40654"/>
    <cellStyle name="Normal 2 3 20" xfId="11605"/>
    <cellStyle name="Normal 2 3 21" xfId="11606"/>
    <cellStyle name="Normal 2 3 22" xfId="11607"/>
    <cellStyle name="Normal 2 3 23" xfId="11608"/>
    <cellStyle name="Normal 2 3 24" xfId="11609"/>
    <cellStyle name="Normal 2 3 25" xfId="11610"/>
    <cellStyle name="Normal 2 3 26" xfId="11611"/>
    <cellStyle name="Normal 2 3 27" xfId="11612"/>
    <cellStyle name="Normal 2 3 28" xfId="11613"/>
    <cellStyle name="Normal 2 3 29" xfId="11614"/>
    <cellStyle name="Normal 2 3 3" xfId="11615"/>
    <cellStyle name="Normal 2 3 3 2" xfId="11616"/>
    <cellStyle name="Normal 2 3 3 3" xfId="11617"/>
    <cellStyle name="Normal 2 3 3 4" xfId="11618"/>
    <cellStyle name="Normal 2 3 3 5" xfId="11619"/>
    <cellStyle name="Normal 2 3 3 6" xfId="11620"/>
    <cellStyle name="Normal 2 3 3 7" xfId="11621"/>
    <cellStyle name="Normal 2 3 3 8" xfId="40655"/>
    <cellStyle name="Normal 2 3 30" xfId="11622"/>
    <cellStyle name="Normal 2 3 31" xfId="11623"/>
    <cellStyle name="Normal 2 3 32" xfId="11624"/>
    <cellStyle name="Normal 2 3 33" xfId="11587"/>
    <cellStyle name="Normal 2 3 4" xfId="11625"/>
    <cellStyle name="Normal 2 3 4 10" xfId="11626"/>
    <cellStyle name="Normal 2 3 4 11" xfId="11627"/>
    <cellStyle name="Normal 2 3 4 12" xfId="11628"/>
    <cellStyle name="Normal 2 3 4 13" xfId="11629"/>
    <cellStyle name="Normal 2 3 4 14" xfId="11630"/>
    <cellStyle name="Normal 2 3 4 15" xfId="11631"/>
    <cellStyle name="Normal 2 3 4 16" xfId="11632"/>
    <cellStyle name="Normal 2 3 4 17" xfId="40656"/>
    <cellStyle name="Normal 2 3 4 2" xfId="11633"/>
    <cellStyle name="Normal 2 3 4 3" xfId="11634"/>
    <cellStyle name="Normal 2 3 4 4" xfId="11635"/>
    <cellStyle name="Normal 2 3 4 5" xfId="11636"/>
    <cellStyle name="Normal 2 3 4 6" xfId="11637"/>
    <cellStyle name="Normal 2 3 4 7" xfId="11638"/>
    <cellStyle name="Normal 2 3 4 8" xfId="11639"/>
    <cellStyle name="Normal 2 3 4 9" xfId="11640"/>
    <cellStyle name="Normal 2 3 5" xfId="11641"/>
    <cellStyle name="Normal 2 3 5 10" xfId="11642"/>
    <cellStyle name="Normal 2 3 5 11" xfId="11643"/>
    <cellStyle name="Normal 2 3 5 12" xfId="11644"/>
    <cellStyle name="Normal 2 3 5 13" xfId="11645"/>
    <cellStyle name="Normal 2 3 5 14" xfId="11646"/>
    <cellStyle name="Normal 2 3 5 15" xfId="11647"/>
    <cellStyle name="Normal 2 3 5 16" xfId="11648"/>
    <cellStyle name="Normal 2 3 5 2" xfId="11649"/>
    <cellStyle name="Normal 2 3 5 3" xfId="11650"/>
    <cellStyle name="Normal 2 3 5 4" xfId="11651"/>
    <cellStyle name="Normal 2 3 5 5" xfId="11652"/>
    <cellStyle name="Normal 2 3 5 6" xfId="11653"/>
    <cellStyle name="Normal 2 3 5 7" xfId="11654"/>
    <cellStyle name="Normal 2 3 5 8" xfId="11655"/>
    <cellStyle name="Normal 2 3 5 9" xfId="11656"/>
    <cellStyle name="Normal 2 3 6" xfId="11657"/>
    <cellStyle name="Normal 2 3 6 2" xfId="11658"/>
    <cellStyle name="Normal 2 3 7" xfId="11659"/>
    <cellStyle name="Normal 2 3 7 2" xfId="11660"/>
    <cellStyle name="Normal 2 3 8" xfId="11661"/>
    <cellStyle name="Normal 2 3 8 2" xfId="11662"/>
    <cellStyle name="Normal 2 3 9" xfId="11663"/>
    <cellStyle name="Normal 2 3 9 2" xfId="11664"/>
    <cellStyle name="Normal 2 30" xfId="11665"/>
    <cellStyle name="Normal 2 30 10" xfId="11666"/>
    <cellStyle name="Normal 2 30 10 2" xfId="11667"/>
    <cellStyle name="Normal 2 30 10 2 2" xfId="29996"/>
    <cellStyle name="Normal 2 30 10 3" xfId="11668"/>
    <cellStyle name="Normal 2 30 10 3 2" xfId="29997"/>
    <cellStyle name="Normal 2 30 10 4" xfId="11669"/>
    <cellStyle name="Normal 2 30 10 4 2" xfId="29998"/>
    <cellStyle name="Normal 2 30 10 5" xfId="11670"/>
    <cellStyle name="Normal 2 30 10 5 2" xfId="29999"/>
    <cellStyle name="Normal 2 30 10 6" xfId="29995"/>
    <cellStyle name="Normal 2 30 11" xfId="11671"/>
    <cellStyle name="Normal 2 30 11 2" xfId="11672"/>
    <cellStyle name="Normal 2 30 11 2 2" xfId="30001"/>
    <cellStyle name="Normal 2 30 11 3" xfId="11673"/>
    <cellStyle name="Normal 2 30 11 3 2" xfId="30002"/>
    <cellStyle name="Normal 2 30 11 4" xfId="11674"/>
    <cellStyle name="Normal 2 30 11 4 2" xfId="30003"/>
    <cellStyle name="Normal 2 30 11 5" xfId="11675"/>
    <cellStyle name="Normal 2 30 11 5 2" xfId="30004"/>
    <cellStyle name="Normal 2 30 11 6" xfId="30000"/>
    <cellStyle name="Normal 2 30 12" xfId="11676"/>
    <cellStyle name="Normal 2 30 12 2" xfId="11677"/>
    <cellStyle name="Normal 2 30 12 2 2" xfId="30006"/>
    <cellStyle name="Normal 2 30 12 3" xfId="11678"/>
    <cellStyle name="Normal 2 30 12 3 2" xfId="30007"/>
    <cellStyle name="Normal 2 30 12 4" xfId="11679"/>
    <cellStyle name="Normal 2 30 12 4 2" xfId="30008"/>
    <cellStyle name="Normal 2 30 12 5" xfId="11680"/>
    <cellStyle name="Normal 2 30 12 5 2" xfId="30009"/>
    <cellStyle name="Normal 2 30 12 6" xfId="30005"/>
    <cellStyle name="Normal 2 30 13" xfId="11681"/>
    <cellStyle name="Normal 2 30 13 2" xfId="11682"/>
    <cellStyle name="Normal 2 30 13 2 2" xfId="30011"/>
    <cellStyle name="Normal 2 30 13 3" xfId="11683"/>
    <cellStyle name="Normal 2 30 13 3 2" xfId="30012"/>
    <cellStyle name="Normal 2 30 13 4" xfId="11684"/>
    <cellStyle name="Normal 2 30 13 4 2" xfId="30013"/>
    <cellStyle name="Normal 2 30 13 5" xfId="11685"/>
    <cellStyle name="Normal 2 30 13 5 2" xfId="30014"/>
    <cellStyle name="Normal 2 30 13 6" xfId="30010"/>
    <cellStyle name="Normal 2 30 14" xfId="11686"/>
    <cellStyle name="Normal 2 30 14 2" xfId="11687"/>
    <cellStyle name="Normal 2 30 14 2 2" xfId="30016"/>
    <cellStyle name="Normal 2 30 14 3" xfId="11688"/>
    <cellStyle name="Normal 2 30 14 3 2" xfId="30017"/>
    <cellStyle name="Normal 2 30 14 4" xfId="11689"/>
    <cellStyle name="Normal 2 30 14 4 2" xfId="30018"/>
    <cellStyle name="Normal 2 30 14 5" xfId="11690"/>
    <cellStyle name="Normal 2 30 14 5 2" xfId="30019"/>
    <cellStyle name="Normal 2 30 14 6" xfId="30015"/>
    <cellStyle name="Normal 2 30 15" xfId="11691"/>
    <cellStyle name="Normal 2 30 15 2" xfId="11692"/>
    <cellStyle name="Normal 2 30 15 2 2" xfId="30021"/>
    <cellStyle name="Normal 2 30 15 3" xfId="11693"/>
    <cellStyle name="Normal 2 30 15 3 2" xfId="30022"/>
    <cellStyle name="Normal 2 30 15 4" xfId="11694"/>
    <cellStyle name="Normal 2 30 15 4 2" xfId="30023"/>
    <cellStyle name="Normal 2 30 15 5" xfId="11695"/>
    <cellStyle name="Normal 2 30 15 5 2" xfId="30024"/>
    <cellStyle name="Normal 2 30 15 6" xfId="30020"/>
    <cellStyle name="Normal 2 30 16" xfId="11696"/>
    <cellStyle name="Normal 2 30 16 2" xfId="11697"/>
    <cellStyle name="Normal 2 30 16 2 2" xfId="30026"/>
    <cellStyle name="Normal 2 30 16 3" xfId="11698"/>
    <cellStyle name="Normal 2 30 16 3 2" xfId="30027"/>
    <cellStyle name="Normal 2 30 16 4" xfId="11699"/>
    <cellStyle name="Normal 2 30 16 4 2" xfId="30028"/>
    <cellStyle name="Normal 2 30 16 5" xfId="11700"/>
    <cellStyle name="Normal 2 30 16 5 2" xfId="30029"/>
    <cellStyle name="Normal 2 30 16 6" xfId="30025"/>
    <cellStyle name="Normal 2 30 17" xfId="11701"/>
    <cellStyle name="Normal 2 30 17 2" xfId="11702"/>
    <cellStyle name="Normal 2 30 17 2 2" xfId="30031"/>
    <cellStyle name="Normal 2 30 17 3" xfId="11703"/>
    <cellStyle name="Normal 2 30 17 3 2" xfId="30032"/>
    <cellStyle name="Normal 2 30 17 4" xfId="11704"/>
    <cellStyle name="Normal 2 30 17 4 2" xfId="30033"/>
    <cellStyle name="Normal 2 30 17 5" xfId="11705"/>
    <cellStyle name="Normal 2 30 17 5 2" xfId="30034"/>
    <cellStyle name="Normal 2 30 17 6" xfId="30030"/>
    <cellStyle name="Normal 2 30 18" xfId="11706"/>
    <cellStyle name="Normal 2 30 18 2" xfId="11707"/>
    <cellStyle name="Normal 2 30 18 2 2" xfId="30036"/>
    <cellStyle name="Normal 2 30 18 3" xfId="11708"/>
    <cellStyle name="Normal 2 30 18 3 2" xfId="30037"/>
    <cellStyle name="Normal 2 30 18 4" xfId="11709"/>
    <cellStyle name="Normal 2 30 18 4 2" xfId="30038"/>
    <cellStyle name="Normal 2 30 18 5" xfId="11710"/>
    <cellStyle name="Normal 2 30 18 5 2" xfId="30039"/>
    <cellStyle name="Normal 2 30 18 6" xfId="30035"/>
    <cellStyle name="Normal 2 30 19" xfId="11711"/>
    <cellStyle name="Normal 2 30 19 2" xfId="11712"/>
    <cellStyle name="Normal 2 30 19 2 2" xfId="30041"/>
    <cellStyle name="Normal 2 30 19 3" xfId="11713"/>
    <cellStyle name="Normal 2 30 19 3 2" xfId="30042"/>
    <cellStyle name="Normal 2 30 19 4" xfId="11714"/>
    <cellStyle name="Normal 2 30 19 4 2" xfId="30043"/>
    <cellStyle name="Normal 2 30 19 5" xfId="11715"/>
    <cellStyle name="Normal 2 30 19 5 2" xfId="30044"/>
    <cellStyle name="Normal 2 30 19 6" xfId="30040"/>
    <cellStyle name="Normal 2 30 2" xfId="11716"/>
    <cellStyle name="Normal 2 30 2 10" xfId="11717"/>
    <cellStyle name="Normal 2 30 2 10 2" xfId="11718"/>
    <cellStyle name="Normal 2 30 2 10 2 2" xfId="30047"/>
    <cellStyle name="Normal 2 30 2 10 3" xfId="11719"/>
    <cellStyle name="Normal 2 30 2 10 3 2" xfId="30048"/>
    <cellStyle name="Normal 2 30 2 10 4" xfId="11720"/>
    <cellStyle name="Normal 2 30 2 10 4 2" xfId="30049"/>
    <cellStyle name="Normal 2 30 2 10 5" xfId="11721"/>
    <cellStyle name="Normal 2 30 2 10 5 2" xfId="30050"/>
    <cellStyle name="Normal 2 30 2 10 6" xfId="30046"/>
    <cellStyle name="Normal 2 30 2 11" xfId="11722"/>
    <cellStyle name="Normal 2 30 2 11 2" xfId="11723"/>
    <cellStyle name="Normal 2 30 2 11 2 2" xfId="30052"/>
    <cellStyle name="Normal 2 30 2 11 3" xfId="11724"/>
    <cellStyle name="Normal 2 30 2 11 3 2" xfId="30053"/>
    <cellStyle name="Normal 2 30 2 11 4" xfId="11725"/>
    <cellStyle name="Normal 2 30 2 11 4 2" xfId="30054"/>
    <cellStyle name="Normal 2 30 2 11 5" xfId="11726"/>
    <cellStyle name="Normal 2 30 2 11 5 2" xfId="30055"/>
    <cellStyle name="Normal 2 30 2 11 6" xfId="30051"/>
    <cellStyle name="Normal 2 30 2 12" xfId="11727"/>
    <cellStyle name="Normal 2 30 2 12 2" xfId="11728"/>
    <cellStyle name="Normal 2 30 2 12 2 2" xfId="30057"/>
    <cellStyle name="Normal 2 30 2 12 3" xfId="11729"/>
    <cellStyle name="Normal 2 30 2 12 3 2" xfId="30058"/>
    <cellStyle name="Normal 2 30 2 12 4" xfId="11730"/>
    <cellStyle name="Normal 2 30 2 12 4 2" xfId="30059"/>
    <cellStyle name="Normal 2 30 2 12 5" xfId="11731"/>
    <cellStyle name="Normal 2 30 2 12 5 2" xfId="30060"/>
    <cellStyle name="Normal 2 30 2 12 6" xfId="30056"/>
    <cellStyle name="Normal 2 30 2 13" xfId="11732"/>
    <cellStyle name="Normal 2 30 2 13 2" xfId="11733"/>
    <cellStyle name="Normal 2 30 2 13 2 2" xfId="30062"/>
    <cellStyle name="Normal 2 30 2 13 3" xfId="11734"/>
    <cellStyle name="Normal 2 30 2 13 3 2" xfId="30063"/>
    <cellStyle name="Normal 2 30 2 13 4" xfId="11735"/>
    <cellStyle name="Normal 2 30 2 13 4 2" xfId="30064"/>
    <cellStyle name="Normal 2 30 2 13 5" xfId="11736"/>
    <cellStyle name="Normal 2 30 2 13 5 2" xfId="30065"/>
    <cellStyle name="Normal 2 30 2 13 6" xfId="30061"/>
    <cellStyle name="Normal 2 30 2 14" xfId="11737"/>
    <cellStyle name="Normal 2 30 2 14 2" xfId="11738"/>
    <cellStyle name="Normal 2 30 2 14 2 2" xfId="30067"/>
    <cellStyle name="Normal 2 30 2 14 3" xfId="11739"/>
    <cellStyle name="Normal 2 30 2 14 3 2" xfId="30068"/>
    <cellStyle name="Normal 2 30 2 14 4" xfId="11740"/>
    <cellStyle name="Normal 2 30 2 14 4 2" xfId="30069"/>
    <cellStyle name="Normal 2 30 2 14 5" xfId="11741"/>
    <cellStyle name="Normal 2 30 2 14 5 2" xfId="30070"/>
    <cellStyle name="Normal 2 30 2 14 6" xfId="30066"/>
    <cellStyle name="Normal 2 30 2 15" xfId="11742"/>
    <cellStyle name="Normal 2 30 2 15 2" xfId="11743"/>
    <cellStyle name="Normal 2 30 2 15 2 2" xfId="30072"/>
    <cellStyle name="Normal 2 30 2 15 3" xfId="11744"/>
    <cellStyle name="Normal 2 30 2 15 3 2" xfId="30073"/>
    <cellStyle name="Normal 2 30 2 15 4" xfId="11745"/>
    <cellStyle name="Normal 2 30 2 15 4 2" xfId="30074"/>
    <cellStyle name="Normal 2 30 2 15 5" xfId="11746"/>
    <cellStyle name="Normal 2 30 2 15 5 2" xfId="30075"/>
    <cellStyle name="Normal 2 30 2 15 6" xfId="30071"/>
    <cellStyle name="Normal 2 30 2 16" xfId="11747"/>
    <cellStyle name="Normal 2 30 2 16 2" xfId="11748"/>
    <cellStyle name="Normal 2 30 2 16 2 2" xfId="30077"/>
    <cellStyle name="Normal 2 30 2 16 3" xfId="11749"/>
    <cellStyle name="Normal 2 30 2 16 3 2" xfId="30078"/>
    <cellStyle name="Normal 2 30 2 16 4" xfId="11750"/>
    <cellStyle name="Normal 2 30 2 16 4 2" xfId="30079"/>
    <cellStyle name="Normal 2 30 2 16 5" xfId="11751"/>
    <cellStyle name="Normal 2 30 2 16 5 2" xfId="30080"/>
    <cellStyle name="Normal 2 30 2 16 6" xfId="30076"/>
    <cellStyle name="Normal 2 30 2 17" xfId="11752"/>
    <cellStyle name="Normal 2 30 2 17 2" xfId="11753"/>
    <cellStyle name="Normal 2 30 2 17 2 2" xfId="30082"/>
    <cellStyle name="Normal 2 30 2 17 3" xfId="11754"/>
    <cellStyle name="Normal 2 30 2 17 3 2" xfId="30083"/>
    <cellStyle name="Normal 2 30 2 17 4" xfId="11755"/>
    <cellStyle name="Normal 2 30 2 17 4 2" xfId="30084"/>
    <cellStyle name="Normal 2 30 2 17 5" xfId="11756"/>
    <cellStyle name="Normal 2 30 2 17 5 2" xfId="30085"/>
    <cellStyle name="Normal 2 30 2 17 6" xfId="30081"/>
    <cellStyle name="Normal 2 30 2 18" xfId="11757"/>
    <cellStyle name="Normal 2 30 2 18 2" xfId="11758"/>
    <cellStyle name="Normal 2 30 2 18 2 2" xfId="30087"/>
    <cellStyle name="Normal 2 30 2 18 3" xfId="11759"/>
    <cellStyle name="Normal 2 30 2 18 3 2" xfId="30088"/>
    <cellStyle name="Normal 2 30 2 18 4" xfId="11760"/>
    <cellStyle name="Normal 2 30 2 18 4 2" xfId="30089"/>
    <cellStyle name="Normal 2 30 2 18 5" xfId="11761"/>
    <cellStyle name="Normal 2 30 2 18 5 2" xfId="30090"/>
    <cellStyle name="Normal 2 30 2 18 6" xfId="30086"/>
    <cellStyle name="Normal 2 30 2 19" xfId="11762"/>
    <cellStyle name="Normal 2 30 2 19 2" xfId="11763"/>
    <cellStyle name="Normal 2 30 2 19 2 2" xfId="30092"/>
    <cellStyle name="Normal 2 30 2 19 3" xfId="11764"/>
    <cellStyle name="Normal 2 30 2 19 3 2" xfId="30093"/>
    <cellStyle name="Normal 2 30 2 19 4" xfId="11765"/>
    <cellStyle name="Normal 2 30 2 19 4 2" xfId="30094"/>
    <cellStyle name="Normal 2 30 2 19 5" xfId="11766"/>
    <cellStyle name="Normal 2 30 2 19 5 2" xfId="30095"/>
    <cellStyle name="Normal 2 30 2 19 6" xfId="30091"/>
    <cellStyle name="Normal 2 30 2 2" xfId="11767"/>
    <cellStyle name="Normal 2 30 2 2 10" xfId="11768"/>
    <cellStyle name="Normal 2 30 2 2 10 2" xfId="11769"/>
    <cellStyle name="Normal 2 30 2 2 10 2 2" xfId="30098"/>
    <cellStyle name="Normal 2 30 2 2 10 3" xfId="11770"/>
    <cellStyle name="Normal 2 30 2 2 10 3 2" xfId="30099"/>
    <cellStyle name="Normal 2 30 2 2 10 4" xfId="11771"/>
    <cellStyle name="Normal 2 30 2 2 10 4 2" xfId="30100"/>
    <cellStyle name="Normal 2 30 2 2 10 5" xfId="11772"/>
    <cellStyle name="Normal 2 30 2 2 10 5 2" xfId="30101"/>
    <cellStyle name="Normal 2 30 2 2 10 6" xfId="30097"/>
    <cellStyle name="Normal 2 30 2 2 11" xfId="11773"/>
    <cellStyle name="Normal 2 30 2 2 11 2" xfId="11774"/>
    <cellStyle name="Normal 2 30 2 2 11 2 2" xfId="30103"/>
    <cellStyle name="Normal 2 30 2 2 11 3" xfId="11775"/>
    <cellStyle name="Normal 2 30 2 2 11 3 2" xfId="30104"/>
    <cellStyle name="Normal 2 30 2 2 11 4" xfId="11776"/>
    <cellStyle name="Normal 2 30 2 2 11 4 2" xfId="30105"/>
    <cellStyle name="Normal 2 30 2 2 11 5" xfId="11777"/>
    <cellStyle name="Normal 2 30 2 2 11 5 2" xfId="30106"/>
    <cellStyle name="Normal 2 30 2 2 11 6" xfId="30102"/>
    <cellStyle name="Normal 2 30 2 2 12" xfId="11778"/>
    <cellStyle name="Normal 2 30 2 2 12 2" xfId="11779"/>
    <cellStyle name="Normal 2 30 2 2 12 2 2" xfId="30108"/>
    <cellStyle name="Normal 2 30 2 2 12 3" xfId="11780"/>
    <cellStyle name="Normal 2 30 2 2 12 3 2" xfId="30109"/>
    <cellStyle name="Normal 2 30 2 2 12 4" xfId="11781"/>
    <cellStyle name="Normal 2 30 2 2 12 4 2" xfId="30110"/>
    <cellStyle name="Normal 2 30 2 2 12 5" xfId="11782"/>
    <cellStyle name="Normal 2 30 2 2 12 5 2" xfId="30111"/>
    <cellStyle name="Normal 2 30 2 2 12 6" xfId="30107"/>
    <cellStyle name="Normal 2 30 2 2 13" xfId="11783"/>
    <cellStyle name="Normal 2 30 2 2 13 2" xfId="11784"/>
    <cellStyle name="Normal 2 30 2 2 13 2 2" xfId="30113"/>
    <cellStyle name="Normal 2 30 2 2 13 3" xfId="11785"/>
    <cellStyle name="Normal 2 30 2 2 13 3 2" xfId="30114"/>
    <cellStyle name="Normal 2 30 2 2 13 4" xfId="11786"/>
    <cellStyle name="Normal 2 30 2 2 13 4 2" xfId="30115"/>
    <cellStyle name="Normal 2 30 2 2 13 5" xfId="11787"/>
    <cellStyle name="Normal 2 30 2 2 13 5 2" xfId="30116"/>
    <cellStyle name="Normal 2 30 2 2 13 6" xfId="30112"/>
    <cellStyle name="Normal 2 30 2 2 14" xfId="11788"/>
    <cellStyle name="Normal 2 30 2 2 14 2" xfId="11789"/>
    <cellStyle name="Normal 2 30 2 2 14 2 2" xfId="30118"/>
    <cellStyle name="Normal 2 30 2 2 14 3" xfId="11790"/>
    <cellStyle name="Normal 2 30 2 2 14 3 2" xfId="30119"/>
    <cellStyle name="Normal 2 30 2 2 14 4" xfId="11791"/>
    <cellStyle name="Normal 2 30 2 2 14 4 2" xfId="30120"/>
    <cellStyle name="Normal 2 30 2 2 14 5" xfId="11792"/>
    <cellStyle name="Normal 2 30 2 2 14 5 2" xfId="30121"/>
    <cellStyle name="Normal 2 30 2 2 14 6" xfId="30117"/>
    <cellStyle name="Normal 2 30 2 2 15" xfId="11793"/>
    <cellStyle name="Normal 2 30 2 2 15 2" xfId="11794"/>
    <cellStyle name="Normal 2 30 2 2 15 2 2" xfId="30123"/>
    <cellStyle name="Normal 2 30 2 2 15 3" xfId="11795"/>
    <cellStyle name="Normal 2 30 2 2 15 3 2" xfId="30124"/>
    <cellStyle name="Normal 2 30 2 2 15 4" xfId="11796"/>
    <cellStyle name="Normal 2 30 2 2 15 4 2" xfId="30125"/>
    <cellStyle name="Normal 2 30 2 2 15 5" xfId="11797"/>
    <cellStyle name="Normal 2 30 2 2 15 5 2" xfId="30126"/>
    <cellStyle name="Normal 2 30 2 2 15 6" xfId="30122"/>
    <cellStyle name="Normal 2 30 2 2 16" xfId="11798"/>
    <cellStyle name="Normal 2 30 2 2 16 2" xfId="11799"/>
    <cellStyle name="Normal 2 30 2 2 16 2 2" xfId="30128"/>
    <cellStyle name="Normal 2 30 2 2 16 3" xfId="11800"/>
    <cellStyle name="Normal 2 30 2 2 16 3 2" xfId="30129"/>
    <cellStyle name="Normal 2 30 2 2 16 4" xfId="11801"/>
    <cellStyle name="Normal 2 30 2 2 16 4 2" xfId="30130"/>
    <cellStyle name="Normal 2 30 2 2 16 5" xfId="11802"/>
    <cellStyle name="Normal 2 30 2 2 16 5 2" xfId="30131"/>
    <cellStyle name="Normal 2 30 2 2 16 6" xfId="30127"/>
    <cellStyle name="Normal 2 30 2 2 17" xfId="11803"/>
    <cellStyle name="Normal 2 30 2 2 17 2" xfId="30132"/>
    <cellStyle name="Normal 2 30 2 2 18" xfId="11804"/>
    <cellStyle name="Normal 2 30 2 2 18 2" xfId="30133"/>
    <cellStyle name="Normal 2 30 2 2 19" xfId="11805"/>
    <cellStyle name="Normal 2 30 2 2 19 2" xfId="30134"/>
    <cellStyle name="Normal 2 30 2 2 2" xfId="11806"/>
    <cellStyle name="Normal 2 30 2 2 2 10" xfId="11807"/>
    <cellStyle name="Normal 2 30 2 2 2 10 2" xfId="30136"/>
    <cellStyle name="Normal 2 30 2 2 2 11" xfId="11808"/>
    <cellStyle name="Normal 2 30 2 2 2 11 2" xfId="30137"/>
    <cellStyle name="Normal 2 30 2 2 2 12" xfId="30135"/>
    <cellStyle name="Normal 2 30 2 2 2 2" xfId="11809"/>
    <cellStyle name="Normal 2 30 2 2 2 2 2" xfId="11810"/>
    <cellStyle name="Normal 2 30 2 2 2 2 2 2" xfId="30139"/>
    <cellStyle name="Normal 2 30 2 2 2 2 3" xfId="11811"/>
    <cellStyle name="Normal 2 30 2 2 2 2 3 2" xfId="30140"/>
    <cellStyle name="Normal 2 30 2 2 2 2 4" xfId="11812"/>
    <cellStyle name="Normal 2 30 2 2 2 2 4 2" xfId="30141"/>
    <cellStyle name="Normal 2 30 2 2 2 2 5" xfId="11813"/>
    <cellStyle name="Normal 2 30 2 2 2 2 5 2" xfId="30142"/>
    <cellStyle name="Normal 2 30 2 2 2 2 6" xfId="30138"/>
    <cellStyle name="Normal 2 30 2 2 2 3" xfId="11814"/>
    <cellStyle name="Normal 2 30 2 2 2 3 2" xfId="11815"/>
    <cellStyle name="Normal 2 30 2 2 2 3 2 2" xfId="30144"/>
    <cellStyle name="Normal 2 30 2 2 2 3 3" xfId="11816"/>
    <cellStyle name="Normal 2 30 2 2 2 3 3 2" xfId="30145"/>
    <cellStyle name="Normal 2 30 2 2 2 3 4" xfId="11817"/>
    <cellStyle name="Normal 2 30 2 2 2 3 4 2" xfId="30146"/>
    <cellStyle name="Normal 2 30 2 2 2 3 5" xfId="11818"/>
    <cellStyle name="Normal 2 30 2 2 2 3 5 2" xfId="30147"/>
    <cellStyle name="Normal 2 30 2 2 2 3 6" xfId="30143"/>
    <cellStyle name="Normal 2 30 2 2 2 4" xfId="11819"/>
    <cellStyle name="Normal 2 30 2 2 2 4 2" xfId="11820"/>
    <cellStyle name="Normal 2 30 2 2 2 4 2 2" xfId="30149"/>
    <cellStyle name="Normal 2 30 2 2 2 4 3" xfId="11821"/>
    <cellStyle name="Normal 2 30 2 2 2 4 3 2" xfId="30150"/>
    <cellStyle name="Normal 2 30 2 2 2 4 4" xfId="11822"/>
    <cellStyle name="Normal 2 30 2 2 2 4 4 2" xfId="30151"/>
    <cellStyle name="Normal 2 30 2 2 2 4 5" xfId="11823"/>
    <cellStyle name="Normal 2 30 2 2 2 4 5 2" xfId="30152"/>
    <cellStyle name="Normal 2 30 2 2 2 4 6" xfId="30148"/>
    <cellStyle name="Normal 2 30 2 2 2 5" xfId="11824"/>
    <cellStyle name="Normal 2 30 2 2 2 5 2" xfId="11825"/>
    <cellStyle name="Normal 2 30 2 2 2 5 2 2" xfId="30154"/>
    <cellStyle name="Normal 2 30 2 2 2 5 3" xfId="11826"/>
    <cellStyle name="Normal 2 30 2 2 2 5 3 2" xfId="30155"/>
    <cellStyle name="Normal 2 30 2 2 2 5 4" xfId="11827"/>
    <cellStyle name="Normal 2 30 2 2 2 5 4 2" xfId="30156"/>
    <cellStyle name="Normal 2 30 2 2 2 5 5" xfId="11828"/>
    <cellStyle name="Normal 2 30 2 2 2 5 5 2" xfId="30157"/>
    <cellStyle name="Normal 2 30 2 2 2 5 6" xfId="30153"/>
    <cellStyle name="Normal 2 30 2 2 2 6" xfId="11829"/>
    <cellStyle name="Normal 2 30 2 2 2 6 2" xfId="11830"/>
    <cellStyle name="Normal 2 30 2 2 2 6 2 2" xfId="30159"/>
    <cellStyle name="Normal 2 30 2 2 2 6 3" xfId="11831"/>
    <cellStyle name="Normal 2 30 2 2 2 6 3 2" xfId="30160"/>
    <cellStyle name="Normal 2 30 2 2 2 6 4" xfId="11832"/>
    <cellStyle name="Normal 2 30 2 2 2 6 4 2" xfId="30161"/>
    <cellStyle name="Normal 2 30 2 2 2 6 5" xfId="11833"/>
    <cellStyle name="Normal 2 30 2 2 2 6 5 2" xfId="30162"/>
    <cellStyle name="Normal 2 30 2 2 2 6 6" xfId="30158"/>
    <cellStyle name="Normal 2 30 2 2 2 7" xfId="11834"/>
    <cellStyle name="Normal 2 30 2 2 2 7 2" xfId="11835"/>
    <cellStyle name="Normal 2 30 2 2 2 7 2 2" xfId="30164"/>
    <cellStyle name="Normal 2 30 2 2 2 7 3" xfId="11836"/>
    <cellStyle name="Normal 2 30 2 2 2 7 3 2" xfId="30165"/>
    <cellStyle name="Normal 2 30 2 2 2 7 4" xfId="11837"/>
    <cellStyle name="Normal 2 30 2 2 2 7 4 2" xfId="30166"/>
    <cellStyle name="Normal 2 30 2 2 2 7 5" xfId="11838"/>
    <cellStyle name="Normal 2 30 2 2 2 7 5 2" xfId="30167"/>
    <cellStyle name="Normal 2 30 2 2 2 7 6" xfId="30163"/>
    <cellStyle name="Normal 2 30 2 2 2 8" xfId="11839"/>
    <cellStyle name="Normal 2 30 2 2 2 8 2" xfId="30168"/>
    <cellStyle name="Normal 2 30 2 2 2 9" xfId="11840"/>
    <cellStyle name="Normal 2 30 2 2 2 9 2" xfId="30169"/>
    <cellStyle name="Normal 2 30 2 2 20" xfId="11841"/>
    <cellStyle name="Normal 2 30 2 2 20 2" xfId="30170"/>
    <cellStyle name="Normal 2 30 2 2 21" xfId="30096"/>
    <cellStyle name="Normal 2 30 2 2 3" xfId="11842"/>
    <cellStyle name="Normal 2 30 2 2 3 2" xfId="11843"/>
    <cellStyle name="Normal 2 30 2 2 3 2 2" xfId="11844"/>
    <cellStyle name="Normal 2 30 2 2 3 2 2 2" xfId="30173"/>
    <cellStyle name="Normal 2 30 2 2 3 2 3" xfId="11845"/>
    <cellStyle name="Normal 2 30 2 2 3 2 3 2" xfId="30174"/>
    <cellStyle name="Normal 2 30 2 2 3 2 4" xfId="11846"/>
    <cellStyle name="Normal 2 30 2 2 3 2 4 2" xfId="30175"/>
    <cellStyle name="Normal 2 30 2 2 3 2 5" xfId="11847"/>
    <cellStyle name="Normal 2 30 2 2 3 2 5 2" xfId="30176"/>
    <cellStyle name="Normal 2 30 2 2 3 2 6" xfId="30172"/>
    <cellStyle name="Normal 2 30 2 2 3 3" xfId="11848"/>
    <cellStyle name="Normal 2 30 2 2 3 3 2" xfId="30177"/>
    <cellStyle name="Normal 2 30 2 2 3 4" xfId="11849"/>
    <cellStyle name="Normal 2 30 2 2 3 4 2" xfId="30178"/>
    <cellStyle name="Normal 2 30 2 2 3 5" xfId="11850"/>
    <cellStyle name="Normal 2 30 2 2 3 5 2" xfId="30179"/>
    <cellStyle name="Normal 2 30 2 2 3 6" xfId="11851"/>
    <cellStyle name="Normal 2 30 2 2 3 6 2" xfId="30180"/>
    <cellStyle name="Normal 2 30 2 2 3 7" xfId="30171"/>
    <cellStyle name="Normal 2 30 2 2 4" xfId="11852"/>
    <cellStyle name="Normal 2 30 2 2 4 2" xfId="11853"/>
    <cellStyle name="Normal 2 30 2 2 4 2 2" xfId="11854"/>
    <cellStyle name="Normal 2 30 2 2 4 2 2 2" xfId="30183"/>
    <cellStyle name="Normal 2 30 2 2 4 2 3" xfId="11855"/>
    <cellStyle name="Normal 2 30 2 2 4 2 3 2" xfId="30184"/>
    <cellStyle name="Normal 2 30 2 2 4 2 4" xfId="11856"/>
    <cellStyle name="Normal 2 30 2 2 4 2 4 2" xfId="30185"/>
    <cellStyle name="Normal 2 30 2 2 4 2 5" xfId="11857"/>
    <cellStyle name="Normal 2 30 2 2 4 2 5 2" xfId="30186"/>
    <cellStyle name="Normal 2 30 2 2 4 2 6" xfId="30182"/>
    <cellStyle name="Normal 2 30 2 2 4 3" xfId="11858"/>
    <cellStyle name="Normal 2 30 2 2 4 3 2" xfId="30187"/>
    <cellStyle name="Normal 2 30 2 2 4 4" xfId="11859"/>
    <cellStyle name="Normal 2 30 2 2 4 4 2" xfId="30188"/>
    <cellStyle name="Normal 2 30 2 2 4 5" xfId="11860"/>
    <cellStyle name="Normal 2 30 2 2 4 5 2" xfId="30189"/>
    <cellStyle name="Normal 2 30 2 2 4 6" xfId="11861"/>
    <cellStyle name="Normal 2 30 2 2 4 6 2" xfId="30190"/>
    <cellStyle name="Normal 2 30 2 2 4 7" xfId="30181"/>
    <cellStyle name="Normal 2 30 2 2 5" xfId="11862"/>
    <cellStyle name="Normal 2 30 2 2 5 2" xfId="11863"/>
    <cellStyle name="Normal 2 30 2 2 5 2 2" xfId="30192"/>
    <cellStyle name="Normal 2 30 2 2 5 3" xfId="11864"/>
    <cellStyle name="Normal 2 30 2 2 5 3 2" xfId="30193"/>
    <cellStyle name="Normal 2 30 2 2 5 4" xfId="11865"/>
    <cellStyle name="Normal 2 30 2 2 5 4 2" xfId="30194"/>
    <cellStyle name="Normal 2 30 2 2 5 5" xfId="11866"/>
    <cellStyle name="Normal 2 30 2 2 5 5 2" xfId="30195"/>
    <cellStyle name="Normal 2 30 2 2 5 6" xfId="30191"/>
    <cellStyle name="Normal 2 30 2 2 6" xfId="11867"/>
    <cellStyle name="Normal 2 30 2 2 6 2" xfId="11868"/>
    <cellStyle name="Normal 2 30 2 2 6 2 2" xfId="30197"/>
    <cellStyle name="Normal 2 30 2 2 6 3" xfId="11869"/>
    <cellStyle name="Normal 2 30 2 2 6 3 2" xfId="30198"/>
    <cellStyle name="Normal 2 30 2 2 6 4" xfId="11870"/>
    <cellStyle name="Normal 2 30 2 2 6 4 2" xfId="30199"/>
    <cellStyle name="Normal 2 30 2 2 6 5" xfId="11871"/>
    <cellStyle name="Normal 2 30 2 2 6 5 2" xfId="30200"/>
    <cellStyle name="Normal 2 30 2 2 6 6" xfId="30196"/>
    <cellStyle name="Normal 2 30 2 2 7" xfId="11872"/>
    <cellStyle name="Normal 2 30 2 2 7 2" xfId="11873"/>
    <cellStyle name="Normal 2 30 2 2 7 2 2" xfId="30202"/>
    <cellStyle name="Normal 2 30 2 2 7 3" xfId="11874"/>
    <cellStyle name="Normal 2 30 2 2 7 3 2" xfId="30203"/>
    <cellStyle name="Normal 2 30 2 2 7 4" xfId="11875"/>
    <cellStyle name="Normal 2 30 2 2 7 4 2" xfId="30204"/>
    <cellStyle name="Normal 2 30 2 2 7 5" xfId="11876"/>
    <cellStyle name="Normal 2 30 2 2 7 5 2" xfId="30205"/>
    <cellStyle name="Normal 2 30 2 2 7 6" xfId="30201"/>
    <cellStyle name="Normal 2 30 2 2 8" xfId="11877"/>
    <cellStyle name="Normal 2 30 2 2 8 2" xfId="11878"/>
    <cellStyle name="Normal 2 30 2 2 8 2 2" xfId="30207"/>
    <cellStyle name="Normal 2 30 2 2 8 3" xfId="11879"/>
    <cellStyle name="Normal 2 30 2 2 8 3 2" xfId="30208"/>
    <cellStyle name="Normal 2 30 2 2 8 4" xfId="11880"/>
    <cellStyle name="Normal 2 30 2 2 8 4 2" xfId="30209"/>
    <cellStyle name="Normal 2 30 2 2 8 5" xfId="11881"/>
    <cellStyle name="Normal 2 30 2 2 8 5 2" xfId="30210"/>
    <cellStyle name="Normal 2 30 2 2 8 6" xfId="30206"/>
    <cellStyle name="Normal 2 30 2 2 9" xfId="11882"/>
    <cellStyle name="Normal 2 30 2 2 9 2" xfId="11883"/>
    <cellStyle name="Normal 2 30 2 2 9 2 2" xfId="30212"/>
    <cellStyle name="Normal 2 30 2 2 9 3" xfId="11884"/>
    <cellStyle name="Normal 2 30 2 2 9 3 2" xfId="30213"/>
    <cellStyle name="Normal 2 30 2 2 9 4" xfId="11885"/>
    <cellStyle name="Normal 2 30 2 2 9 4 2" xfId="30214"/>
    <cellStyle name="Normal 2 30 2 2 9 5" xfId="11886"/>
    <cellStyle name="Normal 2 30 2 2 9 5 2" xfId="30215"/>
    <cellStyle name="Normal 2 30 2 2 9 6" xfId="30211"/>
    <cellStyle name="Normal 2 30 2 20" xfId="11887"/>
    <cellStyle name="Normal 2 30 2 20 2" xfId="30216"/>
    <cellStyle name="Normal 2 30 2 21" xfId="11888"/>
    <cellStyle name="Normal 2 30 2 21 2" xfId="30217"/>
    <cellStyle name="Normal 2 30 2 22" xfId="11889"/>
    <cellStyle name="Normal 2 30 2 22 2" xfId="30218"/>
    <cellStyle name="Normal 2 30 2 23" xfId="11890"/>
    <cellStyle name="Normal 2 30 2 23 2" xfId="30219"/>
    <cellStyle name="Normal 2 30 2 24" xfId="30045"/>
    <cellStyle name="Normal 2 30 2 3" xfId="11891"/>
    <cellStyle name="Normal 2 30 2 3 10" xfId="11892"/>
    <cellStyle name="Normal 2 30 2 3 10 2" xfId="11893"/>
    <cellStyle name="Normal 2 30 2 3 10 2 2" xfId="30222"/>
    <cellStyle name="Normal 2 30 2 3 10 3" xfId="11894"/>
    <cellStyle name="Normal 2 30 2 3 10 3 2" xfId="30223"/>
    <cellStyle name="Normal 2 30 2 3 10 4" xfId="11895"/>
    <cellStyle name="Normal 2 30 2 3 10 4 2" xfId="30224"/>
    <cellStyle name="Normal 2 30 2 3 10 5" xfId="11896"/>
    <cellStyle name="Normal 2 30 2 3 10 5 2" xfId="30225"/>
    <cellStyle name="Normal 2 30 2 3 10 6" xfId="30221"/>
    <cellStyle name="Normal 2 30 2 3 11" xfId="11897"/>
    <cellStyle name="Normal 2 30 2 3 11 2" xfId="11898"/>
    <cellStyle name="Normal 2 30 2 3 11 2 2" xfId="30227"/>
    <cellStyle name="Normal 2 30 2 3 11 3" xfId="11899"/>
    <cellStyle name="Normal 2 30 2 3 11 3 2" xfId="30228"/>
    <cellStyle name="Normal 2 30 2 3 11 4" xfId="11900"/>
    <cellStyle name="Normal 2 30 2 3 11 4 2" xfId="30229"/>
    <cellStyle name="Normal 2 30 2 3 11 5" xfId="11901"/>
    <cellStyle name="Normal 2 30 2 3 11 5 2" xfId="30230"/>
    <cellStyle name="Normal 2 30 2 3 11 6" xfId="30226"/>
    <cellStyle name="Normal 2 30 2 3 12" xfId="11902"/>
    <cellStyle name="Normal 2 30 2 3 12 2" xfId="11903"/>
    <cellStyle name="Normal 2 30 2 3 12 2 2" xfId="30232"/>
    <cellStyle name="Normal 2 30 2 3 12 3" xfId="11904"/>
    <cellStyle name="Normal 2 30 2 3 12 3 2" xfId="30233"/>
    <cellStyle name="Normal 2 30 2 3 12 4" xfId="11905"/>
    <cellStyle name="Normal 2 30 2 3 12 4 2" xfId="30234"/>
    <cellStyle name="Normal 2 30 2 3 12 5" xfId="11906"/>
    <cellStyle name="Normal 2 30 2 3 12 5 2" xfId="30235"/>
    <cellStyle name="Normal 2 30 2 3 12 6" xfId="30231"/>
    <cellStyle name="Normal 2 30 2 3 13" xfId="11907"/>
    <cellStyle name="Normal 2 30 2 3 13 2" xfId="11908"/>
    <cellStyle name="Normal 2 30 2 3 13 2 2" xfId="30237"/>
    <cellStyle name="Normal 2 30 2 3 13 3" xfId="11909"/>
    <cellStyle name="Normal 2 30 2 3 13 3 2" xfId="30238"/>
    <cellStyle name="Normal 2 30 2 3 13 4" xfId="11910"/>
    <cellStyle name="Normal 2 30 2 3 13 4 2" xfId="30239"/>
    <cellStyle name="Normal 2 30 2 3 13 5" xfId="11911"/>
    <cellStyle name="Normal 2 30 2 3 13 5 2" xfId="30240"/>
    <cellStyle name="Normal 2 30 2 3 13 6" xfId="30236"/>
    <cellStyle name="Normal 2 30 2 3 14" xfId="11912"/>
    <cellStyle name="Normal 2 30 2 3 14 2" xfId="11913"/>
    <cellStyle name="Normal 2 30 2 3 14 2 2" xfId="30242"/>
    <cellStyle name="Normal 2 30 2 3 14 3" xfId="11914"/>
    <cellStyle name="Normal 2 30 2 3 14 3 2" xfId="30243"/>
    <cellStyle name="Normal 2 30 2 3 14 4" xfId="11915"/>
    <cellStyle name="Normal 2 30 2 3 14 4 2" xfId="30244"/>
    <cellStyle name="Normal 2 30 2 3 14 5" xfId="11916"/>
    <cellStyle name="Normal 2 30 2 3 14 5 2" xfId="30245"/>
    <cellStyle name="Normal 2 30 2 3 14 6" xfId="30241"/>
    <cellStyle name="Normal 2 30 2 3 15" xfId="11917"/>
    <cellStyle name="Normal 2 30 2 3 15 2" xfId="11918"/>
    <cellStyle name="Normal 2 30 2 3 15 2 2" xfId="30247"/>
    <cellStyle name="Normal 2 30 2 3 15 3" xfId="11919"/>
    <cellStyle name="Normal 2 30 2 3 15 3 2" xfId="30248"/>
    <cellStyle name="Normal 2 30 2 3 15 4" xfId="11920"/>
    <cellStyle name="Normal 2 30 2 3 15 4 2" xfId="30249"/>
    <cellStyle name="Normal 2 30 2 3 15 5" xfId="11921"/>
    <cellStyle name="Normal 2 30 2 3 15 5 2" xfId="30250"/>
    <cellStyle name="Normal 2 30 2 3 15 6" xfId="30246"/>
    <cellStyle name="Normal 2 30 2 3 16" xfId="11922"/>
    <cellStyle name="Normal 2 30 2 3 16 2" xfId="11923"/>
    <cellStyle name="Normal 2 30 2 3 16 2 2" xfId="30252"/>
    <cellStyle name="Normal 2 30 2 3 16 3" xfId="11924"/>
    <cellStyle name="Normal 2 30 2 3 16 3 2" xfId="30253"/>
    <cellStyle name="Normal 2 30 2 3 16 4" xfId="11925"/>
    <cellStyle name="Normal 2 30 2 3 16 4 2" xfId="30254"/>
    <cellStyle name="Normal 2 30 2 3 16 5" xfId="11926"/>
    <cellStyle name="Normal 2 30 2 3 16 5 2" xfId="30255"/>
    <cellStyle name="Normal 2 30 2 3 16 6" xfId="30251"/>
    <cellStyle name="Normal 2 30 2 3 17" xfId="11927"/>
    <cellStyle name="Normal 2 30 2 3 17 2" xfId="30256"/>
    <cellStyle name="Normal 2 30 2 3 18" xfId="11928"/>
    <cellStyle name="Normal 2 30 2 3 18 2" xfId="30257"/>
    <cellStyle name="Normal 2 30 2 3 19" xfId="11929"/>
    <cellStyle name="Normal 2 30 2 3 19 2" xfId="30258"/>
    <cellStyle name="Normal 2 30 2 3 2" xfId="11930"/>
    <cellStyle name="Normal 2 30 2 3 2 10" xfId="11931"/>
    <cellStyle name="Normal 2 30 2 3 2 10 2" xfId="30260"/>
    <cellStyle name="Normal 2 30 2 3 2 11" xfId="11932"/>
    <cellStyle name="Normal 2 30 2 3 2 11 2" xfId="30261"/>
    <cellStyle name="Normal 2 30 2 3 2 12" xfId="30259"/>
    <cellStyle name="Normal 2 30 2 3 2 2" xfId="11933"/>
    <cellStyle name="Normal 2 30 2 3 2 2 2" xfId="11934"/>
    <cellStyle name="Normal 2 30 2 3 2 2 2 2" xfId="30263"/>
    <cellStyle name="Normal 2 30 2 3 2 2 3" xfId="11935"/>
    <cellStyle name="Normal 2 30 2 3 2 2 3 2" xfId="30264"/>
    <cellStyle name="Normal 2 30 2 3 2 2 4" xfId="11936"/>
    <cellStyle name="Normal 2 30 2 3 2 2 4 2" xfId="30265"/>
    <cellStyle name="Normal 2 30 2 3 2 2 5" xfId="11937"/>
    <cellStyle name="Normal 2 30 2 3 2 2 5 2" xfId="30266"/>
    <cellStyle name="Normal 2 30 2 3 2 2 6" xfId="30262"/>
    <cellStyle name="Normal 2 30 2 3 2 3" xfId="11938"/>
    <cellStyle name="Normal 2 30 2 3 2 3 2" xfId="11939"/>
    <cellStyle name="Normal 2 30 2 3 2 3 2 2" xfId="30268"/>
    <cellStyle name="Normal 2 30 2 3 2 3 3" xfId="11940"/>
    <cellStyle name="Normal 2 30 2 3 2 3 3 2" xfId="30269"/>
    <cellStyle name="Normal 2 30 2 3 2 3 4" xfId="11941"/>
    <cellStyle name="Normal 2 30 2 3 2 3 4 2" xfId="30270"/>
    <cellStyle name="Normal 2 30 2 3 2 3 5" xfId="11942"/>
    <cellStyle name="Normal 2 30 2 3 2 3 5 2" xfId="30271"/>
    <cellStyle name="Normal 2 30 2 3 2 3 6" xfId="30267"/>
    <cellStyle name="Normal 2 30 2 3 2 4" xfId="11943"/>
    <cellStyle name="Normal 2 30 2 3 2 4 2" xfId="11944"/>
    <cellStyle name="Normal 2 30 2 3 2 4 2 2" xfId="30273"/>
    <cellStyle name="Normal 2 30 2 3 2 4 3" xfId="11945"/>
    <cellStyle name="Normal 2 30 2 3 2 4 3 2" xfId="30274"/>
    <cellStyle name="Normal 2 30 2 3 2 4 4" xfId="11946"/>
    <cellStyle name="Normal 2 30 2 3 2 4 4 2" xfId="30275"/>
    <cellStyle name="Normal 2 30 2 3 2 4 5" xfId="11947"/>
    <cellStyle name="Normal 2 30 2 3 2 4 5 2" xfId="30276"/>
    <cellStyle name="Normal 2 30 2 3 2 4 6" xfId="30272"/>
    <cellStyle name="Normal 2 30 2 3 2 5" xfId="11948"/>
    <cellStyle name="Normal 2 30 2 3 2 5 2" xfId="11949"/>
    <cellStyle name="Normal 2 30 2 3 2 5 2 2" xfId="30278"/>
    <cellStyle name="Normal 2 30 2 3 2 5 3" xfId="11950"/>
    <cellStyle name="Normal 2 30 2 3 2 5 3 2" xfId="30279"/>
    <cellStyle name="Normal 2 30 2 3 2 5 4" xfId="11951"/>
    <cellStyle name="Normal 2 30 2 3 2 5 4 2" xfId="30280"/>
    <cellStyle name="Normal 2 30 2 3 2 5 5" xfId="11952"/>
    <cellStyle name="Normal 2 30 2 3 2 5 5 2" xfId="30281"/>
    <cellStyle name="Normal 2 30 2 3 2 5 6" xfId="30277"/>
    <cellStyle name="Normal 2 30 2 3 2 6" xfId="11953"/>
    <cellStyle name="Normal 2 30 2 3 2 6 2" xfId="11954"/>
    <cellStyle name="Normal 2 30 2 3 2 6 2 2" xfId="30283"/>
    <cellStyle name="Normal 2 30 2 3 2 6 3" xfId="11955"/>
    <cellStyle name="Normal 2 30 2 3 2 6 3 2" xfId="30284"/>
    <cellStyle name="Normal 2 30 2 3 2 6 4" xfId="11956"/>
    <cellStyle name="Normal 2 30 2 3 2 6 4 2" xfId="30285"/>
    <cellStyle name="Normal 2 30 2 3 2 6 5" xfId="11957"/>
    <cellStyle name="Normal 2 30 2 3 2 6 5 2" xfId="30286"/>
    <cellStyle name="Normal 2 30 2 3 2 6 6" xfId="30282"/>
    <cellStyle name="Normal 2 30 2 3 2 7" xfId="11958"/>
    <cellStyle name="Normal 2 30 2 3 2 7 2" xfId="11959"/>
    <cellStyle name="Normal 2 30 2 3 2 7 2 2" xfId="30288"/>
    <cellStyle name="Normal 2 30 2 3 2 7 3" xfId="11960"/>
    <cellStyle name="Normal 2 30 2 3 2 7 3 2" xfId="30289"/>
    <cellStyle name="Normal 2 30 2 3 2 7 4" xfId="11961"/>
    <cellStyle name="Normal 2 30 2 3 2 7 4 2" xfId="30290"/>
    <cellStyle name="Normal 2 30 2 3 2 7 5" xfId="11962"/>
    <cellStyle name="Normal 2 30 2 3 2 7 5 2" xfId="30291"/>
    <cellStyle name="Normal 2 30 2 3 2 7 6" xfId="30287"/>
    <cellStyle name="Normal 2 30 2 3 2 8" xfId="11963"/>
    <cellStyle name="Normal 2 30 2 3 2 8 2" xfId="30292"/>
    <cellStyle name="Normal 2 30 2 3 2 9" xfId="11964"/>
    <cellStyle name="Normal 2 30 2 3 2 9 2" xfId="30293"/>
    <cellStyle name="Normal 2 30 2 3 20" xfId="11965"/>
    <cellStyle name="Normal 2 30 2 3 20 2" xfId="30294"/>
    <cellStyle name="Normal 2 30 2 3 21" xfId="30220"/>
    <cellStyle name="Normal 2 30 2 3 3" xfId="11966"/>
    <cellStyle name="Normal 2 30 2 3 3 2" xfId="11967"/>
    <cellStyle name="Normal 2 30 2 3 3 2 2" xfId="11968"/>
    <cellStyle name="Normal 2 30 2 3 3 2 2 2" xfId="30297"/>
    <cellStyle name="Normal 2 30 2 3 3 2 3" xfId="11969"/>
    <cellStyle name="Normal 2 30 2 3 3 2 3 2" xfId="30298"/>
    <cellStyle name="Normal 2 30 2 3 3 2 4" xfId="11970"/>
    <cellStyle name="Normal 2 30 2 3 3 2 4 2" xfId="30299"/>
    <cellStyle name="Normal 2 30 2 3 3 2 5" xfId="11971"/>
    <cellStyle name="Normal 2 30 2 3 3 2 5 2" xfId="30300"/>
    <cellStyle name="Normal 2 30 2 3 3 2 6" xfId="30296"/>
    <cellStyle name="Normal 2 30 2 3 3 3" xfId="11972"/>
    <cellStyle name="Normal 2 30 2 3 3 3 2" xfId="30301"/>
    <cellStyle name="Normal 2 30 2 3 3 4" xfId="11973"/>
    <cellStyle name="Normal 2 30 2 3 3 4 2" xfId="30302"/>
    <cellStyle name="Normal 2 30 2 3 3 5" xfId="11974"/>
    <cellStyle name="Normal 2 30 2 3 3 5 2" xfId="30303"/>
    <cellStyle name="Normal 2 30 2 3 3 6" xfId="11975"/>
    <cellStyle name="Normal 2 30 2 3 3 6 2" xfId="30304"/>
    <cellStyle name="Normal 2 30 2 3 3 7" xfId="30295"/>
    <cellStyle name="Normal 2 30 2 3 4" xfId="11976"/>
    <cellStyle name="Normal 2 30 2 3 4 2" xfId="11977"/>
    <cellStyle name="Normal 2 30 2 3 4 2 2" xfId="11978"/>
    <cellStyle name="Normal 2 30 2 3 4 2 2 2" xfId="30307"/>
    <cellStyle name="Normal 2 30 2 3 4 2 3" xfId="11979"/>
    <cellStyle name="Normal 2 30 2 3 4 2 3 2" xfId="30308"/>
    <cellStyle name="Normal 2 30 2 3 4 2 4" xfId="11980"/>
    <cellStyle name="Normal 2 30 2 3 4 2 4 2" xfId="30309"/>
    <cellStyle name="Normal 2 30 2 3 4 2 5" xfId="11981"/>
    <cellStyle name="Normal 2 30 2 3 4 2 5 2" xfId="30310"/>
    <cellStyle name="Normal 2 30 2 3 4 2 6" xfId="30306"/>
    <cellStyle name="Normal 2 30 2 3 4 3" xfId="11982"/>
    <cellStyle name="Normal 2 30 2 3 4 3 2" xfId="30311"/>
    <cellStyle name="Normal 2 30 2 3 4 4" xfId="11983"/>
    <cellStyle name="Normal 2 30 2 3 4 4 2" xfId="30312"/>
    <cellStyle name="Normal 2 30 2 3 4 5" xfId="11984"/>
    <cellStyle name="Normal 2 30 2 3 4 5 2" xfId="30313"/>
    <cellStyle name="Normal 2 30 2 3 4 6" xfId="11985"/>
    <cellStyle name="Normal 2 30 2 3 4 6 2" xfId="30314"/>
    <cellStyle name="Normal 2 30 2 3 4 7" xfId="30305"/>
    <cellStyle name="Normal 2 30 2 3 5" xfId="11986"/>
    <cellStyle name="Normal 2 30 2 3 5 2" xfId="11987"/>
    <cellStyle name="Normal 2 30 2 3 5 2 2" xfId="30316"/>
    <cellStyle name="Normal 2 30 2 3 5 3" xfId="11988"/>
    <cellStyle name="Normal 2 30 2 3 5 3 2" xfId="30317"/>
    <cellStyle name="Normal 2 30 2 3 5 4" xfId="11989"/>
    <cellStyle name="Normal 2 30 2 3 5 4 2" xfId="30318"/>
    <cellStyle name="Normal 2 30 2 3 5 5" xfId="11990"/>
    <cellStyle name="Normal 2 30 2 3 5 5 2" xfId="30319"/>
    <cellStyle name="Normal 2 30 2 3 5 6" xfId="30315"/>
    <cellStyle name="Normal 2 30 2 3 6" xfId="11991"/>
    <cellStyle name="Normal 2 30 2 3 6 2" xfId="11992"/>
    <cellStyle name="Normal 2 30 2 3 6 2 2" xfId="30321"/>
    <cellStyle name="Normal 2 30 2 3 6 3" xfId="11993"/>
    <cellStyle name="Normal 2 30 2 3 6 3 2" xfId="30322"/>
    <cellStyle name="Normal 2 30 2 3 6 4" xfId="11994"/>
    <cellStyle name="Normal 2 30 2 3 6 4 2" xfId="30323"/>
    <cellStyle name="Normal 2 30 2 3 6 5" xfId="11995"/>
    <cellStyle name="Normal 2 30 2 3 6 5 2" xfId="30324"/>
    <cellStyle name="Normal 2 30 2 3 6 6" xfId="30320"/>
    <cellStyle name="Normal 2 30 2 3 7" xfId="11996"/>
    <cellStyle name="Normal 2 30 2 3 7 2" xfId="11997"/>
    <cellStyle name="Normal 2 30 2 3 7 2 2" xfId="30326"/>
    <cellStyle name="Normal 2 30 2 3 7 3" xfId="11998"/>
    <cellStyle name="Normal 2 30 2 3 7 3 2" xfId="30327"/>
    <cellStyle name="Normal 2 30 2 3 7 4" xfId="11999"/>
    <cellStyle name="Normal 2 30 2 3 7 4 2" xfId="30328"/>
    <cellStyle name="Normal 2 30 2 3 7 5" xfId="12000"/>
    <cellStyle name="Normal 2 30 2 3 7 5 2" xfId="30329"/>
    <cellStyle name="Normal 2 30 2 3 7 6" xfId="30325"/>
    <cellStyle name="Normal 2 30 2 3 8" xfId="12001"/>
    <cellStyle name="Normal 2 30 2 3 8 2" xfId="12002"/>
    <cellStyle name="Normal 2 30 2 3 8 2 2" xfId="30331"/>
    <cellStyle name="Normal 2 30 2 3 8 3" xfId="12003"/>
    <cellStyle name="Normal 2 30 2 3 8 3 2" xfId="30332"/>
    <cellStyle name="Normal 2 30 2 3 8 4" xfId="12004"/>
    <cellStyle name="Normal 2 30 2 3 8 4 2" xfId="30333"/>
    <cellStyle name="Normal 2 30 2 3 8 5" xfId="12005"/>
    <cellStyle name="Normal 2 30 2 3 8 5 2" xfId="30334"/>
    <cellStyle name="Normal 2 30 2 3 8 6" xfId="30330"/>
    <cellStyle name="Normal 2 30 2 3 9" xfId="12006"/>
    <cellStyle name="Normal 2 30 2 3 9 2" xfId="12007"/>
    <cellStyle name="Normal 2 30 2 3 9 2 2" xfId="30336"/>
    <cellStyle name="Normal 2 30 2 3 9 3" xfId="12008"/>
    <cellStyle name="Normal 2 30 2 3 9 3 2" xfId="30337"/>
    <cellStyle name="Normal 2 30 2 3 9 4" xfId="12009"/>
    <cellStyle name="Normal 2 30 2 3 9 4 2" xfId="30338"/>
    <cellStyle name="Normal 2 30 2 3 9 5" xfId="12010"/>
    <cellStyle name="Normal 2 30 2 3 9 5 2" xfId="30339"/>
    <cellStyle name="Normal 2 30 2 3 9 6" xfId="30335"/>
    <cellStyle name="Normal 2 30 2 4" xfId="12011"/>
    <cellStyle name="Normal 2 30 2 4 10" xfId="12012"/>
    <cellStyle name="Normal 2 30 2 4 10 2" xfId="12013"/>
    <cellStyle name="Normal 2 30 2 4 10 2 2" xfId="30342"/>
    <cellStyle name="Normal 2 30 2 4 10 3" xfId="12014"/>
    <cellStyle name="Normal 2 30 2 4 10 3 2" xfId="30343"/>
    <cellStyle name="Normal 2 30 2 4 10 4" xfId="12015"/>
    <cellStyle name="Normal 2 30 2 4 10 4 2" xfId="30344"/>
    <cellStyle name="Normal 2 30 2 4 10 5" xfId="12016"/>
    <cellStyle name="Normal 2 30 2 4 10 5 2" xfId="30345"/>
    <cellStyle name="Normal 2 30 2 4 10 6" xfId="30341"/>
    <cellStyle name="Normal 2 30 2 4 11" xfId="12017"/>
    <cellStyle name="Normal 2 30 2 4 11 2" xfId="12018"/>
    <cellStyle name="Normal 2 30 2 4 11 2 2" xfId="30347"/>
    <cellStyle name="Normal 2 30 2 4 11 3" xfId="12019"/>
    <cellStyle name="Normal 2 30 2 4 11 3 2" xfId="30348"/>
    <cellStyle name="Normal 2 30 2 4 11 4" xfId="12020"/>
    <cellStyle name="Normal 2 30 2 4 11 4 2" xfId="30349"/>
    <cellStyle name="Normal 2 30 2 4 11 5" xfId="12021"/>
    <cellStyle name="Normal 2 30 2 4 11 5 2" xfId="30350"/>
    <cellStyle name="Normal 2 30 2 4 11 6" xfId="30346"/>
    <cellStyle name="Normal 2 30 2 4 12" xfId="12022"/>
    <cellStyle name="Normal 2 30 2 4 12 2" xfId="12023"/>
    <cellStyle name="Normal 2 30 2 4 12 2 2" xfId="30352"/>
    <cellStyle name="Normal 2 30 2 4 12 3" xfId="12024"/>
    <cellStyle name="Normal 2 30 2 4 12 3 2" xfId="30353"/>
    <cellStyle name="Normal 2 30 2 4 12 4" xfId="12025"/>
    <cellStyle name="Normal 2 30 2 4 12 4 2" xfId="30354"/>
    <cellStyle name="Normal 2 30 2 4 12 5" xfId="12026"/>
    <cellStyle name="Normal 2 30 2 4 12 5 2" xfId="30355"/>
    <cellStyle name="Normal 2 30 2 4 12 6" xfId="30351"/>
    <cellStyle name="Normal 2 30 2 4 13" xfId="12027"/>
    <cellStyle name="Normal 2 30 2 4 13 2" xfId="12028"/>
    <cellStyle name="Normal 2 30 2 4 13 2 2" xfId="30357"/>
    <cellStyle name="Normal 2 30 2 4 13 3" xfId="12029"/>
    <cellStyle name="Normal 2 30 2 4 13 3 2" xfId="30358"/>
    <cellStyle name="Normal 2 30 2 4 13 4" xfId="12030"/>
    <cellStyle name="Normal 2 30 2 4 13 4 2" xfId="30359"/>
    <cellStyle name="Normal 2 30 2 4 13 5" xfId="12031"/>
    <cellStyle name="Normal 2 30 2 4 13 5 2" xfId="30360"/>
    <cellStyle name="Normal 2 30 2 4 13 6" xfId="30356"/>
    <cellStyle name="Normal 2 30 2 4 14" xfId="12032"/>
    <cellStyle name="Normal 2 30 2 4 14 2" xfId="12033"/>
    <cellStyle name="Normal 2 30 2 4 14 2 2" xfId="30362"/>
    <cellStyle name="Normal 2 30 2 4 14 3" xfId="12034"/>
    <cellStyle name="Normal 2 30 2 4 14 3 2" xfId="30363"/>
    <cellStyle name="Normal 2 30 2 4 14 4" xfId="12035"/>
    <cellStyle name="Normal 2 30 2 4 14 4 2" xfId="30364"/>
    <cellStyle name="Normal 2 30 2 4 14 5" xfId="12036"/>
    <cellStyle name="Normal 2 30 2 4 14 5 2" xfId="30365"/>
    <cellStyle name="Normal 2 30 2 4 14 6" xfId="30361"/>
    <cellStyle name="Normal 2 30 2 4 15" xfId="12037"/>
    <cellStyle name="Normal 2 30 2 4 15 2" xfId="12038"/>
    <cellStyle name="Normal 2 30 2 4 15 2 2" xfId="30367"/>
    <cellStyle name="Normal 2 30 2 4 15 3" xfId="12039"/>
    <cellStyle name="Normal 2 30 2 4 15 3 2" xfId="30368"/>
    <cellStyle name="Normal 2 30 2 4 15 4" xfId="12040"/>
    <cellStyle name="Normal 2 30 2 4 15 4 2" xfId="30369"/>
    <cellStyle name="Normal 2 30 2 4 15 5" xfId="12041"/>
    <cellStyle name="Normal 2 30 2 4 15 5 2" xfId="30370"/>
    <cellStyle name="Normal 2 30 2 4 15 6" xfId="30366"/>
    <cellStyle name="Normal 2 30 2 4 16" xfId="12042"/>
    <cellStyle name="Normal 2 30 2 4 16 2" xfId="12043"/>
    <cellStyle name="Normal 2 30 2 4 16 2 2" xfId="30372"/>
    <cellStyle name="Normal 2 30 2 4 16 3" xfId="12044"/>
    <cellStyle name="Normal 2 30 2 4 16 3 2" xfId="30373"/>
    <cellStyle name="Normal 2 30 2 4 16 4" xfId="12045"/>
    <cellStyle name="Normal 2 30 2 4 16 4 2" xfId="30374"/>
    <cellStyle name="Normal 2 30 2 4 16 5" xfId="12046"/>
    <cellStyle name="Normal 2 30 2 4 16 5 2" xfId="30375"/>
    <cellStyle name="Normal 2 30 2 4 16 6" xfId="30371"/>
    <cellStyle name="Normal 2 30 2 4 17" xfId="12047"/>
    <cellStyle name="Normal 2 30 2 4 17 2" xfId="30376"/>
    <cellStyle name="Normal 2 30 2 4 18" xfId="12048"/>
    <cellStyle name="Normal 2 30 2 4 18 2" xfId="30377"/>
    <cellStyle name="Normal 2 30 2 4 19" xfId="12049"/>
    <cellStyle name="Normal 2 30 2 4 19 2" xfId="30378"/>
    <cellStyle name="Normal 2 30 2 4 2" xfId="12050"/>
    <cellStyle name="Normal 2 30 2 4 2 10" xfId="12051"/>
    <cellStyle name="Normal 2 30 2 4 2 10 2" xfId="30380"/>
    <cellStyle name="Normal 2 30 2 4 2 11" xfId="12052"/>
    <cellStyle name="Normal 2 30 2 4 2 11 2" xfId="30381"/>
    <cellStyle name="Normal 2 30 2 4 2 12" xfId="30379"/>
    <cellStyle name="Normal 2 30 2 4 2 2" xfId="12053"/>
    <cellStyle name="Normal 2 30 2 4 2 2 2" xfId="12054"/>
    <cellStyle name="Normal 2 30 2 4 2 2 2 2" xfId="30383"/>
    <cellStyle name="Normal 2 30 2 4 2 2 3" xfId="12055"/>
    <cellStyle name="Normal 2 30 2 4 2 2 3 2" xfId="30384"/>
    <cellStyle name="Normal 2 30 2 4 2 2 4" xfId="12056"/>
    <cellStyle name="Normal 2 30 2 4 2 2 4 2" xfId="30385"/>
    <cellStyle name="Normal 2 30 2 4 2 2 5" xfId="12057"/>
    <cellStyle name="Normal 2 30 2 4 2 2 5 2" xfId="30386"/>
    <cellStyle name="Normal 2 30 2 4 2 2 6" xfId="30382"/>
    <cellStyle name="Normal 2 30 2 4 2 3" xfId="12058"/>
    <cellStyle name="Normal 2 30 2 4 2 3 2" xfId="12059"/>
    <cellStyle name="Normal 2 30 2 4 2 3 2 2" xfId="30388"/>
    <cellStyle name="Normal 2 30 2 4 2 3 3" xfId="12060"/>
    <cellStyle name="Normal 2 30 2 4 2 3 3 2" xfId="30389"/>
    <cellStyle name="Normal 2 30 2 4 2 3 4" xfId="12061"/>
    <cellStyle name="Normal 2 30 2 4 2 3 4 2" xfId="30390"/>
    <cellStyle name="Normal 2 30 2 4 2 3 5" xfId="12062"/>
    <cellStyle name="Normal 2 30 2 4 2 3 5 2" xfId="30391"/>
    <cellStyle name="Normal 2 30 2 4 2 3 6" xfId="30387"/>
    <cellStyle name="Normal 2 30 2 4 2 4" xfId="12063"/>
    <cellStyle name="Normal 2 30 2 4 2 4 2" xfId="12064"/>
    <cellStyle name="Normal 2 30 2 4 2 4 2 2" xfId="30393"/>
    <cellStyle name="Normal 2 30 2 4 2 4 3" xfId="12065"/>
    <cellStyle name="Normal 2 30 2 4 2 4 3 2" xfId="30394"/>
    <cellStyle name="Normal 2 30 2 4 2 4 4" xfId="12066"/>
    <cellStyle name="Normal 2 30 2 4 2 4 4 2" xfId="30395"/>
    <cellStyle name="Normal 2 30 2 4 2 4 5" xfId="12067"/>
    <cellStyle name="Normal 2 30 2 4 2 4 5 2" xfId="30396"/>
    <cellStyle name="Normal 2 30 2 4 2 4 6" xfId="30392"/>
    <cellStyle name="Normal 2 30 2 4 2 5" xfId="12068"/>
    <cellStyle name="Normal 2 30 2 4 2 5 2" xfId="12069"/>
    <cellStyle name="Normal 2 30 2 4 2 5 2 2" xfId="30398"/>
    <cellStyle name="Normal 2 30 2 4 2 5 3" xfId="12070"/>
    <cellStyle name="Normal 2 30 2 4 2 5 3 2" xfId="30399"/>
    <cellStyle name="Normal 2 30 2 4 2 5 4" xfId="12071"/>
    <cellStyle name="Normal 2 30 2 4 2 5 4 2" xfId="30400"/>
    <cellStyle name="Normal 2 30 2 4 2 5 5" xfId="12072"/>
    <cellStyle name="Normal 2 30 2 4 2 5 5 2" xfId="30401"/>
    <cellStyle name="Normal 2 30 2 4 2 5 6" xfId="30397"/>
    <cellStyle name="Normal 2 30 2 4 2 6" xfId="12073"/>
    <cellStyle name="Normal 2 30 2 4 2 6 2" xfId="12074"/>
    <cellStyle name="Normal 2 30 2 4 2 6 2 2" xfId="30403"/>
    <cellStyle name="Normal 2 30 2 4 2 6 3" xfId="12075"/>
    <cellStyle name="Normal 2 30 2 4 2 6 3 2" xfId="30404"/>
    <cellStyle name="Normal 2 30 2 4 2 6 4" xfId="12076"/>
    <cellStyle name="Normal 2 30 2 4 2 6 4 2" xfId="30405"/>
    <cellStyle name="Normal 2 30 2 4 2 6 5" xfId="12077"/>
    <cellStyle name="Normal 2 30 2 4 2 6 5 2" xfId="30406"/>
    <cellStyle name="Normal 2 30 2 4 2 6 6" xfId="30402"/>
    <cellStyle name="Normal 2 30 2 4 2 7" xfId="12078"/>
    <cellStyle name="Normal 2 30 2 4 2 7 2" xfId="12079"/>
    <cellStyle name="Normal 2 30 2 4 2 7 2 2" xfId="30408"/>
    <cellStyle name="Normal 2 30 2 4 2 7 3" xfId="12080"/>
    <cellStyle name="Normal 2 30 2 4 2 7 3 2" xfId="30409"/>
    <cellStyle name="Normal 2 30 2 4 2 7 4" xfId="12081"/>
    <cellStyle name="Normal 2 30 2 4 2 7 4 2" xfId="30410"/>
    <cellStyle name="Normal 2 30 2 4 2 7 5" xfId="12082"/>
    <cellStyle name="Normal 2 30 2 4 2 7 5 2" xfId="30411"/>
    <cellStyle name="Normal 2 30 2 4 2 7 6" xfId="30407"/>
    <cellStyle name="Normal 2 30 2 4 2 8" xfId="12083"/>
    <cellStyle name="Normal 2 30 2 4 2 8 2" xfId="30412"/>
    <cellStyle name="Normal 2 30 2 4 2 9" xfId="12084"/>
    <cellStyle name="Normal 2 30 2 4 2 9 2" xfId="30413"/>
    <cellStyle name="Normal 2 30 2 4 20" xfId="12085"/>
    <cellStyle name="Normal 2 30 2 4 20 2" xfId="30414"/>
    <cellStyle name="Normal 2 30 2 4 21" xfId="30340"/>
    <cellStyle name="Normal 2 30 2 4 3" xfId="12086"/>
    <cellStyle name="Normal 2 30 2 4 3 2" xfId="12087"/>
    <cellStyle name="Normal 2 30 2 4 3 2 2" xfId="12088"/>
    <cellStyle name="Normal 2 30 2 4 3 2 2 2" xfId="30417"/>
    <cellStyle name="Normal 2 30 2 4 3 2 3" xfId="12089"/>
    <cellStyle name="Normal 2 30 2 4 3 2 3 2" xfId="30418"/>
    <cellStyle name="Normal 2 30 2 4 3 2 4" xfId="12090"/>
    <cellStyle name="Normal 2 30 2 4 3 2 4 2" xfId="30419"/>
    <cellStyle name="Normal 2 30 2 4 3 2 5" xfId="12091"/>
    <cellStyle name="Normal 2 30 2 4 3 2 5 2" xfId="30420"/>
    <cellStyle name="Normal 2 30 2 4 3 2 6" xfId="30416"/>
    <cellStyle name="Normal 2 30 2 4 3 3" xfId="12092"/>
    <cellStyle name="Normal 2 30 2 4 3 3 2" xfId="30421"/>
    <cellStyle name="Normal 2 30 2 4 3 4" xfId="12093"/>
    <cellStyle name="Normal 2 30 2 4 3 4 2" xfId="30422"/>
    <cellStyle name="Normal 2 30 2 4 3 5" xfId="12094"/>
    <cellStyle name="Normal 2 30 2 4 3 5 2" xfId="30423"/>
    <cellStyle name="Normal 2 30 2 4 3 6" xfId="12095"/>
    <cellStyle name="Normal 2 30 2 4 3 6 2" xfId="30424"/>
    <cellStyle name="Normal 2 30 2 4 3 7" xfId="30415"/>
    <cellStyle name="Normal 2 30 2 4 4" xfId="12096"/>
    <cellStyle name="Normal 2 30 2 4 4 2" xfId="12097"/>
    <cellStyle name="Normal 2 30 2 4 4 2 2" xfId="12098"/>
    <cellStyle name="Normal 2 30 2 4 4 2 2 2" xfId="30427"/>
    <cellStyle name="Normal 2 30 2 4 4 2 3" xfId="12099"/>
    <cellStyle name="Normal 2 30 2 4 4 2 3 2" xfId="30428"/>
    <cellStyle name="Normal 2 30 2 4 4 2 4" xfId="12100"/>
    <cellStyle name="Normal 2 30 2 4 4 2 4 2" xfId="30429"/>
    <cellStyle name="Normal 2 30 2 4 4 2 5" xfId="12101"/>
    <cellStyle name="Normal 2 30 2 4 4 2 5 2" xfId="30430"/>
    <cellStyle name="Normal 2 30 2 4 4 2 6" xfId="30426"/>
    <cellStyle name="Normal 2 30 2 4 4 3" xfId="12102"/>
    <cellStyle name="Normal 2 30 2 4 4 3 2" xfId="30431"/>
    <cellStyle name="Normal 2 30 2 4 4 4" xfId="12103"/>
    <cellStyle name="Normal 2 30 2 4 4 4 2" xfId="30432"/>
    <cellStyle name="Normal 2 30 2 4 4 5" xfId="12104"/>
    <cellStyle name="Normal 2 30 2 4 4 5 2" xfId="30433"/>
    <cellStyle name="Normal 2 30 2 4 4 6" xfId="12105"/>
    <cellStyle name="Normal 2 30 2 4 4 6 2" xfId="30434"/>
    <cellStyle name="Normal 2 30 2 4 4 7" xfId="30425"/>
    <cellStyle name="Normal 2 30 2 4 5" xfId="12106"/>
    <cellStyle name="Normal 2 30 2 4 5 2" xfId="12107"/>
    <cellStyle name="Normal 2 30 2 4 5 2 2" xfId="30436"/>
    <cellStyle name="Normal 2 30 2 4 5 3" xfId="12108"/>
    <cellStyle name="Normal 2 30 2 4 5 3 2" xfId="30437"/>
    <cellStyle name="Normal 2 30 2 4 5 4" xfId="12109"/>
    <cellStyle name="Normal 2 30 2 4 5 4 2" xfId="30438"/>
    <cellStyle name="Normal 2 30 2 4 5 5" xfId="12110"/>
    <cellStyle name="Normal 2 30 2 4 5 5 2" xfId="30439"/>
    <cellStyle name="Normal 2 30 2 4 5 6" xfId="30435"/>
    <cellStyle name="Normal 2 30 2 4 6" xfId="12111"/>
    <cellStyle name="Normal 2 30 2 4 6 2" xfId="12112"/>
    <cellStyle name="Normal 2 30 2 4 6 2 2" xfId="30441"/>
    <cellStyle name="Normal 2 30 2 4 6 3" xfId="12113"/>
    <cellStyle name="Normal 2 30 2 4 6 3 2" xfId="30442"/>
    <cellStyle name="Normal 2 30 2 4 6 4" xfId="12114"/>
    <cellStyle name="Normal 2 30 2 4 6 4 2" xfId="30443"/>
    <cellStyle name="Normal 2 30 2 4 6 5" xfId="12115"/>
    <cellStyle name="Normal 2 30 2 4 6 5 2" xfId="30444"/>
    <cellStyle name="Normal 2 30 2 4 6 6" xfId="30440"/>
    <cellStyle name="Normal 2 30 2 4 7" xfId="12116"/>
    <cellStyle name="Normal 2 30 2 4 7 2" xfId="12117"/>
    <cellStyle name="Normal 2 30 2 4 7 2 2" xfId="30446"/>
    <cellStyle name="Normal 2 30 2 4 7 3" xfId="12118"/>
    <cellStyle name="Normal 2 30 2 4 7 3 2" xfId="30447"/>
    <cellStyle name="Normal 2 30 2 4 7 4" xfId="12119"/>
    <cellStyle name="Normal 2 30 2 4 7 4 2" xfId="30448"/>
    <cellStyle name="Normal 2 30 2 4 7 5" xfId="12120"/>
    <cellStyle name="Normal 2 30 2 4 7 5 2" xfId="30449"/>
    <cellStyle name="Normal 2 30 2 4 7 6" xfId="30445"/>
    <cellStyle name="Normal 2 30 2 4 8" xfId="12121"/>
    <cellStyle name="Normal 2 30 2 4 8 2" xfId="12122"/>
    <cellStyle name="Normal 2 30 2 4 8 2 2" xfId="30451"/>
    <cellStyle name="Normal 2 30 2 4 8 3" xfId="12123"/>
    <cellStyle name="Normal 2 30 2 4 8 3 2" xfId="30452"/>
    <cellStyle name="Normal 2 30 2 4 8 4" xfId="12124"/>
    <cellStyle name="Normal 2 30 2 4 8 4 2" xfId="30453"/>
    <cellStyle name="Normal 2 30 2 4 8 5" xfId="12125"/>
    <cellStyle name="Normal 2 30 2 4 8 5 2" xfId="30454"/>
    <cellStyle name="Normal 2 30 2 4 8 6" xfId="30450"/>
    <cellStyle name="Normal 2 30 2 4 9" xfId="12126"/>
    <cellStyle name="Normal 2 30 2 4 9 2" xfId="12127"/>
    <cellStyle name="Normal 2 30 2 4 9 2 2" xfId="30456"/>
    <cellStyle name="Normal 2 30 2 4 9 3" xfId="12128"/>
    <cellStyle name="Normal 2 30 2 4 9 3 2" xfId="30457"/>
    <cellStyle name="Normal 2 30 2 4 9 4" xfId="12129"/>
    <cellStyle name="Normal 2 30 2 4 9 4 2" xfId="30458"/>
    <cellStyle name="Normal 2 30 2 4 9 5" xfId="12130"/>
    <cellStyle name="Normal 2 30 2 4 9 5 2" xfId="30459"/>
    <cellStyle name="Normal 2 30 2 4 9 6" xfId="30455"/>
    <cellStyle name="Normal 2 30 2 5" xfId="12131"/>
    <cellStyle name="Normal 2 30 2 5 10" xfId="12132"/>
    <cellStyle name="Normal 2 30 2 5 10 2" xfId="30461"/>
    <cellStyle name="Normal 2 30 2 5 11" xfId="12133"/>
    <cellStyle name="Normal 2 30 2 5 11 2" xfId="30462"/>
    <cellStyle name="Normal 2 30 2 5 12" xfId="30460"/>
    <cellStyle name="Normal 2 30 2 5 2" xfId="12134"/>
    <cellStyle name="Normal 2 30 2 5 2 2" xfId="12135"/>
    <cellStyle name="Normal 2 30 2 5 2 2 2" xfId="30464"/>
    <cellStyle name="Normal 2 30 2 5 2 3" xfId="12136"/>
    <cellStyle name="Normal 2 30 2 5 2 3 2" xfId="30465"/>
    <cellStyle name="Normal 2 30 2 5 2 4" xfId="12137"/>
    <cellStyle name="Normal 2 30 2 5 2 4 2" xfId="30466"/>
    <cellStyle name="Normal 2 30 2 5 2 5" xfId="12138"/>
    <cellStyle name="Normal 2 30 2 5 2 5 2" xfId="30467"/>
    <cellStyle name="Normal 2 30 2 5 2 6" xfId="30463"/>
    <cellStyle name="Normal 2 30 2 5 3" xfId="12139"/>
    <cellStyle name="Normal 2 30 2 5 3 2" xfId="12140"/>
    <cellStyle name="Normal 2 30 2 5 3 2 2" xfId="30469"/>
    <cellStyle name="Normal 2 30 2 5 3 3" xfId="12141"/>
    <cellStyle name="Normal 2 30 2 5 3 3 2" xfId="30470"/>
    <cellStyle name="Normal 2 30 2 5 3 4" xfId="12142"/>
    <cellStyle name="Normal 2 30 2 5 3 4 2" xfId="30471"/>
    <cellStyle name="Normal 2 30 2 5 3 5" xfId="12143"/>
    <cellStyle name="Normal 2 30 2 5 3 5 2" xfId="30472"/>
    <cellStyle name="Normal 2 30 2 5 3 6" xfId="30468"/>
    <cellStyle name="Normal 2 30 2 5 4" xfId="12144"/>
    <cellStyle name="Normal 2 30 2 5 4 2" xfId="12145"/>
    <cellStyle name="Normal 2 30 2 5 4 2 2" xfId="30474"/>
    <cellStyle name="Normal 2 30 2 5 4 3" xfId="12146"/>
    <cellStyle name="Normal 2 30 2 5 4 3 2" xfId="30475"/>
    <cellStyle name="Normal 2 30 2 5 4 4" xfId="12147"/>
    <cellStyle name="Normal 2 30 2 5 4 4 2" xfId="30476"/>
    <cellStyle name="Normal 2 30 2 5 4 5" xfId="12148"/>
    <cellStyle name="Normal 2 30 2 5 4 5 2" xfId="30477"/>
    <cellStyle name="Normal 2 30 2 5 4 6" xfId="30473"/>
    <cellStyle name="Normal 2 30 2 5 5" xfId="12149"/>
    <cellStyle name="Normal 2 30 2 5 5 2" xfId="12150"/>
    <cellStyle name="Normal 2 30 2 5 5 2 2" xfId="30479"/>
    <cellStyle name="Normal 2 30 2 5 5 3" xfId="12151"/>
    <cellStyle name="Normal 2 30 2 5 5 3 2" xfId="30480"/>
    <cellStyle name="Normal 2 30 2 5 5 4" xfId="12152"/>
    <cellStyle name="Normal 2 30 2 5 5 4 2" xfId="30481"/>
    <cellStyle name="Normal 2 30 2 5 5 5" xfId="12153"/>
    <cellStyle name="Normal 2 30 2 5 5 5 2" xfId="30482"/>
    <cellStyle name="Normal 2 30 2 5 5 6" xfId="30478"/>
    <cellStyle name="Normal 2 30 2 5 6" xfId="12154"/>
    <cellStyle name="Normal 2 30 2 5 6 2" xfId="12155"/>
    <cellStyle name="Normal 2 30 2 5 6 2 2" xfId="30484"/>
    <cellStyle name="Normal 2 30 2 5 6 3" xfId="12156"/>
    <cellStyle name="Normal 2 30 2 5 6 3 2" xfId="30485"/>
    <cellStyle name="Normal 2 30 2 5 6 4" xfId="12157"/>
    <cellStyle name="Normal 2 30 2 5 6 4 2" xfId="30486"/>
    <cellStyle name="Normal 2 30 2 5 6 5" xfId="12158"/>
    <cellStyle name="Normal 2 30 2 5 6 5 2" xfId="30487"/>
    <cellStyle name="Normal 2 30 2 5 6 6" xfId="30483"/>
    <cellStyle name="Normal 2 30 2 5 7" xfId="12159"/>
    <cellStyle name="Normal 2 30 2 5 7 2" xfId="12160"/>
    <cellStyle name="Normal 2 30 2 5 7 2 2" xfId="30489"/>
    <cellStyle name="Normal 2 30 2 5 7 3" xfId="12161"/>
    <cellStyle name="Normal 2 30 2 5 7 3 2" xfId="30490"/>
    <cellStyle name="Normal 2 30 2 5 7 4" xfId="12162"/>
    <cellStyle name="Normal 2 30 2 5 7 4 2" xfId="30491"/>
    <cellStyle name="Normal 2 30 2 5 7 5" xfId="12163"/>
    <cellStyle name="Normal 2 30 2 5 7 5 2" xfId="30492"/>
    <cellStyle name="Normal 2 30 2 5 7 6" xfId="30488"/>
    <cellStyle name="Normal 2 30 2 5 8" xfId="12164"/>
    <cellStyle name="Normal 2 30 2 5 8 2" xfId="30493"/>
    <cellStyle name="Normal 2 30 2 5 9" xfId="12165"/>
    <cellStyle name="Normal 2 30 2 5 9 2" xfId="30494"/>
    <cellStyle name="Normal 2 30 2 6" xfId="12166"/>
    <cellStyle name="Normal 2 30 2 6 2" xfId="12167"/>
    <cellStyle name="Normal 2 30 2 6 2 2" xfId="12168"/>
    <cellStyle name="Normal 2 30 2 6 2 2 2" xfId="30497"/>
    <cellStyle name="Normal 2 30 2 6 2 3" xfId="12169"/>
    <cellStyle name="Normal 2 30 2 6 2 3 2" xfId="30498"/>
    <cellStyle name="Normal 2 30 2 6 2 4" xfId="12170"/>
    <cellStyle name="Normal 2 30 2 6 2 4 2" xfId="30499"/>
    <cellStyle name="Normal 2 30 2 6 2 5" xfId="12171"/>
    <cellStyle name="Normal 2 30 2 6 2 5 2" xfId="30500"/>
    <cellStyle name="Normal 2 30 2 6 2 6" xfId="30496"/>
    <cellStyle name="Normal 2 30 2 6 3" xfId="12172"/>
    <cellStyle name="Normal 2 30 2 6 3 2" xfId="30501"/>
    <cellStyle name="Normal 2 30 2 6 4" xfId="12173"/>
    <cellStyle name="Normal 2 30 2 6 4 2" xfId="30502"/>
    <cellStyle name="Normal 2 30 2 6 5" xfId="12174"/>
    <cellStyle name="Normal 2 30 2 6 5 2" xfId="30503"/>
    <cellStyle name="Normal 2 30 2 6 6" xfId="12175"/>
    <cellStyle name="Normal 2 30 2 6 6 2" xfId="30504"/>
    <cellStyle name="Normal 2 30 2 6 7" xfId="30495"/>
    <cellStyle name="Normal 2 30 2 7" xfId="12176"/>
    <cellStyle name="Normal 2 30 2 7 2" xfId="12177"/>
    <cellStyle name="Normal 2 30 2 7 2 2" xfId="12178"/>
    <cellStyle name="Normal 2 30 2 7 2 2 2" xfId="30507"/>
    <cellStyle name="Normal 2 30 2 7 2 3" xfId="12179"/>
    <cellStyle name="Normal 2 30 2 7 2 3 2" xfId="30508"/>
    <cellStyle name="Normal 2 30 2 7 2 4" xfId="12180"/>
    <cellStyle name="Normal 2 30 2 7 2 4 2" xfId="30509"/>
    <cellStyle name="Normal 2 30 2 7 2 5" xfId="12181"/>
    <cellStyle name="Normal 2 30 2 7 2 5 2" xfId="30510"/>
    <cellStyle name="Normal 2 30 2 7 2 6" xfId="30506"/>
    <cellStyle name="Normal 2 30 2 7 3" xfId="12182"/>
    <cellStyle name="Normal 2 30 2 7 3 2" xfId="30511"/>
    <cellStyle name="Normal 2 30 2 7 4" xfId="12183"/>
    <cellStyle name="Normal 2 30 2 7 4 2" xfId="30512"/>
    <cellStyle name="Normal 2 30 2 7 5" xfId="12184"/>
    <cellStyle name="Normal 2 30 2 7 5 2" xfId="30513"/>
    <cellStyle name="Normal 2 30 2 7 6" xfId="12185"/>
    <cellStyle name="Normal 2 30 2 7 6 2" xfId="30514"/>
    <cellStyle name="Normal 2 30 2 7 7" xfId="30505"/>
    <cellStyle name="Normal 2 30 2 8" xfId="12186"/>
    <cellStyle name="Normal 2 30 2 8 2" xfId="12187"/>
    <cellStyle name="Normal 2 30 2 8 2 2" xfId="30516"/>
    <cellStyle name="Normal 2 30 2 8 3" xfId="12188"/>
    <cellStyle name="Normal 2 30 2 8 3 2" xfId="30517"/>
    <cellStyle name="Normal 2 30 2 8 4" xfId="12189"/>
    <cellStyle name="Normal 2 30 2 8 4 2" xfId="30518"/>
    <cellStyle name="Normal 2 30 2 8 5" xfId="12190"/>
    <cellStyle name="Normal 2 30 2 8 5 2" xfId="30519"/>
    <cellStyle name="Normal 2 30 2 8 6" xfId="30515"/>
    <cellStyle name="Normal 2 30 2 9" xfId="12191"/>
    <cellStyle name="Normal 2 30 2 9 2" xfId="12192"/>
    <cellStyle name="Normal 2 30 2 9 2 2" xfId="30521"/>
    <cellStyle name="Normal 2 30 2 9 3" xfId="12193"/>
    <cellStyle name="Normal 2 30 2 9 3 2" xfId="30522"/>
    <cellStyle name="Normal 2 30 2 9 4" xfId="12194"/>
    <cellStyle name="Normal 2 30 2 9 4 2" xfId="30523"/>
    <cellStyle name="Normal 2 30 2 9 5" xfId="12195"/>
    <cellStyle name="Normal 2 30 2 9 5 2" xfId="30524"/>
    <cellStyle name="Normal 2 30 2 9 6" xfId="30520"/>
    <cellStyle name="Normal 2 30 20" xfId="12196"/>
    <cellStyle name="Normal 2 30 20 2" xfId="12197"/>
    <cellStyle name="Normal 2 30 20 2 2" xfId="30526"/>
    <cellStyle name="Normal 2 30 20 3" xfId="12198"/>
    <cellStyle name="Normal 2 30 20 3 2" xfId="30527"/>
    <cellStyle name="Normal 2 30 20 4" xfId="12199"/>
    <cellStyle name="Normal 2 30 20 4 2" xfId="30528"/>
    <cellStyle name="Normal 2 30 20 5" xfId="12200"/>
    <cellStyle name="Normal 2 30 20 5 2" xfId="30529"/>
    <cellStyle name="Normal 2 30 20 6" xfId="30525"/>
    <cellStyle name="Normal 2 30 21" xfId="12201"/>
    <cellStyle name="Normal 2 30 21 2" xfId="12202"/>
    <cellStyle name="Normal 2 30 21 2 2" xfId="30531"/>
    <cellStyle name="Normal 2 30 21 3" xfId="12203"/>
    <cellStyle name="Normal 2 30 21 3 2" xfId="30532"/>
    <cellStyle name="Normal 2 30 21 4" xfId="12204"/>
    <cellStyle name="Normal 2 30 21 4 2" xfId="30533"/>
    <cellStyle name="Normal 2 30 21 5" xfId="12205"/>
    <cellStyle name="Normal 2 30 21 5 2" xfId="30534"/>
    <cellStyle name="Normal 2 30 21 6" xfId="30530"/>
    <cellStyle name="Normal 2 30 22" xfId="12206"/>
    <cellStyle name="Normal 2 30 22 2" xfId="12207"/>
    <cellStyle name="Normal 2 30 22 2 2" xfId="30536"/>
    <cellStyle name="Normal 2 30 22 3" xfId="12208"/>
    <cellStyle name="Normal 2 30 22 3 2" xfId="30537"/>
    <cellStyle name="Normal 2 30 22 4" xfId="12209"/>
    <cellStyle name="Normal 2 30 22 4 2" xfId="30538"/>
    <cellStyle name="Normal 2 30 22 5" xfId="12210"/>
    <cellStyle name="Normal 2 30 22 5 2" xfId="30539"/>
    <cellStyle name="Normal 2 30 22 6" xfId="30535"/>
    <cellStyle name="Normal 2 30 23" xfId="12211"/>
    <cellStyle name="Normal 2 30 23 2" xfId="12212"/>
    <cellStyle name="Normal 2 30 23 2 2" xfId="30541"/>
    <cellStyle name="Normal 2 30 23 3" xfId="12213"/>
    <cellStyle name="Normal 2 30 23 3 2" xfId="30542"/>
    <cellStyle name="Normal 2 30 23 4" xfId="12214"/>
    <cellStyle name="Normal 2 30 23 4 2" xfId="30543"/>
    <cellStyle name="Normal 2 30 23 5" xfId="12215"/>
    <cellStyle name="Normal 2 30 23 5 2" xfId="30544"/>
    <cellStyle name="Normal 2 30 23 6" xfId="30540"/>
    <cellStyle name="Normal 2 30 24" xfId="12216"/>
    <cellStyle name="Normal 2 30 24 2" xfId="30545"/>
    <cellStyle name="Normal 2 30 25" xfId="12217"/>
    <cellStyle name="Normal 2 30 25 2" xfId="30546"/>
    <cellStyle name="Normal 2 30 26" xfId="12218"/>
    <cellStyle name="Normal 2 30 26 2" xfId="30547"/>
    <cellStyle name="Normal 2 30 27" xfId="12219"/>
    <cellStyle name="Normal 2 30 27 2" xfId="30548"/>
    <cellStyle name="Normal 2 30 28" xfId="12220"/>
    <cellStyle name="Normal 2 30 28 2" xfId="30549"/>
    <cellStyle name="Normal 2 30 3" xfId="12221"/>
    <cellStyle name="Normal 2 30 3 10" xfId="12222"/>
    <cellStyle name="Normal 2 30 3 10 2" xfId="12223"/>
    <cellStyle name="Normal 2 30 3 10 2 2" xfId="30552"/>
    <cellStyle name="Normal 2 30 3 10 3" xfId="12224"/>
    <cellStyle name="Normal 2 30 3 10 3 2" xfId="30553"/>
    <cellStyle name="Normal 2 30 3 10 4" xfId="12225"/>
    <cellStyle name="Normal 2 30 3 10 4 2" xfId="30554"/>
    <cellStyle name="Normal 2 30 3 10 5" xfId="12226"/>
    <cellStyle name="Normal 2 30 3 10 5 2" xfId="30555"/>
    <cellStyle name="Normal 2 30 3 10 6" xfId="30551"/>
    <cellStyle name="Normal 2 30 3 11" xfId="12227"/>
    <cellStyle name="Normal 2 30 3 11 2" xfId="12228"/>
    <cellStyle name="Normal 2 30 3 11 2 2" xfId="30557"/>
    <cellStyle name="Normal 2 30 3 11 3" xfId="12229"/>
    <cellStyle name="Normal 2 30 3 11 3 2" xfId="30558"/>
    <cellStyle name="Normal 2 30 3 11 4" xfId="12230"/>
    <cellStyle name="Normal 2 30 3 11 4 2" xfId="30559"/>
    <cellStyle name="Normal 2 30 3 11 5" xfId="12231"/>
    <cellStyle name="Normal 2 30 3 11 5 2" xfId="30560"/>
    <cellStyle name="Normal 2 30 3 11 6" xfId="30556"/>
    <cellStyle name="Normal 2 30 3 12" xfId="12232"/>
    <cellStyle name="Normal 2 30 3 12 2" xfId="12233"/>
    <cellStyle name="Normal 2 30 3 12 2 2" xfId="30562"/>
    <cellStyle name="Normal 2 30 3 12 3" xfId="12234"/>
    <cellStyle name="Normal 2 30 3 12 3 2" xfId="30563"/>
    <cellStyle name="Normal 2 30 3 12 4" xfId="12235"/>
    <cellStyle name="Normal 2 30 3 12 4 2" xfId="30564"/>
    <cellStyle name="Normal 2 30 3 12 5" xfId="12236"/>
    <cellStyle name="Normal 2 30 3 12 5 2" xfId="30565"/>
    <cellStyle name="Normal 2 30 3 12 6" xfId="30561"/>
    <cellStyle name="Normal 2 30 3 13" xfId="12237"/>
    <cellStyle name="Normal 2 30 3 13 2" xfId="12238"/>
    <cellStyle name="Normal 2 30 3 13 2 2" xfId="30567"/>
    <cellStyle name="Normal 2 30 3 13 3" xfId="12239"/>
    <cellStyle name="Normal 2 30 3 13 3 2" xfId="30568"/>
    <cellStyle name="Normal 2 30 3 13 4" xfId="12240"/>
    <cellStyle name="Normal 2 30 3 13 4 2" xfId="30569"/>
    <cellStyle name="Normal 2 30 3 13 5" xfId="12241"/>
    <cellStyle name="Normal 2 30 3 13 5 2" xfId="30570"/>
    <cellStyle name="Normal 2 30 3 13 6" xfId="30566"/>
    <cellStyle name="Normal 2 30 3 14" xfId="12242"/>
    <cellStyle name="Normal 2 30 3 14 2" xfId="12243"/>
    <cellStyle name="Normal 2 30 3 14 2 2" xfId="30572"/>
    <cellStyle name="Normal 2 30 3 14 3" xfId="12244"/>
    <cellStyle name="Normal 2 30 3 14 3 2" xfId="30573"/>
    <cellStyle name="Normal 2 30 3 14 4" xfId="12245"/>
    <cellStyle name="Normal 2 30 3 14 4 2" xfId="30574"/>
    <cellStyle name="Normal 2 30 3 14 5" xfId="12246"/>
    <cellStyle name="Normal 2 30 3 14 5 2" xfId="30575"/>
    <cellStyle name="Normal 2 30 3 14 6" xfId="30571"/>
    <cellStyle name="Normal 2 30 3 15" xfId="12247"/>
    <cellStyle name="Normal 2 30 3 15 2" xfId="12248"/>
    <cellStyle name="Normal 2 30 3 15 2 2" xfId="30577"/>
    <cellStyle name="Normal 2 30 3 15 3" xfId="12249"/>
    <cellStyle name="Normal 2 30 3 15 3 2" xfId="30578"/>
    <cellStyle name="Normal 2 30 3 15 4" xfId="12250"/>
    <cellStyle name="Normal 2 30 3 15 4 2" xfId="30579"/>
    <cellStyle name="Normal 2 30 3 15 5" xfId="12251"/>
    <cellStyle name="Normal 2 30 3 15 5 2" xfId="30580"/>
    <cellStyle name="Normal 2 30 3 15 6" xfId="30576"/>
    <cellStyle name="Normal 2 30 3 16" xfId="12252"/>
    <cellStyle name="Normal 2 30 3 16 2" xfId="12253"/>
    <cellStyle name="Normal 2 30 3 16 2 2" xfId="30582"/>
    <cellStyle name="Normal 2 30 3 16 3" xfId="12254"/>
    <cellStyle name="Normal 2 30 3 16 3 2" xfId="30583"/>
    <cellStyle name="Normal 2 30 3 16 4" xfId="12255"/>
    <cellStyle name="Normal 2 30 3 16 4 2" xfId="30584"/>
    <cellStyle name="Normal 2 30 3 16 5" xfId="12256"/>
    <cellStyle name="Normal 2 30 3 16 5 2" xfId="30585"/>
    <cellStyle name="Normal 2 30 3 16 6" xfId="30581"/>
    <cellStyle name="Normal 2 30 3 17" xfId="12257"/>
    <cellStyle name="Normal 2 30 3 17 2" xfId="30586"/>
    <cellStyle name="Normal 2 30 3 18" xfId="12258"/>
    <cellStyle name="Normal 2 30 3 18 2" xfId="30587"/>
    <cellStyle name="Normal 2 30 3 19" xfId="12259"/>
    <cellStyle name="Normal 2 30 3 19 2" xfId="30588"/>
    <cellStyle name="Normal 2 30 3 2" xfId="12260"/>
    <cellStyle name="Normal 2 30 3 2 10" xfId="12261"/>
    <cellStyle name="Normal 2 30 3 2 10 2" xfId="30590"/>
    <cellStyle name="Normal 2 30 3 2 11" xfId="12262"/>
    <cellStyle name="Normal 2 30 3 2 11 2" xfId="30591"/>
    <cellStyle name="Normal 2 30 3 2 12" xfId="30589"/>
    <cellStyle name="Normal 2 30 3 2 2" xfId="12263"/>
    <cellStyle name="Normal 2 30 3 2 2 2" xfId="12264"/>
    <cellStyle name="Normal 2 30 3 2 2 2 2" xfId="30593"/>
    <cellStyle name="Normal 2 30 3 2 2 3" xfId="12265"/>
    <cellStyle name="Normal 2 30 3 2 2 3 2" xfId="30594"/>
    <cellStyle name="Normal 2 30 3 2 2 4" xfId="12266"/>
    <cellStyle name="Normal 2 30 3 2 2 4 2" xfId="30595"/>
    <cellStyle name="Normal 2 30 3 2 2 5" xfId="12267"/>
    <cellStyle name="Normal 2 30 3 2 2 5 2" xfId="30596"/>
    <cellStyle name="Normal 2 30 3 2 2 6" xfId="30592"/>
    <cellStyle name="Normal 2 30 3 2 3" xfId="12268"/>
    <cellStyle name="Normal 2 30 3 2 3 2" xfId="12269"/>
    <cellStyle name="Normal 2 30 3 2 3 2 2" xfId="30598"/>
    <cellStyle name="Normal 2 30 3 2 3 3" xfId="12270"/>
    <cellStyle name="Normal 2 30 3 2 3 3 2" xfId="30599"/>
    <cellStyle name="Normal 2 30 3 2 3 4" xfId="12271"/>
    <cellStyle name="Normal 2 30 3 2 3 4 2" xfId="30600"/>
    <cellStyle name="Normal 2 30 3 2 3 5" xfId="12272"/>
    <cellStyle name="Normal 2 30 3 2 3 5 2" xfId="30601"/>
    <cellStyle name="Normal 2 30 3 2 3 6" xfId="30597"/>
    <cellStyle name="Normal 2 30 3 2 4" xfId="12273"/>
    <cellStyle name="Normal 2 30 3 2 4 2" xfId="12274"/>
    <cellStyle name="Normal 2 30 3 2 4 2 2" xfId="30603"/>
    <cellStyle name="Normal 2 30 3 2 4 3" xfId="12275"/>
    <cellStyle name="Normal 2 30 3 2 4 3 2" xfId="30604"/>
    <cellStyle name="Normal 2 30 3 2 4 4" xfId="12276"/>
    <cellStyle name="Normal 2 30 3 2 4 4 2" xfId="30605"/>
    <cellStyle name="Normal 2 30 3 2 4 5" xfId="12277"/>
    <cellStyle name="Normal 2 30 3 2 4 5 2" xfId="30606"/>
    <cellStyle name="Normal 2 30 3 2 4 6" xfId="30602"/>
    <cellStyle name="Normal 2 30 3 2 5" xfId="12278"/>
    <cellStyle name="Normal 2 30 3 2 5 2" xfId="12279"/>
    <cellStyle name="Normal 2 30 3 2 5 2 2" xfId="30608"/>
    <cellStyle name="Normal 2 30 3 2 5 3" xfId="12280"/>
    <cellStyle name="Normal 2 30 3 2 5 3 2" xfId="30609"/>
    <cellStyle name="Normal 2 30 3 2 5 4" xfId="12281"/>
    <cellStyle name="Normal 2 30 3 2 5 4 2" xfId="30610"/>
    <cellStyle name="Normal 2 30 3 2 5 5" xfId="12282"/>
    <cellStyle name="Normal 2 30 3 2 5 5 2" xfId="30611"/>
    <cellStyle name="Normal 2 30 3 2 5 6" xfId="30607"/>
    <cellStyle name="Normal 2 30 3 2 6" xfId="12283"/>
    <cellStyle name="Normal 2 30 3 2 6 2" xfId="12284"/>
    <cellStyle name="Normal 2 30 3 2 6 2 2" xfId="30613"/>
    <cellStyle name="Normal 2 30 3 2 6 3" xfId="12285"/>
    <cellStyle name="Normal 2 30 3 2 6 3 2" xfId="30614"/>
    <cellStyle name="Normal 2 30 3 2 6 4" xfId="12286"/>
    <cellStyle name="Normal 2 30 3 2 6 4 2" xfId="30615"/>
    <cellStyle name="Normal 2 30 3 2 6 5" xfId="12287"/>
    <cellStyle name="Normal 2 30 3 2 6 5 2" xfId="30616"/>
    <cellStyle name="Normal 2 30 3 2 6 6" xfId="30612"/>
    <cellStyle name="Normal 2 30 3 2 7" xfId="12288"/>
    <cellStyle name="Normal 2 30 3 2 7 2" xfId="12289"/>
    <cellStyle name="Normal 2 30 3 2 7 2 2" xfId="30618"/>
    <cellStyle name="Normal 2 30 3 2 7 3" xfId="12290"/>
    <cellStyle name="Normal 2 30 3 2 7 3 2" xfId="30619"/>
    <cellStyle name="Normal 2 30 3 2 7 4" xfId="12291"/>
    <cellStyle name="Normal 2 30 3 2 7 4 2" xfId="30620"/>
    <cellStyle name="Normal 2 30 3 2 7 5" xfId="12292"/>
    <cellStyle name="Normal 2 30 3 2 7 5 2" xfId="30621"/>
    <cellStyle name="Normal 2 30 3 2 7 6" xfId="30617"/>
    <cellStyle name="Normal 2 30 3 2 8" xfId="12293"/>
    <cellStyle name="Normal 2 30 3 2 8 2" xfId="30622"/>
    <cellStyle name="Normal 2 30 3 2 9" xfId="12294"/>
    <cellStyle name="Normal 2 30 3 2 9 2" xfId="30623"/>
    <cellStyle name="Normal 2 30 3 20" xfId="12295"/>
    <cellStyle name="Normal 2 30 3 20 2" xfId="30624"/>
    <cellStyle name="Normal 2 30 3 21" xfId="30550"/>
    <cellStyle name="Normal 2 30 3 3" xfId="12296"/>
    <cellStyle name="Normal 2 30 3 3 2" xfId="12297"/>
    <cellStyle name="Normal 2 30 3 3 2 2" xfId="12298"/>
    <cellStyle name="Normal 2 30 3 3 2 2 2" xfId="30627"/>
    <cellStyle name="Normal 2 30 3 3 2 3" xfId="12299"/>
    <cellStyle name="Normal 2 30 3 3 2 3 2" xfId="30628"/>
    <cellStyle name="Normal 2 30 3 3 2 4" xfId="12300"/>
    <cellStyle name="Normal 2 30 3 3 2 4 2" xfId="30629"/>
    <cellStyle name="Normal 2 30 3 3 2 5" xfId="12301"/>
    <cellStyle name="Normal 2 30 3 3 2 5 2" xfId="30630"/>
    <cellStyle name="Normal 2 30 3 3 2 6" xfId="30626"/>
    <cellStyle name="Normal 2 30 3 3 3" xfId="12302"/>
    <cellStyle name="Normal 2 30 3 3 3 2" xfId="30631"/>
    <cellStyle name="Normal 2 30 3 3 4" xfId="12303"/>
    <cellStyle name="Normal 2 30 3 3 4 2" xfId="30632"/>
    <cellStyle name="Normal 2 30 3 3 5" xfId="12304"/>
    <cellStyle name="Normal 2 30 3 3 5 2" xfId="30633"/>
    <cellStyle name="Normal 2 30 3 3 6" xfId="12305"/>
    <cellStyle name="Normal 2 30 3 3 6 2" xfId="30634"/>
    <cellStyle name="Normal 2 30 3 3 7" xfId="30625"/>
    <cellStyle name="Normal 2 30 3 4" xfId="12306"/>
    <cellStyle name="Normal 2 30 3 4 2" xfId="12307"/>
    <cellStyle name="Normal 2 30 3 4 2 2" xfId="12308"/>
    <cellStyle name="Normal 2 30 3 4 2 2 2" xfId="30637"/>
    <cellStyle name="Normal 2 30 3 4 2 3" xfId="12309"/>
    <cellStyle name="Normal 2 30 3 4 2 3 2" xfId="30638"/>
    <cellStyle name="Normal 2 30 3 4 2 4" xfId="12310"/>
    <cellStyle name="Normal 2 30 3 4 2 4 2" xfId="30639"/>
    <cellStyle name="Normal 2 30 3 4 2 5" xfId="12311"/>
    <cellStyle name="Normal 2 30 3 4 2 5 2" xfId="30640"/>
    <cellStyle name="Normal 2 30 3 4 2 6" xfId="30636"/>
    <cellStyle name="Normal 2 30 3 4 3" xfId="12312"/>
    <cellStyle name="Normal 2 30 3 4 3 2" xfId="30641"/>
    <cellStyle name="Normal 2 30 3 4 4" xfId="12313"/>
    <cellStyle name="Normal 2 30 3 4 4 2" xfId="30642"/>
    <cellStyle name="Normal 2 30 3 4 5" xfId="12314"/>
    <cellStyle name="Normal 2 30 3 4 5 2" xfId="30643"/>
    <cellStyle name="Normal 2 30 3 4 6" xfId="12315"/>
    <cellStyle name="Normal 2 30 3 4 6 2" xfId="30644"/>
    <cellStyle name="Normal 2 30 3 4 7" xfId="30635"/>
    <cellStyle name="Normal 2 30 3 5" xfId="12316"/>
    <cellStyle name="Normal 2 30 3 5 2" xfId="12317"/>
    <cellStyle name="Normal 2 30 3 5 2 2" xfId="30646"/>
    <cellStyle name="Normal 2 30 3 5 3" xfId="12318"/>
    <cellStyle name="Normal 2 30 3 5 3 2" xfId="30647"/>
    <cellStyle name="Normal 2 30 3 5 4" xfId="12319"/>
    <cellStyle name="Normal 2 30 3 5 4 2" xfId="30648"/>
    <cellStyle name="Normal 2 30 3 5 5" xfId="12320"/>
    <cellStyle name="Normal 2 30 3 5 5 2" xfId="30649"/>
    <cellStyle name="Normal 2 30 3 5 6" xfId="30645"/>
    <cellStyle name="Normal 2 30 3 6" xfId="12321"/>
    <cellStyle name="Normal 2 30 3 6 2" xfId="12322"/>
    <cellStyle name="Normal 2 30 3 6 2 2" xfId="30651"/>
    <cellStyle name="Normal 2 30 3 6 3" xfId="12323"/>
    <cellStyle name="Normal 2 30 3 6 3 2" xfId="30652"/>
    <cellStyle name="Normal 2 30 3 6 4" xfId="12324"/>
    <cellStyle name="Normal 2 30 3 6 4 2" xfId="30653"/>
    <cellStyle name="Normal 2 30 3 6 5" xfId="12325"/>
    <cellStyle name="Normal 2 30 3 6 5 2" xfId="30654"/>
    <cellStyle name="Normal 2 30 3 6 6" xfId="30650"/>
    <cellStyle name="Normal 2 30 3 7" xfId="12326"/>
    <cellStyle name="Normal 2 30 3 7 2" xfId="12327"/>
    <cellStyle name="Normal 2 30 3 7 2 2" xfId="30656"/>
    <cellStyle name="Normal 2 30 3 7 3" xfId="12328"/>
    <cellStyle name="Normal 2 30 3 7 3 2" xfId="30657"/>
    <cellStyle name="Normal 2 30 3 7 4" xfId="12329"/>
    <cellStyle name="Normal 2 30 3 7 4 2" xfId="30658"/>
    <cellStyle name="Normal 2 30 3 7 5" xfId="12330"/>
    <cellStyle name="Normal 2 30 3 7 5 2" xfId="30659"/>
    <cellStyle name="Normal 2 30 3 7 6" xfId="30655"/>
    <cellStyle name="Normal 2 30 3 8" xfId="12331"/>
    <cellStyle name="Normal 2 30 3 8 2" xfId="12332"/>
    <cellStyle name="Normal 2 30 3 8 2 2" xfId="30661"/>
    <cellStyle name="Normal 2 30 3 8 3" xfId="12333"/>
    <cellStyle name="Normal 2 30 3 8 3 2" xfId="30662"/>
    <cellStyle name="Normal 2 30 3 8 4" xfId="12334"/>
    <cellStyle name="Normal 2 30 3 8 4 2" xfId="30663"/>
    <cellStyle name="Normal 2 30 3 8 5" xfId="12335"/>
    <cellStyle name="Normal 2 30 3 8 5 2" xfId="30664"/>
    <cellStyle name="Normal 2 30 3 8 6" xfId="30660"/>
    <cellStyle name="Normal 2 30 3 9" xfId="12336"/>
    <cellStyle name="Normal 2 30 3 9 2" xfId="12337"/>
    <cellStyle name="Normal 2 30 3 9 2 2" xfId="30666"/>
    <cellStyle name="Normal 2 30 3 9 3" xfId="12338"/>
    <cellStyle name="Normal 2 30 3 9 3 2" xfId="30667"/>
    <cellStyle name="Normal 2 30 3 9 4" xfId="12339"/>
    <cellStyle name="Normal 2 30 3 9 4 2" xfId="30668"/>
    <cellStyle name="Normal 2 30 3 9 5" xfId="12340"/>
    <cellStyle name="Normal 2 30 3 9 5 2" xfId="30669"/>
    <cellStyle name="Normal 2 30 3 9 6" xfId="30665"/>
    <cellStyle name="Normal 2 30 4" xfId="12341"/>
    <cellStyle name="Normal 2 30 4 10" xfId="12342"/>
    <cellStyle name="Normal 2 30 4 10 2" xfId="12343"/>
    <cellStyle name="Normal 2 30 4 10 2 2" xfId="30672"/>
    <cellStyle name="Normal 2 30 4 10 3" xfId="12344"/>
    <cellStyle name="Normal 2 30 4 10 3 2" xfId="30673"/>
    <cellStyle name="Normal 2 30 4 10 4" xfId="12345"/>
    <cellStyle name="Normal 2 30 4 10 4 2" xfId="30674"/>
    <cellStyle name="Normal 2 30 4 10 5" xfId="12346"/>
    <cellStyle name="Normal 2 30 4 10 5 2" xfId="30675"/>
    <cellStyle name="Normal 2 30 4 10 6" xfId="30671"/>
    <cellStyle name="Normal 2 30 4 11" xfId="12347"/>
    <cellStyle name="Normal 2 30 4 11 2" xfId="12348"/>
    <cellStyle name="Normal 2 30 4 11 2 2" xfId="30677"/>
    <cellStyle name="Normal 2 30 4 11 3" xfId="12349"/>
    <cellStyle name="Normal 2 30 4 11 3 2" xfId="30678"/>
    <cellStyle name="Normal 2 30 4 11 4" xfId="12350"/>
    <cellStyle name="Normal 2 30 4 11 4 2" xfId="30679"/>
    <cellStyle name="Normal 2 30 4 11 5" xfId="12351"/>
    <cellStyle name="Normal 2 30 4 11 5 2" xfId="30680"/>
    <cellStyle name="Normal 2 30 4 11 6" xfId="30676"/>
    <cellStyle name="Normal 2 30 4 12" xfId="12352"/>
    <cellStyle name="Normal 2 30 4 12 2" xfId="12353"/>
    <cellStyle name="Normal 2 30 4 12 2 2" xfId="30682"/>
    <cellStyle name="Normal 2 30 4 12 3" xfId="12354"/>
    <cellStyle name="Normal 2 30 4 12 3 2" xfId="30683"/>
    <cellStyle name="Normal 2 30 4 12 4" xfId="12355"/>
    <cellStyle name="Normal 2 30 4 12 4 2" xfId="30684"/>
    <cellStyle name="Normal 2 30 4 12 5" xfId="12356"/>
    <cellStyle name="Normal 2 30 4 12 5 2" xfId="30685"/>
    <cellStyle name="Normal 2 30 4 12 6" xfId="30681"/>
    <cellStyle name="Normal 2 30 4 13" xfId="12357"/>
    <cellStyle name="Normal 2 30 4 13 2" xfId="12358"/>
    <cellStyle name="Normal 2 30 4 13 2 2" xfId="30687"/>
    <cellStyle name="Normal 2 30 4 13 3" xfId="12359"/>
    <cellStyle name="Normal 2 30 4 13 3 2" xfId="30688"/>
    <cellStyle name="Normal 2 30 4 13 4" xfId="12360"/>
    <cellStyle name="Normal 2 30 4 13 4 2" xfId="30689"/>
    <cellStyle name="Normal 2 30 4 13 5" xfId="12361"/>
    <cellStyle name="Normal 2 30 4 13 5 2" xfId="30690"/>
    <cellStyle name="Normal 2 30 4 13 6" xfId="30686"/>
    <cellStyle name="Normal 2 30 4 14" xfId="12362"/>
    <cellStyle name="Normal 2 30 4 14 2" xfId="12363"/>
    <cellStyle name="Normal 2 30 4 14 2 2" xfId="30692"/>
    <cellStyle name="Normal 2 30 4 14 3" xfId="12364"/>
    <cellStyle name="Normal 2 30 4 14 3 2" xfId="30693"/>
    <cellStyle name="Normal 2 30 4 14 4" xfId="12365"/>
    <cellStyle name="Normal 2 30 4 14 4 2" xfId="30694"/>
    <cellStyle name="Normal 2 30 4 14 5" xfId="12366"/>
    <cellStyle name="Normal 2 30 4 14 5 2" xfId="30695"/>
    <cellStyle name="Normal 2 30 4 14 6" xfId="30691"/>
    <cellStyle name="Normal 2 30 4 15" xfId="12367"/>
    <cellStyle name="Normal 2 30 4 15 2" xfId="12368"/>
    <cellStyle name="Normal 2 30 4 15 2 2" xfId="30697"/>
    <cellStyle name="Normal 2 30 4 15 3" xfId="12369"/>
    <cellStyle name="Normal 2 30 4 15 3 2" xfId="30698"/>
    <cellStyle name="Normal 2 30 4 15 4" xfId="12370"/>
    <cellStyle name="Normal 2 30 4 15 4 2" xfId="30699"/>
    <cellStyle name="Normal 2 30 4 15 5" xfId="12371"/>
    <cellStyle name="Normal 2 30 4 15 5 2" xfId="30700"/>
    <cellStyle name="Normal 2 30 4 15 6" xfId="30696"/>
    <cellStyle name="Normal 2 30 4 16" xfId="12372"/>
    <cellStyle name="Normal 2 30 4 16 2" xfId="12373"/>
    <cellStyle name="Normal 2 30 4 16 2 2" xfId="30702"/>
    <cellStyle name="Normal 2 30 4 16 3" xfId="12374"/>
    <cellStyle name="Normal 2 30 4 16 3 2" xfId="30703"/>
    <cellStyle name="Normal 2 30 4 16 4" xfId="12375"/>
    <cellStyle name="Normal 2 30 4 16 4 2" xfId="30704"/>
    <cellStyle name="Normal 2 30 4 16 5" xfId="12376"/>
    <cellStyle name="Normal 2 30 4 16 5 2" xfId="30705"/>
    <cellStyle name="Normal 2 30 4 16 6" xfId="30701"/>
    <cellStyle name="Normal 2 30 4 17" xfId="12377"/>
    <cellStyle name="Normal 2 30 4 17 2" xfId="30706"/>
    <cellStyle name="Normal 2 30 4 18" xfId="12378"/>
    <cellStyle name="Normal 2 30 4 18 2" xfId="30707"/>
    <cellStyle name="Normal 2 30 4 19" xfId="12379"/>
    <cellStyle name="Normal 2 30 4 19 2" xfId="30708"/>
    <cellStyle name="Normal 2 30 4 2" xfId="12380"/>
    <cellStyle name="Normal 2 30 4 2 10" xfId="12381"/>
    <cellStyle name="Normal 2 30 4 2 10 2" xfId="30710"/>
    <cellStyle name="Normal 2 30 4 2 11" xfId="12382"/>
    <cellStyle name="Normal 2 30 4 2 11 2" xfId="30711"/>
    <cellStyle name="Normal 2 30 4 2 12" xfId="30709"/>
    <cellStyle name="Normal 2 30 4 2 2" xfId="12383"/>
    <cellStyle name="Normal 2 30 4 2 2 2" xfId="12384"/>
    <cellStyle name="Normal 2 30 4 2 2 2 2" xfId="30713"/>
    <cellStyle name="Normal 2 30 4 2 2 3" xfId="12385"/>
    <cellStyle name="Normal 2 30 4 2 2 3 2" xfId="30714"/>
    <cellStyle name="Normal 2 30 4 2 2 4" xfId="12386"/>
    <cellStyle name="Normal 2 30 4 2 2 4 2" xfId="30715"/>
    <cellStyle name="Normal 2 30 4 2 2 5" xfId="12387"/>
    <cellStyle name="Normal 2 30 4 2 2 5 2" xfId="30716"/>
    <cellStyle name="Normal 2 30 4 2 2 6" xfId="30712"/>
    <cellStyle name="Normal 2 30 4 2 3" xfId="12388"/>
    <cellStyle name="Normal 2 30 4 2 3 2" xfId="12389"/>
    <cellStyle name="Normal 2 30 4 2 3 2 2" xfId="30718"/>
    <cellStyle name="Normal 2 30 4 2 3 3" xfId="12390"/>
    <cellStyle name="Normal 2 30 4 2 3 3 2" xfId="30719"/>
    <cellStyle name="Normal 2 30 4 2 3 4" xfId="12391"/>
    <cellStyle name="Normal 2 30 4 2 3 4 2" xfId="30720"/>
    <cellStyle name="Normal 2 30 4 2 3 5" xfId="12392"/>
    <cellStyle name="Normal 2 30 4 2 3 5 2" xfId="30721"/>
    <cellStyle name="Normal 2 30 4 2 3 6" xfId="30717"/>
    <cellStyle name="Normal 2 30 4 2 4" xfId="12393"/>
    <cellStyle name="Normal 2 30 4 2 4 2" xfId="12394"/>
    <cellStyle name="Normal 2 30 4 2 4 2 2" xfId="30723"/>
    <cellStyle name="Normal 2 30 4 2 4 3" xfId="12395"/>
    <cellStyle name="Normal 2 30 4 2 4 3 2" xfId="30724"/>
    <cellStyle name="Normal 2 30 4 2 4 4" xfId="12396"/>
    <cellStyle name="Normal 2 30 4 2 4 4 2" xfId="30725"/>
    <cellStyle name="Normal 2 30 4 2 4 5" xfId="12397"/>
    <cellStyle name="Normal 2 30 4 2 4 5 2" xfId="30726"/>
    <cellStyle name="Normal 2 30 4 2 4 6" xfId="30722"/>
    <cellStyle name="Normal 2 30 4 2 5" xfId="12398"/>
    <cellStyle name="Normal 2 30 4 2 5 2" xfId="12399"/>
    <cellStyle name="Normal 2 30 4 2 5 2 2" xfId="30728"/>
    <cellStyle name="Normal 2 30 4 2 5 3" xfId="12400"/>
    <cellStyle name="Normal 2 30 4 2 5 3 2" xfId="30729"/>
    <cellStyle name="Normal 2 30 4 2 5 4" xfId="12401"/>
    <cellStyle name="Normal 2 30 4 2 5 4 2" xfId="30730"/>
    <cellStyle name="Normal 2 30 4 2 5 5" xfId="12402"/>
    <cellStyle name="Normal 2 30 4 2 5 5 2" xfId="30731"/>
    <cellStyle name="Normal 2 30 4 2 5 6" xfId="30727"/>
    <cellStyle name="Normal 2 30 4 2 6" xfId="12403"/>
    <cellStyle name="Normal 2 30 4 2 6 2" xfId="12404"/>
    <cellStyle name="Normal 2 30 4 2 6 2 2" xfId="30733"/>
    <cellStyle name="Normal 2 30 4 2 6 3" xfId="12405"/>
    <cellStyle name="Normal 2 30 4 2 6 3 2" xfId="30734"/>
    <cellStyle name="Normal 2 30 4 2 6 4" xfId="12406"/>
    <cellStyle name="Normal 2 30 4 2 6 4 2" xfId="30735"/>
    <cellStyle name="Normal 2 30 4 2 6 5" xfId="12407"/>
    <cellStyle name="Normal 2 30 4 2 6 5 2" xfId="30736"/>
    <cellStyle name="Normal 2 30 4 2 6 6" xfId="30732"/>
    <cellStyle name="Normal 2 30 4 2 7" xfId="12408"/>
    <cellStyle name="Normal 2 30 4 2 7 2" xfId="12409"/>
    <cellStyle name="Normal 2 30 4 2 7 2 2" xfId="30738"/>
    <cellStyle name="Normal 2 30 4 2 7 3" xfId="12410"/>
    <cellStyle name="Normal 2 30 4 2 7 3 2" xfId="30739"/>
    <cellStyle name="Normal 2 30 4 2 7 4" xfId="12411"/>
    <cellStyle name="Normal 2 30 4 2 7 4 2" xfId="30740"/>
    <cellStyle name="Normal 2 30 4 2 7 5" xfId="12412"/>
    <cellStyle name="Normal 2 30 4 2 7 5 2" xfId="30741"/>
    <cellStyle name="Normal 2 30 4 2 7 6" xfId="30737"/>
    <cellStyle name="Normal 2 30 4 2 8" xfId="12413"/>
    <cellStyle name="Normal 2 30 4 2 8 2" xfId="30742"/>
    <cellStyle name="Normal 2 30 4 2 9" xfId="12414"/>
    <cellStyle name="Normal 2 30 4 2 9 2" xfId="30743"/>
    <cellStyle name="Normal 2 30 4 20" xfId="12415"/>
    <cellStyle name="Normal 2 30 4 20 2" xfId="30744"/>
    <cellStyle name="Normal 2 30 4 21" xfId="30670"/>
    <cellStyle name="Normal 2 30 4 3" xfId="12416"/>
    <cellStyle name="Normal 2 30 4 3 2" xfId="12417"/>
    <cellStyle name="Normal 2 30 4 3 2 2" xfId="12418"/>
    <cellStyle name="Normal 2 30 4 3 2 2 2" xfId="30747"/>
    <cellStyle name="Normal 2 30 4 3 2 3" xfId="12419"/>
    <cellStyle name="Normal 2 30 4 3 2 3 2" xfId="30748"/>
    <cellStyle name="Normal 2 30 4 3 2 4" xfId="12420"/>
    <cellStyle name="Normal 2 30 4 3 2 4 2" xfId="30749"/>
    <cellStyle name="Normal 2 30 4 3 2 5" xfId="12421"/>
    <cellStyle name="Normal 2 30 4 3 2 5 2" xfId="30750"/>
    <cellStyle name="Normal 2 30 4 3 2 6" xfId="30746"/>
    <cellStyle name="Normal 2 30 4 3 3" xfId="12422"/>
    <cellStyle name="Normal 2 30 4 3 3 2" xfId="30751"/>
    <cellStyle name="Normal 2 30 4 3 4" xfId="12423"/>
    <cellStyle name="Normal 2 30 4 3 4 2" xfId="30752"/>
    <cellStyle name="Normal 2 30 4 3 5" xfId="12424"/>
    <cellStyle name="Normal 2 30 4 3 5 2" xfId="30753"/>
    <cellStyle name="Normal 2 30 4 3 6" xfId="12425"/>
    <cellStyle name="Normal 2 30 4 3 6 2" xfId="30754"/>
    <cellStyle name="Normal 2 30 4 3 7" xfId="30745"/>
    <cellStyle name="Normal 2 30 4 4" xfId="12426"/>
    <cellStyle name="Normal 2 30 4 4 2" xfId="12427"/>
    <cellStyle name="Normal 2 30 4 4 2 2" xfId="12428"/>
    <cellStyle name="Normal 2 30 4 4 2 2 2" xfId="30757"/>
    <cellStyle name="Normal 2 30 4 4 2 3" xfId="12429"/>
    <cellStyle name="Normal 2 30 4 4 2 3 2" xfId="30758"/>
    <cellStyle name="Normal 2 30 4 4 2 4" xfId="12430"/>
    <cellStyle name="Normal 2 30 4 4 2 4 2" xfId="30759"/>
    <cellStyle name="Normal 2 30 4 4 2 5" xfId="12431"/>
    <cellStyle name="Normal 2 30 4 4 2 5 2" xfId="30760"/>
    <cellStyle name="Normal 2 30 4 4 2 6" xfId="30756"/>
    <cellStyle name="Normal 2 30 4 4 3" xfId="12432"/>
    <cellStyle name="Normal 2 30 4 4 3 2" xfId="30761"/>
    <cellStyle name="Normal 2 30 4 4 4" xfId="12433"/>
    <cellStyle name="Normal 2 30 4 4 4 2" xfId="30762"/>
    <cellStyle name="Normal 2 30 4 4 5" xfId="12434"/>
    <cellStyle name="Normal 2 30 4 4 5 2" xfId="30763"/>
    <cellStyle name="Normal 2 30 4 4 6" xfId="12435"/>
    <cellStyle name="Normal 2 30 4 4 6 2" xfId="30764"/>
    <cellStyle name="Normal 2 30 4 4 7" xfId="30755"/>
    <cellStyle name="Normal 2 30 4 5" xfId="12436"/>
    <cellStyle name="Normal 2 30 4 5 2" xfId="12437"/>
    <cellStyle name="Normal 2 30 4 5 2 2" xfId="30766"/>
    <cellStyle name="Normal 2 30 4 5 3" xfId="12438"/>
    <cellStyle name="Normal 2 30 4 5 3 2" xfId="30767"/>
    <cellStyle name="Normal 2 30 4 5 4" xfId="12439"/>
    <cellStyle name="Normal 2 30 4 5 4 2" xfId="30768"/>
    <cellStyle name="Normal 2 30 4 5 5" xfId="12440"/>
    <cellStyle name="Normal 2 30 4 5 5 2" xfId="30769"/>
    <cellStyle name="Normal 2 30 4 5 6" xfId="30765"/>
    <cellStyle name="Normal 2 30 4 6" xfId="12441"/>
    <cellStyle name="Normal 2 30 4 6 2" xfId="12442"/>
    <cellStyle name="Normal 2 30 4 6 2 2" xfId="30771"/>
    <cellStyle name="Normal 2 30 4 6 3" xfId="12443"/>
    <cellStyle name="Normal 2 30 4 6 3 2" xfId="30772"/>
    <cellStyle name="Normal 2 30 4 6 4" xfId="12444"/>
    <cellStyle name="Normal 2 30 4 6 4 2" xfId="30773"/>
    <cellStyle name="Normal 2 30 4 6 5" xfId="12445"/>
    <cellStyle name="Normal 2 30 4 6 5 2" xfId="30774"/>
    <cellStyle name="Normal 2 30 4 6 6" xfId="30770"/>
    <cellStyle name="Normal 2 30 4 7" xfId="12446"/>
    <cellStyle name="Normal 2 30 4 7 2" xfId="12447"/>
    <cellStyle name="Normal 2 30 4 7 2 2" xfId="30776"/>
    <cellStyle name="Normal 2 30 4 7 3" xfId="12448"/>
    <cellStyle name="Normal 2 30 4 7 3 2" xfId="30777"/>
    <cellStyle name="Normal 2 30 4 7 4" xfId="12449"/>
    <cellStyle name="Normal 2 30 4 7 4 2" xfId="30778"/>
    <cellStyle name="Normal 2 30 4 7 5" xfId="12450"/>
    <cellStyle name="Normal 2 30 4 7 5 2" xfId="30779"/>
    <cellStyle name="Normal 2 30 4 7 6" xfId="30775"/>
    <cellStyle name="Normal 2 30 4 8" xfId="12451"/>
    <cellStyle name="Normal 2 30 4 8 2" xfId="12452"/>
    <cellStyle name="Normal 2 30 4 8 2 2" xfId="30781"/>
    <cellStyle name="Normal 2 30 4 8 3" xfId="12453"/>
    <cellStyle name="Normal 2 30 4 8 3 2" xfId="30782"/>
    <cellStyle name="Normal 2 30 4 8 4" xfId="12454"/>
    <cellStyle name="Normal 2 30 4 8 4 2" xfId="30783"/>
    <cellStyle name="Normal 2 30 4 8 5" xfId="12455"/>
    <cellStyle name="Normal 2 30 4 8 5 2" xfId="30784"/>
    <cellStyle name="Normal 2 30 4 8 6" xfId="30780"/>
    <cellStyle name="Normal 2 30 4 9" xfId="12456"/>
    <cellStyle name="Normal 2 30 4 9 2" xfId="12457"/>
    <cellStyle name="Normal 2 30 4 9 2 2" xfId="30786"/>
    <cellStyle name="Normal 2 30 4 9 3" xfId="12458"/>
    <cellStyle name="Normal 2 30 4 9 3 2" xfId="30787"/>
    <cellStyle name="Normal 2 30 4 9 4" xfId="12459"/>
    <cellStyle name="Normal 2 30 4 9 4 2" xfId="30788"/>
    <cellStyle name="Normal 2 30 4 9 5" xfId="12460"/>
    <cellStyle name="Normal 2 30 4 9 5 2" xfId="30789"/>
    <cellStyle name="Normal 2 30 4 9 6" xfId="30785"/>
    <cellStyle name="Normal 2 30 5" xfId="12461"/>
    <cellStyle name="Normal 2 30 5 10" xfId="12462"/>
    <cellStyle name="Normal 2 30 5 10 2" xfId="12463"/>
    <cellStyle name="Normal 2 30 5 10 2 2" xfId="30792"/>
    <cellStyle name="Normal 2 30 5 10 3" xfId="12464"/>
    <cellStyle name="Normal 2 30 5 10 3 2" xfId="30793"/>
    <cellStyle name="Normal 2 30 5 10 4" xfId="12465"/>
    <cellStyle name="Normal 2 30 5 10 4 2" xfId="30794"/>
    <cellStyle name="Normal 2 30 5 10 5" xfId="12466"/>
    <cellStyle name="Normal 2 30 5 10 5 2" xfId="30795"/>
    <cellStyle name="Normal 2 30 5 10 6" xfId="30791"/>
    <cellStyle name="Normal 2 30 5 11" xfId="12467"/>
    <cellStyle name="Normal 2 30 5 11 2" xfId="12468"/>
    <cellStyle name="Normal 2 30 5 11 2 2" xfId="30797"/>
    <cellStyle name="Normal 2 30 5 11 3" xfId="12469"/>
    <cellStyle name="Normal 2 30 5 11 3 2" xfId="30798"/>
    <cellStyle name="Normal 2 30 5 11 4" xfId="12470"/>
    <cellStyle name="Normal 2 30 5 11 4 2" xfId="30799"/>
    <cellStyle name="Normal 2 30 5 11 5" xfId="12471"/>
    <cellStyle name="Normal 2 30 5 11 5 2" xfId="30800"/>
    <cellStyle name="Normal 2 30 5 11 6" xfId="30796"/>
    <cellStyle name="Normal 2 30 5 12" xfId="12472"/>
    <cellStyle name="Normal 2 30 5 12 2" xfId="12473"/>
    <cellStyle name="Normal 2 30 5 12 2 2" xfId="30802"/>
    <cellStyle name="Normal 2 30 5 12 3" xfId="12474"/>
    <cellStyle name="Normal 2 30 5 12 3 2" xfId="30803"/>
    <cellStyle name="Normal 2 30 5 12 4" xfId="12475"/>
    <cellStyle name="Normal 2 30 5 12 4 2" xfId="30804"/>
    <cellStyle name="Normal 2 30 5 12 5" xfId="12476"/>
    <cellStyle name="Normal 2 30 5 12 5 2" xfId="30805"/>
    <cellStyle name="Normal 2 30 5 12 6" xfId="30801"/>
    <cellStyle name="Normal 2 30 5 13" xfId="12477"/>
    <cellStyle name="Normal 2 30 5 13 2" xfId="12478"/>
    <cellStyle name="Normal 2 30 5 13 2 2" xfId="30807"/>
    <cellStyle name="Normal 2 30 5 13 3" xfId="12479"/>
    <cellStyle name="Normal 2 30 5 13 3 2" xfId="30808"/>
    <cellStyle name="Normal 2 30 5 13 4" xfId="12480"/>
    <cellStyle name="Normal 2 30 5 13 4 2" xfId="30809"/>
    <cellStyle name="Normal 2 30 5 13 5" xfId="12481"/>
    <cellStyle name="Normal 2 30 5 13 5 2" xfId="30810"/>
    <cellStyle name="Normal 2 30 5 13 6" xfId="30806"/>
    <cellStyle name="Normal 2 30 5 14" xfId="12482"/>
    <cellStyle name="Normal 2 30 5 14 2" xfId="12483"/>
    <cellStyle name="Normal 2 30 5 14 2 2" xfId="30812"/>
    <cellStyle name="Normal 2 30 5 14 3" xfId="12484"/>
    <cellStyle name="Normal 2 30 5 14 3 2" xfId="30813"/>
    <cellStyle name="Normal 2 30 5 14 4" xfId="12485"/>
    <cellStyle name="Normal 2 30 5 14 4 2" xfId="30814"/>
    <cellStyle name="Normal 2 30 5 14 5" xfId="12486"/>
    <cellStyle name="Normal 2 30 5 14 5 2" xfId="30815"/>
    <cellStyle name="Normal 2 30 5 14 6" xfId="30811"/>
    <cellStyle name="Normal 2 30 5 15" xfId="12487"/>
    <cellStyle name="Normal 2 30 5 15 2" xfId="12488"/>
    <cellStyle name="Normal 2 30 5 15 2 2" xfId="30817"/>
    <cellStyle name="Normal 2 30 5 15 3" xfId="12489"/>
    <cellStyle name="Normal 2 30 5 15 3 2" xfId="30818"/>
    <cellStyle name="Normal 2 30 5 15 4" xfId="12490"/>
    <cellStyle name="Normal 2 30 5 15 4 2" xfId="30819"/>
    <cellStyle name="Normal 2 30 5 15 5" xfId="12491"/>
    <cellStyle name="Normal 2 30 5 15 5 2" xfId="30820"/>
    <cellStyle name="Normal 2 30 5 15 6" xfId="30816"/>
    <cellStyle name="Normal 2 30 5 16" xfId="12492"/>
    <cellStyle name="Normal 2 30 5 16 2" xfId="12493"/>
    <cellStyle name="Normal 2 30 5 16 2 2" xfId="30822"/>
    <cellStyle name="Normal 2 30 5 16 3" xfId="12494"/>
    <cellStyle name="Normal 2 30 5 16 3 2" xfId="30823"/>
    <cellStyle name="Normal 2 30 5 16 4" xfId="12495"/>
    <cellStyle name="Normal 2 30 5 16 4 2" xfId="30824"/>
    <cellStyle name="Normal 2 30 5 16 5" xfId="12496"/>
    <cellStyle name="Normal 2 30 5 16 5 2" xfId="30825"/>
    <cellStyle name="Normal 2 30 5 16 6" xfId="30821"/>
    <cellStyle name="Normal 2 30 5 17" xfId="12497"/>
    <cellStyle name="Normal 2 30 5 17 2" xfId="30826"/>
    <cellStyle name="Normal 2 30 5 18" xfId="12498"/>
    <cellStyle name="Normal 2 30 5 18 2" xfId="30827"/>
    <cellStyle name="Normal 2 30 5 19" xfId="12499"/>
    <cellStyle name="Normal 2 30 5 19 2" xfId="30828"/>
    <cellStyle name="Normal 2 30 5 2" xfId="12500"/>
    <cellStyle name="Normal 2 30 5 2 10" xfId="12501"/>
    <cellStyle name="Normal 2 30 5 2 10 2" xfId="30830"/>
    <cellStyle name="Normal 2 30 5 2 11" xfId="12502"/>
    <cellStyle name="Normal 2 30 5 2 11 2" xfId="30831"/>
    <cellStyle name="Normal 2 30 5 2 12" xfId="30829"/>
    <cellStyle name="Normal 2 30 5 2 2" xfId="12503"/>
    <cellStyle name="Normal 2 30 5 2 2 2" xfId="12504"/>
    <cellStyle name="Normal 2 30 5 2 2 2 2" xfId="30833"/>
    <cellStyle name="Normal 2 30 5 2 2 3" xfId="12505"/>
    <cellStyle name="Normal 2 30 5 2 2 3 2" xfId="30834"/>
    <cellStyle name="Normal 2 30 5 2 2 4" xfId="12506"/>
    <cellStyle name="Normal 2 30 5 2 2 4 2" xfId="30835"/>
    <cellStyle name="Normal 2 30 5 2 2 5" xfId="12507"/>
    <cellStyle name="Normal 2 30 5 2 2 5 2" xfId="30836"/>
    <cellStyle name="Normal 2 30 5 2 2 6" xfId="30832"/>
    <cellStyle name="Normal 2 30 5 2 3" xfId="12508"/>
    <cellStyle name="Normal 2 30 5 2 3 2" xfId="12509"/>
    <cellStyle name="Normal 2 30 5 2 3 2 2" xfId="30838"/>
    <cellStyle name="Normal 2 30 5 2 3 3" xfId="12510"/>
    <cellStyle name="Normal 2 30 5 2 3 3 2" xfId="30839"/>
    <cellStyle name="Normal 2 30 5 2 3 4" xfId="12511"/>
    <cellStyle name="Normal 2 30 5 2 3 4 2" xfId="30840"/>
    <cellStyle name="Normal 2 30 5 2 3 5" xfId="12512"/>
    <cellStyle name="Normal 2 30 5 2 3 5 2" xfId="30841"/>
    <cellStyle name="Normal 2 30 5 2 3 6" xfId="30837"/>
    <cellStyle name="Normal 2 30 5 2 4" xfId="12513"/>
    <cellStyle name="Normal 2 30 5 2 4 2" xfId="12514"/>
    <cellStyle name="Normal 2 30 5 2 4 2 2" xfId="30843"/>
    <cellStyle name="Normal 2 30 5 2 4 3" xfId="12515"/>
    <cellStyle name="Normal 2 30 5 2 4 3 2" xfId="30844"/>
    <cellStyle name="Normal 2 30 5 2 4 4" xfId="12516"/>
    <cellStyle name="Normal 2 30 5 2 4 4 2" xfId="30845"/>
    <cellStyle name="Normal 2 30 5 2 4 5" xfId="12517"/>
    <cellStyle name="Normal 2 30 5 2 4 5 2" xfId="30846"/>
    <cellStyle name="Normal 2 30 5 2 4 6" xfId="30842"/>
    <cellStyle name="Normal 2 30 5 2 5" xfId="12518"/>
    <cellStyle name="Normal 2 30 5 2 5 2" xfId="12519"/>
    <cellStyle name="Normal 2 30 5 2 5 2 2" xfId="30848"/>
    <cellStyle name="Normal 2 30 5 2 5 3" xfId="12520"/>
    <cellStyle name="Normal 2 30 5 2 5 3 2" xfId="30849"/>
    <cellStyle name="Normal 2 30 5 2 5 4" xfId="12521"/>
    <cellStyle name="Normal 2 30 5 2 5 4 2" xfId="30850"/>
    <cellStyle name="Normal 2 30 5 2 5 5" xfId="12522"/>
    <cellStyle name="Normal 2 30 5 2 5 5 2" xfId="30851"/>
    <cellStyle name="Normal 2 30 5 2 5 6" xfId="30847"/>
    <cellStyle name="Normal 2 30 5 2 6" xfId="12523"/>
    <cellStyle name="Normal 2 30 5 2 6 2" xfId="12524"/>
    <cellStyle name="Normal 2 30 5 2 6 2 2" xfId="30853"/>
    <cellStyle name="Normal 2 30 5 2 6 3" xfId="12525"/>
    <cellStyle name="Normal 2 30 5 2 6 3 2" xfId="30854"/>
    <cellStyle name="Normal 2 30 5 2 6 4" xfId="12526"/>
    <cellStyle name="Normal 2 30 5 2 6 4 2" xfId="30855"/>
    <cellStyle name="Normal 2 30 5 2 6 5" xfId="12527"/>
    <cellStyle name="Normal 2 30 5 2 6 5 2" xfId="30856"/>
    <cellStyle name="Normal 2 30 5 2 6 6" xfId="30852"/>
    <cellStyle name="Normal 2 30 5 2 7" xfId="12528"/>
    <cellStyle name="Normal 2 30 5 2 7 2" xfId="12529"/>
    <cellStyle name="Normal 2 30 5 2 7 2 2" xfId="30858"/>
    <cellStyle name="Normal 2 30 5 2 7 3" xfId="12530"/>
    <cellStyle name="Normal 2 30 5 2 7 3 2" xfId="30859"/>
    <cellStyle name="Normal 2 30 5 2 7 4" xfId="12531"/>
    <cellStyle name="Normal 2 30 5 2 7 4 2" xfId="30860"/>
    <cellStyle name="Normal 2 30 5 2 7 5" xfId="12532"/>
    <cellStyle name="Normal 2 30 5 2 7 5 2" xfId="30861"/>
    <cellStyle name="Normal 2 30 5 2 7 6" xfId="30857"/>
    <cellStyle name="Normal 2 30 5 2 8" xfId="12533"/>
    <cellStyle name="Normal 2 30 5 2 8 2" xfId="30862"/>
    <cellStyle name="Normal 2 30 5 2 9" xfId="12534"/>
    <cellStyle name="Normal 2 30 5 2 9 2" xfId="30863"/>
    <cellStyle name="Normal 2 30 5 20" xfId="12535"/>
    <cellStyle name="Normal 2 30 5 20 2" xfId="30864"/>
    <cellStyle name="Normal 2 30 5 21" xfId="30790"/>
    <cellStyle name="Normal 2 30 5 3" xfId="12536"/>
    <cellStyle name="Normal 2 30 5 3 2" xfId="12537"/>
    <cellStyle name="Normal 2 30 5 3 2 2" xfId="12538"/>
    <cellStyle name="Normal 2 30 5 3 2 2 2" xfId="30867"/>
    <cellStyle name="Normal 2 30 5 3 2 3" xfId="12539"/>
    <cellStyle name="Normal 2 30 5 3 2 3 2" xfId="30868"/>
    <cellStyle name="Normal 2 30 5 3 2 4" xfId="12540"/>
    <cellStyle name="Normal 2 30 5 3 2 4 2" xfId="30869"/>
    <cellStyle name="Normal 2 30 5 3 2 5" xfId="12541"/>
    <cellStyle name="Normal 2 30 5 3 2 5 2" xfId="30870"/>
    <cellStyle name="Normal 2 30 5 3 2 6" xfId="30866"/>
    <cellStyle name="Normal 2 30 5 3 3" xfId="12542"/>
    <cellStyle name="Normal 2 30 5 3 3 2" xfId="30871"/>
    <cellStyle name="Normal 2 30 5 3 4" xfId="12543"/>
    <cellStyle name="Normal 2 30 5 3 4 2" xfId="30872"/>
    <cellStyle name="Normal 2 30 5 3 5" xfId="12544"/>
    <cellStyle name="Normal 2 30 5 3 5 2" xfId="30873"/>
    <cellStyle name="Normal 2 30 5 3 6" xfId="12545"/>
    <cellStyle name="Normal 2 30 5 3 6 2" xfId="30874"/>
    <cellStyle name="Normal 2 30 5 3 7" xfId="30865"/>
    <cellStyle name="Normal 2 30 5 4" xfId="12546"/>
    <cellStyle name="Normal 2 30 5 4 2" xfId="12547"/>
    <cellStyle name="Normal 2 30 5 4 2 2" xfId="12548"/>
    <cellStyle name="Normal 2 30 5 4 2 2 2" xfId="30877"/>
    <cellStyle name="Normal 2 30 5 4 2 3" xfId="12549"/>
    <cellStyle name="Normal 2 30 5 4 2 3 2" xfId="30878"/>
    <cellStyle name="Normal 2 30 5 4 2 4" xfId="12550"/>
    <cellStyle name="Normal 2 30 5 4 2 4 2" xfId="30879"/>
    <cellStyle name="Normal 2 30 5 4 2 5" xfId="12551"/>
    <cellStyle name="Normal 2 30 5 4 2 5 2" xfId="30880"/>
    <cellStyle name="Normal 2 30 5 4 2 6" xfId="30876"/>
    <cellStyle name="Normal 2 30 5 4 3" xfId="12552"/>
    <cellStyle name="Normal 2 30 5 4 3 2" xfId="30881"/>
    <cellStyle name="Normal 2 30 5 4 4" xfId="12553"/>
    <cellStyle name="Normal 2 30 5 4 4 2" xfId="30882"/>
    <cellStyle name="Normal 2 30 5 4 5" xfId="12554"/>
    <cellStyle name="Normal 2 30 5 4 5 2" xfId="30883"/>
    <cellStyle name="Normal 2 30 5 4 6" xfId="12555"/>
    <cellStyle name="Normal 2 30 5 4 6 2" xfId="30884"/>
    <cellStyle name="Normal 2 30 5 4 7" xfId="30875"/>
    <cellStyle name="Normal 2 30 5 5" xfId="12556"/>
    <cellStyle name="Normal 2 30 5 5 2" xfId="12557"/>
    <cellStyle name="Normal 2 30 5 5 2 2" xfId="30886"/>
    <cellStyle name="Normal 2 30 5 5 3" xfId="12558"/>
    <cellStyle name="Normal 2 30 5 5 3 2" xfId="30887"/>
    <cellStyle name="Normal 2 30 5 5 4" xfId="12559"/>
    <cellStyle name="Normal 2 30 5 5 4 2" xfId="30888"/>
    <cellStyle name="Normal 2 30 5 5 5" xfId="12560"/>
    <cellStyle name="Normal 2 30 5 5 5 2" xfId="30889"/>
    <cellStyle name="Normal 2 30 5 5 6" xfId="30885"/>
    <cellStyle name="Normal 2 30 5 6" xfId="12561"/>
    <cellStyle name="Normal 2 30 5 6 2" xfId="12562"/>
    <cellStyle name="Normal 2 30 5 6 2 2" xfId="30891"/>
    <cellStyle name="Normal 2 30 5 6 3" xfId="12563"/>
    <cellStyle name="Normal 2 30 5 6 3 2" xfId="30892"/>
    <cellStyle name="Normal 2 30 5 6 4" xfId="12564"/>
    <cellStyle name="Normal 2 30 5 6 4 2" xfId="30893"/>
    <cellStyle name="Normal 2 30 5 6 5" xfId="12565"/>
    <cellStyle name="Normal 2 30 5 6 5 2" xfId="30894"/>
    <cellStyle name="Normal 2 30 5 6 6" xfId="30890"/>
    <cellStyle name="Normal 2 30 5 7" xfId="12566"/>
    <cellStyle name="Normal 2 30 5 7 2" xfId="12567"/>
    <cellStyle name="Normal 2 30 5 7 2 2" xfId="30896"/>
    <cellStyle name="Normal 2 30 5 7 3" xfId="12568"/>
    <cellStyle name="Normal 2 30 5 7 3 2" xfId="30897"/>
    <cellStyle name="Normal 2 30 5 7 4" xfId="12569"/>
    <cellStyle name="Normal 2 30 5 7 4 2" xfId="30898"/>
    <cellStyle name="Normal 2 30 5 7 5" xfId="12570"/>
    <cellStyle name="Normal 2 30 5 7 5 2" xfId="30899"/>
    <cellStyle name="Normal 2 30 5 7 6" xfId="30895"/>
    <cellStyle name="Normal 2 30 5 8" xfId="12571"/>
    <cellStyle name="Normal 2 30 5 8 2" xfId="12572"/>
    <cellStyle name="Normal 2 30 5 8 2 2" xfId="30901"/>
    <cellStyle name="Normal 2 30 5 8 3" xfId="12573"/>
    <cellStyle name="Normal 2 30 5 8 3 2" xfId="30902"/>
    <cellStyle name="Normal 2 30 5 8 4" xfId="12574"/>
    <cellStyle name="Normal 2 30 5 8 4 2" xfId="30903"/>
    <cellStyle name="Normal 2 30 5 8 5" xfId="12575"/>
    <cellStyle name="Normal 2 30 5 8 5 2" xfId="30904"/>
    <cellStyle name="Normal 2 30 5 8 6" xfId="30900"/>
    <cellStyle name="Normal 2 30 5 9" xfId="12576"/>
    <cellStyle name="Normal 2 30 5 9 2" xfId="12577"/>
    <cellStyle name="Normal 2 30 5 9 2 2" xfId="30906"/>
    <cellStyle name="Normal 2 30 5 9 3" xfId="12578"/>
    <cellStyle name="Normal 2 30 5 9 3 2" xfId="30907"/>
    <cellStyle name="Normal 2 30 5 9 4" xfId="12579"/>
    <cellStyle name="Normal 2 30 5 9 4 2" xfId="30908"/>
    <cellStyle name="Normal 2 30 5 9 5" xfId="12580"/>
    <cellStyle name="Normal 2 30 5 9 5 2" xfId="30909"/>
    <cellStyle name="Normal 2 30 5 9 6" xfId="30905"/>
    <cellStyle name="Normal 2 30 6" xfId="12581"/>
    <cellStyle name="Normal 2 30 6 10" xfId="12582"/>
    <cellStyle name="Normal 2 30 6 10 2" xfId="12583"/>
    <cellStyle name="Normal 2 30 6 10 2 2" xfId="30912"/>
    <cellStyle name="Normal 2 30 6 10 3" xfId="12584"/>
    <cellStyle name="Normal 2 30 6 10 3 2" xfId="30913"/>
    <cellStyle name="Normal 2 30 6 10 4" xfId="12585"/>
    <cellStyle name="Normal 2 30 6 10 4 2" xfId="30914"/>
    <cellStyle name="Normal 2 30 6 10 5" xfId="12586"/>
    <cellStyle name="Normal 2 30 6 10 5 2" xfId="30915"/>
    <cellStyle name="Normal 2 30 6 10 6" xfId="30911"/>
    <cellStyle name="Normal 2 30 6 11" xfId="12587"/>
    <cellStyle name="Normal 2 30 6 11 2" xfId="12588"/>
    <cellStyle name="Normal 2 30 6 11 2 2" xfId="30917"/>
    <cellStyle name="Normal 2 30 6 11 3" xfId="12589"/>
    <cellStyle name="Normal 2 30 6 11 3 2" xfId="30918"/>
    <cellStyle name="Normal 2 30 6 11 4" xfId="12590"/>
    <cellStyle name="Normal 2 30 6 11 4 2" xfId="30919"/>
    <cellStyle name="Normal 2 30 6 11 5" xfId="12591"/>
    <cellStyle name="Normal 2 30 6 11 5 2" xfId="30920"/>
    <cellStyle name="Normal 2 30 6 11 6" xfId="30916"/>
    <cellStyle name="Normal 2 30 6 12" xfId="12592"/>
    <cellStyle name="Normal 2 30 6 12 2" xfId="12593"/>
    <cellStyle name="Normal 2 30 6 12 2 2" xfId="30922"/>
    <cellStyle name="Normal 2 30 6 12 3" xfId="12594"/>
    <cellStyle name="Normal 2 30 6 12 3 2" xfId="30923"/>
    <cellStyle name="Normal 2 30 6 12 4" xfId="12595"/>
    <cellStyle name="Normal 2 30 6 12 4 2" xfId="30924"/>
    <cellStyle name="Normal 2 30 6 12 5" xfId="12596"/>
    <cellStyle name="Normal 2 30 6 12 5 2" xfId="30925"/>
    <cellStyle name="Normal 2 30 6 12 6" xfId="30921"/>
    <cellStyle name="Normal 2 30 6 13" xfId="12597"/>
    <cellStyle name="Normal 2 30 6 13 2" xfId="12598"/>
    <cellStyle name="Normal 2 30 6 13 2 2" xfId="30927"/>
    <cellStyle name="Normal 2 30 6 13 3" xfId="12599"/>
    <cellStyle name="Normal 2 30 6 13 3 2" xfId="30928"/>
    <cellStyle name="Normal 2 30 6 13 4" xfId="12600"/>
    <cellStyle name="Normal 2 30 6 13 4 2" xfId="30929"/>
    <cellStyle name="Normal 2 30 6 13 5" xfId="12601"/>
    <cellStyle name="Normal 2 30 6 13 5 2" xfId="30930"/>
    <cellStyle name="Normal 2 30 6 13 6" xfId="30926"/>
    <cellStyle name="Normal 2 30 6 14" xfId="12602"/>
    <cellStyle name="Normal 2 30 6 14 2" xfId="12603"/>
    <cellStyle name="Normal 2 30 6 14 2 2" xfId="30932"/>
    <cellStyle name="Normal 2 30 6 14 3" xfId="12604"/>
    <cellStyle name="Normal 2 30 6 14 3 2" xfId="30933"/>
    <cellStyle name="Normal 2 30 6 14 4" xfId="12605"/>
    <cellStyle name="Normal 2 30 6 14 4 2" xfId="30934"/>
    <cellStyle name="Normal 2 30 6 14 5" xfId="12606"/>
    <cellStyle name="Normal 2 30 6 14 5 2" xfId="30935"/>
    <cellStyle name="Normal 2 30 6 14 6" xfId="30931"/>
    <cellStyle name="Normal 2 30 6 15" xfId="12607"/>
    <cellStyle name="Normal 2 30 6 15 2" xfId="12608"/>
    <cellStyle name="Normal 2 30 6 15 2 2" xfId="30937"/>
    <cellStyle name="Normal 2 30 6 15 3" xfId="12609"/>
    <cellStyle name="Normal 2 30 6 15 3 2" xfId="30938"/>
    <cellStyle name="Normal 2 30 6 15 4" xfId="12610"/>
    <cellStyle name="Normal 2 30 6 15 4 2" xfId="30939"/>
    <cellStyle name="Normal 2 30 6 15 5" xfId="12611"/>
    <cellStyle name="Normal 2 30 6 15 5 2" xfId="30940"/>
    <cellStyle name="Normal 2 30 6 15 6" xfId="30936"/>
    <cellStyle name="Normal 2 30 6 16" xfId="12612"/>
    <cellStyle name="Normal 2 30 6 16 2" xfId="12613"/>
    <cellStyle name="Normal 2 30 6 16 2 2" xfId="30942"/>
    <cellStyle name="Normal 2 30 6 16 3" xfId="12614"/>
    <cellStyle name="Normal 2 30 6 16 3 2" xfId="30943"/>
    <cellStyle name="Normal 2 30 6 16 4" xfId="12615"/>
    <cellStyle name="Normal 2 30 6 16 4 2" xfId="30944"/>
    <cellStyle name="Normal 2 30 6 16 5" xfId="12616"/>
    <cellStyle name="Normal 2 30 6 16 5 2" xfId="30945"/>
    <cellStyle name="Normal 2 30 6 16 6" xfId="30941"/>
    <cellStyle name="Normal 2 30 6 17" xfId="12617"/>
    <cellStyle name="Normal 2 30 6 17 2" xfId="30946"/>
    <cellStyle name="Normal 2 30 6 18" xfId="12618"/>
    <cellStyle name="Normal 2 30 6 18 2" xfId="30947"/>
    <cellStyle name="Normal 2 30 6 19" xfId="12619"/>
    <cellStyle name="Normal 2 30 6 19 2" xfId="30948"/>
    <cellStyle name="Normal 2 30 6 2" xfId="12620"/>
    <cellStyle name="Normal 2 30 6 20" xfId="12621"/>
    <cellStyle name="Normal 2 30 6 20 2" xfId="30949"/>
    <cellStyle name="Normal 2 30 6 21" xfId="30910"/>
    <cellStyle name="Normal 2 30 6 3" xfId="12622"/>
    <cellStyle name="Normal 2 30 6 3 2" xfId="12623"/>
    <cellStyle name="Normal 2 30 6 3 2 2" xfId="30951"/>
    <cellStyle name="Normal 2 30 6 3 3" xfId="12624"/>
    <cellStyle name="Normal 2 30 6 3 3 2" xfId="30952"/>
    <cellStyle name="Normal 2 30 6 3 4" xfId="12625"/>
    <cellStyle name="Normal 2 30 6 3 4 2" xfId="30953"/>
    <cellStyle name="Normal 2 30 6 3 5" xfId="12626"/>
    <cellStyle name="Normal 2 30 6 3 5 2" xfId="30954"/>
    <cellStyle name="Normal 2 30 6 3 6" xfId="30950"/>
    <cellStyle name="Normal 2 30 6 4" xfId="12627"/>
    <cellStyle name="Normal 2 30 6 4 2" xfId="12628"/>
    <cellStyle name="Normal 2 30 6 4 2 2" xfId="30956"/>
    <cellStyle name="Normal 2 30 6 4 3" xfId="12629"/>
    <cellStyle name="Normal 2 30 6 4 3 2" xfId="30957"/>
    <cellStyle name="Normal 2 30 6 4 4" xfId="12630"/>
    <cellStyle name="Normal 2 30 6 4 4 2" xfId="30958"/>
    <cellStyle name="Normal 2 30 6 4 5" xfId="12631"/>
    <cellStyle name="Normal 2 30 6 4 5 2" xfId="30959"/>
    <cellStyle name="Normal 2 30 6 4 6" xfId="30955"/>
    <cellStyle name="Normal 2 30 6 5" xfId="12632"/>
    <cellStyle name="Normal 2 30 6 5 2" xfId="12633"/>
    <cellStyle name="Normal 2 30 6 5 2 2" xfId="30961"/>
    <cellStyle name="Normal 2 30 6 5 3" xfId="12634"/>
    <cellStyle name="Normal 2 30 6 5 3 2" xfId="30962"/>
    <cellStyle name="Normal 2 30 6 5 4" xfId="12635"/>
    <cellStyle name="Normal 2 30 6 5 4 2" xfId="30963"/>
    <cellStyle name="Normal 2 30 6 5 5" xfId="12636"/>
    <cellStyle name="Normal 2 30 6 5 5 2" xfId="30964"/>
    <cellStyle name="Normal 2 30 6 5 6" xfId="30960"/>
    <cellStyle name="Normal 2 30 6 6" xfId="12637"/>
    <cellStyle name="Normal 2 30 6 6 2" xfId="12638"/>
    <cellStyle name="Normal 2 30 6 6 2 2" xfId="30966"/>
    <cellStyle name="Normal 2 30 6 6 3" xfId="12639"/>
    <cellStyle name="Normal 2 30 6 6 3 2" xfId="30967"/>
    <cellStyle name="Normal 2 30 6 6 4" xfId="12640"/>
    <cellStyle name="Normal 2 30 6 6 4 2" xfId="30968"/>
    <cellStyle name="Normal 2 30 6 6 5" xfId="12641"/>
    <cellStyle name="Normal 2 30 6 6 5 2" xfId="30969"/>
    <cellStyle name="Normal 2 30 6 6 6" xfId="30965"/>
    <cellStyle name="Normal 2 30 6 7" xfId="12642"/>
    <cellStyle name="Normal 2 30 6 7 2" xfId="12643"/>
    <cellStyle name="Normal 2 30 6 7 2 2" xfId="30971"/>
    <cellStyle name="Normal 2 30 6 7 3" xfId="12644"/>
    <cellStyle name="Normal 2 30 6 7 3 2" xfId="30972"/>
    <cellStyle name="Normal 2 30 6 7 4" xfId="12645"/>
    <cellStyle name="Normal 2 30 6 7 4 2" xfId="30973"/>
    <cellStyle name="Normal 2 30 6 7 5" xfId="12646"/>
    <cellStyle name="Normal 2 30 6 7 5 2" xfId="30974"/>
    <cellStyle name="Normal 2 30 6 7 6" xfId="30970"/>
    <cellStyle name="Normal 2 30 6 8" xfId="12647"/>
    <cellStyle name="Normal 2 30 6 8 2" xfId="12648"/>
    <cellStyle name="Normal 2 30 6 8 2 2" xfId="30976"/>
    <cellStyle name="Normal 2 30 6 8 3" xfId="12649"/>
    <cellStyle name="Normal 2 30 6 8 3 2" xfId="30977"/>
    <cellStyle name="Normal 2 30 6 8 4" xfId="12650"/>
    <cellStyle name="Normal 2 30 6 8 4 2" xfId="30978"/>
    <cellStyle name="Normal 2 30 6 8 5" xfId="12651"/>
    <cellStyle name="Normal 2 30 6 8 5 2" xfId="30979"/>
    <cellStyle name="Normal 2 30 6 8 6" xfId="30975"/>
    <cellStyle name="Normal 2 30 6 9" xfId="12652"/>
    <cellStyle name="Normal 2 30 6 9 2" xfId="12653"/>
    <cellStyle name="Normal 2 30 6 9 2 2" xfId="30981"/>
    <cellStyle name="Normal 2 30 6 9 3" xfId="12654"/>
    <cellStyle name="Normal 2 30 6 9 3 2" xfId="30982"/>
    <cellStyle name="Normal 2 30 6 9 4" xfId="12655"/>
    <cellStyle name="Normal 2 30 6 9 4 2" xfId="30983"/>
    <cellStyle name="Normal 2 30 6 9 5" xfId="12656"/>
    <cellStyle name="Normal 2 30 6 9 5 2" xfId="30984"/>
    <cellStyle name="Normal 2 30 6 9 6" xfId="30980"/>
    <cellStyle name="Normal 2 30 7" xfId="12657"/>
    <cellStyle name="Normal 2 30 7 2" xfId="12658"/>
    <cellStyle name="Normal 2 30 7 3" xfId="12659"/>
    <cellStyle name="Normal 2 30 7 3 2" xfId="30986"/>
    <cellStyle name="Normal 2 30 7 4" xfId="12660"/>
    <cellStyle name="Normal 2 30 7 4 2" xfId="30987"/>
    <cellStyle name="Normal 2 30 7 5" xfId="12661"/>
    <cellStyle name="Normal 2 30 7 5 2" xfId="30988"/>
    <cellStyle name="Normal 2 30 7 6" xfId="12662"/>
    <cellStyle name="Normal 2 30 7 6 2" xfId="30989"/>
    <cellStyle name="Normal 2 30 7 7" xfId="30985"/>
    <cellStyle name="Normal 2 30 8" xfId="12663"/>
    <cellStyle name="Normal 2 30 8 2" xfId="12664"/>
    <cellStyle name="Normal 2 30 8 3" xfId="12665"/>
    <cellStyle name="Normal 2 30 8 3 2" xfId="30991"/>
    <cellStyle name="Normal 2 30 8 4" xfId="12666"/>
    <cellStyle name="Normal 2 30 8 4 2" xfId="30992"/>
    <cellStyle name="Normal 2 30 8 5" xfId="12667"/>
    <cellStyle name="Normal 2 30 8 5 2" xfId="30993"/>
    <cellStyle name="Normal 2 30 8 6" xfId="12668"/>
    <cellStyle name="Normal 2 30 8 6 2" xfId="30994"/>
    <cellStyle name="Normal 2 30 8 7" xfId="30990"/>
    <cellStyle name="Normal 2 30 9" xfId="12669"/>
    <cellStyle name="Normal 2 30 9 2" xfId="12670"/>
    <cellStyle name="Normal 2 30 9 3" xfId="12671"/>
    <cellStyle name="Normal 2 30 9 3 2" xfId="30996"/>
    <cellStyle name="Normal 2 30 9 4" xfId="12672"/>
    <cellStyle name="Normal 2 30 9 4 2" xfId="30997"/>
    <cellStyle name="Normal 2 30 9 5" xfId="12673"/>
    <cellStyle name="Normal 2 30 9 5 2" xfId="30998"/>
    <cellStyle name="Normal 2 30 9 6" xfId="12674"/>
    <cellStyle name="Normal 2 30 9 6 2" xfId="30999"/>
    <cellStyle name="Normal 2 30 9 7" xfId="30995"/>
    <cellStyle name="Normal 2 31" xfId="12675"/>
    <cellStyle name="Normal 2 31 10" xfId="12676"/>
    <cellStyle name="Normal 2 31 2" xfId="12677"/>
    <cellStyle name="Normal 2 31 2 2" xfId="12678"/>
    <cellStyle name="Normal 2 31 2 3" xfId="12679"/>
    <cellStyle name="Normal 2 31 2 4" xfId="12680"/>
    <cellStyle name="Normal 2 31 2 5" xfId="12681"/>
    <cellStyle name="Normal 2 31 2 6" xfId="12682"/>
    <cellStyle name="Normal 2 31 2 7" xfId="12683"/>
    <cellStyle name="Normal 2 31 3" xfId="12684"/>
    <cellStyle name="Normal 2 31 4" xfId="12685"/>
    <cellStyle name="Normal 2 31 5" xfId="12686"/>
    <cellStyle name="Normal 2 31 6" xfId="12687"/>
    <cellStyle name="Normal 2 31 7" xfId="12688"/>
    <cellStyle name="Normal 2 31 8" xfId="12689"/>
    <cellStyle name="Normal 2 31 9" xfId="12690"/>
    <cellStyle name="Normal 2 32" xfId="12691"/>
    <cellStyle name="Normal 2 32 2" xfId="12692"/>
    <cellStyle name="Normal 2 32 3" xfId="12693"/>
    <cellStyle name="Normal 2 32 4" xfId="12694"/>
    <cellStyle name="Normal 2 32 5" xfId="12695"/>
    <cellStyle name="Normal 2 33" xfId="12696"/>
    <cellStyle name="Normal 2 33 10" xfId="12697"/>
    <cellStyle name="Normal 2 33 10 2" xfId="12698"/>
    <cellStyle name="Normal 2 33 10 2 2" xfId="31001"/>
    <cellStyle name="Normal 2 33 10 3" xfId="12699"/>
    <cellStyle name="Normal 2 33 10 3 2" xfId="31002"/>
    <cellStyle name="Normal 2 33 10 4" xfId="12700"/>
    <cellStyle name="Normal 2 33 10 4 2" xfId="31003"/>
    <cellStyle name="Normal 2 33 10 5" xfId="12701"/>
    <cellStyle name="Normal 2 33 10 5 2" xfId="31004"/>
    <cellStyle name="Normal 2 33 10 6" xfId="31000"/>
    <cellStyle name="Normal 2 33 11" xfId="12702"/>
    <cellStyle name="Normal 2 33 11 2" xfId="12703"/>
    <cellStyle name="Normal 2 33 11 2 2" xfId="31006"/>
    <cellStyle name="Normal 2 33 11 3" xfId="12704"/>
    <cellStyle name="Normal 2 33 11 3 2" xfId="31007"/>
    <cellStyle name="Normal 2 33 11 4" xfId="12705"/>
    <cellStyle name="Normal 2 33 11 4 2" xfId="31008"/>
    <cellStyle name="Normal 2 33 11 5" xfId="12706"/>
    <cellStyle name="Normal 2 33 11 5 2" xfId="31009"/>
    <cellStyle name="Normal 2 33 11 6" xfId="31005"/>
    <cellStyle name="Normal 2 33 12" xfId="12707"/>
    <cellStyle name="Normal 2 33 12 2" xfId="12708"/>
    <cellStyle name="Normal 2 33 12 2 2" xfId="31011"/>
    <cellStyle name="Normal 2 33 12 3" xfId="12709"/>
    <cellStyle name="Normal 2 33 12 3 2" xfId="31012"/>
    <cellStyle name="Normal 2 33 12 4" xfId="12710"/>
    <cellStyle name="Normal 2 33 12 4 2" xfId="31013"/>
    <cellStyle name="Normal 2 33 12 5" xfId="12711"/>
    <cellStyle name="Normal 2 33 12 5 2" xfId="31014"/>
    <cellStyle name="Normal 2 33 12 6" xfId="31010"/>
    <cellStyle name="Normal 2 33 13" xfId="12712"/>
    <cellStyle name="Normal 2 33 13 2" xfId="12713"/>
    <cellStyle name="Normal 2 33 13 2 2" xfId="31016"/>
    <cellStyle name="Normal 2 33 13 3" xfId="12714"/>
    <cellStyle name="Normal 2 33 13 3 2" xfId="31017"/>
    <cellStyle name="Normal 2 33 13 4" xfId="12715"/>
    <cellStyle name="Normal 2 33 13 4 2" xfId="31018"/>
    <cellStyle name="Normal 2 33 13 5" xfId="12716"/>
    <cellStyle name="Normal 2 33 13 5 2" xfId="31019"/>
    <cellStyle name="Normal 2 33 13 6" xfId="31015"/>
    <cellStyle name="Normal 2 33 14" xfId="12717"/>
    <cellStyle name="Normal 2 33 14 2" xfId="12718"/>
    <cellStyle name="Normal 2 33 14 2 2" xfId="31021"/>
    <cellStyle name="Normal 2 33 14 3" xfId="12719"/>
    <cellStyle name="Normal 2 33 14 3 2" xfId="31022"/>
    <cellStyle name="Normal 2 33 14 4" xfId="12720"/>
    <cellStyle name="Normal 2 33 14 4 2" xfId="31023"/>
    <cellStyle name="Normal 2 33 14 5" xfId="12721"/>
    <cellStyle name="Normal 2 33 14 5 2" xfId="31024"/>
    <cellStyle name="Normal 2 33 14 6" xfId="31020"/>
    <cellStyle name="Normal 2 33 15" xfId="12722"/>
    <cellStyle name="Normal 2 33 15 2" xfId="12723"/>
    <cellStyle name="Normal 2 33 15 2 2" xfId="31026"/>
    <cellStyle name="Normal 2 33 15 3" xfId="12724"/>
    <cellStyle name="Normal 2 33 15 3 2" xfId="31027"/>
    <cellStyle name="Normal 2 33 15 4" xfId="12725"/>
    <cellStyle name="Normal 2 33 15 4 2" xfId="31028"/>
    <cellStyle name="Normal 2 33 15 5" xfId="12726"/>
    <cellStyle name="Normal 2 33 15 5 2" xfId="31029"/>
    <cellStyle name="Normal 2 33 15 6" xfId="31025"/>
    <cellStyle name="Normal 2 33 16" xfId="12727"/>
    <cellStyle name="Normal 2 33 16 2" xfId="12728"/>
    <cellStyle name="Normal 2 33 16 2 2" xfId="31031"/>
    <cellStyle name="Normal 2 33 16 3" xfId="12729"/>
    <cellStyle name="Normal 2 33 16 3 2" xfId="31032"/>
    <cellStyle name="Normal 2 33 16 4" xfId="12730"/>
    <cellStyle name="Normal 2 33 16 4 2" xfId="31033"/>
    <cellStyle name="Normal 2 33 16 5" xfId="12731"/>
    <cellStyle name="Normal 2 33 16 5 2" xfId="31034"/>
    <cellStyle name="Normal 2 33 16 6" xfId="31030"/>
    <cellStyle name="Normal 2 33 17" xfId="12732"/>
    <cellStyle name="Normal 2 33 17 2" xfId="12733"/>
    <cellStyle name="Normal 2 33 17 2 2" xfId="31036"/>
    <cellStyle name="Normal 2 33 17 3" xfId="12734"/>
    <cellStyle name="Normal 2 33 17 3 2" xfId="31037"/>
    <cellStyle name="Normal 2 33 17 4" xfId="12735"/>
    <cellStyle name="Normal 2 33 17 4 2" xfId="31038"/>
    <cellStyle name="Normal 2 33 17 5" xfId="12736"/>
    <cellStyle name="Normal 2 33 17 5 2" xfId="31039"/>
    <cellStyle name="Normal 2 33 17 6" xfId="31035"/>
    <cellStyle name="Normal 2 33 18" xfId="12737"/>
    <cellStyle name="Normal 2 33 18 2" xfId="12738"/>
    <cellStyle name="Normal 2 33 18 2 2" xfId="31041"/>
    <cellStyle name="Normal 2 33 18 3" xfId="12739"/>
    <cellStyle name="Normal 2 33 18 3 2" xfId="31042"/>
    <cellStyle name="Normal 2 33 18 4" xfId="12740"/>
    <cellStyle name="Normal 2 33 18 4 2" xfId="31043"/>
    <cellStyle name="Normal 2 33 18 5" xfId="12741"/>
    <cellStyle name="Normal 2 33 18 5 2" xfId="31044"/>
    <cellStyle name="Normal 2 33 18 6" xfId="31040"/>
    <cellStyle name="Normal 2 33 19" xfId="12742"/>
    <cellStyle name="Normal 2 33 19 2" xfId="12743"/>
    <cellStyle name="Normal 2 33 19 2 2" xfId="31046"/>
    <cellStyle name="Normal 2 33 19 3" xfId="12744"/>
    <cellStyle name="Normal 2 33 19 3 2" xfId="31047"/>
    <cellStyle name="Normal 2 33 19 4" xfId="12745"/>
    <cellStyle name="Normal 2 33 19 4 2" xfId="31048"/>
    <cellStyle name="Normal 2 33 19 5" xfId="12746"/>
    <cellStyle name="Normal 2 33 19 5 2" xfId="31049"/>
    <cellStyle name="Normal 2 33 19 6" xfId="31045"/>
    <cellStyle name="Normal 2 33 2" xfId="12747"/>
    <cellStyle name="Normal 2 33 2 10" xfId="12748"/>
    <cellStyle name="Normal 2 33 2 10 2" xfId="12749"/>
    <cellStyle name="Normal 2 33 2 10 2 2" xfId="31052"/>
    <cellStyle name="Normal 2 33 2 10 3" xfId="12750"/>
    <cellStyle name="Normal 2 33 2 10 3 2" xfId="31053"/>
    <cellStyle name="Normal 2 33 2 10 4" xfId="12751"/>
    <cellStyle name="Normal 2 33 2 10 4 2" xfId="31054"/>
    <cellStyle name="Normal 2 33 2 10 5" xfId="12752"/>
    <cellStyle name="Normal 2 33 2 10 5 2" xfId="31055"/>
    <cellStyle name="Normal 2 33 2 10 6" xfId="31051"/>
    <cellStyle name="Normal 2 33 2 11" xfId="12753"/>
    <cellStyle name="Normal 2 33 2 11 2" xfId="12754"/>
    <cellStyle name="Normal 2 33 2 11 2 2" xfId="31057"/>
    <cellStyle name="Normal 2 33 2 11 3" xfId="12755"/>
    <cellStyle name="Normal 2 33 2 11 3 2" xfId="31058"/>
    <cellStyle name="Normal 2 33 2 11 4" xfId="12756"/>
    <cellStyle name="Normal 2 33 2 11 4 2" xfId="31059"/>
    <cellStyle name="Normal 2 33 2 11 5" xfId="12757"/>
    <cellStyle name="Normal 2 33 2 11 5 2" xfId="31060"/>
    <cellStyle name="Normal 2 33 2 11 6" xfId="31056"/>
    <cellStyle name="Normal 2 33 2 12" xfId="12758"/>
    <cellStyle name="Normal 2 33 2 12 2" xfId="12759"/>
    <cellStyle name="Normal 2 33 2 12 2 2" xfId="31062"/>
    <cellStyle name="Normal 2 33 2 12 3" xfId="12760"/>
    <cellStyle name="Normal 2 33 2 12 3 2" xfId="31063"/>
    <cellStyle name="Normal 2 33 2 12 4" xfId="12761"/>
    <cellStyle name="Normal 2 33 2 12 4 2" xfId="31064"/>
    <cellStyle name="Normal 2 33 2 12 5" xfId="12762"/>
    <cellStyle name="Normal 2 33 2 12 5 2" xfId="31065"/>
    <cellStyle name="Normal 2 33 2 12 6" xfId="31061"/>
    <cellStyle name="Normal 2 33 2 13" xfId="12763"/>
    <cellStyle name="Normal 2 33 2 13 2" xfId="12764"/>
    <cellStyle name="Normal 2 33 2 13 2 2" xfId="31067"/>
    <cellStyle name="Normal 2 33 2 13 3" xfId="12765"/>
    <cellStyle name="Normal 2 33 2 13 3 2" xfId="31068"/>
    <cellStyle name="Normal 2 33 2 13 4" xfId="12766"/>
    <cellStyle name="Normal 2 33 2 13 4 2" xfId="31069"/>
    <cellStyle name="Normal 2 33 2 13 5" xfId="12767"/>
    <cellStyle name="Normal 2 33 2 13 5 2" xfId="31070"/>
    <cellStyle name="Normal 2 33 2 13 6" xfId="31066"/>
    <cellStyle name="Normal 2 33 2 14" xfId="12768"/>
    <cellStyle name="Normal 2 33 2 14 2" xfId="12769"/>
    <cellStyle name="Normal 2 33 2 14 2 2" xfId="31072"/>
    <cellStyle name="Normal 2 33 2 14 3" xfId="12770"/>
    <cellStyle name="Normal 2 33 2 14 3 2" xfId="31073"/>
    <cellStyle name="Normal 2 33 2 14 4" xfId="12771"/>
    <cellStyle name="Normal 2 33 2 14 4 2" xfId="31074"/>
    <cellStyle name="Normal 2 33 2 14 5" xfId="12772"/>
    <cellStyle name="Normal 2 33 2 14 5 2" xfId="31075"/>
    <cellStyle name="Normal 2 33 2 14 6" xfId="31071"/>
    <cellStyle name="Normal 2 33 2 15" xfId="12773"/>
    <cellStyle name="Normal 2 33 2 15 2" xfId="12774"/>
    <cellStyle name="Normal 2 33 2 15 2 2" xfId="31077"/>
    <cellStyle name="Normal 2 33 2 15 3" xfId="12775"/>
    <cellStyle name="Normal 2 33 2 15 3 2" xfId="31078"/>
    <cellStyle name="Normal 2 33 2 15 4" xfId="12776"/>
    <cellStyle name="Normal 2 33 2 15 4 2" xfId="31079"/>
    <cellStyle name="Normal 2 33 2 15 5" xfId="12777"/>
    <cellStyle name="Normal 2 33 2 15 5 2" xfId="31080"/>
    <cellStyle name="Normal 2 33 2 15 6" xfId="31076"/>
    <cellStyle name="Normal 2 33 2 16" xfId="12778"/>
    <cellStyle name="Normal 2 33 2 16 2" xfId="12779"/>
    <cellStyle name="Normal 2 33 2 16 2 2" xfId="31082"/>
    <cellStyle name="Normal 2 33 2 16 3" xfId="12780"/>
    <cellStyle name="Normal 2 33 2 16 3 2" xfId="31083"/>
    <cellStyle name="Normal 2 33 2 16 4" xfId="12781"/>
    <cellStyle name="Normal 2 33 2 16 4 2" xfId="31084"/>
    <cellStyle name="Normal 2 33 2 16 5" xfId="12782"/>
    <cellStyle name="Normal 2 33 2 16 5 2" xfId="31085"/>
    <cellStyle name="Normal 2 33 2 16 6" xfId="31081"/>
    <cellStyle name="Normal 2 33 2 17" xfId="12783"/>
    <cellStyle name="Normal 2 33 2 17 2" xfId="31086"/>
    <cellStyle name="Normal 2 33 2 18" xfId="12784"/>
    <cellStyle name="Normal 2 33 2 18 2" xfId="31087"/>
    <cellStyle name="Normal 2 33 2 19" xfId="12785"/>
    <cellStyle name="Normal 2 33 2 19 2" xfId="31088"/>
    <cellStyle name="Normal 2 33 2 2" xfId="12786"/>
    <cellStyle name="Normal 2 33 2 20" xfId="12787"/>
    <cellStyle name="Normal 2 33 2 20 2" xfId="31089"/>
    <cellStyle name="Normal 2 33 2 21" xfId="31050"/>
    <cellStyle name="Normal 2 33 2 3" xfId="12788"/>
    <cellStyle name="Normal 2 33 2 3 2" xfId="12789"/>
    <cellStyle name="Normal 2 33 2 3 2 2" xfId="31091"/>
    <cellStyle name="Normal 2 33 2 3 3" xfId="12790"/>
    <cellStyle name="Normal 2 33 2 3 3 2" xfId="31092"/>
    <cellStyle name="Normal 2 33 2 3 4" xfId="12791"/>
    <cellStyle name="Normal 2 33 2 3 4 2" xfId="31093"/>
    <cellStyle name="Normal 2 33 2 3 5" xfId="12792"/>
    <cellStyle name="Normal 2 33 2 3 5 2" xfId="31094"/>
    <cellStyle name="Normal 2 33 2 3 6" xfId="31090"/>
    <cellStyle name="Normal 2 33 2 4" xfId="12793"/>
    <cellStyle name="Normal 2 33 2 4 2" xfId="12794"/>
    <cellStyle name="Normal 2 33 2 4 2 2" xfId="31096"/>
    <cellStyle name="Normal 2 33 2 4 3" xfId="12795"/>
    <cellStyle name="Normal 2 33 2 4 3 2" xfId="31097"/>
    <cellStyle name="Normal 2 33 2 4 4" xfId="12796"/>
    <cellStyle name="Normal 2 33 2 4 4 2" xfId="31098"/>
    <cellStyle name="Normal 2 33 2 4 5" xfId="12797"/>
    <cellStyle name="Normal 2 33 2 4 5 2" xfId="31099"/>
    <cellStyle name="Normal 2 33 2 4 6" xfId="31095"/>
    <cellStyle name="Normal 2 33 2 5" xfId="12798"/>
    <cellStyle name="Normal 2 33 2 5 2" xfId="12799"/>
    <cellStyle name="Normal 2 33 2 5 2 2" xfId="31101"/>
    <cellStyle name="Normal 2 33 2 5 3" xfId="12800"/>
    <cellStyle name="Normal 2 33 2 5 3 2" xfId="31102"/>
    <cellStyle name="Normal 2 33 2 5 4" xfId="12801"/>
    <cellStyle name="Normal 2 33 2 5 4 2" xfId="31103"/>
    <cellStyle name="Normal 2 33 2 5 5" xfId="12802"/>
    <cellStyle name="Normal 2 33 2 5 5 2" xfId="31104"/>
    <cellStyle name="Normal 2 33 2 5 6" xfId="31100"/>
    <cellStyle name="Normal 2 33 2 6" xfId="12803"/>
    <cellStyle name="Normal 2 33 2 6 2" xfId="12804"/>
    <cellStyle name="Normal 2 33 2 6 2 2" xfId="31106"/>
    <cellStyle name="Normal 2 33 2 6 3" xfId="12805"/>
    <cellStyle name="Normal 2 33 2 6 3 2" xfId="31107"/>
    <cellStyle name="Normal 2 33 2 6 4" xfId="12806"/>
    <cellStyle name="Normal 2 33 2 6 4 2" xfId="31108"/>
    <cellStyle name="Normal 2 33 2 6 5" xfId="12807"/>
    <cellStyle name="Normal 2 33 2 6 5 2" xfId="31109"/>
    <cellStyle name="Normal 2 33 2 6 6" xfId="31105"/>
    <cellStyle name="Normal 2 33 2 7" xfId="12808"/>
    <cellStyle name="Normal 2 33 2 7 2" xfId="12809"/>
    <cellStyle name="Normal 2 33 2 7 2 2" xfId="31111"/>
    <cellStyle name="Normal 2 33 2 7 3" xfId="12810"/>
    <cellStyle name="Normal 2 33 2 7 3 2" xfId="31112"/>
    <cellStyle name="Normal 2 33 2 7 4" xfId="12811"/>
    <cellStyle name="Normal 2 33 2 7 4 2" xfId="31113"/>
    <cellStyle name="Normal 2 33 2 7 5" xfId="12812"/>
    <cellStyle name="Normal 2 33 2 7 5 2" xfId="31114"/>
    <cellStyle name="Normal 2 33 2 7 6" xfId="31110"/>
    <cellStyle name="Normal 2 33 2 8" xfId="12813"/>
    <cellStyle name="Normal 2 33 2 8 2" xfId="12814"/>
    <cellStyle name="Normal 2 33 2 8 2 2" xfId="31116"/>
    <cellStyle name="Normal 2 33 2 8 3" xfId="12815"/>
    <cellStyle name="Normal 2 33 2 8 3 2" xfId="31117"/>
    <cellStyle name="Normal 2 33 2 8 4" xfId="12816"/>
    <cellStyle name="Normal 2 33 2 8 4 2" xfId="31118"/>
    <cellStyle name="Normal 2 33 2 8 5" xfId="12817"/>
    <cellStyle name="Normal 2 33 2 8 5 2" xfId="31119"/>
    <cellStyle name="Normal 2 33 2 8 6" xfId="31115"/>
    <cellStyle name="Normal 2 33 2 9" xfId="12818"/>
    <cellStyle name="Normal 2 33 2 9 2" xfId="12819"/>
    <cellStyle name="Normal 2 33 2 9 2 2" xfId="31121"/>
    <cellStyle name="Normal 2 33 2 9 3" xfId="12820"/>
    <cellStyle name="Normal 2 33 2 9 3 2" xfId="31122"/>
    <cellStyle name="Normal 2 33 2 9 4" xfId="12821"/>
    <cellStyle name="Normal 2 33 2 9 4 2" xfId="31123"/>
    <cellStyle name="Normal 2 33 2 9 5" xfId="12822"/>
    <cellStyle name="Normal 2 33 2 9 5 2" xfId="31124"/>
    <cellStyle name="Normal 2 33 2 9 6" xfId="31120"/>
    <cellStyle name="Normal 2 33 20" xfId="12823"/>
    <cellStyle name="Normal 2 33 20 2" xfId="31125"/>
    <cellStyle name="Normal 2 33 21" xfId="12824"/>
    <cellStyle name="Normal 2 33 21 2" xfId="31126"/>
    <cellStyle name="Normal 2 33 22" xfId="12825"/>
    <cellStyle name="Normal 2 33 22 2" xfId="31127"/>
    <cellStyle name="Normal 2 33 23" xfId="12826"/>
    <cellStyle name="Normal 2 33 23 2" xfId="31128"/>
    <cellStyle name="Normal 2 33 24" xfId="12827"/>
    <cellStyle name="Normal 2 33 24 2" xfId="31129"/>
    <cellStyle name="Normal 2 33 3" xfId="12828"/>
    <cellStyle name="Normal 2 33 3 2" xfId="12829"/>
    <cellStyle name="Normal 2 33 3 3" xfId="12830"/>
    <cellStyle name="Normal 2 33 3 3 2" xfId="31131"/>
    <cellStyle name="Normal 2 33 3 4" xfId="12831"/>
    <cellStyle name="Normal 2 33 3 4 2" xfId="31132"/>
    <cellStyle name="Normal 2 33 3 5" xfId="12832"/>
    <cellStyle name="Normal 2 33 3 5 2" xfId="31133"/>
    <cellStyle name="Normal 2 33 3 6" xfId="12833"/>
    <cellStyle name="Normal 2 33 3 6 2" xfId="31134"/>
    <cellStyle name="Normal 2 33 3 7" xfId="31130"/>
    <cellStyle name="Normal 2 33 4" xfId="12834"/>
    <cellStyle name="Normal 2 33 4 2" xfId="12835"/>
    <cellStyle name="Normal 2 33 4 3" xfId="12836"/>
    <cellStyle name="Normal 2 33 4 3 2" xfId="31136"/>
    <cellStyle name="Normal 2 33 4 4" xfId="12837"/>
    <cellStyle name="Normal 2 33 4 4 2" xfId="31137"/>
    <cellStyle name="Normal 2 33 4 5" xfId="12838"/>
    <cellStyle name="Normal 2 33 4 5 2" xfId="31138"/>
    <cellStyle name="Normal 2 33 4 6" xfId="12839"/>
    <cellStyle name="Normal 2 33 4 6 2" xfId="31139"/>
    <cellStyle name="Normal 2 33 4 7" xfId="31135"/>
    <cellStyle name="Normal 2 33 5" xfId="12840"/>
    <cellStyle name="Normal 2 33 5 2" xfId="12841"/>
    <cellStyle name="Normal 2 33 5 3" xfId="12842"/>
    <cellStyle name="Normal 2 33 5 3 2" xfId="31141"/>
    <cellStyle name="Normal 2 33 5 4" xfId="12843"/>
    <cellStyle name="Normal 2 33 5 4 2" xfId="31142"/>
    <cellStyle name="Normal 2 33 5 5" xfId="12844"/>
    <cellStyle name="Normal 2 33 5 5 2" xfId="31143"/>
    <cellStyle name="Normal 2 33 5 6" xfId="12845"/>
    <cellStyle name="Normal 2 33 5 6 2" xfId="31144"/>
    <cellStyle name="Normal 2 33 5 7" xfId="31140"/>
    <cellStyle name="Normal 2 33 6" xfId="12846"/>
    <cellStyle name="Normal 2 33 6 2" xfId="12847"/>
    <cellStyle name="Normal 2 33 6 2 2" xfId="31146"/>
    <cellStyle name="Normal 2 33 6 3" xfId="12848"/>
    <cellStyle name="Normal 2 33 6 3 2" xfId="31147"/>
    <cellStyle name="Normal 2 33 6 4" xfId="12849"/>
    <cellStyle name="Normal 2 33 6 4 2" xfId="31148"/>
    <cellStyle name="Normal 2 33 6 5" xfId="12850"/>
    <cellStyle name="Normal 2 33 6 5 2" xfId="31149"/>
    <cellStyle name="Normal 2 33 6 6" xfId="31145"/>
    <cellStyle name="Normal 2 33 7" xfId="12851"/>
    <cellStyle name="Normal 2 33 7 2" xfId="12852"/>
    <cellStyle name="Normal 2 33 7 2 2" xfId="31151"/>
    <cellStyle name="Normal 2 33 7 3" xfId="12853"/>
    <cellStyle name="Normal 2 33 7 3 2" xfId="31152"/>
    <cellStyle name="Normal 2 33 7 4" xfId="12854"/>
    <cellStyle name="Normal 2 33 7 4 2" xfId="31153"/>
    <cellStyle name="Normal 2 33 7 5" xfId="12855"/>
    <cellStyle name="Normal 2 33 7 5 2" xfId="31154"/>
    <cellStyle name="Normal 2 33 7 6" xfId="31150"/>
    <cellStyle name="Normal 2 33 8" xfId="12856"/>
    <cellStyle name="Normal 2 33 8 2" xfId="12857"/>
    <cellStyle name="Normal 2 33 8 2 2" xfId="31156"/>
    <cellStyle name="Normal 2 33 8 3" xfId="12858"/>
    <cellStyle name="Normal 2 33 8 3 2" xfId="31157"/>
    <cellStyle name="Normal 2 33 8 4" xfId="12859"/>
    <cellStyle name="Normal 2 33 8 4 2" xfId="31158"/>
    <cellStyle name="Normal 2 33 8 5" xfId="12860"/>
    <cellStyle name="Normal 2 33 8 5 2" xfId="31159"/>
    <cellStyle name="Normal 2 33 8 6" xfId="31155"/>
    <cellStyle name="Normal 2 33 9" xfId="12861"/>
    <cellStyle name="Normal 2 33 9 2" xfId="12862"/>
    <cellStyle name="Normal 2 33 9 2 2" xfId="31161"/>
    <cellStyle name="Normal 2 33 9 3" xfId="12863"/>
    <cellStyle name="Normal 2 33 9 3 2" xfId="31162"/>
    <cellStyle name="Normal 2 33 9 4" xfId="12864"/>
    <cellStyle name="Normal 2 33 9 4 2" xfId="31163"/>
    <cellStyle name="Normal 2 33 9 5" xfId="12865"/>
    <cellStyle name="Normal 2 33 9 5 2" xfId="31164"/>
    <cellStyle name="Normal 2 33 9 6" xfId="31160"/>
    <cellStyle name="Normal 2 34" xfId="12866"/>
    <cellStyle name="Normal 2 34 10" xfId="12867"/>
    <cellStyle name="Normal 2 34 10 2" xfId="12868"/>
    <cellStyle name="Normal 2 34 10 2 2" xfId="31166"/>
    <cellStyle name="Normal 2 34 10 3" xfId="12869"/>
    <cellStyle name="Normal 2 34 10 3 2" xfId="31167"/>
    <cellStyle name="Normal 2 34 10 4" xfId="12870"/>
    <cellStyle name="Normal 2 34 10 4 2" xfId="31168"/>
    <cellStyle name="Normal 2 34 10 5" xfId="12871"/>
    <cellStyle name="Normal 2 34 10 5 2" xfId="31169"/>
    <cellStyle name="Normal 2 34 10 6" xfId="31165"/>
    <cellStyle name="Normal 2 34 11" xfId="12872"/>
    <cellStyle name="Normal 2 34 11 2" xfId="12873"/>
    <cellStyle name="Normal 2 34 11 2 2" xfId="31171"/>
    <cellStyle name="Normal 2 34 11 3" xfId="12874"/>
    <cellStyle name="Normal 2 34 11 3 2" xfId="31172"/>
    <cellStyle name="Normal 2 34 11 4" xfId="12875"/>
    <cellStyle name="Normal 2 34 11 4 2" xfId="31173"/>
    <cellStyle name="Normal 2 34 11 5" xfId="12876"/>
    <cellStyle name="Normal 2 34 11 5 2" xfId="31174"/>
    <cellStyle name="Normal 2 34 11 6" xfId="31170"/>
    <cellStyle name="Normal 2 34 12" xfId="12877"/>
    <cellStyle name="Normal 2 34 12 2" xfId="12878"/>
    <cellStyle name="Normal 2 34 12 2 2" xfId="31176"/>
    <cellStyle name="Normal 2 34 12 3" xfId="12879"/>
    <cellStyle name="Normal 2 34 12 3 2" xfId="31177"/>
    <cellStyle name="Normal 2 34 12 4" xfId="12880"/>
    <cellStyle name="Normal 2 34 12 4 2" xfId="31178"/>
    <cellStyle name="Normal 2 34 12 5" xfId="12881"/>
    <cellStyle name="Normal 2 34 12 5 2" xfId="31179"/>
    <cellStyle name="Normal 2 34 12 6" xfId="31175"/>
    <cellStyle name="Normal 2 34 13" xfId="12882"/>
    <cellStyle name="Normal 2 34 13 2" xfId="12883"/>
    <cellStyle name="Normal 2 34 13 2 2" xfId="31181"/>
    <cellStyle name="Normal 2 34 13 3" xfId="12884"/>
    <cellStyle name="Normal 2 34 13 3 2" xfId="31182"/>
    <cellStyle name="Normal 2 34 13 4" xfId="12885"/>
    <cellStyle name="Normal 2 34 13 4 2" xfId="31183"/>
    <cellStyle name="Normal 2 34 13 5" xfId="12886"/>
    <cellStyle name="Normal 2 34 13 5 2" xfId="31184"/>
    <cellStyle name="Normal 2 34 13 6" xfId="31180"/>
    <cellStyle name="Normal 2 34 14" xfId="12887"/>
    <cellStyle name="Normal 2 34 14 2" xfId="12888"/>
    <cellStyle name="Normal 2 34 14 2 2" xfId="31186"/>
    <cellStyle name="Normal 2 34 14 3" xfId="12889"/>
    <cellStyle name="Normal 2 34 14 3 2" xfId="31187"/>
    <cellStyle name="Normal 2 34 14 4" xfId="12890"/>
    <cellStyle name="Normal 2 34 14 4 2" xfId="31188"/>
    <cellStyle name="Normal 2 34 14 5" xfId="12891"/>
    <cellStyle name="Normal 2 34 14 5 2" xfId="31189"/>
    <cellStyle name="Normal 2 34 14 6" xfId="31185"/>
    <cellStyle name="Normal 2 34 15" xfId="12892"/>
    <cellStyle name="Normal 2 34 15 2" xfId="12893"/>
    <cellStyle name="Normal 2 34 15 2 2" xfId="31191"/>
    <cellStyle name="Normal 2 34 15 3" xfId="12894"/>
    <cellStyle name="Normal 2 34 15 3 2" xfId="31192"/>
    <cellStyle name="Normal 2 34 15 4" xfId="12895"/>
    <cellStyle name="Normal 2 34 15 4 2" xfId="31193"/>
    <cellStyle name="Normal 2 34 15 5" xfId="12896"/>
    <cellStyle name="Normal 2 34 15 5 2" xfId="31194"/>
    <cellStyle name="Normal 2 34 15 6" xfId="31190"/>
    <cellStyle name="Normal 2 34 16" xfId="12897"/>
    <cellStyle name="Normal 2 34 16 2" xfId="12898"/>
    <cellStyle name="Normal 2 34 16 2 2" xfId="31196"/>
    <cellStyle name="Normal 2 34 16 3" xfId="12899"/>
    <cellStyle name="Normal 2 34 16 3 2" xfId="31197"/>
    <cellStyle name="Normal 2 34 16 4" xfId="12900"/>
    <cellStyle name="Normal 2 34 16 4 2" xfId="31198"/>
    <cellStyle name="Normal 2 34 16 5" xfId="12901"/>
    <cellStyle name="Normal 2 34 16 5 2" xfId="31199"/>
    <cellStyle name="Normal 2 34 16 6" xfId="31195"/>
    <cellStyle name="Normal 2 34 17" xfId="12902"/>
    <cellStyle name="Normal 2 34 17 2" xfId="12903"/>
    <cellStyle name="Normal 2 34 17 2 2" xfId="31201"/>
    <cellStyle name="Normal 2 34 17 3" xfId="12904"/>
    <cellStyle name="Normal 2 34 17 3 2" xfId="31202"/>
    <cellStyle name="Normal 2 34 17 4" xfId="12905"/>
    <cellStyle name="Normal 2 34 17 4 2" xfId="31203"/>
    <cellStyle name="Normal 2 34 17 5" xfId="12906"/>
    <cellStyle name="Normal 2 34 17 5 2" xfId="31204"/>
    <cellStyle name="Normal 2 34 17 6" xfId="31200"/>
    <cellStyle name="Normal 2 34 18" xfId="12907"/>
    <cellStyle name="Normal 2 34 18 2" xfId="12908"/>
    <cellStyle name="Normal 2 34 18 2 2" xfId="31206"/>
    <cellStyle name="Normal 2 34 18 3" xfId="12909"/>
    <cellStyle name="Normal 2 34 18 3 2" xfId="31207"/>
    <cellStyle name="Normal 2 34 18 4" xfId="12910"/>
    <cellStyle name="Normal 2 34 18 4 2" xfId="31208"/>
    <cellStyle name="Normal 2 34 18 5" xfId="12911"/>
    <cellStyle name="Normal 2 34 18 5 2" xfId="31209"/>
    <cellStyle name="Normal 2 34 18 6" xfId="31205"/>
    <cellStyle name="Normal 2 34 19" xfId="12912"/>
    <cellStyle name="Normal 2 34 19 2" xfId="12913"/>
    <cellStyle name="Normal 2 34 19 2 2" xfId="31211"/>
    <cellStyle name="Normal 2 34 19 3" xfId="12914"/>
    <cellStyle name="Normal 2 34 19 3 2" xfId="31212"/>
    <cellStyle name="Normal 2 34 19 4" xfId="12915"/>
    <cellStyle name="Normal 2 34 19 4 2" xfId="31213"/>
    <cellStyle name="Normal 2 34 19 5" xfId="12916"/>
    <cellStyle name="Normal 2 34 19 5 2" xfId="31214"/>
    <cellStyle name="Normal 2 34 19 6" xfId="31210"/>
    <cellStyle name="Normal 2 34 2" xfId="12917"/>
    <cellStyle name="Normal 2 34 2 10" xfId="12918"/>
    <cellStyle name="Normal 2 34 2 10 2" xfId="12919"/>
    <cellStyle name="Normal 2 34 2 10 2 2" xfId="31217"/>
    <cellStyle name="Normal 2 34 2 10 3" xfId="12920"/>
    <cellStyle name="Normal 2 34 2 10 3 2" xfId="31218"/>
    <cellStyle name="Normal 2 34 2 10 4" xfId="12921"/>
    <cellStyle name="Normal 2 34 2 10 4 2" xfId="31219"/>
    <cellStyle name="Normal 2 34 2 10 5" xfId="12922"/>
    <cellStyle name="Normal 2 34 2 10 5 2" xfId="31220"/>
    <cellStyle name="Normal 2 34 2 10 6" xfId="31216"/>
    <cellStyle name="Normal 2 34 2 11" xfId="12923"/>
    <cellStyle name="Normal 2 34 2 11 2" xfId="12924"/>
    <cellStyle name="Normal 2 34 2 11 2 2" xfId="31222"/>
    <cellStyle name="Normal 2 34 2 11 3" xfId="12925"/>
    <cellStyle name="Normal 2 34 2 11 3 2" xfId="31223"/>
    <cellStyle name="Normal 2 34 2 11 4" xfId="12926"/>
    <cellStyle name="Normal 2 34 2 11 4 2" xfId="31224"/>
    <cellStyle name="Normal 2 34 2 11 5" xfId="12927"/>
    <cellStyle name="Normal 2 34 2 11 5 2" xfId="31225"/>
    <cellStyle name="Normal 2 34 2 11 6" xfId="31221"/>
    <cellStyle name="Normal 2 34 2 12" xfId="12928"/>
    <cellStyle name="Normal 2 34 2 12 2" xfId="12929"/>
    <cellStyle name="Normal 2 34 2 12 2 2" xfId="31227"/>
    <cellStyle name="Normal 2 34 2 12 3" xfId="12930"/>
    <cellStyle name="Normal 2 34 2 12 3 2" xfId="31228"/>
    <cellStyle name="Normal 2 34 2 12 4" xfId="12931"/>
    <cellStyle name="Normal 2 34 2 12 4 2" xfId="31229"/>
    <cellStyle name="Normal 2 34 2 12 5" xfId="12932"/>
    <cellStyle name="Normal 2 34 2 12 5 2" xfId="31230"/>
    <cellStyle name="Normal 2 34 2 12 6" xfId="31226"/>
    <cellStyle name="Normal 2 34 2 13" xfId="12933"/>
    <cellStyle name="Normal 2 34 2 13 2" xfId="12934"/>
    <cellStyle name="Normal 2 34 2 13 2 2" xfId="31232"/>
    <cellStyle name="Normal 2 34 2 13 3" xfId="12935"/>
    <cellStyle name="Normal 2 34 2 13 3 2" xfId="31233"/>
    <cellStyle name="Normal 2 34 2 13 4" xfId="12936"/>
    <cellStyle name="Normal 2 34 2 13 4 2" xfId="31234"/>
    <cellStyle name="Normal 2 34 2 13 5" xfId="12937"/>
    <cellStyle name="Normal 2 34 2 13 5 2" xfId="31235"/>
    <cellStyle name="Normal 2 34 2 13 6" xfId="31231"/>
    <cellStyle name="Normal 2 34 2 14" xfId="12938"/>
    <cellStyle name="Normal 2 34 2 14 2" xfId="12939"/>
    <cellStyle name="Normal 2 34 2 14 2 2" xfId="31237"/>
    <cellStyle name="Normal 2 34 2 14 3" xfId="12940"/>
    <cellStyle name="Normal 2 34 2 14 3 2" xfId="31238"/>
    <cellStyle name="Normal 2 34 2 14 4" xfId="12941"/>
    <cellStyle name="Normal 2 34 2 14 4 2" xfId="31239"/>
    <cellStyle name="Normal 2 34 2 14 5" xfId="12942"/>
    <cellStyle name="Normal 2 34 2 14 5 2" xfId="31240"/>
    <cellStyle name="Normal 2 34 2 14 6" xfId="31236"/>
    <cellStyle name="Normal 2 34 2 15" xfId="12943"/>
    <cellStyle name="Normal 2 34 2 15 2" xfId="12944"/>
    <cellStyle name="Normal 2 34 2 15 2 2" xfId="31242"/>
    <cellStyle name="Normal 2 34 2 15 3" xfId="12945"/>
    <cellStyle name="Normal 2 34 2 15 3 2" xfId="31243"/>
    <cellStyle name="Normal 2 34 2 15 4" xfId="12946"/>
    <cellStyle name="Normal 2 34 2 15 4 2" xfId="31244"/>
    <cellStyle name="Normal 2 34 2 15 5" xfId="12947"/>
    <cellStyle name="Normal 2 34 2 15 5 2" xfId="31245"/>
    <cellStyle name="Normal 2 34 2 15 6" xfId="31241"/>
    <cellStyle name="Normal 2 34 2 16" xfId="12948"/>
    <cellStyle name="Normal 2 34 2 16 2" xfId="12949"/>
    <cellStyle name="Normal 2 34 2 16 2 2" xfId="31247"/>
    <cellStyle name="Normal 2 34 2 16 3" xfId="12950"/>
    <cellStyle name="Normal 2 34 2 16 3 2" xfId="31248"/>
    <cellStyle name="Normal 2 34 2 16 4" xfId="12951"/>
    <cellStyle name="Normal 2 34 2 16 4 2" xfId="31249"/>
    <cellStyle name="Normal 2 34 2 16 5" xfId="12952"/>
    <cellStyle name="Normal 2 34 2 16 5 2" xfId="31250"/>
    <cellStyle name="Normal 2 34 2 16 6" xfId="31246"/>
    <cellStyle name="Normal 2 34 2 17" xfId="12953"/>
    <cellStyle name="Normal 2 34 2 17 2" xfId="31251"/>
    <cellStyle name="Normal 2 34 2 18" xfId="12954"/>
    <cellStyle name="Normal 2 34 2 18 2" xfId="31252"/>
    <cellStyle name="Normal 2 34 2 19" xfId="12955"/>
    <cellStyle name="Normal 2 34 2 19 2" xfId="31253"/>
    <cellStyle name="Normal 2 34 2 2" xfId="12956"/>
    <cellStyle name="Normal 2 34 2 20" xfId="12957"/>
    <cellStyle name="Normal 2 34 2 20 2" xfId="31254"/>
    <cellStyle name="Normal 2 34 2 21" xfId="31215"/>
    <cellStyle name="Normal 2 34 2 3" xfId="12958"/>
    <cellStyle name="Normal 2 34 2 3 2" xfId="12959"/>
    <cellStyle name="Normal 2 34 2 3 2 2" xfId="31256"/>
    <cellStyle name="Normal 2 34 2 3 3" xfId="12960"/>
    <cellStyle name="Normal 2 34 2 3 3 2" xfId="31257"/>
    <cellStyle name="Normal 2 34 2 3 4" xfId="12961"/>
    <cellStyle name="Normal 2 34 2 3 4 2" xfId="31258"/>
    <cellStyle name="Normal 2 34 2 3 5" xfId="12962"/>
    <cellStyle name="Normal 2 34 2 3 5 2" xfId="31259"/>
    <cellStyle name="Normal 2 34 2 3 6" xfId="31255"/>
    <cellStyle name="Normal 2 34 2 4" xfId="12963"/>
    <cellStyle name="Normal 2 34 2 4 2" xfId="12964"/>
    <cellStyle name="Normal 2 34 2 4 2 2" xfId="31261"/>
    <cellStyle name="Normal 2 34 2 4 3" xfId="12965"/>
    <cellStyle name="Normal 2 34 2 4 3 2" xfId="31262"/>
    <cellStyle name="Normal 2 34 2 4 4" xfId="12966"/>
    <cellStyle name="Normal 2 34 2 4 4 2" xfId="31263"/>
    <cellStyle name="Normal 2 34 2 4 5" xfId="12967"/>
    <cellStyle name="Normal 2 34 2 4 5 2" xfId="31264"/>
    <cellStyle name="Normal 2 34 2 4 6" xfId="31260"/>
    <cellStyle name="Normal 2 34 2 5" xfId="12968"/>
    <cellStyle name="Normal 2 34 2 5 2" xfId="12969"/>
    <cellStyle name="Normal 2 34 2 5 2 2" xfId="31266"/>
    <cellStyle name="Normal 2 34 2 5 3" xfId="12970"/>
    <cellStyle name="Normal 2 34 2 5 3 2" xfId="31267"/>
    <cellStyle name="Normal 2 34 2 5 4" xfId="12971"/>
    <cellStyle name="Normal 2 34 2 5 4 2" xfId="31268"/>
    <cellStyle name="Normal 2 34 2 5 5" xfId="12972"/>
    <cellStyle name="Normal 2 34 2 5 5 2" xfId="31269"/>
    <cellStyle name="Normal 2 34 2 5 6" xfId="31265"/>
    <cellStyle name="Normal 2 34 2 6" xfId="12973"/>
    <cellStyle name="Normal 2 34 2 6 2" xfId="12974"/>
    <cellStyle name="Normal 2 34 2 6 2 2" xfId="31271"/>
    <cellStyle name="Normal 2 34 2 6 3" xfId="12975"/>
    <cellStyle name="Normal 2 34 2 6 3 2" xfId="31272"/>
    <cellStyle name="Normal 2 34 2 6 4" xfId="12976"/>
    <cellStyle name="Normal 2 34 2 6 4 2" xfId="31273"/>
    <cellStyle name="Normal 2 34 2 6 5" xfId="12977"/>
    <cellStyle name="Normal 2 34 2 6 5 2" xfId="31274"/>
    <cellStyle name="Normal 2 34 2 6 6" xfId="31270"/>
    <cellStyle name="Normal 2 34 2 7" xfId="12978"/>
    <cellStyle name="Normal 2 34 2 7 2" xfId="12979"/>
    <cellStyle name="Normal 2 34 2 7 2 2" xfId="31276"/>
    <cellStyle name="Normal 2 34 2 7 3" xfId="12980"/>
    <cellStyle name="Normal 2 34 2 7 3 2" xfId="31277"/>
    <cellStyle name="Normal 2 34 2 7 4" xfId="12981"/>
    <cellStyle name="Normal 2 34 2 7 4 2" xfId="31278"/>
    <cellStyle name="Normal 2 34 2 7 5" xfId="12982"/>
    <cellStyle name="Normal 2 34 2 7 5 2" xfId="31279"/>
    <cellStyle name="Normal 2 34 2 7 6" xfId="31275"/>
    <cellStyle name="Normal 2 34 2 8" xfId="12983"/>
    <cellStyle name="Normal 2 34 2 8 2" xfId="12984"/>
    <cellStyle name="Normal 2 34 2 8 2 2" xfId="31281"/>
    <cellStyle name="Normal 2 34 2 8 3" xfId="12985"/>
    <cellStyle name="Normal 2 34 2 8 3 2" xfId="31282"/>
    <cellStyle name="Normal 2 34 2 8 4" xfId="12986"/>
    <cellStyle name="Normal 2 34 2 8 4 2" xfId="31283"/>
    <cellStyle name="Normal 2 34 2 8 5" xfId="12987"/>
    <cellStyle name="Normal 2 34 2 8 5 2" xfId="31284"/>
    <cellStyle name="Normal 2 34 2 8 6" xfId="31280"/>
    <cellStyle name="Normal 2 34 2 9" xfId="12988"/>
    <cellStyle name="Normal 2 34 2 9 2" xfId="12989"/>
    <cellStyle name="Normal 2 34 2 9 2 2" xfId="31286"/>
    <cellStyle name="Normal 2 34 2 9 3" xfId="12990"/>
    <cellStyle name="Normal 2 34 2 9 3 2" xfId="31287"/>
    <cellStyle name="Normal 2 34 2 9 4" xfId="12991"/>
    <cellStyle name="Normal 2 34 2 9 4 2" xfId="31288"/>
    <cellStyle name="Normal 2 34 2 9 5" xfId="12992"/>
    <cellStyle name="Normal 2 34 2 9 5 2" xfId="31289"/>
    <cellStyle name="Normal 2 34 2 9 6" xfId="31285"/>
    <cellStyle name="Normal 2 34 20" xfId="12993"/>
    <cellStyle name="Normal 2 34 20 2" xfId="31290"/>
    <cellStyle name="Normal 2 34 21" xfId="12994"/>
    <cellStyle name="Normal 2 34 21 2" xfId="31291"/>
    <cellStyle name="Normal 2 34 22" xfId="12995"/>
    <cellStyle name="Normal 2 34 22 2" xfId="31292"/>
    <cellStyle name="Normal 2 34 23" xfId="12996"/>
    <cellStyle name="Normal 2 34 23 2" xfId="31293"/>
    <cellStyle name="Normal 2 34 24" xfId="12997"/>
    <cellStyle name="Normal 2 34 24 2" xfId="31294"/>
    <cellStyle name="Normal 2 34 3" xfId="12998"/>
    <cellStyle name="Normal 2 34 3 2" xfId="12999"/>
    <cellStyle name="Normal 2 34 3 3" xfId="13000"/>
    <cellStyle name="Normal 2 34 3 3 2" xfId="31296"/>
    <cellStyle name="Normal 2 34 3 4" xfId="13001"/>
    <cellStyle name="Normal 2 34 3 4 2" xfId="31297"/>
    <cellStyle name="Normal 2 34 3 5" xfId="13002"/>
    <cellStyle name="Normal 2 34 3 5 2" xfId="31298"/>
    <cellStyle name="Normal 2 34 3 6" xfId="13003"/>
    <cellStyle name="Normal 2 34 3 6 2" xfId="31299"/>
    <cellStyle name="Normal 2 34 3 7" xfId="31295"/>
    <cellStyle name="Normal 2 34 4" xfId="13004"/>
    <cellStyle name="Normal 2 34 4 2" xfId="13005"/>
    <cellStyle name="Normal 2 34 4 3" xfId="13006"/>
    <cellStyle name="Normal 2 34 4 3 2" xfId="31301"/>
    <cellStyle name="Normal 2 34 4 4" xfId="13007"/>
    <cellStyle name="Normal 2 34 4 4 2" xfId="31302"/>
    <cellStyle name="Normal 2 34 4 5" xfId="13008"/>
    <cellStyle name="Normal 2 34 4 5 2" xfId="31303"/>
    <cellStyle name="Normal 2 34 4 6" xfId="13009"/>
    <cellStyle name="Normal 2 34 4 6 2" xfId="31304"/>
    <cellStyle name="Normal 2 34 4 7" xfId="31300"/>
    <cellStyle name="Normal 2 34 5" xfId="13010"/>
    <cellStyle name="Normal 2 34 5 2" xfId="13011"/>
    <cellStyle name="Normal 2 34 5 3" xfId="13012"/>
    <cellStyle name="Normal 2 34 5 3 2" xfId="31306"/>
    <cellStyle name="Normal 2 34 5 4" xfId="13013"/>
    <cellStyle name="Normal 2 34 5 4 2" xfId="31307"/>
    <cellStyle name="Normal 2 34 5 5" xfId="13014"/>
    <cellStyle name="Normal 2 34 5 5 2" xfId="31308"/>
    <cellStyle name="Normal 2 34 5 6" xfId="13015"/>
    <cellStyle name="Normal 2 34 5 6 2" xfId="31309"/>
    <cellStyle name="Normal 2 34 5 7" xfId="31305"/>
    <cellStyle name="Normal 2 34 6" xfId="13016"/>
    <cellStyle name="Normal 2 34 6 2" xfId="13017"/>
    <cellStyle name="Normal 2 34 6 2 2" xfId="31311"/>
    <cellStyle name="Normal 2 34 6 3" xfId="13018"/>
    <cellStyle name="Normal 2 34 6 3 2" xfId="31312"/>
    <cellStyle name="Normal 2 34 6 4" xfId="13019"/>
    <cellStyle name="Normal 2 34 6 4 2" xfId="31313"/>
    <cellStyle name="Normal 2 34 6 5" xfId="13020"/>
    <cellStyle name="Normal 2 34 6 5 2" xfId="31314"/>
    <cellStyle name="Normal 2 34 6 6" xfId="31310"/>
    <cellStyle name="Normal 2 34 7" xfId="13021"/>
    <cellStyle name="Normal 2 34 7 2" xfId="13022"/>
    <cellStyle name="Normal 2 34 7 2 2" xfId="31316"/>
    <cellStyle name="Normal 2 34 7 3" xfId="13023"/>
    <cellStyle name="Normal 2 34 7 3 2" xfId="31317"/>
    <cellStyle name="Normal 2 34 7 4" xfId="13024"/>
    <cellStyle name="Normal 2 34 7 4 2" xfId="31318"/>
    <cellStyle name="Normal 2 34 7 5" xfId="13025"/>
    <cellStyle name="Normal 2 34 7 5 2" xfId="31319"/>
    <cellStyle name="Normal 2 34 7 6" xfId="31315"/>
    <cellStyle name="Normal 2 34 8" xfId="13026"/>
    <cellStyle name="Normal 2 34 8 2" xfId="13027"/>
    <cellStyle name="Normal 2 34 8 2 2" xfId="31321"/>
    <cellStyle name="Normal 2 34 8 3" xfId="13028"/>
    <cellStyle name="Normal 2 34 8 3 2" xfId="31322"/>
    <cellStyle name="Normal 2 34 8 4" xfId="13029"/>
    <cellStyle name="Normal 2 34 8 4 2" xfId="31323"/>
    <cellStyle name="Normal 2 34 8 5" xfId="13030"/>
    <cellStyle name="Normal 2 34 8 5 2" xfId="31324"/>
    <cellStyle name="Normal 2 34 8 6" xfId="31320"/>
    <cellStyle name="Normal 2 34 9" xfId="13031"/>
    <cellStyle name="Normal 2 34 9 2" xfId="13032"/>
    <cellStyle name="Normal 2 34 9 2 2" xfId="31326"/>
    <cellStyle name="Normal 2 34 9 3" xfId="13033"/>
    <cellStyle name="Normal 2 34 9 3 2" xfId="31327"/>
    <cellStyle name="Normal 2 34 9 4" xfId="13034"/>
    <cellStyle name="Normal 2 34 9 4 2" xfId="31328"/>
    <cellStyle name="Normal 2 34 9 5" xfId="13035"/>
    <cellStyle name="Normal 2 34 9 5 2" xfId="31329"/>
    <cellStyle name="Normal 2 34 9 6" xfId="31325"/>
    <cellStyle name="Normal 2 35" xfId="13036"/>
    <cellStyle name="Normal 2 36" xfId="13037"/>
    <cellStyle name="Normal 2 36 2" xfId="13038"/>
    <cellStyle name="Normal 2 36 3" xfId="13039"/>
    <cellStyle name="Normal 2 36 4" xfId="13040"/>
    <cellStyle name="Normal 2 36 5" xfId="13041"/>
    <cellStyle name="Normal 2 36 6" xfId="13042"/>
    <cellStyle name="Normal 2 36 7" xfId="13043"/>
    <cellStyle name="Normal 2 37" xfId="13044"/>
    <cellStyle name="Normal 2 38" xfId="13045"/>
    <cellStyle name="Normal 2 39" xfId="13046"/>
    <cellStyle name="Normal 2 4" xfId="13047"/>
    <cellStyle name="Normal 2 4 10" xfId="13048"/>
    <cellStyle name="Normal 2 4 10 2" xfId="13049"/>
    <cellStyle name="Normal 2 4 11" xfId="13050"/>
    <cellStyle name="Normal 2 4 11 2" xfId="13051"/>
    <cellStyle name="Normal 2 4 12" xfId="13052"/>
    <cellStyle name="Normal 2 4 12 2" xfId="13053"/>
    <cellStyle name="Normal 2 4 13" xfId="13054"/>
    <cellStyle name="Normal 2 4 14" xfId="13055"/>
    <cellStyle name="Normal 2 4 14 2" xfId="13056"/>
    <cellStyle name="Normal 2 4 15" xfId="13057"/>
    <cellStyle name="Normal 2 4 15 2" xfId="13058"/>
    <cellStyle name="Normal 2 4 16" xfId="13059"/>
    <cellStyle name="Normal 2 4 16 2" xfId="13060"/>
    <cellStyle name="Normal 2 4 17" xfId="13061"/>
    <cellStyle name="Normal 2 4 18" xfId="13062"/>
    <cellStyle name="Normal 2 4 19" xfId="13063"/>
    <cellStyle name="Normal 2 4 2" xfId="13064"/>
    <cellStyle name="Normal 2 4 2 2" xfId="13065"/>
    <cellStyle name="Normal 2 4 2 3" xfId="13066"/>
    <cellStyle name="Normal 2 4 2 4" xfId="13067"/>
    <cellStyle name="Normal 2 4 2 5" xfId="13068"/>
    <cellStyle name="Normal 2 4 2 6" xfId="13069"/>
    <cellStyle name="Normal 2 4 2 7" xfId="13070"/>
    <cellStyle name="Normal 2 4 2 8" xfId="40657"/>
    <cellStyle name="Normal 2 4 20" xfId="13071"/>
    <cellStyle name="Normal 2 4 21" xfId="13072"/>
    <cellStyle name="Normal 2 4 22" xfId="13073"/>
    <cellStyle name="Normal 2 4 23" xfId="13074"/>
    <cellStyle name="Normal 2 4 24" xfId="13075"/>
    <cellStyle name="Normal 2 4 25" xfId="13076"/>
    <cellStyle name="Normal 2 4 26" xfId="13077"/>
    <cellStyle name="Normal 2 4 27" xfId="13078"/>
    <cellStyle name="Normal 2 4 28" xfId="13079"/>
    <cellStyle name="Normal 2 4 29" xfId="13080"/>
    <cellStyle name="Normal 2 4 3" xfId="13081"/>
    <cellStyle name="Normal 2 4 3 2" xfId="40658"/>
    <cellStyle name="Normal 2 4 30" xfId="13082"/>
    <cellStyle name="Normal 2 4 31" xfId="13083"/>
    <cellStyle name="Normal 2 4 32" xfId="13084"/>
    <cellStyle name="Normal 2 4 4" xfId="13085"/>
    <cellStyle name="Normal 2 4 4 10" xfId="13086"/>
    <cellStyle name="Normal 2 4 4 11" xfId="13087"/>
    <cellStyle name="Normal 2 4 4 12" xfId="13088"/>
    <cellStyle name="Normal 2 4 4 13" xfId="13089"/>
    <cellStyle name="Normal 2 4 4 14" xfId="13090"/>
    <cellStyle name="Normal 2 4 4 15" xfId="13091"/>
    <cellStyle name="Normal 2 4 4 16" xfId="13092"/>
    <cellStyle name="Normal 2 4 4 17" xfId="40659"/>
    <cellStyle name="Normal 2 4 4 2" xfId="13093"/>
    <cellStyle name="Normal 2 4 4 3" xfId="13094"/>
    <cellStyle name="Normal 2 4 4 4" xfId="13095"/>
    <cellStyle name="Normal 2 4 4 5" xfId="13096"/>
    <cellStyle name="Normal 2 4 4 6" xfId="13097"/>
    <cellStyle name="Normal 2 4 4 7" xfId="13098"/>
    <cellStyle name="Normal 2 4 4 8" xfId="13099"/>
    <cellStyle name="Normal 2 4 4 9" xfId="13100"/>
    <cellStyle name="Normal 2 4 5" xfId="13101"/>
    <cellStyle name="Normal 2 4 5 10" xfId="13102"/>
    <cellStyle name="Normal 2 4 5 11" xfId="13103"/>
    <cellStyle name="Normal 2 4 5 12" xfId="13104"/>
    <cellStyle name="Normal 2 4 5 13" xfId="13105"/>
    <cellStyle name="Normal 2 4 5 14" xfId="13106"/>
    <cellStyle name="Normal 2 4 5 15" xfId="13107"/>
    <cellStyle name="Normal 2 4 5 16" xfId="13108"/>
    <cellStyle name="Normal 2 4 5 2" xfId="13109"/>
    <cellStyle name="Normal 2 4 5 3" xfId="13110"/>
    <cellStyle name="Normal 2 4 5 4" xfId="13111"/>
    <cellStyle name="Normal 2 4 5 5" xfId="13112"/>
    <cellStyle name="Normal 2 4 5 6" xfId="13113"/>
    <cellStyle name="Normal 2 4 5 7" xfId="13114"/>
    <cellStyle name="Normal 2 4 5 8" xfId="13115"/>
    <cellStyle name="Normal 2 4 5 9" xfId="13116"/>
    <cellStyle name="Normal 2 4 6" xfId="13117"/>
    <cellStyle name="Normal 2 4 6 2" xfId="13118"/>
    <cellStyle name="Normal 2 4 7" xfId="13119"/>
    <cellStyle name="Normal 2 4 7 2" xfId="13120"/>
    <cellStyle name="Normal 2 4 8" xfId="13121"/>
    <cellStyle name="Normal 2 4 8 2" xfId="13122"/>
    <cellStyle name="Normal 2 4 9" xfId="13123"/>
    <cellStyle name="Normal 2 4 9 2" xfId="13124"/>
    <cellStyle name="Normal 2 40" xfId="13125"/>
    <cellStyle name="Normal 2 41" xfId="13126"/>
    <cellStyle name="Normal 2 42" xfId="13127"/>
    <cellStyle name="Normal 2 43" xfId="13128"/>
    <cellStyle name="Normal 2 44" xfId="13129"/>
    <cellStyle name="Normal 2 45" xfId="13130"/>
    <cellStyle name="Normal 2 45 10" xfId="13131"/>
    <cellStyle name="Normal 2 45 11" xfId="13132"/>
    <cellStyle name="Normal 2 45 12" xfId="13133"/>
    <cellStyle name="Normal 2 45 13" xfId="13134"/>
    <cellStyle name="Normal 2 45 14" xfId="13135"/>
    <cellStyle name="Normal 2 45 15" xfId="13136"/>
    <cellStyle name="Normal 2 45 16" xfId="13137"/>
    <cellStyle name="Normal 2 45 2" xfId="13138"/>
    <cellStyle name="Normal 2 45 3" xfId="13139"/>
    <cellStyle name="Normal 2 45 4" xfId="13140"/>
    <cellStyle name="Normal 2 45 5" xfId="13141"/>
    <cellStyle name="Normal 2 45 6" xfId="13142"/>
    <cellStyle name="Normal 2 45 7" xfId="13143"/>
    <cellStyle name="Normal 2 45 8" xfId="13144"/>
    <cellStyle name="Normal 2 45 9" xfId="13145"/>
    <cellStyle name="Normal 2 46" xfId="13146"/>
    <cellStyle name="Normal 2 46 10" xfId="13147"/>
    <cellStyle name="Normal 2 46 11" xfId="13148"/>
    <cellStyle name="Normal 2 46 12" xfId="13149"/>
    <cellStyle name="Normal 2 46 13" xfId="13150"/>
    <cellStyle name="Normal 2 46 14" xfId="13151"/>
    <cellStyle name="Normal 2 46 15" xfId="13152"/>
    <cellStyle name="Normal 2 46 16" xfId="13153"/>
    <cellStyle name="Normal 2 46 2" xfId="13154"/>
    <cellStyle name="Normal 2 46 2 10" xfId="13155"/>
    <cellStyle name="Normal 2 46 2 10 2" xfId="31331"/>
    <cellStyle name="Normal 2 46 2 11" xfId="13156"/>
    <cellStyle name="Normal 2 46 2 11 2" xfId="31332"/>
    <cellStyle name="Normal 2 46 2 12" xfId="31330"/>
    <cellStyle name="Normal 2 46 2 2" xfId="13157"/>
    <cellStyle name="Normal 2 46 2 2 2" xfId="13158"/>
    <cellStyle name="Normal 2 46 2 2 2 2" xfId="31334"/>
    <cellStyle name="Normal 2 46 2 2 3" xfId="13159"/>
    <cellStyle name="Normal 2 46 2 2 3 2" xfId="31335"/>
    <cellStyle name="Normal 2 46 2 2 4" xfId="13160"/>
    <cellStyle name="Normal 2 46 2 2 4 2" xfId="31336"/>
    <cellStyle name="Normal 2 46 2 2 5" xfId="13161"/>
    <cellStyle name="Normal 2 46 2 2 5 2" xfId="31337"/>
    <cellStyle name="Normal 2 46 2 2 6" xfId="31333"/>
    <cellStyle name="Normal 2 46 2 3" xfId="13162"/>
    <cellStyle name="Normal 2 46 2 3 2" xfId="13163"/>
    <cellStyle name="Normal 2 46 2 3 2 2" xfId="31339"/>
    <cellStyle name="Normal 2 46 2 3 3" xfId="13164"/>
    <cellStyle name="Normal 2 46 2 3 3 2" xfId="31340"/>
    <cellStyle name="Normal 2 46 2 3 4" xfId="13165"/>
    <cellStyle name="Normal 2 46 2 3 4 2" xfId="31341"/>
    <cellStyle name="Normal 2 46 2 3 5" xfId="13166"/>
    <cellStyle name="Normal 2 46 2 3 5 2" xfId="31342"/>
    <cellStyle name="Normal 2 46 2 3 6" xfId="31338"/>
    <cellStyle name="Normal 2 46 2 4" xfId="13167"/>
    <cellStyle name="Normal 2 46 2 4 2" xfId="13168"/>
    <cellStyle name="Normal 2 46 2 4 2 2" xfId="31344"/>
    <cellStyle name="Normal 2 46 2 4 3" xfId="13169"/>
    <cellStyle name="Normal 2 46 2 4 3 2" xfId="31345"/>
    <cellStyle name="Normal 2 46 2 4 4" xfId="13170"/>
    <cellStyle name="Normal 2 46 2 4 4 2" xfId="31346"/>
    <cellStyle name="Normal 2 46 2 4 5" xfId="13171"/>
    <cellStyle name="Normal 2 46 2 4 5 2" xfId="31347"/>
    <cellStyle name="Normal 2 46 2 4 6" xfId="31343"/>
    <cellStyle name="Normal 2 46 2 5" xfId="13172"/>
    <cellStyle name="Normal 2 46 2 5 2" xfId="13173"/>
    <cellStyle name="Normal 2 46 2 5 2 2" xfId="31349"/>
    <cellStyle name="Normal 2 46 2 5 3" xfId="13174"/>
    <cellStyle name="Normal 2 46 2 5 3 2" xfId="31350"/>
    <cellStyle name="Normal 2 46 2 5 4" xfId="13175"/>
    <cellStyle name="Normal 2 46 2 5 4 2" xfId="31351"/>
    <cellStyle name="Normal 2 46 2 5 5" xfId="13176"/>
    <cellStyle name="Normal 2 46 2 5 5 2" xfId="31352"/>
    <cellStyle name="Normal 2 46 2 5 6" xfId="31348"/>
    <cellStyle name="Normal 2 46 2 6" xfId="13177"/>
    <cellStyle name="Normal 2 46 2 6 2" xfId="13178"/>
    <cellStyle name="Normal 2 46 2 6 2 2" xfId="31354"/>
    <cellStyle name="Normal 2 46 2 6 3" xfId="13179"/>
    <cellStyle name="Normal 2 46 2 6 3 2" xfId="31355"/>
    <cellStyle name="Normal 2 46 2 6 4" xfId="13180"/>
    <cellStyle name="Normal 2 46 2 6 4 2" xfId="31356"/>
    <cellStyle name="Normal 2 46 2 6 5" xfId="13181"/>
    <cellStyle name="Normal 2 46 2 6 5 2" xfId="31357"/>
    <cellStyle name="Normal 2 46 2 6 6" xfId="31353"/>
    <cellStyle name="Normal 2 46 2 7" xfId="13182"/>
    <cellStyle name="Normal 2 46 2 7 2" xfId="13183"/>
    <cellStyle name="Normal 2 46 2 7 2 2" xfId="31359"/>
    <cellStyle name="Normal 2 46 2 7 3" xfId="13184"/>
    <cellStyle name="Normal 2 46 2 7 3 2" xfId="31360"/>
    <cellStyle name="Normal 2 46 2 7 4" xfId="13185"/>
    <cellStyle name="Normal 2 46 2 7 4 2" xfId="31361"/>
    <cellStyle name="Normal 2 46 2 7 5" xfId="13186"/>
    <cellStyle name="Normal 2 46 2 7 5 2" xfId="31362"/>
    <cellStyle name="Normal 2 46 2 7 6" xfId="31358"/>
    <cellStyle name="Normal 2 46 2 8" xfId="13187"/>
    <cellStyle name="Normal 2 46 2 8 2" xfId="31363"/>
    <cellStyle name="Normal 2 46 2 9" xfId="13188"/>
    <cellStyle name="Normal 2 46 2 9 2" xfId="31364"/>
    <cellStyle name="Normal 2 46 3" xfId="13189"/>
    <cellStyle name="Normal 2 46 4" xfId="13190"/>
    <cellStyle name="Normal 2 46 5" xfId="13191"/>
    <cellStyle name="Normal 2 46 6" xfId="13192"/>
    <cellStyle name="Normal 2 46 7" xfId="13193"/>
    <cellStyle name="Normal 2 46 8" xfId="13194"/>
    <cellStyle name="Normal 2 46 9" xfId="13195"/>
    <cellStyle name="Normal 2 47" xfId="13196"/>
    <cellStyle name="Normal 2 47 10" xfId="13197"/>
    <cellStyle name="Normal 2 47 11" xfId="13198"/>
    <cellStyle name="Normal 2 47 12" xfId="13199"/>
    <cellStyle name="Normal 2 47 13" xfId="13200"/>
    <cellStyle name="Normal 2 47 14" xfId="13201"/>
    <cellStyle name="Normal 2 47 15" xfId="13202"/>
    <cellStyle name="Normal 2 47 16" xfId="13203"/>
    <cellStyle name="Normal 2 47 2" xfId="13204"/>
    <cellStyle name="Normal 2 47 2 10" xfId="13205"/>
    <cellStyle name="Normal 2 47 2 10 2" xfId="31366"/>
    <cellStyle name="Normal 2 47 2 11" xfId="13206"/>
    <cellStyle name="Normal 2 47 2 11 2" xfId="31367"/>
    <cellStyle name="Normal 2 47 2 12" xfId="31365"/>
    <cellStyle name="Normal 2 47 2 2" xfId="13207"/>
    <cellStyle name="Normal 2 47 2 2 2" xfId="13208"/>
    <cellStyle name="Normal 2 47 2 2 2 2" xfId="31369"/>
    <cellStyle name="Normal 2 47 2 2 3" xfId="13209"/>
    <cellStyle name="Normal 2 47 2 2 3 2" xfId="31370"/>
    <cellStyle name="Normal 2 47 2 2 4" xfId="13210"/>
    <cellStyle name="Normal 2 47 2 2 4 2" xfId="31371"/>
    <cellStyle name="Normal 2 47 2 2 5" xfId="13211"/>
    <cellStyle name="Normal 2 47 2 2 5 2" xfId="31372"/>
    <cellStyle name="Normal 2 47 2 2 6" xfId="31368"/>
    <cellStyle name="Normal 2 47 2 3" xfId="13212"/>
    <cellStyle name="Normal 2 47 2 3 2" xfId="13213"/>
    <cellStyle name="Normal 2 47 2 3 2 2" xfId="31374"/>
    <cellStyle name="Normal 2 47 2 3 3" xfId="13214"/>
    <cellStyle name="Normal 2 47 2 3 3 2" xfId="31375"/>
    <cellStyle name="Normal 2 47 2 3 4" xfId="13215"/>
    <cellStyle name="Normal 2 47 2 3 4 2" xfId="31376"/>
    <cellStyle name="Normal 2 47 2 3 5" xfId="13216"/>
    <cellStyle name="Normal 2 47 2 3 5 2" xfId="31377"/>
    <cellStyle name="Normal 2 47 2 3 6" xfId="31373"/>
    <cellStyle name="Normal 2 47 2 4" xfId="13217"/>
    <cellStyle name="Normal 2 47 2 4 2" xfId="13218"/>
    <cellStyle name="Normal 2 47 2 4 2 2" xfId="31379"/>
    <cellStyle name="Normal 2 47 2 4 3" xfId="13219"/>
    <cellStyle name="Normal 2 47 2 4 3 2" xfId="31380"/>
    <cellStyle name="Normal 2 47 2 4 4" xfId="13220"/>
    <cellStyle name="Normal 2 47 2 4 4 2" xfId="31381"/>
    <cellStyle name="Normal 2 47 2 4 5" xfId="13221"/>
    <cellStyle name="Normal 2 47 2 4 5 2" xfId="31382"/>
    <cellStyle name="Normal 2 47 2 4 6" xfId="31378"/>
    <cellStyle name="Normal 2 47 2 5" xfId="13222"/>
    <cellStyle name="Normal 2 47 2 5 2" xfId="13223"/>
    <cellStyle name="Normal 2 47 2 5 2 2" xfId="31384"/>
    <cellStyle name="Normal 2 47 2 5 3" xfId="13224"/>
    <cellStyle name="Normal 2 47 2 5 3 2" xfId="31385"/>
    <cellStyle name="Normal 2 47 2 5 4" xfId="13225"/>
    <cellStyle name="Normal 2 47 2 5 4 2" xfId="31386"/>
    <cellStyle name="Normal 2 47 2 5 5" xfId="13226"/>
    <cellStyle name="Normal 2 47 2 5 5 2" xfId="31387"/>
    <cellStyle name="Normal 2 47 2 5 6" xfId="31383"/>
    <cellStyle name="Normal 2 47 2 6" xfId="13227"/>
    <cellStyle name="Normal 2 47 2 6 2" xfId="13228"/>
    <cellStyle name="Normal 2 47 2 6 2 2" xfId="31389"/>
    <cellStyle name="Normal 2 47 2 6 3" xfId="13229"/>
    <cellStyle name="Normal 2 47 2 6 3 2" xfId="31390"/>
    <cellStyle name="Normal 2 47 2 6 4" xfId="13230"/>
    <cellStyle name="Normal 2 47 2 6 4 2" xfId="31391"/>
    <cellStyle name="Normal 2 47 2 6 5" xfId="13231"/>
    <cellStyle name="Normal 2 47 2 6 5 2" xfId="31392"/>
    <cellStyle name="Normal 2 47 2 6 6" xfId="31388"/>
    <cellStyle name="Normal 2 47 2 7" xfId="13232"/>
    <cellStyle name="Normal 2 47 2 7 2" xfId="13233"/>
    <cellStyle name="Normal 2 47 2 7 2 2" xfId="31394"/>
    <cellStyle name="Normal 2 47 2 7 3" xfId="13234"/>
    <cellStyle name="Normal 2 47 2 7 3 2" xfId="31395"/>
    <cellStyle name="Normal 2 47 2 7 4" xfId="13235"/>
    <cellStyle name="Normal 2 47 2 7 4 2" xfId="31396"/>
    <cellStyle name="Normal 2 47 2 7 5" xfId="13236"/>
    <cellStyle name="Normal 2 47 2 7 5 2" xfId="31397"/>
    <cellStyle name="Normal 2 47 2 7 6" xfId="31393"/>
    <cellStyle name="Normal 2 47 2 8" xfId="13237"/>
    <cellStyle name="Normal 2 47 2 8 2" xfId="31398"/>
    <cellStyle name="Normal 2 47 2 9" xfId="13238"/>
    <cellStyle name="Normal 2 47 2 9 2" xfId="31399"/>
    <cellStyle name="Normal 2 47 3" xfId="13239"/>
    <cellStyle name="Normal 2 47 4" xfId="13240"/>
    <cellStyle name="Normal 2 47 5" xfId="13241"/>
    <cellStyle name="Normal 2 47 6" xfId="13242"/>
    <cellStyle name="Normal 2 47 7" xfId="13243"/>
    <cellStyle name="Normal 2 47 8" xfId="13244"/>
    <cellStyle name="Normal 2 47 9" xfId="13245"/>
    <cellStyle name="Normal 2 48" xfId="13246"/>
    <cellStyle name="Normal 2 48 10" xfId="13247"/>
    <cellStyle name="Normal 2 48 11" xfId="13248"/>
    <cellStyle name="Normal 2 48 12" xfId="13249"/>
    <cellStyle name="Normal 2 48 13" xfId="13250"/>
    <cellStyle name="Normal 2 48 14" xfId="13251"/>
    <cellStyle name="Normal 2 48 15" xfId="13252"/>
    <cellStyle name="Normal 2 48 16" xfId="13253"/>
    <cellStyle name="Normal 2 48 2" xfId="13254"/>
    <cellStyle name="Normal 2 48 2 10" xfId="13255"/>
    <cellStyle name="Normal 2 48 2 10 2" xfId="31401"/>
    <cellStyle name="Normal 2 48 2 11" xfId="13256"/>
    <cellStyle name="Normal 2 48 2 11 2" xfId="31402"/>
    <cellStyle name="Normal 2 48 2 12" xfId="31400"/>
    <cellStyle name="Normal 2 48 2 2" xfId="13257"/>
    <cellStyle name="Normal 2 48 2 2 2" xfId="13258"/>
    <cellStyle name="Normal 2 48 2 2 2 2" xfId="31404"/>
    <cellStyle name="Normal 2 48 2 2 3" xfId="13259"/>
    <cellStyle name="Normal 2 48 2 2 3 2" xfId="31405"/>
    <cellStyle name="Normal 2 48 2 2 4" xfId="13260"/>
    <cellStyle name="Normal 2 48 2 2 4 2" xfId="31406"/>
    <cellStyle name="Normal 2 48 2 2 5" xfId="13261"/>
    <cellStyle name="Normal 2 48 2 2 5 2" xfId="31407"/>
    <cellStyle name="Normal 2 48 2 2 6" xfId="31403"/>
    <cellStyle name="Normal 2 48 2 3" xfId="13262"/>
    <cellStyle name="Normal 2 48 2 3 2" xfId="13263"/>
    <cellStyle name="Normal 2 48 2 3 2 2" xfId="31409"/>
    <cellStyle name="Normal 2 48 2 3 3" xfId="13264"/>
    <cellStyle name="Normal 2 48 2 3 3 2" xfId="31410"/>
    <cellStyle name="Normal 2 48 2 3 4" xfId="13265"/>
    <cellStyle name="Normal 2 48 2 3 4 2" xfId="31411"/>
    <cellStyle name="Normal 2 48 2 3 5" xfId="13266"/>
    <cellStyle name="Normal 2 48 2 3 5 2" xfId="31412"/>
    <cellStyle name="Normal 2 48 2 3 6" xfId="31408"/>
    <cellStyle name="Normal 2 48 2 4" xfId="13267"/>
    <cellStyle name="Normal 2 48 2 4 2" xfId="13268"/>
    <cellStyle name="Normal 2 48 2 4 2 2" xfId="31414"/>
    <cellStyle name="Normal 2 48 2 4 3" xfId="13269"/>
    <cellStyle name="Normal 2 48 2 4 3 2" xfId="31415"/>
    <cellStyle name="Normal 2 48 2 4 4" xfId="13270"/>
    <cellStyle name="Normal 2 48 2 4 4 2" xfId="31416"/>
    <cellStyle name="Normal 2 48 2 4 5" xfId="13271"/>
    <cellStyle name="Normal 2 48 2 4 5 2" xfId="31417"/>
    <cellStyle name="Normal 2 48 2 4 6" xfId="31413"/>
    <cellStyle name="Normal 2 48 2 5" xfId="13272"/>
    <cellStyle name="Normal 2 48 2 5 2" xfId="13273"/>
    <cellStyle name="Normal 2 48 2 5 2 2" xfId="31419"/>
    <cellStyle name="Normal 2 48 2 5 3" xfId="13274"/>
    <cellStyle name="Normal 2 48 2 5 3 2" xfId="31420"/>
    <cellStyle name="Normal 2 48 2 5 4" xfId="13275"/>
    <cellStyle name="Normal 2 48 2 5 4 2" xfId="31421"/>
    <cellStyle name="Normal 2 48 2 5 5" xfId="13276"/>
    <cellStyle name="Normal 2 48 2 5 5 2" xfId="31422"/>
    <cellStyle name="Normal 2 48 2 5 6" xfId="31418"/>
    <cellStyle name="Normal 2 48 2 6" xfId="13277"/>
    <cellStyle name="Normal 2 48 2 6 2" xfId="13278"/>
    <cellStyle name="Normal 2 48 2 6 2 2" xfId="31424"/>
    <cellStyle name="Normal 2 48 2 6 3" xfId="13279"/>
    <cellStyle name="Normal 2 48 2 6 3 2" xfId="31425"/>
    <cellStyle name="Normal 2 48 2 6 4" xfId="13280"/>
    <cellStyle name="Normal 2 48 2 6 4 2" xfId="31426"/>
    <cellStyle name="Normal 2 48 2 6 5" xfId="13281"/>
    <cellStyle name="Normal 2 48 2 6 5 2" xfId="31427"/>
    <cellStyle name="Normal 2 48 2 6 6" xfId="31423"/>
    <cellStyle name="Normal 2 48 2 7" xfId="13282"/>
    <cellStyle name="Normal 2 48 2 7 2" xfId="13283"/>
    <cellStyle name="Normal 2 48 2 7 2 2" xfId="31429"/>
    <cellStyle name="Normal 2 48 2 7 3" xfId="13284"/>
    <cellStyle name="Normal 2 48 2 7 3 2" xfId="31430"/>
    <cellStyle name="Normal 2 48 2 7 4" xfId="13285"/>
    <cellStyle name="Normal 2 48 2 7 4 2" xfId="31431"/>
    <cellStyle name="Normal 2 48 2 7 5" xfId="13286"/>
    <cellStyle name="Normal 2 48 2 7 5 2" xfId="31432"/>
    <cellStyle name="Normal 2 48 2 7 6" xfId="31428"/>
    <cellStyle name="Normal 2 48 2 8" xfId="13287"/>
    <cellStyle name="Normal 2 48 2 8 2" xfId="31433"/>
    <cellStyle name="Normal 2 48 2 9" xfId="13288"/>
    <cellStyle name="Normal 2 48 2 9 2" xfId="31434"/>
    <cellStyle name="Normal 2 48 3" xfId="13289"/>
    <cellStyle name="Normal 2 48 4" xfId="13290"/>
    <cellStyle name="Normal 2 48 5" xfId="13291"/>
    <cellStyle name="Normal 2 48 6" xfId="13292"/>
    <cellStyle name="Normal 2 48 7" xfId="13293"/>
    <cellStyle name="Normal 2 48 8" xfId="13294"/>
    <cellStyle name="Normal 2 48 9" xfId="13295"/>
    <cellStyle name="Normal 2 49" xfId="13296"/>
    <cellStyle name="Normal 2 49 10" xfId="13297"/>
    <cellStyle name="Normal 2 49 11" xfId="13298"/>
    <cellStyle name="Normal 2 49 12" xfId="13299"/>
    <cellStyle name="Normal 2 49 13" xfId="13300"/>
    <cellStyle name="Normal 2 49 14" xfId="13301"/>
    <cellStyle name="Normal 2 49 15" xfId="13302"/>
    <cellStyle name="Normal 2 49 16" xfId="13303"/>
    <cellStyle name="Normal 2 49 2" xfId="13304"/>
    <cellStyle name="Normal 2 49 2 10" xfId="13305"/>
    <cellStyle name="Normal 2 49 2 10 2" xfId="31436"/>
    <cellStyle name="Normal 2 49 2 11" xfId="13306"/>
    <cellStyle name="Normal 2 49 2 11 2" xfId="31437"/>
    <cellStyle name="Normal 2 49 2 12" xfId="31435"/>
    <cellStyle name="Normal 2 49 2 2" xfId="13307"/>
    <cellStyle name="Normal 2 49 2 2 2" xfId="13308"/>
    <cellStyle name="Normal 2 49 2 2 2 2" xfId="31439"/>
    <cellStyle name="Normal 2 49 2 2 3" xfId="13309"/>
    <cellStyle name="Normal 2 49 2 2 3 2" xfId="31440"/>
    <cellStyle name="Normal 2 49 2 2 4" xfId="13310"/>
    <cellStyle name="Normal 2 49 2 2 4 2" xfId="31441"/>
    <cellStyle name="Normal 2 49 2 2 5" xfId="13311"/>
    <cellStyle name="Normal 2 49 2 2 5 2" xfId="31442"/>
    <cellStyle name="Normal 2 49 2 2 6" xfId="31438"/>
    <cellStyle name="Normal 2 49 2 3" xfId="13312"/>
    <cellStyle name="Normal 2 49 2 3 2" xfId="13313"/>
    <cellStyle name="Normal 2 49 2 3 2 2" xfId="31444"/>
    <cellStyle name="Normal 2 49 2 3 3" xfId="13314"/>
    <cellStyle name="Normal 2 49 2 3 3 2" xfId="31445"/>
    <cellStyle name="Normal 2 49 2 3 4" xfId="13315"/>
    <cellStyle name="Normal 2 49 2 3 4 2" xfId="31446"/>
    <cellStyle name="Normal 2 49 2 3 5" xfId="13316"/>
    <cellStyle name="Normal 2 49 2 3 5 2" xfId="31447"/>
    <cellStyle name="Normal 2 49 2 3 6" xfId="31443"/>
    <cellStyle name="Normal 2 49 2 4" xfId="13317"/>
    <cellStyle name="Normal 2 49 2 4 2" xfId="13318"/>
    <cellStyle name="Normal 2 49 2 4 2 2" xfId="31449"/>
    <cellStyle name="Normal 2 49 2 4 3" xfId="13319"/>
    <cellStyle name="Normal 2 49 2 4 3 2" xfId="31450"/>
    <cellStyle name="Normal 2 49 2 4 4" xfId="13320"/>
    <cellStyle name="Normal 2 49 2 4 4 2" xfId="31451"/>
    <cellStyle name="Normal 2 49 2 4 5" xfId="13321"/>
    <cellStyle name="Normal 2 49 2 4 5 2" xfId="31452"/>
    <cellStyle name="Normal 2 49 2 4 6" xfId="31448"/>
    <cellStyle name="Normal 2 49 2 5" xfId="13322"/>
    <cellStyle name="Normal 2 49 2 5 2" xfId="13323"/>
    <cellStyle name="Normal 2 49 2 5 2 2" xfId="31454"/>
    <cellStyle name="Normal 2 49 2 5 3" xfId="13324"/>
    <cellStyle name="Normal 2 49 2 5 3 2" xfId="31455"/>
    <cellStyle name="Normal 2 49 2 5 4" xfId="13325"/>
    <cellStyle name="Normal 2 49 2 5 4 2" xfId="31456"/>
    <cellStyle name="Normal 2 49 2 5 5" xfId="13326"/>
    <cellStyle name="Normal 2 49 2 5 5 2" xfId="31457"/>
    <cellStyle name="Normal 2 49 2 5 6" xfId="31453"/>
    <cellStyle name="Normal 2 49 2 6" xfId="13327"/>
    <cellStyle name="Normal 2 49 2 6 2" xfId="13328"/>
    <cellStyle name="Normal 2 49 2 6 2 2" xfId="31459"/>
    <cellStyle name="Normal 2 49 2 6 3" xfId="13329"/>
    <cellStyle name="Normal 2 49 2 6 3 2" xfId="31460"/>
    <cellStyle name="Normal 2 49 2 6 4" xfId="13330"/>
    <cellStyle name="Normal 2 49 2 6 4 2" xfId="31461"/>
    <cellStyle name="Normal 2 49 2 6 5" xfId="13331"/>
    <cellStyle name="Normal 2 49 2 6 5 2" xfId="31462"/>
    <cellStyle name="Normal 2 49 2 6 6" xfId="31458"/>
    <cellStyle name="Normal 2 49 2 7" xfId="13332"/>
    <cellStyle name="Normal 2 49 2 7 2" xfId="13333"/>
    <cellStyle name="Normal 2 49 2 7 2 2" xfId="31464"/>
    <cellStyle name="Normal 2 49 2 7 3" xfId="13334"/>
    <cellStyle name="Normal 2 49 2 7 3 2" xfId="31465"/>
    <cellStyle name="Normal 2 49 2 7 4" xfId="13335"/>
    <cellStyle name="Normal 2 49 2 7 4 2" xfId="31466"/>
    <cellStyle name="Normal 2 49 2 7 5" xfId="13336"/>
    <cellStyle name="Normal 2 49 2 7 5 2" xfId="31467"/>
    <cellStyle name="Normal 2 49 2 7 6" xfId="31463"/>
    <cellStyle name="Normal 2 49 2 8" xfId="13337"/>
    <cellStyle name="Normal 2 49 2 8 2" xfId="31468"/>
    <cellStyle name="Normal 2 49 2 9" xfId="13338"/>
    <cellStyle name="Normal 2 49 2 9 2" xfId="31469"/>
    <cellStyle name="Normal 2 49 3" xfId="13339"/>
    <cellStyle name="Normal 2 49 4" xfId="13340"/>
    <cellStyle name="Normal 2 49 5" xfId="13341"/>
    <cellStyle name="Normal 2 49 6" xfId="13342"/>
    <cellStyle name="Normal 2 49 7" xfId="13343"/>
    <cellStyle name="Normal 2 49 8" xfId="13344"/>
    <cellStyle name="Normal 2 49 9" xfId="13345"/>
    <cellStyle name="Normal 2 5" xfId="13346"/>
    <cellStyle name="Normal 2 5 10" xfId="13347"/>
    <cellStyle name="Normal 2 5 11" xfId="13348"/>
    <cellStyle name="Normal 2 5 12" xfId="13349"/>
    <cellStyle name="Normal 2 5 13" xfId="13350"/>
    <cellStyle name="Normal 2 5 14" xfId="13351"/>
    <cellStyle name="Normal 2 5 15" xfId="13352"/>
    <cellStyle name="Normal 2 5 16" xfId="13353"/>
    <cellStyle name="Normal 2 5 17" xfId="13354"/>
    <cellStyle name="Normal 2 5 18" xfId="13355"/>
    <cellStyle name="Normal 2 5 19" xfId="13356"/>
    <cellStyle name="Normal 2 5 2" xfId="13357"/>
    <cellStyle name="Normal 2 5 2 10" xfId="13358"/>
    <cellStyle name="Normal 2 5 2 11" xfId="40660"/>
    <cellStyle name="Normal 2 5 2 2" xfId="13359"/>
    <cellStyle name="Normal 2 5 2 2 2" xfId="13360"/>
    <cellStyle name="Normal 2 5 2 2 3" xfId="13361"/>
    <cellStyle name="Normal 2 5 2 2 4" xfId="13362"/>
    <cellStyle name="Normal 2 5 2 2 5" xfId="13363"/>
    <cellStyle name="Normal 2 5 2 2 6" xfId="13364"/>
    <cellStyle name="Normal 2 5 2 2 7" xfId="13365"/>
    <cellStyle name="Normal 2 5 2 3" xfId="13366"/>
    <cellStyle name="Normal 2 5 2 4" xfId="13367"/>
    <cellStyle name="Normal 2 5 2 5" xfId="13368"/>
    <cellStyle name="Normal 2 5 2 6" xfId="13369"/>
    <cellStyle name="Normal 2 5 2 7" xfId="13370"/>
    <cellStyle name="Normal 2 5 2 8" xfId="13371"/>
    <cellStyle name="Normal 2 5 2 9" xfId="13372"/>
    <cellStyle name="Normal 2 5 20" xfId="13373"/>
    <cellStyle name="Normal 2 5 21" xfId="13374"/>
    <cellStyle name="Normal 2 5 22" xfId="13375"/>
    <cellStyle name="Normal 2 5 23" xfId="13376"/>
    <cellStyle name="Normal 2 5 24" xfId="13377"/>
    <cellStyle name="Normal 2 5 25" xfId="13378"/>
    <cellStyle name="Normal 2 5 26" xfId="13379"/>
    <cellStyle name="Normal 2 5 27" xfId="13380"/>
    <cellStyle name="Normal 2 5 28" xfId="13381"/>
    <cellStyle name="Normal 2 5 29" xfId="13382"/>
    <cellStyle name="Normal 2 5 3" xfId="13383"/>
    <cellStyle name="Normal 2 5 3 2" xfId="13384"/>
    <cellStyle name="Normal 2 5 3 3" xfId="13385"/>
    <cellStyle name="Normal 2 5 3 4" xfId="13386"/>
    <cellStyle name="Normal 2 5 3 5" xfId="13387"/>
    <cellStyle name="Normal 2 5 3 6" xfId="40661"/>
    <cellStyle name="Normal 2 5 30" xfId="13388"/>
    <cellStyle name="Normal 2 5 31" xfId="13389"/>
    <cellStyle name="Normal 2 5 4" xfId="13390"/>
    <cellStyle name="Normal 2 5 4 2" xfId="40662"/>
    <cellStyle name="Normal 2 5 5" xfId="13391"/>
    <cellStyle name="Normal 2 5 6" xfId="13392"/>
    <cellStyle name="Normal 2 5 7" xfId="13393"/>
    <cellStyle name="Normal 2 5 8" xfId="13394"/>
    <cellStyle name="Normal 2 5 9" xfId="13395"/>
    <cellStyle name="Normal 2 50" xfId="13396"/>
    <cellStyle name="Normal 2 51" xfId="13397"/>
    <cellStyle name="Normal 2 52" xfId="13398"/>
    <cellStyle name="Normal 2 53" xfId="13399"/>
    <cellStyle name="Normal 2 54" xfId="13400"/>
    <cellStyle name="Normal 2 55" xfId="13401"/>
    <cellStyle name="Normal 2 56" xfId="13402"/>
    <cellStyle name="Normal 2 57" xfId="13403"/>
    <cellStyle name="Normal 2 58" xfId="13404"/>
    <cellStyle name="Normal 2 59" xfId="13405"/>
    <cellStyle name="Normal 2 6" xfId="13406"/>
    <cellStyle name="Normal 2 6 10" xfId="13407"/>
    <cellStyle name="Normal 2 6 11" xfId="13408"/>
    <cellStyle name="Normal 2 6 12" xfId="13409"/>
    <cellStyle name="Normal 2 6 13" xfId="13410"/>
    <cellStyle name="Normal 2 6 14" xfId="13411"/>
    <cellStyle name="Normal 2 6 15" xfId="13412"/>
    <cellStyle name="Normal 2 6 16" xfId="13413"/>
    <cellStyle name="Normal 2 6 17" xfId="13414"/>
    <cellStyle name="Normal 2 6 18" xfId="13415"/>
    <cellStyle name="Normal 2 6 19" xfId="13416"/>
    <cellStyle name="Normal 2 6 2" xfId="13417"/>
    <cellStyle name="Normal 2 6 2 10" xfId="13418"/>
    <cellStyle name="Normal 2 6 2 11" xfId="40663"/>
    <cellStyle name="Normal 2 6 2 2" xfId="13419"/>
    <cellStyle name="Normal 2 6 2 2 2" xfId="13420"/>
    <cellStyle name="Normal 2 6 2 2 3" xfId="13421"/>
    <cellStyle name="Normal 2 6 2 2 4" xfId="13422"/>
    <cellStyle name="Normal 2 6 2 2 5" xfId="13423"/>
    <cellStyle name="Normal 2 6 2 2 6" xfId="13424"/>
    <cellStyle name="Normal 2 6 2 2 7" xfId="13425"/>
    <cellStyle name="Normal 2 6 2 3" xfId="13426"/>
    <cellStyle name="Normal 2 6 2 4" xfId="13427"/>
    <cellStyle name="Normal 2 6 2 5" xfId="13428"/>
    <cellStyle name="Normal 2 6 2 6" xfId="13429"/>
    <cellStyle name="Normal 2 6 2 7" xfId="13430"/>
    <cellStyle name="Normal 2 6 2 8" xfId="13431"/>
    <cellStyle name="Normal 2 6 2 9" xfId="13432"/>
    <cellStyle name="Normal 2 6 20" xfId="13433"/>
    <cellStyle name="Normal 2 6 21" xfId="13434"/>
    <cellStyle name="Normal 2 6 22" xfId="13435"/>
    <cellStyle name="Normal 2 6 23" xfId="13436"/>
    <cellStyle name="Normal 2 6 24" xfId="13437"/>
    <cellStyle name="Normal 2 6 25" xfId="13438"/>
    <cellStyle name="Normal 2 6 26" xfId="13439"/>
    <cellStyle name="Normal 2 6 27" xfId="13440"/>
    <cellStyle name="Normal 2 6 28" xfId="13441"/>
    <cellStyle name="Normal 2 6 29" xfId="13442"/>
    <cellStyle name="Normal 2 6 3" xfId="13443"/>
    <cellStyle name="Normal 2 6 3 2" xfId="13444"/>
    <cellStyle name="Normal 2 6 3 3" xfId="13445"/>
    <cellStyle name="Normal 2 6 3 4" xfId="13446"/>
    <cellStyle name="Normal 2 6 3 5" xfId="13447"/>
    <cellStyle name="Normal 2 6 3 6" xfId="40664"/>
    <cellStyle name="Normal 2 6 30" xfId="13448"/>
    <cellStyle name="Normal 2 6 31" xfId="13449"/>
    <cellStyle name="Normal 2 6 4" xfId="13450"/>
    <cellStyle name="Normal 2 6 4 2" xfId="40665"/>
    <cellStyle name="Normal 2 6 5" xfId="13451"/>
    <cellStyle name="Normal 2 6 6" xfId="13452"/>
    <cellStyle name="Normal 2 6 7" xfId="13453"/>
    <cellStyle name="Normal 2 6 8" xfId="13454"/>
    <cellStyle name="Normal 2 6 9" xfId="13455"/>
    <cellStyle name="Normal 2 60" xfId="13456"/>
    <cellStyle name="Normal 2 61" xfId="13457"/>
    <cellStyle name="Normal 2 62" xfId="13458"/>
    <cellStyle name="Normal 2 63" xfId="13459"/>
    <cellStyle name="Normal 2 64" xfId="13460"/>
    <cellStyle name="Normal 2 65" xfId="13461"/>
    <cellStyle name="Normal 2 66" xfId="13462"/>
    <cellStyle name="Normal 2 67" xfId="13463"/>
    <cellStyle name="Normal 2 68" xfId="13464"/>
    <cellStyle name="Normal 2 69" xfId="13465"/>
    <cellStyle name="Normal 2 7" xfId="13466"/>
    <cellStyle name="Normal 2 7 10" xfId="13467"/>
    <cellStyle name="Normal 2 7 11" xfId="13468"/>
    <cellStyle name="Normal 2 7 12" xfId="13469"/>
    <cellStyle name="Normal 2 7 13" xfId="13470"/>
    <cellStyle name="Normal 2 7 14" xfId="13471"/>
    <cellStyle name="Normal 2 7 15" xfId="13472"/>
    <cellStyle name="Normal 2 7 16" xfId="13473"/>
    <cellStyle name="Normal 2 7 17" xfId="13474"/>
    <cellStyle name="Normal 2 7 18" xfId="13475"/>
    <cellStyle name="Normal 2 7 19" xfId="13476"/>
    <cellStyle name="Normal 2 7 2" xfId="13477"/>
    <cellStyle name="Normal 2 7 2 10" xfId="13478"/>
    <cellStyle name="Normal 2 7 2 11" xfId="40666"/>
    <cellStyle name="Normal 2 7 2 2" xfId="13479"/>
    <cellStyle name="Normal 2 7 2 2 2" xfId="13480"/>
    <cellStyle name="Normal 2 7 2 2 3" xfId="13481"/>
    <cellStyle name="Normal 2 7 2 2 4" xfId="13482"/>
    <cellStyle name="Normal 2 7 2 2 5" xfId="13483"/>
    <cellStyle name="Normal 2 7 2 2 6" xfId="13484"/>
    <cellStyle name="Normal 2 7 2 2 7" xfId="13485"/>
    <cellStyle name="Normal 2 7 2 3" xfId="13486"/>
    <cellStyle name="Normal 2 7 2 4" xfId="13487"/>
    <cellStyle name="Normal 2 7 2 5" xfId="13488"/>
    <cellStyle name="Normal 2 7 2 6" xfId="13489"/>
    <cellStyle name="Normal 2 7 2 7" xfId="13490"/>
    <cellStyle name="Normal 2 7 2 8" xfId="13491"/>
    <cellStyle name="Normal 2 7 2 9" xfId="13492"/>
    <cellStyle name="Normal 2 7 20" xfId="13493"/>
    <cellStyle name="Normal 2 7 21" xfId="13494"/>
    <cellStyle name="Normal 2 7 22" xfId="13495"/>
    <cellStyle name="Normal 2 7 23" xfId="13496"/>
    <cellStyle name="Normal 2 7 24" xfId="13497"/>
    <cellStyle name="Normal 2 7 25" xfId="13498"/>
    <cellStyle name="Normal 2 7 26" xfId="13499"/>
    <cellStyle name="Normal 2 7 27" xfId="13500"/>
    <cellStyle name="Normal 2 7 28" xfId="13501"/>
    <cellStyle name="Normal 2 7 29" xfId="13502"/>
    <cellStyle name="Normal 2 7 3" xfId="13503"/>
    <cellStyle name="Normal 2 7 3 2" xfId="13504"/>
    <cellStyle name="Normal 2 7 3 3" xfId="13505"/>
    <cellStyle name="Normal 2 7 3 4" xfId="13506"/>
    <cellStyle name="Normal 2 7 3 5" xfId="13507"/>
    <cellStyle name="Normal 2 7 3 6" xfId="40667"/>
    <cellStyle name="Normal 2 7 30" xfId="13508"/>
    <cellStyle name="Normal 2 7 31" xfId="13509"/>
    <cellStyle name="Normal 2 7 4" xfId="13510"/>
    <cellStyle name="Normal 2 7 4 2" xfId="40668"/>
    <cellStyle name="Normal 2 7 5" xfId="13511"/>
    <cellStyle name="Normal 2 7 6" xfId="13512"/>
    <cellStyle name="Normal 2 7 7" xfId="13513"/>
    <cellStyle name="Normal 2 7 8" xfId="13514"/>
    <cellStyle name="Normal 2 7 9" xfId="13515"/>
    <cellStyle name="Normal 2 70" xfId="13516"/>
    <cellStyle name="Normal 2 71" xfId="13517"/>
    <cellStyle name="Normal 2 72" xfId="13518"/>
    <cellStyle name="Normal 2 73" xfId="13519"/>
    <cellStyle name="Normal 2 74" xfId="13520"/>
    <cellStyle name="Normal 2 75" xfId="13521"/>
    <cellStyle name="Normal 2 76" xfId="13522"/>
    <cellStyle name="Normal 2 77" xfId="13523"/>
    <cellStyle name="Normal 2 78" xfId="13524"/>
    <cellStyle name="Normal 2 79" xfId="13525"/>
    <cellStyle name="Normal 2 8" xfId="13526"/>
    <cellStyle name="Normal 2 8 10" xfId="13527"/>
    <cellStyle name="Normal 2 8 11" xfId="13528"/>
    <cellStyle name="Normal 2 8 12" xfId="13529"/>
    <cellStyle name="Normal 2 8 13" xfId="40669"/>
    <cellStyle name="Normal 2 8 2" xfId="13530"/>
    <cellStyle name="Normal 2 8 2 2" xfId="13531"/>
    <cellStyle name="Normal 2 8 2 2 2" xfId="40670"/>
    <cellStyle name="Normal 2 8 2 3" xfId="13532"/>
    <cellStyle name="Normal 2 8 2 4" xfId="13533"/>
    <cellStyle name="Normal 2 8 2 5" xfId="13534"/>
    <cellStyle name="Normal 2 8 2 6" xfId="13535"/>
    <cellStyle name="Normal 2 8 2 7" xfId="13536"/>
    <cellStyle name="Normal 2 8 3" xfId="13537"/>
    <cellStyle name="Normal 2 8 3 2" xfId="40671"/>
    <cellStyle name="Normal 2 8 4" xfId="13538"/>
    <cellStyle name="Normal 2 8 4 2" xfId="40672"/>
    <cellStyle name="Normal 2 8 5" xfId="13539"/>
    <cellStyle name="Normal 2 8 5 2" xfId="41034"/>
    <cellStyle name="Normal 2 8 6" xfId="13540"/>
    <cellStyle name="Normal 2 8 6 2" xfId="41033"/>
    <cellStyle name="Normal 2 8 7" xfId="13541"/>
    <cellStyle name="Normal 2 8 8" xfId="13542"/>
    <cellStyle name="Normal 2 8 9" xfId="13543"/>
    <cellStyle name="Normal 2 80" xfId="13544"/>
    <cellStyle name="Normal 2 81" xfId="13545"/>
    <cellStyle name="Normal 2 82" xfId="13546"/>
    <cellStyle name="Normal 2 83" xfId="13547"/>
    <cellStyle name="Normal 2 84" xfId="13548"/>
    <cellStyle name="Normal 2 85" xfId="13549"/>
    <cellStyle name="Normal 2 86" xfId="13550"/>
    <cellStyle name="Normal 2 87" xfId="13551"/>
    <cellStyle name="Normal 2 88" xfId="13552"/>
    <cellStyle name="Normal 2 89" xfId="13553"/>
    <cellStyle name="Normal 2 9" xfId="13554"/>
    <cellStyle name="Normal 2 9 10" xfId="13555"/>
    <cellStyle name="Normal 2 9 11" xfId="13556"/>
    <cellStyle name="Normal 2 9 12" xfId="13557"/>
    <cellStyle name="Normal 2 9 13" xfId="40673"/>
    <cellStyle name="Normal 2 9 2" xfId="13558"/>
    <cellStyle name="Normal 2 9 2 2" xfId="13559"/>
    <cellStyle name="Normal 2 9 2 2 2" xfId="40674"/>
    <cellStyle name="Normal 2 9 2 3" xfId="13560"/>
    <cellStyle name="Normal 2 9 2 4" xfId="13561"/>
    <cellStyle name="Normal 2 9 2 5" xfId="13562"/>
    <cellStyle name="Normal 2 9 2 6" xfId="13563"/>
    <cellStyle name="Normal 2 9 2 7" xfId="13564"/>
    <cellStyle name="Normal 2 9 3" xfId="13565"/>
    <cellStyle name="Normal 2 9 3 2" xfId="40675"/>
    <cellStyle name="Normal 2 9 4" xfId="13566"/>
    <cellStyle name="Normal 2 9 4 2" xfId="40676"/>
    <cellStyle name="Normal 2 9 5" xfId="13567"/>
    <cellStyle name="Normal 2 9 6" xfId="13568"/>
    <cellStyle name="Normal 2 9 7" xfId="13569"/>
    <cellStyle name="Normal 2 9 8" xfId="13570"/>
    <cellStyle name="Normal 2 9 9" xfId="13571"/>
    <cellStyle name="Normal 2 90" xfId="13572"/>
    <cellStyle name="Normal 2 91" xfId="13573"/>
    <cellStyle name="Normal 2 92" xfId="13574"/>
    <cellStyle name="Normal 2 93" xfId="13575"/>
    <cellStyle name="Normal 2 94" xfId="13576"/>
    <cellStyle name="Normal 2 95" xfId="13577"/>
    <cellStyle name="Normal 2 96" xfId="13578"/>
    <cellStyle name="Normal 2 97" xfId="13579"/>
    <cellStyle name="Normal 2 98" xfId="13580"/>
    <cellStyle name="Normal 2 99" xfId="13581"/>
    <cellStyle name="Normal 20" xfId="13582"/>
    <cellStyle name="Normal 20 2" xfId="13583"/>
    <cellStyle name="Normal 20 3" xfId="13584"/>
    <cellStyle name="Normal 21" xfId="13585"/>
    <cellStyle name="Normal 21 2" xfId="13586"/>
    <cellStyle name="Normal 21 3" xfId="13587"/>
    <cellStyle name="Normal 22" xfId="13588"/>
    <cellStyle name="Normal 22 2" xfId="13589"/>
    <cellStyle name="Normal 22 3" xfId="13590"/>
    <cellStyle name="Normal 23" xfId="13591"/>
    <cellStyle name="Normal 23 2" xfId="13592"/>
    <cellStyle name="Normal 24" xfId="13593"/>
    <cellStyle name="Normal 24 2" xfId="13594"/>
    <cellStyle name="Normal 25" xfId="13595"/>
    <cellStyle name="Normal 25 2" xfId="13596"/>
    <cellStyle name="Normal 26" xfId="13597"/>
    <cellStyle name="Normal 26 2" xfId="13598"/>
    <cellStyle name="Normal 26 3" xfId="13599"/>
    <cellStyle name="Normal 27" xfId="13600"/>
    <cellStyle name="Normal 27 2" xfId="13601"/>
    <cellStyle name="Normal 28" xfId="13602"/>
    <cellStyle name="Normal 28 2" xfId="13603"/>
    <cellStyle name="Normal 29" xfId="13604"/>
    <cellStyle name="Normal 29 10" xfId="13605"/>
    <cellStyle name="Normal 29 11" xfId="13606"/>
    <cellStyle name="Normal 29 12" xfId="13607"/>
    <cellStyle name="Normal 29 13" xfId="13608"/>
    <cellStyle name="Normal 29 14" xfId="13609"/>
    <cellStyle name="Normal 29 15" xfId="13610"/>
    <cellStyle name="Normal 29 16" xfId="13611"/>
    <cellStyle name="Normal 29 17" xfId="13612"/>
    <cellStyle name="Normal 29 2" xfId="2"/>
    <cellStyle name="Normal 29 3" xfId="13613"/>
    <cellStyle name="Normal 29 4" xfId="13614"/>
    <cellStyle name="Normal 29 5" xfId="13615"/>
    <cellStyle name="Normal 29 6" xfId="13616"/>
    <cellStyle name="Normal 29 7" xfId="13617"/>
    <cellStyle name="Normal 29 8" xfId="13618"/>
    <cellStyle name="Normal 29 9" xfId="13619"/>
    <cellStyle name="Normal 3" xfId="11"/>
    <cellStyle name="Normal 3 10" xfId="13620"/>
    <cellStyle name="Normal 3 10 10" xfId="13621"/>
    <cellStyle name="Normal 3 10 11" xfId="13622"/>
    <cellStyle name="Normal 3 10 12" xfId="13623"/>
    <cellStyle name="Normal 3 10 13" xfId="13624"/>
    <cellStyle name="Normal 3 10 14" xfId="13625"/>
    <cellStyle name="Normal 3 10 15" xfId="13626"/>
    <cellStyle name="Normal 3 10 16" xfId="13627"/>
    <cellStyle name="Normal 3 10 17" xfId="13628"/>
    <cellStyle name="Normal 3 10 18" xfId="13629"/>
    <cellStyle name="Normal 3 10 19" xfId="13630"/>
    <cellStyle name="Normal 3 10 2" xfId="13631"/>
    <cellStyle name="Normal 3 10 2 10" xfId="13632"/>
    <cellStyle name="Normal 3 10 2 11" xfId="13633"/>
    <cellStyle name="Normal 3 10 2 12" xfId="13634"/>
    <cellStyle name="Normal 3 10 2 13" xfId="13635"/>
    <cellStyle name="Normal 3 10 2 14" xfId="13636"/>
    <cellStyle name="Normal 3 10 2 15" xfId="13637"/>
    <cellStyle name="Normal 3 10 2 16" xfId="13638"/>
    <cellStyle name="Normal 3 10 2 17" xfId="40677"/>
    <cellStyle name="Normal 3 10 2 2" xfId="13639"/>
    <cellStyle name="Normal 3 10 2 3" xfId="13640"/>
    <cellStyle name="Normal 3 10 2 4" xfId="13641"/>
    <cellStyle name="Normal 3 10 2 5" xfId="13642"/>
    <cellStyle name="Normal 3 10 2 6" xfId="13643"/>
    <cellStyle name="Normal 3 10 2 7" xfId="13644"/>
    <cellStyle name="Normal 3 10 2 8" xfId="13645"/>
    <cellStyle name="Normal 3 10 2 9" xfId="13646"/>
    <cellStyle name="Normal 3 10 20" xfId="13647"/>
    <cellStyle name="Normal 3 10 3" xfId="13648"/>
    <cellStyle name="Normal 3 10 3 2" xfId="13649"/>
    <cellStyle name="Normal 3 10 3 3" xfId="40678"/>
    <cellStyle name="Normal 3 10 4" xfId="13650"/>
    <cellStyle name="Normal 3 10 4 2" xfId="13651"/>
    <cellStyle name="Normal 3 10 4 3" xfId="40679"/>
    <cellStyle name="Normal 3 10 5" xfId="13652"/>
    <cellStyle name="Normal 3 10 5 2" xfId="13653"/>
    <cellStyle name="Normal 3 10 6" xfId="13654"/>
    <cellStyle name="Normal 3 10 6 2" xfId="13655"/>
    <cellStyle name="Normal 3 10 7" xfId="13656"/>
    <cellStyle name="Normal 3 10 8" xfId="13657"/>
    <cellStyle name="Normal 3 10 9" xfId="13658"/>
    <cellStyle name="Normal 3 11" xfId="13659"/>
    <cellStyle name="Normal 3 11 10" xfId="13660"/>
    <cellStyle name="Normal 3 11 11" xfId="13661"/>
    <cellStyle name="Normal 3 11 12" xfId="13662"/>
    <cellStyle name="Normal 3 11 13" xfId="13663"/>
    <cellStyle name="Normal 3 11 14" xfId="13664"/>
    <cellStyle name="Normal 3 11 15" xfId="13665"/>
    <cellStyle name="Normal 3 11 16" xfId="13666"/>
    <cellStyle name="Normal 3 11 17" xfId="13667"/>
    <cellStyle name="Normal 3 11 18" xfId="13668"/>
    <cellStyle name="Normal 3 11 19" xfId="13669"/>
    <cellStyle name="Normal 3 11 2" xfId="13670"/>
    <cellStyle name="Normal 3 11 2 10" xfId="13671"/>
    <cellStyle name="Normal 3 11 2 11" xfId="13672"/>
    <cellStyle name="Normal 3 11 2 12" xfId="13673"/>
    <cellStyle name="Normal 3 11 2 13" xfId="13674"/>
    <cellStyle name="Normal 3 11 2 14" xfId="13675"/>
    <cellStyle name="Normal 3 11 2 15" xfId="13676"/>
    <cellStyle name="Normal 3 11 2 16" xfId="13677"/>
    <cellStyle name="Normal 3 11 2 17" xfId="40680"/>
    <cellStyle name="Normal 3 11 2 2" xfId="13678"/>
    <cellStyle name="Normal 3 11 2 3" xfId="13679"/>
    <cellStyle name="Normal 3 11 2 4" xfId="13680"/>
    <cellStyle name="Normal 3 11 2 5" xfId="13681"/>
    <cellStyle name="Normal 3 11 2 6" xfId="13682"/>
    <cellStyle name="Normal 3 11 2 7" xfId="13683"/>
    <cellStyle name="Normal 3 11 2 8" xfId="13684"/>
    <cellStyle name="Normal 3 11 2 9" xfId="13685"/>
    <cellStyle name="Normal 3 11 20" xfId="13686"/>
    <cellStyle name="Normal 3 11 3" xfId="13687"/>
    <cellStyle name="Normal 3 11 3 2" xfId="13688"/>
    <cellStyle name="Normal 3 11 3 3" xfId="40681"/>
    <cellStyle name="Normal 3 11 4" xfId="13689"/>
    <cellStyle name="Normal 3 11 4 2" xfId="13690"/>
    <cellStyle name="Normal 3 11 4 3" xfId="40682"/>
    <cellStyle name="Normal 3 11 5" xfId="13691"/>
    <cellStyle name="Normal 3 11 5 2" xfId="13692"/>
    <cellStyle name="Normal 3 11 6" xfId="13693"/>
    <cellStyle name="Normal 3 11 6 2" xfId="13694"/>
    <cellStyle name="Normal 3 11 7" xfId="13695"/>
    <cellStyle name="Normal 3 11 8" xfId="13696"/>
    <cellStyle name="Normal 3 11 9" xfId="13697"/>
    <cellStyle name="Normal 3 12" xfId="13698"/>
    <cellStyle name="Normal 3 12 2" xfId="13699"/>
    <cellStyle name="Normal 3 12 3" xfId="13700"/>
    <cellStyle name="Normal 3 12 4" xfId="13701"/>
    <cellStyle name="Normal 3 12 5" xfId="13702"/>
    <cellStyle name="Normal 3 13" xfId="13703"/>
    <cellStyle name="Normal 3 13 2" xfId="13704"/>
    <cellStyle name="Normal 3 13 3" xfId="13705"/>
    <cellStyle name="Normal 3 13 4" xfId="13706"/>
    <cellStyle name="Normal 3 13 5" xfId="13707"/>
    <cellStyle name="Normal 3 14" xfId="13708"/>
    <cellStyle name="Normal 3 14 2" xfId="13709"/>
    <cellStyle name="Normal 3 14 2 10" xfId="13710"/>
    <cellStyle name="Normal 3 14 2 11" xfId="13711"/>
    <cellStyle name="Normal 3 14 2 12" xfId="13712"/>
    <cellStyle name="Normal 3 14 2 13" xfId="13713"/>
    <cellStyle name="Normal 3 14 2 14" xfId="13714"/>
    <cellStyle name="Normal 3 14 2 15" xfId="13715"/>
    <cellStyle name="Normal 3 14 2 2" xfId="13716"/>
    <cellStyle name="Normal 3 14 2 3" xfId="13717"/>
    <cellStyle name="Normal 3 14 2 4" xfId="13718"/>
    <cellStyle name="Normal 3 14 2 5" xfId="13719"/>
    <cellStyle name="Normal 3 14 2 6" xfId="13720"/>
    <cellStyle name="Normal 3 14 2 7" xfId="13721"/>
    <cellStyle name="Normal 3 14 2 8" xfId="13722"/>
    <cellStyle name="Normal 3 14 2 9" xfId="13723"/>
    <cellStyle name="Normal 3 14 3" xfId="13724"/>
    <cellStyle name="Normal 3 14 3 10" xfId="13725"/>
    <cellStyle name="Normal 3 14 3 11" xfId="13726"/>
    <cellStyle name="Normal 3 14 3 12" xfId="13727"/>
    <cellStyle name="Normal 3 14 3 13" xfId="13728"/>
    <cellStyle name="Normal 3 14 3 14" xfId="13729"/>
    <cellStyle name="Normal 3 14 3 15" xfId="13730"/>
    <cellStyle name="Normal 3 14 3 2" xfId="13731"/>
    <cellStyle name="Normal 3 14 3 3" xfId="13732"/>
    <cellStyle name="Normal 3 14 3 4" xfId="13733"/>
    <cellStyle name="Normal 3 14 3 5" xfId="13734"/>
    <cellStyle name="Normal 3 14 3 6" xfId="13735"/>
    <cellStyle name="Normal 3 14 3 7" xfId="13736"/>
    <cellStyle name="Normal 3 14 3 8" xfId="13737"/>
    <cellStyle name="Normal 3 14 3 9" xfId="13738"/>
    <cellStyle name="Normal 3 14 4" xfId="13739"/>
    <cellStyle name="Normal 3 14 4 10" xfId="13740"/>
    <cellStyle name="Normal 3 14 4 11" xfId="13741"/>
    <cellStyle name="Normal 3 14 4 12" xfId="13742"/>
    <cellStyle name="Normal 3 14 4 13" xfId="13743"/>
    <cellStyle name="Normal 3 14 4 14" xfId="13744"/>
    <cellStyle name="Normal 3 14 4 15" xfId="13745"/>
    <cellStyle name="Normal 3 14 4 2" xfId="13746"/>
    <cellStyle name="Normal 3 14 4 3" xfId="13747"/>
    <cellStyle name="Normal 3 14 4 4" xfId="13748"/>
    <cellStyle name="Normal 3 14 4 5" xfId="13749"/>
    <cellStyle name="Normal 3 14 4 6" xfId="13750"/>
    <cellStyle name="Normal 3 14 4 7" xfId="13751"/>
    <cellStyle name="Normal 3 14 4 8" xfId="13752"/>
    <cellStyle name="Normal 3 14 4 9" xfId="13753"/>
    <cellStyle name="Normal 3 14 5" xfId="13754"/>
    <cellStyle name="Normal 3 14 5 10" xfId="13755"/>
    <cellStyle name="Normal 3 14 5 11" xfId="13756"/>
    <cellStyle name="Normal 3 14 5 12" xfId="13757"/>
    <cellStyle name="Normal 3 14 5 13" xfId="13758"/>
    <cellStyle name="Normal 3 14 5 14" xfId="13759"/>
    <cellStyle name="Normal 3 14 5 15" xfId="13760"/>
    <cellStyle name="Normal 3 14 5 2" xfId="13761"/>
    <cellStyle name="Normal 3 14 5 3" xfId="13762"/>
    <cellStyle name="Normal 3 14 5 4" xfId="13763"/>
    <cellStyle name="Normal 3 14 5 5" xfId="13764"/>
    <cellStyle name="Normal 3 14 5 6" xfId="13765"/>
    <cellStyle name="Normal 3 14 5 7" xfId="13766"/>
    <cellStyle name="Normal 3 14 5 8" xfId="13767"/>
    <cellStyle name="Normal 3 14 5 9" xfId="13768"/>
    <cellStyle name="Normal 3 15" xfId="13769"/>
    <cellStyle name="Normal 3 15 2" xfId="13770"/>
    <cellStyle name="Normal 3 15 2 10" xfId="13771"/>
    <cellStyle name="Normal 3 15 2 11" xfId="13772"/>
    <cellStyle name="Normal 3 15 2 12" xfId="13773"/>
    <cellStyle name="Normal 3 15 2 13" xfId="13774"/>
    <cellStyle name="Normal 3 15 2 14" xfId="13775"/>
    <cellStyle name="Normal 3 15 2 15" xfId="13776"/>
    <cellStyle name="Normal 3 15 2 2" xfId="13777"/>
    <cellStyle name="Normal 3 15 2 3" xfId="13778"/>
    <cellStyle name="Normal 3 15 2 4" xfId="13779"/>
    <cellStyle name="Normal 3 15 2 5" xfId="13780"/>
    <cellStyle name="Normal 3 15 2 6" xfId="13781"/>
    <cellStyle name="Normal 3 15 2 7" xfId="13782"/>
    <cellStyle name="Normal 3 15 2 8" xfId="13783"/>
    <cellStyle name="Normal 3 15 2 9" xfId="13784"/>
    <cellStyle name="Normal 3 15 3" xfId="13785"/>
    <cellStyle name="Normal 3 15 3 10" xfId="13786"/>
    <cellStyle name="Normal 3 15 3 11" xfId="13787"/>
    <cellStyle name="Normal 3 15 3 12" xfId="13788"/>
    <cellStyle name="Normal 3 15 3 13" xfId="13789"/>
    <cellStyle name="Normal 3 15 3 14" xfId="13790"/>
    <cellStyle name="Normal 3 15 3 15" xfId="13791"/>
    <cellStyle name="Normal 3 15 3 2" xfId="13792"/>
    <cellStyle name="Normal 3 15 3 3" xfId="13793"/>
    <cellStyle name="Normal 3 15 3 4" xfId="13794"/>
    <cellStyle name="Normal 3 15 3 5" xfId="13795"/>
    <cellStyle name="Normal 3 15 3 6" xfId="13796"/>
    <cellStyle name="Normal 3 15 3 7" xfId="13797"/>
    <cellStyle name="Normal 3 15 3 8" xfId="13798"/>
    <cellStyle name="Normal 3 15 3 9" xfId="13799"/>
    <cellStyle name="Normal 3 15 4" xfId="13800"/>
    <cellStyle name="Normal 3 15 4 10" xfId="13801"/>
    <cellStyle name="Normal 3 15 4 11" xfId="13802"/>
    <cellStyle name="Normal 3 15 4 12" xfId="13803"/>
    <cellStyle name="Normal 3 15 4 13" xfId="13804"/>
    <cellStyle name="Normal 3 15 4 14" xfId="13805"/>
    <cellStyle name="Normal 3 15 4 15" xfId="13806"/>
    <cellStyle name="Normal 3 15 4 2" xfId="13807"/>
    <cellStyle name="Normal 3 15 4 3" xfId="13808"/>
    <cellStyle name="Normal 3 15 4 4" xfId="13809"/>
    <cellStyle name="Normal 3 15 4 5" xfId="13810"/>
    <cellStyle name="Normal 3 15 4 6" xfId="13811"/>
    <cellStyle name="Normal 3 15 4 7" xfId="13812"/>
    <cellStyle name="Normal 3 15 4 8" xfId="13813"/>
    <cellStyle name="Normal 3 15 4 9" xfId="13814"/>
    <cellStyle name="Normal 3 15 5" xfId="13815"/>
    <cellStyle name="Normal 3 15 5 10" xfId="13816"/>
    <cellStyle name="Normal 3 15 5 11" xfId="13817"/>
    <cellStyle name="Normal 3 15 5 12" xfId="13818"/>
    <cellStyle name="Normal 3 15 5 13" xfId="13819"/>
    <cellStyle name="Normal 3 15 5 14" xfId="13820"/>
    <cellStyle name="Normal 3 15 5 15" xfId="13821"/>
    <cellStyle name="Normal 3 15 5 2" xfId="13822"/>
    <cellStyle name="Normal 3 15 5 3" xfId="13823"/>
    <cellStyle name="Normal 3 15 5 4" xfId="13824"/>
    <cellStyle name="Normal 3 15 5 5" xfId="13825"/>
    <cellStyle name="Normal 3 15 5 6" xfId="13826"/>
    <cellStyle name="Normal 3 15 5 7" xfId="13827"/>
    <cellStyle name="Normal 3 15 5 8" xfId="13828"/>
    <cellStyle name="Normal 3 15 5 9" xfId="13829"/>
    <cellStyle name="Normal 3 16" xfId="13830"/>
    <cellStyle name="Normal 3 16 2" xfId="13831"/>
    <cellStyle name="Normal 3 16 2 10" xfId="13832"/>
    <cellStyle name="Normal 3 16 2 11" xfId="13833"/>
    <cellStyle name="Normal 3 16 2 12" xfId="13834"/>
    <cellStyle name="Normal 3 16 2 13" xfId="13835"/>
    <cellStyle name="Normal 3 16 2 14" xfId="13836"/>
    <cellStyle name="Normal 3 16 2 15" xfId="13837"/>
    <cellStyle name="Normal 3 16 2 2" xfId="13838"/>
    <cellStyle name="Normal 3 16 2 3" xfId="13839"/>
    <cellStyle name="Normal 3 16 2 4" xfId="13840"/>
    <cellStyle name="Normal 3 16 2 5" xfId="13841"/>
    <cellStyle name="Normal 3 16 2 6" xfId="13842"/>
    <cellStyle name="Normal 3 16 2 7" xfId="13843"/>
    <cellStyle name="Normal 3 16 2 8" xfId="13844"/>
    <cellStyle name="Normal 3 16 2 9" xfId="13845"/>
    <cellStyle name="Normal 3 16 3" xfId="13846"/>
    <cellStyle name="Normal 3 16 3 10" xfId="13847"/>
    <cellStyle name="Normal 3 16 3 11" xfId="13848"/>
    <cellStyle name="Normal 3 16 3 12" xfId="13849"/>
    <cellStyle name="Normal 3 16 3 13" xfId="13850"/>
    <cellStyle name="Normal 3 16 3 14" xfId="13851"/>
    <cellStyle name="Normal 3 16 3 15" xfId="13852"/>
    <cellStyle name="Normal 3 16 3 2" xfId="13853"/>
    <cellStyle name="Normal 3 16 3 3" xfId="13854"/>
    <cellStyle name="Normal 3 16 3 4" xfId="13855"/>
    <cellStyle name="Normal 3 16 3 5" xfId="13856"/>
    <cellStyle name="Normal 3 16 3 6" xfId="13857"/>
    <cellStyle name="Normal 3 16 3 7" xfId="13858"/>
    <cellStyle name="Normal 3 16 3 8" xfId="13859"/>
    <cellStyle name="Normal 3 16 3 9" xfId="13860"/>
    <cellStyle name="Normal 3 16 4" xfId="13861"/>
    <cellStyle name="Normal 3 16 4 10" xfId="13862"/>
    <cellStyle name="Normal 3 16 4 11" xfId="13863"/>
    <cellStyle name="Normal 3 16 4 12" xfId="13864"/>
    <cellStyle name="Normal 3 16 4 13" xfId="13865"/>
    <cellStyle name="Normal 3 16 4 14" xfId="13866"/>
    <cellStyle name="Normal 3 16 4 15" xfId="13867"/>
    <cellStyle name="Normal 3 16 4 2" xfId="13868"/>
    <cellStyle name="Normal 3 16 4 3" xfId="13869"/>
    <cellStyle name="Normal 3 16 4 4" xfId="13870"/>
    <cellStyle name="Normal 3 16 4 5" xfId="13871"/>
    <cellStyle name="Normal 3 16 4 6" xfId="13872"/>
    <cellStyle name="Normal 3 16 4 7" xfId="13873"/>
    <cellStyle name="Normal 3 16 4 8" xfId="13874"/>
    <cellStyle name="Normal 3 16 4 9" xfId="13875"/>
    <cellStyle name="Normal 3 16 5" xfId="13876"/>
    <cellStyle name="Normal 3 16 5 10" xfId="13877"/>
    <cellStyle name="Normal 3 16 5 11" xfId="13878"/>
    <cellStyle name="Normal 3 16 5 12" xfId="13879"/>
    <cellStyle name="Normal 3 16 5 13" xfId="13880"/>
    <cellStyle name="Normal 3 16 5 14" xfId="13881"/>
    <cellStyle name="Normal 3 16 5 15" xfId="13882"/>
    <cellStyle name="Normal 3 16 5 2" xfId="13883"/>
    <cellStyle name="Normal 3 16 5 3" xfId="13884"/>
    <cellStyle name="Normal 3 16 5 4" xfId="13885"/>
    <cellStyle name="Normal 3 16 5 5" xfId="13886"/>
    <cellStyle name="Normal 3 16 5 6" xfId="13887"/>
    <cellStyle name="Normal 3 16 5 7" xfId="13888"/>
    <cellStyle name="Normal 3 16 5 8" xfId="13889"/>
    <cellStyle name="Normal 3 16 5 9" xfId="13890"/>
    <cellStyle name="Normal 3 17" xfId="13891"/>
    <cellStyle name="Normal 3 17 2" xfId="13892"/>
    <cellStyle name="Normal 3 17 2 10" xfId="13893"/>
    <cellStyle name="Normal 3 17 2 11" xfId="13894"/>
    <cellStyle name="Normal 3 17 2 12" xfId="13895"/>
    <cellStyle name="Normal 3 17 2 13" xfId="13896"/>
    <cellStyle name="Normal 3 17 2 14" xfId="13897"/>
    <cellStyle name="Normal 3 17 2 15" xfId="13898"/>
    <cellStyle name="Normal 3 17 2 2" xfId="13899"/>
    <cellStyle name="Normal 3 17 2 3" xfId="13900"/>
    <cellStyle name="Normal 3 17 2 4" xfId="13901"/>
    <cellStyle name="Normal 3 17 2 5" xfId="13902"/>
    <cellStyle name="Normal 3 17 2 6" xfId="13903"/>
    <cellStyle name="Normal 3 17 2 7" xfId="13904"/>
    <cellStyle name="Normal 3 17 2 8" xfId="13905"/>
    <cellStyle name="Normal 3 17 2 9" xfId="13906"/>
    <cellStyle name="Normal 3 17 3" xfId="13907"/>
    <cellStyle name="Normal 3 17 3 10" xfId="13908"/>
    <cellStyle name="Normal 3 17 3 11" xfId="13909"/>
    <cellStyle name="Normal 3 17 3 12" xfId="13910"/>
    <cellStyle name="Normal 3 17 3 13" xfId="13911"/>
    <cellStyle name="Normal 3 17 3 14" xfId="13912"/>
    <cellStyle name="Normal 3 17 3 15" xfId="13913"/>
    <cellStyle name="Normal 3 17 3 2" xfId="13914"/>
    <cellStyle name="Normal 3 17 3 3" xfId="13915"/>
    <cellStyle name="Normal 3 17 3 4" xfId="13916"/>
    <cellStyle name="Normal 3 17 3 5" xfId="13917"/>
    <cellStyle name="Normal 3 17 3 6" xfId="13918"/>
    <cellStyle name="Normal 3 17 3 7" xfId="13919"/>
    <cellStyle name="Normal 3 17 3 8" xfId="13920"/>
    <cellStyle name="Normal 3 17 3 9" xfId="13921"/>
    <cellStyle name="Normal 3 17 4" xfId="13922"/>
    <cellStyle name="Normal 3 17 4 10" xfId="13923"/>
    <cellStyle name="Normal 3 17 4 11" xfId="13924"/>
    <cellStyle name="Normal 3 17 4 12" xfId="13925"/>
    <cellStyle name="Normal 3 17 4 13" xfId="13926"/>
    <cellStyle name="Normal 3 17 4 14" xfId="13927"/>
    <cellStyle name="Normal 3 17 4 15" xfId="13928"/>
    <cellStyle name="Normal 3 17 4 2" xfId="13929"/>
    <cellStyle name="Normal 3 17 4 3" xfId="13930"/>
    <cellStyle name="Normal 3 17 4 4" xfId="13931"/>
    <cellStyle name="Normal 3 17 4 5" xfId="13932"/>
    <cellStyle name="Normal 3 17 4 6" xfId="13933"/>
    <cellStyle name="Normal 3 17 4 7" xfId="13934"/>
    <cellStyle name="Normal 3 17 4 8" xfId="13935"/>
    <cellStyle name="Normal 3 17 4 9" xfId="13936"/>
    <cellStyle name="Normal 3 17 5" xfId="13937"/>
    <cellStyle name="Normal 3 17 5 10" xfId="13938"/>
    <cellStyle name="Normal 3 17 5 11" xfId="13939"/>
    <cellStyle name="Normal 3 17 5 12" xfId="13940"/>
    <cellStyle name="Normal 3 17 5 13" xfId="13941"/>
    <cellStyle name="Normal 3 17 5 14" xfId="13942"/>
    <cellStyle name="Normal 3 17 5 15" xfId="13943"/>
    <cellStyle name="Normal 3 17 5 2" xfId="13944"/>
    <cellStyle name="Normal 3 17 5 3" xfId="13945"/>
    <cellStyle name="Normal 3 17 5 4" xfId="13946"/>
    <cellStyle name="Normal 3 17 5 5" xfId="13947"/>
    <cellStyle name="Normal 3 17 5 6" xfId="13948"/>
    <cellStyle name="Normal 3 17 5 7" xfId="13949"/>
    <cellStyle name="Normal 3 17 5 8" xfId="13950"/>
    <cellStyle name="Normal 3 17 5 9" xfId="13951"/>
    <cellStyle name="Normal 3 18" xfId="13952"/>
    <cellStyle name="Normal 3 18 2" xfId="13953"/>
    <cellStyle name="Normal 3 18 2 10" xfId="13954"/>
    <cellStyle name="Normal 3 18 2 11" xfId="13955"/>
    <cellStyle name="Normal 3 18 2 12" xfId="13956"/>
    <cellStyle name="Normal 3 18 2 13" xfId="13957"/>
    <cellStyle name="Normal 3 18 2 14" xfId="13958"/>
    <cellStyle name="Normal 3 18 2 15" xfId="13959"/>
    <cellStyle name="Normal 3 18 2 2" xfId="13960"/>
    <cellStyle name="Normal 3 18 2 3" xfId="13961"/>
    <cellStyle name="Normal 3 18 2 4" xfId="13962"/>
    <cellStyle name="Normal 3 18 2 5" xfId="13963"/>
    <cellStyle name="Normal 3 18 2 6" xfId="13964"/>
    <cellStyle name="Normal 3 18 2 7" xfId="13965"/>
    <cellStyle name="Normal 3 18 2 8" xfId="13966"/>
    <cellStyle name="Normal 3 18 2 9" xfId="13967"/>
    <cellStyle name="Normal 3 18 3" xfId="13968"/>
    <cellStyle name="Normal 3 18 3 10" xfId="13969"/>
    <cellStyle name="Normal 3 18 3 11" xfId="13970"/>
    <cellStyle name="Normal 3 18 3 12" xfId="13971"/>
    <cellStyle name="Normal 3 18 3 13" xfId="13972"/>
    <cellStyle name="Normal 3 18 3 14" xfId="13973"/>
    <cellStyle name="Normal 3 18 3 15" xfId="13974"/>
    <cellStyle name="Normal 3 18 3 2" xfId="13975"/>
    <cellStyle name="Normal 3 18 3 3" xfId="13976"/>
    <cellStyle name="Normal 3 18 3 4" xfId="13977"/>
    <cellStyle name="Normal 3 18 3 5" xfId="13978"/>
    <cellStyle name="Normal 3 18 3 6" xfId="13979"/>
    <cellStyle name="Normal 3 18 3 7" xfId="13980"/>
    <cellStyle name="Normal 3 18 3 8" xfId="13981"/>
    <cellStyle name="Normal 3 18 3 9" xfId="13982"/>
    <cellStyle name="Normal 3 18 4" xfId="13983"/>
    <cellStyle name="Normal 3 18 4 10" xfId="13984"/>
    <cellStyle name="Normal 3 18 4 11" xfId="13985"/>
    <cellStyle name="Normal 3 18 4 12" xfId="13986"/>
    <cellStyle name="Normal 3 18 4 13" xfId="13987"/>
    <cellStyle name="Normal 3 18 4 14" xfId="13988"/>
    <cellStyle name="Normal 3 18 4 15" xfId="13989"/>
    <cellStyle name="Normal 3 18 4 2" xfId="13990"/>
    <cellStyle name="Normal 3 18 4 3" xfId="13991"/>
    <cellStyle name="Normal 3 18 4 4" xfId="13992"/>
    <cellStyle name="Normal 3 18 4 5" xfId="13993"/>
    <cellStyle name="Normal 3 18 4 6" xfId="13994"/>
    <cellStyle name="Normal 3 18 4 7" xfId="13995"/>
    <cellStyle name="Normal 3 18 4 8" xfId="13996"/>
    <cellStyle name="Normal 3 18 4 9" xfId="13997"/>
    <cellStyle name="Normal 3 18 5" xfId="13998"/>
    <cellStyle name="Normal 3 18 5 10" xfId="13999"/>
    <cellStyle name="Normal 3 18 5 11" xfId="14000"/>
    <cellStyle name="Normal 3 18 5 12" xfId="14001"/>
    <cellStyle name="Normal 3 18 5 13" xfId="14002"/>
    <cellStyle name="Normal 3 18 5 14" xfId="14003"/>
    <cellStyle name="Normal 3 18 5 15" xfId="14004"/>
    <cellStyle name="Normal 3 18 5 2" xfId="14005"/>
    <cellStyle name="Normal 3 18 5 3" xfId="14006"/>
    <cellStyle name="Normal 3 18 5 4" xfId="14007"/>
    <cellStyle name="Normal 3 18 5 5" xfId="14008"/>
    <cellStyle name="Normal 3 18 5 6" xfId="14009"/>
    <cellStyle name="Normal 3 18 5 7" xfId="14010"/>
    <cellStyle name="Normal 3 18 5 8" xfId="14011"/>
    <cellStyle name="Normal 3 18 5 9" xfId="14012"/>
    <cellStyle name="Normal 3 19" xfId="14013"/>
    <cellStyle name="Normal 3 19 10" xfId="40683"/>
    <cellStyle name="Normal 3 19 11" xfId="31470"/>
    <cellStyle name="Normal 3 19 2" xfId="14014"/>
    <cellStyle name="Normal 3 19 2 10" xfId="14015"/>
    <cellStyle name="Normal 3 19 2 11" xfId="14016"/>
    <cellStyle name="Normal 3 19 2 12" xfId="14017"/>
    <cellStyle name="Normal 3 19 2 13" xfId="14018"/>
    <cellStyle name="Normal 3 19 2 14" xfId="14019"/>
    <cellStyle name="Normal 3 19 2 15" xfId="14020"/>
    <cellStyle name="Normal 3 19 2 2" xfId="14021"/>
    <cellStyle name="Normal 3 19 2 3" xfId="14022"/>
    <cellStyle name="Normal 3 19 2 4" xfId="14023"/>
    <cellStyle name="Normal 3 19 2 5" xfId="14024"/>
    <cellStyle name="Normal 3 19 2 6" xfId="14025"/>
    <cellStyle name="Normal 3 19 2 7" xfId="14026"/>
    <cellStyle name="Normal 3 19 2 8" xfId="14027"/>
    <cellStyle name="Normal 3 19 2 9" xfId="14028"/>
    <cellStyle name="Normal 3 19 3" xfId="14029"/>
    <cellStyle name="Normal 3 19 3 10" xfId="14030"/>
    <cellStyle name="Normal 3 19 3 11" xfId="14031"/>
    <cellStyle name="Normal 3 19 3 12" xfId="14032"/>
    <cellStyle name="Normal 3 19 3 13" xfId="14033"/>
    <cellStyle name="Normal 3 19 3 14" xfId="14034"/>
    <cellStyle name="Normal 3 19 3 15" xfId="14035"/>
    <cellStyle name="Normal 3 19 3 2" xfId="14036"/>
    <cellStyle name="Normal 3 19 3 3" xfId="14037"/>
    <cellStyle name="Normal 3 19 3 4" xfId="14038"/>
    <cellStyle name="Normal 3 19 3 5" xfId="14039"/>
    <cellStyle name="Normal 3 19 3 6" xfId="14040"/>
    <cellStyle name="Normal 3 19 3 7" xfId="14041"/>
    <cellStyle name="Normal 3 19 3 8" xfId="14042"/>
    <cellStyle name="Normal 3 19 3 9" xfId="14043"/>
    <cellStyle name="Normal 3 19 4" xfId="14044"/>
    <cellStyle name="Normal 3 19 4 10" xfId="14045"/>
    <cellStyle name="Normal 3 19 4 11" xfId="14046"/>
    <cellStyle name="Normal 3 19 4 12" xfId="14047"/>
    <cellStyle name="Normal 3 19 4 13" xfId="14048"/>
    <cellStyle name="Normal 3 19 4 14" xfId="14049"/>
    <cellStyle name="Normal 3 19 4 15" xfId="14050"/>
    <cellStyle name="Normal 3 19 4 2" xfId="14051"/>
    <cellStyle name="Normal 3 19 4 3" xfId="14052"/>
    <cellStyle name="Normal 3 19 4 4" xfId="14053"/>
    <cellStyle name="Normal 3 19 4 5" xfId="14054"/>
    <cellStyle name="Normal 3 19 4 6" xfId="14055"/>
    <cellStyle name="Normal 3 19 4 7" xfId="14056"/>
    <cellStyle name="Normal 3 19 4 8" xfId="14057"/>
    <cellStyle name="Normal 3 19 4 9" xfId="14058"/>
    <cellStyle name="Normal 3 19 5" xfId="14059"/>
    <cellStyle name="Normal 3 19 5 10" xfId="14060"/>
    <cellStyle name="Normal 3 19 5 11" xfId="14061"/>
    <cellStyle name="Normal 3 19 5 12" xfId="14062"/>
    <cellStyle name="Normal 3 19 5 13" xfId="14063"/>
    <cellStyle name="Normal 3 19 5 14" xfId="14064"/>
    <cellStyle name="Normal 3 19 5 15" xfId="14065"/>
    <cellStyle name="Normal 3 19 5 2" xfId="14066"/>
    <cellStyle name="Normal 3 19 5 3" xfId="14067"/>
    <cellStyle name="Normal 3 19 5 4" xfId="14068"/>
    <cellStyle name="Normal 3 19 5 5" xfId="14069"/>
    <cellStyle name="Normal 3 19 5 6" xfId="14070"/>
    <cellStyle name="Normal 3 19 5 7" xfId="14071"/>
    <cellStyle name="Normal 3 19 5 8" xfId="14072"/>
    <cellStyle name="Normal 3 19 5 9" xfId="14073"/>
    <cellStyle name="Normal 3 19 6" xfId="14074"/>
    <cellStyle name="Normal 3 19 6 2" xfId="31471"/>
    <cellStyle name="Normal 3 19 7" xfId="14075"/>
    <cellStyle name="Normal 3 19 7 2" xfId="31472"/>
    <cellStyle name="Normal 3 19 8" xfId="14076"/>
    <cellStyle name="Normal 3 19 8 2" xfId="31473"/>
    <cellStyle name="Normal 3 19 9" xfId="14077"/>
    <cellStyle name="Normal 3 19 9 2" xfId="31474"/>
    <cellStyle name="Normal 3 2" xfId="14078"/>
    <cellStyle name="Normal 3 2 10" xfId="14079"/>
    <cellStyle name="Normal 3 2 11" xfId="14080"/>
    <cellStyle name="Normal 3 2 12" xfId="14081"/>
    <cellStyle name="Normal 3 2 13" xfId="14082"/>
    <cellStyle name="Normal 3 2 14" xfId="14083"/>
    <cellStyle name="Normal 3 2 15" xfId="14084"/>
    <cellStyle name="Normal 3 2 16" xfId="14085"/>
    <cellStyle name="Normal 3 2 17" xfId="14086"/>
    <cellStyle name="Normal 3 2 18" xfId="14087"/>
    <cellStyle name="Normal 3 2 19" xfId="41127"/>
    <cellStyle name="Normal 3 2 2" xfId="14088"/>
    <cellStyle name="Normal 3 2 2 10" xfId="14089"/>
    <cellStyle name="Normal 3 2 2 2" xfId="14090"/>
    <cellStyle name="Normal 3 2 2 2 2" xfId="14091"/>
    <cellStyle name="Normal 3 2 2 2 3" xfId="14092"/>
    <cellStyle name="Normal 3 2 2 2 4" xfId="14093"/>
    <cellStyle name="Normal 3 2 2 2 5" xfId="14094"/>
    <cellStyle name="Normal 3 2 2 2 6" xfId="14095"/>
    <cellStyle name="Normal 3 2 2 2 7" xfId="14096"/>
    <cellStyle name="Normal 3 2 2 3" xfId="14097"/>
    <cellStyle name="Normal 3 2 2 4" xfId="14098"/>
    <cellStyle name="Normal 3 2 2 5" xfId="14099"/>
    <cellStyle name="Normal 3 2 2 6" xfId="14100"/>
    <cellStyle name="Normal 3 2 2 7" xfId="14101"/>
    <cellStyle name="Normal 3 2 2 8" xfId="14102"/>
    <cellStyle name="Normal 3 2 2 9" xfId="14103"/>
    <cellStyle name="Normal 3 2 3" xfId="14104"/>
    <cellStyle name="Normal 3 2 3 2" xfId="14105"/>
    <cellStyle name="Normal 3 2 3 2 2" xfId="14106"/>
    <cellStyle name="Normal 3 2 3 3" xfId="14107"/>
    <cellStyle name="Normal 3 2 3 3 2" xfId="14108"/>
    <cellStyle name="Normal 3 2 3 4" xfId="14109"/>
    <cellStyle name="Normal 3 2 3 4 2" xfId="14110"/>
    <cellStyle name="Normal 3 2 3 5" xfId="14111"/>
    <cellStyle name="Normal 3 2 3 5 2" xfId="14112"/>
    <cellStyle name="Normal 3 2 4" xfId="14113"/>
    <cellStyle name="Normal 3 2 4 10" xfId="14114"/>
    <cellStyle name="Normal 3 2 4 11" xfId="14115"/>
    <cellStyle name="Normal 3 2 4 12" xfId="14116"/>
    <cellStyle name="Normal 3 2 4 13" xfId="14117"/>
    <cellStyle name="Normal 3 2 4 14" xfId="14118"/>
    <cellStyle name="Normal 3 2 4 15" xfId="14119"/>
    <cellStyle name="Normal 3 2 4 16" xfId="14120"/>
    <cellStyle name="Normal 3 2 4 17" xfId="14121"/>
    <cellStyle name="Normal 3 2 4 18" xfId="14122"/>
    <cellStyle name="Normal 3 2 4 19" xfId="14123"/>
    <cellStyle name="Normal 3 2 4 2" xfId="14124"/>
    <cellStyle name="Normal 3 2 4 2 10" xfId="14125"/>
    <cellStyle name="Normal 3 2 4 2 11" xfId="14126"/>
    <cellStyle name="Normal 3 2 4 2 12" xfId="14127"/>
    <cellStyle name="Normal 3 2 4 2 13" xfId="14128"/>
    <cellStyle name="Normal 3 2 4 2 14" xfId="14129"/>
    <cellStyle name="Normal 3 2 4 2 15" xfId="14130"/>
    <cellStyle name="Normal 3 2 4 2 16" xfId="14131"/>
    <cellStyle name="Normal 3 2 4 2 2" xfId="14132"/>
    <cellStyle name="Normal 3 2 4 2 3" xfId="14133"/>
    <cellStyle name="Normal 3 2 4 2 4" xfId="14134"/>
    <cellStyle name="Normal 3 2 4 2 5" xfId="14135"/>
    <cellStyle name="Normal 3 2 4 2 6" xfId="14136"/>
    <cellStyle name="Normal 3 2 4 2 7" xfId="14137"/>
    <cellStyle name="Normal 3 2 4 2 8" xfId="14138"/>
    <cellStyle name="Normal 3 2 4 2 9" xfId="14139"/>
    <cellStyle name="Normal 3 2 4 3" xfId="14140"/>
    <cellStyle name="Normal 3 2 4 3 2" xfId="14141"/>
    <cellStyle name="Normal 3 2 4 4" xfId="14142"/>
    <cellStyle name="Normal 3 2 4 4 2" xfId="14143"/>
    <cellStyle name="Normal 3 2 4 5" xfId="14144"/>
    <cellStyle name="Normal 3 2 4 5 2" xfId="14145"/>
    <cellStyle name="Normal 3 2 4 6" xfId="14146"/>
    <cellStyle name="Normal 3 2 4 6 2" xfId="14147"/>
    <cellStyle name="Normal 3 2 4 7" xfId="14148"/>
    <cellStyle name="Normal 3 2 4 8" xfId="14149"/>
    <cellStyle name="Normal 3 2 4 9" xfId="14150"/>
    <cellStyle name="Normal 3 2 5" xfId="14151"/>
    <cellStyle name="Normal 3 2 5 10" xfId="14152"/>
    <cellStyle name="Normal 3 2 5 11" xfId="14153"/>
    <cellStyle name="Normal 3 2 5 12" xfId="14154"/>
    <cellStyle name="Normal 3 2 5 13" xfId="14155"/>
    <cellStyle name="Normal 3 2 5 14" xfId="14156"/>
    <cellStyle name="Normal 3 2 5 15" xfId="14157"/>
    <cellStyle name="Normal 3 2 5 16" xfId="14158"/>
    <cellStyle name="Normal 3 2 5 2" xfId="14159"/>
    <cellStyle name="Normal 3 2 5 3" xfId="14160"/>
    <cellStyle name="Normal 3 2 5 4" xfId="14161"/>
    <cellStyle name="Normal 3 2 5 5" xfId="14162"/>
    <cellStyle name="Normal 3 2 5 6" xfId="14163"/>
    <cellStyle name="Normal 3 2 5 7" xfId="14164"/>
    <cellStyle name="Normal 3 2 5 8" xfId="14165"/>
    <cellStyle name="Normal 3 2 5 9" xfId="14166"/>
    <cellStyle name="Normal 3 2 6" xfId="14167"/>
    <cellStyle name="Normal 3 2 6 2" xfId="14168"/>
    <cellStyle name="Normal 3 2 7" xfId="14169"/>
    <cellStyle name="Normal 3 2 7 2" xfId="14170"/>
    <cellStyle name="Normal 3 2 8" xfId="14171"/>
    <cellStyle name="Normal 3 2 8 2" xfId="14172"/>
    <cellStyle name="Normal 3 2 9" xfId="14173"/>
    <cellStyle name="Normal 3 2 9 2" xfId="14174"/>
    <cellStyle name="Normal 3 20" xfId="14175"/>
    <cellStyle name="Normal 3 20 2" xfId="14176"/>
    <cellStyle name="Normal 3 20 3" xfId="14177"/>
    <cellStyle name="Normal 3 20 3 2" xfId="31476"/>
    <cellStyle name="Normal 3 20 4" xfId="14178"/>
    <cellStyle name="Normal 3 20 4 2" xfId="31477"/>
    <cellStyle name="Normal 3 20 5" xfId="14179"/>
    <cellStyle name="Normal 3 20 5 2" xfId="31478"/>
    <cellStyle name="Normal 3 20 6" xfId="14180"/>
    <cellStyle name="Normal 3 20 6 2" xfId="31479"/>
    <cellStyle name="Normal 3 20 7" xfId="40684"/>
    <cellStyle name="Normal 3 20 8" xfId="31475"/>
    <cellStyle name="Normal 3 21" xfId="14181"/>
    <cellStyle name="Normal 3 21 2" xfId="40685"/>
    <cellStyle name="Normal 3 22" xfId="14182"/>
    <cellStyle name="Normal 3 22 2" xfId="40686"/>
    <cellStyle name="Normal 3 23" xfId="14183"/>
    <cellStyle name="Normal 3 24" xfId="14184"/>
    <cellStyle name="Normal 3 25" xfId="14185"/>
    <cellStyle name="Normal 3 26" xfId="14186"/>
    <cellStyle name="Normal 3 27" xfId="14187"/>
    <cellStyle name="Normal 3 28" xfId="14188"/>
    <cellStyle name="Normal 3 29" xfId="14189"/>
    <cellStyle name="Normal 3 3" xfId="14190"/>
    <cellStyle name="Normal 3 3 10" xfId="14191"/>
    <cellStyle name="Normal 3 3 10 10" xfId="14192"/>
    <cellStyle name="Normal 3 3 10 11" xfId="14193"/>
    <cellStyle name="Normal 3 3 10 12" xfId="14194"/>
    <cellStyle name="Normal 3 3 10 13" xfId="14195"/>
    <cellStyle name="Normal 3 3 10 14" xfId="14196"/>
    <cellStyle name="Normal 3 3 10 15" xfId="14197"/>
    <cellStyle name="Normal 3 3 10 2" xfId="14198"/>
    <cellStyle name="Normal 3 3 10 3" xfId="14199"/>
    <cellStyle name="Normal 3 3 10 4" xfId="14200"/>
    <cellStyle name="Normal 3 3 10 5" xfId="14201"/>
    <cellStyle name="Normal 3 3 10 6" xfId="14202"/>
    <cellStyle name="Normal 3 3 10 7" xfId="14203"/>
    <cellStyle name="Normal 3 3 10 8" xfId="14204"/>
    <cellStyle name="Normal 3 3 10 9" xfId="14205"/>
    <cellStyle name="Normal 3 3 11" xfId="14206"/>
    <cellStyle name="Normal 3 3 11 10" xfId="14207"/>
    <cellStyle name="Normal 3 3 11 11" xfId="14208"/>
    <cellStyle name="Normal 3 3 11 12" xfId="14209"/>
    <cellStyle name="Normal 3 3 11 13" xfId="14210"/>
    <cellStyle name="Normal 3 3 11 14" xfId="14211"/>
    <cellStyle name="Normal 3 3 11 15" xfId="14212"/>
    <cellStyle name="Normal 3 3 11 2" xfId="14213"/>
    <cellStyle name="Normal 3 3 11 3" xfId="14214"/>
    <cellStyle name="Normal 3 3 11 4" xfId="14215"/>
    <cellStyle name="Normal 3 3 11 5" xfId="14216"/>
    <cellStyle name="Normal 3 3 11 6" xfId="14217"/>
    <cellStyle name="Normal 3 3 11 7" xfId="14218"/>
    <cellStyle name="Normal 3 3 11 8" xfId="14219"/>
    <cellStyle name="Normal 3 3 11 9" xfId="14220"/>
    <cellStyle name="Normal 3 3 12" xfId="14221"/>
    <cellStyle name="Normal 3 3 13" xfId="14222"/>
    <cellStyle name="Normal 3 3 14" xfId="14223"/>
    <cellStyle name="Normal 3 3 15" xfId="14224"/>
    <cellStyle name="Normal 3 3 16" xfId="14225"/>
    <cellStyle name="Normal 3 3 17" xfId="14226"/>
    <cellStyle name="Normal 3 3 2" xfId="14227"/>
    <cellStyle name="Normal 3 3 2 10" xfId="14228"/>
    <cellStyle name="Normal 3 3 2 11" xfId="14229"/>
    <cellStyle name="Normal 3 3 2 12" xfId="14230"/>
    <cellStyle name="Normal 3 3 2 13" xfId="14231"/>
    <cellStyle name="Normal 3 3 2 14" xfId="14232"/>
    <cellStyle name="Normal 3 3 2 15" xfId="14233"/>
    <cellStyle name="Normal 3 3 2 16" xfId="14234"/>
    <cellStyle name="Normal 3 3 2 17" xfId="14235"/>
    <cellStyle name="Normal 3 3 2 18" xfId="14236"/>
    <cellStyle name="Normal 3 3 2 19" xfId="14237"/>
    <cellStyle name="Normal 3 3 2 2" xfId="14238"/>
    <cellStyle name="Normal 3 3 2 2 10" xfId="14239"/>
    <cellStyle name="Normal 3 3 2 2 11" xfId="14240"/>
    <cellStyle name="Normal 3 3 2 2 12" xfId="14241"/>
    <cellStyle name="Normal 3 3 2 2 13" xfId="14242"/>
    <cellStyle name="Normal 3 3 2 2 14" xfId="14243"/>
    <cellStyle name="Normal 3 3 2 2 15" xfId="14244"/>
    <cellStyle name="Normal 3 3 2 2 16" xfId="14245"/>
    <cellStyle name="Normal 3 3 2 2 17" xfId="14246"/>
    <cellStyle name="Normal 3 3 2 2 18" xfId="14247"/>
    <cellStyle name="Normal 3 3 2 2 19" xfId="14248"/>
    <cellStyle name="Normal 3 3 2 2 2" xfId="14249"/>
    <cellStyle name="Normal 3 3 2 2 2 2" xfId="14250"/>
    <cellStyle name="Normal 3 3 2 2 2 3" xfId="14251"/>
    <cellStyle name="Normal 3 3 2 2 2 4" xfId="14252"/>
    <cellStyle name="Normal 3 3 2 2 2 5" xfId="14253"/>
    <cellStyle name="Normal 3 3 2 2 2 6" xfId="14254"/>
    <cellStyle name="Normal 3 3 2 2 2 7" xfId="14255"/>
    <cellStyle name="Normal 3 3 2 2 20" xfId="14256"/>
    <cellStyle name="Normal 3 3 2 2 21" xfId="14257"/>
    <cellStyle name="Normal 3 3 2 2 3" xfId="14258"/>
    <cellStyle name="Normal 3 3 2 2 4" xfId="14259"/>
    <cellStyle name="Normal 3 3 2 2 5" xfId="14260"/>
    <cellStyle name="Normal 3 3 2 2 6" xfId="14261"/>
    <cellStyle name="Normal 3 3 2 2 7" xfId="14262"/>
    <cellStyle name="Normal 3 3 2 2 8" xfId="14263"/>
    <cellStyle name="Normal 3 3 2 2 9" xfId="14264"/>
    <cellStyle name="Normal 3 3 2 20" xfId="14265"/>
    <cellStyle name="Normal 3 3 2 21" xfId="14266"/>
    <cellStyle name="Normal 3 3 2 22" xfId="14267"/>
    <cellStyle name="Normal 3 3 2 23" xfId="14268"/>
    <cellStyle name="Normal 3 3 2 24" xfId="14269"/>
    <cellStyle name="Normal 3 3 2 25" xfId="40687"/>
    <cellStyle name="Normal 3 3 2 3" xfId="14270"/>
    <cellStyle name="Normal 3 3 2 3 2" xfId="14271"/>
    <cellStyle name="Normal 3 3 2 4" xfId="14272"/>
    <cellStyle name="Normal 3 3 2 4 2" xfId="14273"/>
    <cellStyle name="Normal 3 3 2 5" xfId="14274"/>
    <cellStyle name="Normal 3 3 2 5 2" xfId="14275"/>
    <cellStyle name="Normal 3 3 2 6" xfId="14276"/>
    <cellStyle name="Normal 3 3 2 6 2" xfId="14277"/>
    <cellStyle name="Normal 3 3 2 7" xfId="14278"/>
    <cellStyle name="Normal 3 3 2 8" xfId="14279"/>
    <cellStyle name="Normal 3 3 2 9" xfId="14280"/>
    <cellStyle name="Normal 3 3 3" xfId="14281"/>
    <cellStyle name="Normal 3 3 3 10" xfId="14282"/>
    <cellStyle name="Normal 3 3 3 11" xfId="14283"/>
    <cellStyle name="Normal 3 3 3 12" xfId="14284"/>
    <cellStyle name="Normal 3 3 3 13" xfId="14285"/>
    <cellStyle name="Normal 3 3 3 14" xfId="14286"/>
    <cellStyle name="Normal 3 3 3 15" xfId="14287"/>
    <cellStyle name="Normal 3 3 3 16" xfId="14288"/>
    <cellStyle name="Normal 3 3 3 17" xfId="14289"/>
    <cellStyle name="Normal 3 3 3 18" xfId="14290"/>
    <cellStyle name="Normal 3 3 3 19" xfId="14291"/>
    <cellStyle name="Normal 3 3 3 2" xfId="14292"/>
    <cellStyle name="Normal 3 3 3 2 2" xfId="14293"/>
    <cellStyle name="Normal 3 3 3 20" xfId="40688"/>
    <cellStyle name="Normal 3 3 3 3" xfId="14294"/>
    <cellStyle name="Normal 3 3 3 3 2" xfId="14295"/>
    <cellStyle name="Normal 3 3 3 4" xfId="14296"/>
    <cellStyle name="Normal 3 3 3 4 2" xfId="14297"/>
    <cellStyle name="Normal 3 3 3 5" xfId="14298"/>
    <cellStyle name="Normal 3 3 3 5 2" xfId="14299"/>
    <cellStyle name="Normal 3 3 3 6" xfId="14300"/>
    <cellStyle name="Normal 3 3 3 6 2" xfId="14301"/>
    <cellStyle name="Normal 3 3 3 7" xfId="14302"/>
    <cellStyle name="Normal 3 3 3 8" xfId="14303"/>
    <cellStyle name="Normal 3 3 3 9" xfId="14304"/>
    <cellStyle name="Normal 3 3 4" xfId="14305"/>
    <cellStyle name="Normal 3 3 4 10" xfId="14306"/>
    <cellStyle name="Normal 3 3 4 11" xfId="14307"/>
    <cellStyle name="Normal 3 3 4 12" xfId="14308"/>
    <cellStyle name="Normal 3 3 4 13" xfId="14309"/>
    <cellStyle name="Normal 3 3 4 14" xfId="14310"/>
    <cellStyle name="Normal 3 3 4 15" xfId="14311"/>
    <cellStyle name="Normal 3 3 4 16" xfId="14312"/>
    <cellStyle name="Normal 3 3 4 17" xfId="40689"/>
    <cellStyle name="Normal 3 3 4 2" xfId="14313"/>
    <cellStyle name="Normal 3 3 4 3" xfId="14314"/>
    <cellStyle name="Normal 3 3 4 4" xfId="14315"/>
    <cellStyle name="Normal 3 3 4 5" xfId="14316"/>
    <cellStyle name="Normal 3 3 4 6" xfId="14317"/>
    <cellStyle name="Normal 3 3 4 7" xfId="14318"/>
    <cellStyle name="Normal 3 3 4 8" xfId="14319"/>
    <cellStyle name="Normal 3 3 4 9" xfId="14320"/>
    <cellStyle name="Normal 3 3 5" xfId="14321"/>
    <cellStyle name="Normal 3 3 5 10" xfId="14322"/>
    <cellStyle name="Normal 3 3 5 11" xfId="14323"/>
    <cellStyle name="Normal 3 3 5 12" xfId="14324"/>
    <cellStyle name="Normal 3 3 5 13" xfId="14325"/>
    <cellStyle name="Normal 3 3 5 14" xfId="14326"/>
    <cellStyle name="Normal 3 3 5 15" xfId="14327"/>
    <cellStyle name="Normal 3 3 5 16" xfId="14328"/>
    <cellStyle name="Normal 3 3 5 2" xfId="14329"/>
    <cellStyle name="Normal 3 3 5 3" xfId="14330"/>
    <cellStyle name="Normal 3 3 5 4" xfId="14331"/>
    <cellStyle name="Normal 3 3 5 5" xfId="14332"/>
    <cellStyle name="Normal 3 3 5 6" xfId="14333"/>
    <cellStyle name="Normal 3 3 5 7" xfId="14334"/>
    <cellStyle name="Normal 3 3 5 8" xfId="14335"/>
    <cellStyle name="Normal 3 3 5 9" xfId="14336"/>
    <cellStyle name="Normal 3 3 6" xfId="14337"/>
    <cellStyle name="Normal 3 3 6 2" xfId="14338"/>
    <cellStyle name="Normal 3 3 7" xfId="14339"/>
    <cellStyle name="Normal 3 3 7 2" xfId="14340"/>
    <cellStyle name="Normal 3 3 8" xfId="14341"/>
    <cellStyle name="Normal 3 3 8 2" xfId="14342"/>
    <cellStyle name="Normal 3 3 9" xfId="14343"/>
    <cellStyle name="Normal 3 3 9 10" xfId="14344"/>
    <cellStyle name="Normal 3 3 9 11" xfId="14345"/>
    <cellStyle name="Normal 3 3 9 12" xfId="14346"/>
    <cellStyle name="Normal 3 3 9 13" xfId="14347"/>
    <cellStyle name="Normal 3 3 9 14" xfId="14348"/>
    <cellStyle name="Normal 3 3 9 15" xfId="14349"/>
    <cellStyle name="Normal 3 3 9 2" xfId="14350"/>
    <cellStyle name="Normal 3 3 9 3" xfId="14351"/>
    <cellStyle name="Normal 3 3 9 4" xfId="14352"/>
    <cellStyle name="Normal 3 3 9 5" xfId="14353"/>
    <cellStyle name="Normal 3 3 9 6" xfId="14354"/>
    <cellStyle name="Normal 3 3 9 7" xfId="14355"/>
    <cellStyle name="Normal 3 3 9 8" xfId="14356"/>
    <cellStyle name="Normal 3 3 9 9" xfId="14357"/>
    <cellStyle name="Normal 3 30" xfId="14358"/>
    <cellStyle name="Normal 3 31" xfId="14359"/>
    <cellStyle name="Normal 3 32" xfId="14360"/>
    <cellStyle name="Normal 3 33" xfId="14361"/>
    <cellStyle name="Normal 3 34" xfId="14362"/>
    <cellStyle name="Normal 3 35" xfId="14363"/>
    <cellStyle name="Normal 3 36" xfId="14364"/>
    <cellStyle name="Normal 3 37" xfId="14365"/>
    <cellStyle name="Normal 3 38" xfId="14366"/>
    <cellStyle name="Normal 3 39" xfId="14367"/>
    <cellStyle name="Normal 3 4" xfId="14368"/>
    <cellStyle name="Normal 3 4 10" xfId="14369"/>
    <cellStyle name="Normal 3 4 11" xfId="14370"/>
    <cellStyle name="Normal 3 4 2" xfId="14371"/>
    <cellStyle name="Normal 3 4 2 10" xfId="14372"/>
    <cellStyle name="Normal 3 4 2 11" xfId="14373"/>
    <cellStyle name="Normal 3 4 2 12" xfId="14374"/>
    <cellStyle name="Normal 3 4 2 13" xfId="14375"/>
    <cellStyle name="Normal 3 4 2 14" xfId="14376"/>
    <cellStyle name="Normal 3 4 2 15" xfId="14377"/>
    <cellStyle name="Normal 3 4 2 16" xfId="14378"/>
    <cellStyle name="Normal 3 4 2 17" xfId="14379"/>
    <cellStyle name="Normal 3 4 2 18" xfId="14380"/>
    <cellStyle name="Normal 3 4 2 19" xfId="14381"/>
    <cellStyle name="Normal 3 4 2 2" xfId="14382"/>
    <cellStyle name="Normal 3 4 2 2 2" xfId="14383"/>
    <cellStyle name="Normal 3 4 2 2 3" xfId="14384"/>
    <cellStyle name="Normal 3 4 2 2 4" xfId="14385"/>
    <cellStyle name="Normal 3 4 2 2 5" xfId="14386"/>
    <cellStyle name="Normal 3 4 2 2 6" xfId="14387"/>
    <cellStyle name="Normal 3 4 2 2 7" xfId="14388"/>
    <cellStyle name="Normal 3 4 2 20" xfId="14389"/>
    <cellStyle name="Normal 3 4 2 21" xfId="14390"/>
    <cellStyle name="Normal 3 4 2 22" xfId="40690"/>
    <cellStyle name="Normal 3 4 2 3" xfId="14391"/>
    <cellStyle name="Normal 3 4 2 4" xfId="14392"/>
    <cellStyle name="Normal 3 4 2 5" xfId="14393"/>
    <cellStyle name="Normal 3 4 2 6" xfId="14394"/>
    <cellStyle name="Normal 3 4 2 7" xfId="14395"/>
    <cellStyle name="Normal 3 4 2 8" xfId="14396"/>
    <cellStyle name="Normal 3 4 2 9" xfId="14397"/>
    <cellStyle name="Normal 3 4 3" xfId="14398"/>
    <cellStyle name="Normal 3 4 3 10" xfId="14399"/>
    <cellStyle name="Normal 3 4 3 11" xfId="14400"/>
    <cellStyle name="Normal 3 4 3 12" xfId="14401"/>
    <cellStyle name="Normal 3 4 3 13" xfId="14402"/>
    <cellStyle name="Normal 3 4 3 14" xfId="14403"/>
    <cellStyle name="Normal 3 4 3 15" xfId="14404"/>
    <cellStyle name="Normal 3 4 3 16" xfId="14405"/>
    <cellStyle name="Normal 3 4 3 17" xfId="40691"/>
    <cellStyle name="Normal 3 4 3 2" xfId="14406"/>
    <cellStyle name="Normal 3 4 3 3" xfId="14407"/>
    <cellStyle name="Normal 3 4 3 4" xfId="14408"/>
    <cellStyle name="Normal 3 4 3 5" xfId="14409"/>
    <cellStyle name="Normal 3 4 3 6" xfId="14410"/>
    <cellStyle name="Normal 3 4 3 7" xfId="14411"/>
    <cellStyle name="Normal 3 4 3 8" xfId="14412"/>
    <cellStyle name="Normal 3 4 3 9" xfId="14413"/>
    <cellStyle name="Normal 3 4 4" xfId="14414"/>
    <cellStyle name="Normal 3 4 4 2" xfId="40692"/>
    <cellStyle name="Normal 3 4 5" xfId="14415"/>
    <cellStyle name="Normal 3 4 6" xfId="14416"/>
    <cellStyle name="Normal 3 4 7" xfId="14417"/>
    <cellStyle name="Normal 3 4 8" xfId="14418"/>
    <cellStyle name="Normal 3 4 9" xfId="14419"/>
    <cellStyle name="Normal 3 40" xfId="14420"/>
    <cellStyle name="Normal 3 41" xfId="14421"/>
    <cellStyle name="Normal 3 42" xfId="14422"/>
    <cellStyle name="Normal 3 43" xfId="14423"/>
    <cellStyle name="Normal 3 44" xfId="14424"/>
    <cellStyle name="Normal 3 45" xfId="14425"/>
    <cellStyle name="Normal 3 46" xfId="14426"/>
    <cellStyle name="Normal 3 47" xfId="14427"/>
    <cellStyle name="Normal 3 48" xfId="14428"/>
    <cellStyle name="Normal 3 49" xfId="14429"/>
    <cellStyle name="Normal 3 5" xfId="14430"/>
    <cellStyle name="Normal 3 5 10" xfId="14431"/>
    <cellStyle name="Normal 3 5 11" xfId="14432"/>
    <cellStyle name="Normal 3 5 2" xfId="14433"/>
    <cellStyle name="Normal 3 5 2 10" xfId="14434"/>
    <cellStyle name="Normal 3 5 2 11" xfId="14435"/>
    <cellStyle name="Normal 3 5 2 12" xfId="14436"/>
    <cellStyle name="Normal 3 5 2 13" xfId="14437"/>
    <cellStyle name="Normal 3 5 2 14" xfId="14438"/>
    <cellStyle name="Normal 3 5 2 15" xfId="14439"/>
    <cellStyle name="Normal 3 5 2 16" xfId="14440"/>
    <cellStyle name="Normal 3 5 2 17" xfId="14441"/>
    <cellStyle name="Normal 3 5 2 18" xfId="14442"/>
    <cellStyle name="Normal 3 5 2 19" xfId="14443"/>
    <cellStyle name="Normal 3 5 2 2" xfId="14444"/>
    <cellStyle name="Normal 3 5 2 2 2" xfId="14445"/>
    <cellStyle name="Normal 3 5 2 2 3" xfId="14446"/>
    <cellStyle name="Normal 3 5 2 2 4" xfId="14447"/>
    <cellStyle name="Normal 3 5 2 2 5" xfId="14448"/>
    <cellStyle name="Normal 3 5 2 2 6" xfId="14449"/>
    <cellStyle name="Normal 3 5 2 2 7" xfId="14450"/>
    <cellStyle name="Normal 3 5 2 20" xfId="14451"/>
    <cellStyle name="Normal 3 5 2 21" xfId="14452"/>
    <cellStyle name="Normal 3 5 2 22" xfId="40693"/>
    <cellStyle name="Normal 3 5 2 3" xfId="14453"/>
    <cellStyle name="Normal 3 5 2 4" xfId="14454"/>
    <cellStyle name="Normal 3 5 2 5" xfId="14455"/>
    <cellStyle name="Normal 3 5 2 6" xfId="14456"/>
    <cellStyle name="Normal 3 5 2 7" xfId="14457"/>
    <cellStyle name="Normal 3 5 2 8" xfId="14458"/>
    <cellStyle name="Normal 3 5 2 9" xfId="14459"/>
    <cellStyle name="Normal 3 5 3" xfId="14460"/>
    <cellStyle name="Normal 3 5 3 10" xfId="14461"/>
    <cellStyle name="Normal 3 5 3 11" xfId="14462"/>
    <cellStyle name="Normal 3 5 3 12" xfId="14463"/>
    <cellStyle name="Normal 3 5 3 13" xfId="14464"/>
    <cellStyle name="Normal 3 5 3 14" xfId="14465"/>
    <cellStyle name="Normal 3 5 3 15" xfId="14466"/>
    <cellStyle name="Normal 3 5 3 16" xfId="14467"/>
    <cellStyle name="Normal 3 5 3 17" xfId="40694"/>
    <cellStyle name="Normal 3 5 3 2" xfId="14468"/>
    <cellStyle name="Normal 3 5 3 3" xfId="14469"/>
    <cellStyle name="Normal 3 5 3 4" xfId="14470"/>
    <cellStyle name="Normal 3 5 3 5" xfId="14471"/>
    <cellStyle name="Normal 3 5 3 6" xfId="14472"/>
    <cellStyle name="Normal 3 5 3 7" xfId="14473"/>
    <cellStyle name="Normal 3 5 3 8" xfId="14474"/>
    <cellStyle name="Normal 3 5 3 9" xfId="14475"/>
    <cellStyle name="Normal 3 5 4" xfId="14476"/>
    <cellStyle name="Normal 3 5 4 2" xfId="40695"/>
    <cellStyle name="Normal 3 5 5" xfId="14477"/>
    <cellStyle name="Normal 3 5 6" xfId="14478"/>
    <cellStyle name="Normal 3 5 7" xfId="14479"/>
    <cellStyle name="Normal 3 5 8" xfId="14480"/>
    <cellStyle name="Normal 3 5 9" xfId="14481"/>
    <cellStyle name="Normal 3 50" xfId="14482"/>
    <cellStyle name="Normal 3 51" xfId="14483"/>
    <cellStyle name="Normal 3 52" xfId="14484"/>
    <cellStyle name="Normal 3 53" xfId="14485"/>
    <cellStyle name="Normal 3 54" xfId="14486"/>
    <cellStyle name="Normal 3 55" xfId="14487"/>
    <cellStyle name="Normal 3 56" xfId="14488"/>
    <cellStyle name="Normal 3 57" xfId="14489"/>
    <cellStyle name="Normal 3 58" xfId="14490"/>
    <cellStyle name="Normal 3 59" xfId="41126"/>
    <cellStyle name="Normal 3 6" xfId="14491"/>
    <cellStyle name="Normal 3 6 10" xfId="14492"/>
    <cellStyle name="Normal 3 6 11" xfId="14493"/>
    <cellStyle name="Normal 3 6 2" xfId="14494"/>
    <cellStyle name="Normal 3 6 2 10" xfId="14495"/>
    <cellStyle name="Normal 3 6 2 11" xfId="14496"/>
    <cellStyle name="Normal 3 6 2 12" xfId="14497"/>
    <cellStyle name="Normal 3 6 2 13" xfId="14498"/>
    <cellStyle name="Normal 3 6 2 14" xfId="14499"/>
    <cellStyle name="Normal 3 6 2 15" xfId="14500"/>
    <cellStyle name="Normal 3 6 2 16" xfId="14501"/>
    <cellStyle name="Normal 3 6 2 17" xfId="14502"/>
    <cellStyle name="Normal 3 6 2 18" xfId="14503"/>
    <cellStyle name="Normal 3 6 2 19" xfId="14504"/>
    <cellStyle name="Normal 3 6 2 2" xfId="14505"/>
    <cellStyle name="Normal 3 6 2 2 2" xfId="14506"/>
    <cellStyle name="Normal 3 6 2 2 3" xfId="14507"/>
    <cellStyle name="Normal 3 6 2 2 4" xfId="14508"/>
    <cellStyle name="Normal 3 6 2 2 5" xfId="14509"/>
    <cellStyle name="Normal 3 6 2 2 6" xfId="14510"/>
    <cellStyle name="Normal 3 6 2 2 7" xfId="14511"/>
    <cellStyle name="Normal 3 6 2 20" xfId="14512"/>
    <cellStyle name="Normal 3 6 2 21" xfId="14513"/>
    <cellStyle name="Normal 3 6 2 22" xfId="40696"/>
    <cellStyle name="Normal 3 6 2 3" xfId="14514"/>
    <cellStyle name="Normal 3 6 2 4" xfId="14515"/>
    <cellStyle name="Normal 3 6 2 5" xfId="14516"/>
    <cellStyle name="Normal 3 6 2 6" xfId="14517"/>
    <cellStyle name="Normal 3 6 2 7" xfId="14518"/>
    <cellStyle name="Normal 3 6 2 8" xfId="14519"/>
    <cellStyle name="Normal 3 6 2 9" xfId="14520"/>
    <cellStyle name="Normal 3 6 3" xfId="14521"/>
    <cellStyle name="Normal 3 6 3 10" xfId="14522"/>
    <cellStyle name="Normal 3 6 3 11" xfId="14523"/>
    <cellStyle name="Normal 3 6 3 12" xfId="14524"/>
    <cellStyle name="Normal 3 6 3 13" xfId="14525"/>
    <cellStyle name="Normal 3 6 3 14" xfId="14526"/>
    <cellStyle name="Normal 3 6 3 15" xfId="14527"/>
    <cellStyle name="Normal 3 6 3 16" xfId="14528"/>
    <cellStyle name="Normal 3 6 3 17" xfId="40697"/>
    <cellStyle name="Normal 3 6 3 2" xfId="14529"/>
    <cellStyle name="Normal 3 6 3 3" xfId="14530"/>
    <cellStyle name="Normal 3 6 3 4" xfId="14531"/>
    <cellStyle name="Normal 3 6 3 5" xfId="14532"/>
    <cellStyle name="Normal 3 6 3 6" xfId="14533"/>
    <cellStyle name="Normal 3 6 3 7" xfId="14534"/>
    <cellStyle name="Normal 3 6 3 8" xfId="14535"/>
    <cellStyle name="Normal 3 6 3 9" xfId="14536"/>
    <cellStyle name="Normal 3 6 4" xfId="14537"/>
    <cellStyle name="Normal 3 6 4 2" xfId="40698"/>
    <cellStyle name="Normal 3 6 5" xfId="14538"/>
    <cellStyle name="Normal 3 6 6" xfId="14539"/>
    <cellStyle name="Normal 3 6 7" xfId="14540"/>
    <cellStyle name="Normal 3 6 8" xfId="14541"/>
    <cellStyle name="Normal 3 6 9" xfId="14542"/>
    <cellStyle name="Normal 3 7" xfId="14543"/>
    <cellStyle name="Normal 3 7 10" xfId="14544"/>
    <cellStyle name="Normal 3 7 11" xfId="14545"/>
    <cellStyle name="Normal 3 7 2" xfId="14546"/>
    <cellStyle name="Normal 3 7 2 10" xfId="14547"/>
    <cellStyle name="Normal 3 7 2 11" xfId="14548"/>
    <cellStyle name="Normal 3 7 2 12" xfId="14549"/>
    <cellStyle name="Normal 3 7 2 13" xfId="14550"/>
    <cellStyle name="Normal 3 7 2 14" xfId="14551"/>
    <cellStyle name="Normal 3 7 2 15" xfId="14552"/>
    <cellStyle name="Normal 3 7 2 16" xfId="14553"/>
    <cellStyle name="Normal 3 7 2 17" xfId="14554"/>
    <cellStyle name="Normal 3 7 2 18" xfId="14555"/>
    <cellStyle name="Normal 3 7 2 19" xfId="14556"/>
    <cellStyle name="Normal 3 7 2 2" xfId="14557"/>
    <cellStyle name="Normal 3 7 2 2 2" xfId="14558"/>
    <cellStyle name="Normal 3 7 2 2 3" xfId="14559"/>
    <cellStyle name="Normal 3 7 2 2 4" xfId="14560"/>
    <cellStyle name="Normal 3 7 2 2 5" xfId="14561"/>
    <cellStyle name="Normal 3 7 2 2 6" xfId="14562"/>
    <cellStyle name="Normal 3 7 2 2 7" xfId="14563"/>
    <cellStyle name="Normal 3 7 2 20" xfId="14564"/>
    <cellStyle name="Normal 3 7 2 21" xfId="14565"/>
    <cellStyle name="Normal 3 7 2 22" xfId="40699"/>
    <cellStyle name="Normal 3 7 2 3" xfId="14566"/>
    <cellStyle name="Normal 3 7 2 4" xfId="14567"/>
    <cellStyle name="Normal 3 7 2 5" xfId="14568"/>
    <cellStyle name="Normal 3 7 2 6" xfId="14569"/>
    <cellStyle name="Normal 3 7 2 7" xfId="14570"/>
    <cellStyle name="Normal 3 7 2 8" xfId="14571"/>
    <cellStyle name="Normal 3 7 2 9" xfId="14572"/>
    <cellStyle name="Normal 3 7 3" xfId="14573"/>
    <cellStyle name="Normal 3 7 3 10" xfId="14574"/>
    <cellStyle name="Normal 3 7 3 11" xfId="14575"/>
    <cellStyle name="Normal 3 7 3 12" xfId="14576"/>
    <cellStyle name="Normal 3 7 3 13" xfId="14577"/>
    <cellStyle name="Normal 3 7 3 14" xfId="14578"/>
    <cellStyle name="Normal 3 7 3 15" xfId="14579"/>
    <cellStyle name="Normal 3 7 3 16" xfId="14580"/>
    <cellStyle name="Normal 3 7 3 17" xfId="40700"/>
    <cellStyle name="Normal 3 7 3 2" xfId="14581"/>
    <cellStyle name="Normal 3 7 3 3" xfId="14582"/>
    <cellStyle name="Normal 3 7 3 4" xfId="14583"/>
    <cellStyle name="Normal 3 7 3 5" xfId="14584"/>
    <cellStyle name="Normal 3 7 3 6" xfId="14585"/>
    <cellStyle name="Normal 3 7 3 7" xfId="14586"/>
    <cellStyle name="Normal 3 7 3 8" xfId="14587"/>
    <cellStyle name="Normal 3 7 3 9" xfId="14588"/>
    <cellStyle name="Normal 3 7 4" xfId="14589"/>
    <cellStyle name="Normal 3 7 4 2" xfId="40701"/>
    <cellStyle name="Normal 3 7 5" xfId="14590"/>
    <cellStyle name="Normal 3 7 6" xfId="14591"/>
    <cellStyle name="Normal 3 7 7" xfId="14592"/>
    <cellStyle name="Normal 3 7 8" xfId="14593"/>
    <cellStyle name="Normal 3 7 9" xfId="14594"/>
    <cellStyle name="Normal 3 8" xfId="14595"/>
    <cellStyle name="Normal 3 8 10" xfId="14596"/>
    <cellStyle name="Normal 3 8 10 2" xfId="14597"/>
    <cellStyle name="Normal 3 8 10 2 2" xfId="14598"/>
    <cellStyle name="Normal 3 8 10 2 2 2" xfId="31482"/>
    <cellStyle name="Normal 3 8 10 2 3" xfId="14599"/>
    <cellStyle name="Normal 3 8 10 2 3 2" xfId="31483"/>
    <cellStyle name="Normal 3 8 10 2 4" xfId="14600"/>
    <cellStyle name="Normal 3 8 10 2 4 2" xfId="31484"/>
    <cellStyle name="Normal 3 8 10 2 5" xfId="14601"/>
    <cellStyle name="Normal 3 8 10 2 5 2" xfId="31485"/>
    <cellStyle name="Normal 3 8 10 2 6" xfId="31481"/>
    <cellStyle name="Normal 3 8 10 3" xfId="14602"/>
    <cellStyle name="Normal 3 8 10 3 2" xfId="31486"/>
    <cellStyle name="Normal 3 8 10 4" xfId="14603"/>
    <cellStyle name="Normal 3 8 10 4 2" xfId="31487"/>
    <cellStyle name="Normal 3 8 10 5" xfId="14604"/>
    <cellStyle name="Normal 3 8 10 5 2" xfId="31488"/>
    <cellStyle name="Normal 3 8 10 6" xfId="14605"/>
    <cellStyle name="Normal 3 8 10 6 2" xfId="31489"/>
    <cellStyle name="Normal 3 8 10 7" xfId="31480"/>
    <cellStyle name="Normal 3 8 11" xfId="14606"/>
    <cellStyle name="Normal 3 8 11 2" xfId="14607"/>
    <cellStyle name="Normal 3 8 11 2 2" xfId="31491"/>
    <cellStyle name="Normal 3 8 11 3" xfId="14608"/>
    <cellStyle name="Normal 3 8 11 3 2" xfId="31492"/>
    <cellStyle name="Normal 3 8 11 4" xfId="14609"/>
    <cellStyle name="Normal 3 8 11 4 2" xfId="31493"/>
    <cellStyle name="Normal 3 8 11 5" xfId="14610"/>
    <cellStyle name="Normal 3 8 11 5 2" xfId="31494"/>
    <cellStyle name="Normal 3 8 11 6" xfId="31490"/>
    <cellStyle name="Normal 3 8 12" xfId="14611"/>
    <cellStyle name="Normal 3 8 12 2" xfId="14612"/>
    <cellStyle name="Normal 3 8 12 2 2" xfId="31496"/>
    <cellStyle name="Normal 3 8 12 3" xfId="14613"/>
    <cellStyle name="Normal 3 8 12 3 2" xfId="31497"/>
    <cellStyle name="Normal 3 8 12 4" xfId="14614"/>
    <cellStyle name="Normal 3 8 12 4 2" xfId="31498"/>
    <cellStyle name="Normal 3 8 12 5" xfId="14615"/>
    <cellStyle name="Normal 3 8 12 5 2" xfId="31499"/>
    <cellStyle name="Normal 3 8 12 6" xfId="31495"/>
    <cellStyle name="Normal 3 8 13" xfId="14616"/>
    <cellStyle name="Normal 3 8 13 2" xfId="14617"/>
    <cellStyle name="Normal 3 8 13 2 2" xfId="31501"/>
    <cellStyle name="Normal 3 8 13 3" xfId="14618"/>
    <cellStyle name="Normal 3 8 13 3 2" xfId="31502"/>
    <cellStyle name="Normal 3 8 13 4" xfId="14619"/>
    <cellStyle name="Normal 3 8 13 4 2" xfId="31503"/>
    <cellStyle name="Normal 3 8 13 5" xfId="14620"/>
    <cellStyle name="Normal 3 8 13 5 2" xfId="31504"/>
    <cellStyle name="Normal 3 8 13 6" xfId="31500"/>
    <cellStyle name="Normal 3 8 14" xfId="14621"/>
    <cellStyle name="Normal 3 8 14 2" xfId="14622"/>
    <cellStyle name="Normal 3 8 14 2 2" xfId="31506"/>
    <cellStyle name="Normal 3 8 14 3" xfId="14623"/>
    <cellStyle name="Normal 3 8 14 3 2" xfId="31507"/>
    <cellStyle name="Normal 3 8 14 4" xfId="14624"/>
    <cellStyle name="Normal 3 8 14 4 2" xfId="31508"/>
    <cellStyle name="Normal 3 8 14 5" xfId="14625"/>
    <cellStyle name="Normal 3 8 14 5 2" xfId="31509"/>
    <cellStyle name="Normal 3 8 14 6" xfId="31505"/>
    <cellStyle name="Normal 3 8 15" xfId="14626"/>
    <cellStyle name="Normal 3 8 15 2" xfId="14627"/>
    <cellStyle name="Normal 3 8 15 2 2" xfId="31511"/>
    <cellStyle name="Normal 3 8 15 3" xfId="14628"/>
    <cellStyle name="Normal 3 8 15 3 2" xfId="31512"/>
    <cellStyle name="Normal 3 8 15 4" xfId="14629"/>
    <cellStyle name="Normal 3 8 15 4 2" xfId="31513"/>
    <cellStyle name="Normal 3 8 15 5" xfId="14630"/>
    <cellStyle name="Normal 3 8 15 5 2" xfId="31514"/>
    <cellStyle name="Normal 3 8 15 6" xfId="31510"/>
    <cellStyle name="Normal 3 8 16" xfId="14631"/>
    <cellStyle name="Normal 3 8 16 2" xfId="14632"/>
    <cellStyle name="Normal 3 8 16 2 2" xfId="31516"/>
    <cellStyle name="Normal 3 8 16 3" xfId="14633"/>
    <cellStyle name="Normal 3 8 16 3 2" xfId="31517"/>
    <cellStyle name="Normal 3 8 16 4" xfId="14634"/>
    <cellStyle name="Normal 3 8 16 4 2" xfId="31518"/>
    <cellStyle name="Normal 3 8 16 5" xfId="14635"/>
    <cellStyle name="Normal 3 8 16 5 2" xfId="31519"/>
    <cellStyle name="Normal 3 8 16 6" xfId="31515"/>
    <cellStyle name="Normal 3 8 17" xfId="14636"/>
    <cellStyle name="Normal 3 8 17 2" xfId="14637"/>
    <cellStyle name="Normal 3 8 17 2 2" xfId="31521"/>
    <cellStyle name="Normal 3 8 17 3" xfId="14638"/>
    <cellStyle name="Normal 3 8 17 3 2" xfId="31522"/>
    <cellStyle name="Normal 3 8 17 4" xfId="14639"/>
    <cellStyle name="Normal 3 8 17 4 2" xfId="31523"/>
    <cellStyle name="Normal 3 8 17 5" xfId="14640"/>
    <cellStyle name="Normal 3 8 17 5 2" xfId="31524"/>
    <cellStyle name="Normal 3 8 17 6" xfId="31520"/>
    <cellStyle name="Normal 3 8 18" xfId="14641"/>
    <cellStyle name="Normal 3 8 18 2" xfId="14642"/>
    <cellStyle name="Normal 3 8 18 2 2" xfId="31526"/>
    <cellStyle name="Normal 3 8 18 3" xfId="14643"/>
    <cellStyle name="Normal 3 8 18 3 2" xfId="31527"/>
    <cellStyle name="Normal 3 8 18 4" xfId="14644"/>
    <cellStyle name="Normal 3 8 18 4 2" xfId="31528"/>
    <cellStyle name="Normal 3 8 18 5" xfId="14645"/>
    <cellStyle name="Normal 3 8 18 5 2" xfId="31529"/>
    <cellStyle name="Normal 3 8 18 6" xfId="31525"/>
    <cellStyle name="Normal 3 8 19" xfId="14646"/>
    <cellStyle name="Normal 3 8 19 2" xfId="14647"/>
    <cellStyle name="Normal 3 8 19 2 2" xfId="31531"/>
    <cellStyle name="Normal 3 8 19 3" xfId="14648"/>
    <cellStyle name="Normal 3 8 19 3 2" xfId="31532"/>
    <cellStyle name="Normal 3 8 19 4" xfId="14649"/>
    <cellStyle name="Normal 3 8 19 4 2" xfId="31533"/>
    <cellStyle name="Normal 3 8 19 5" xfId="14650"/>
    <cellStyle name="Normal 3 8 19 5 2" xfId="31534"/>
    <cellStyle name="Normal 3 8 19 6" xfId="31530"/>
    <cellStyle name="Normal 3 8 2" xfId="14651"/>
    <cellStyle name="Normal 3 8 2 10" xfId="14652"/>
    <cellStyle name="Normal 3 8 2 11" xfId="14653"/>
    <cellStyle name="Normal 3 8 2 12" xfId="14654"/>
    <cellStyle name="Normal 3 8 2 13" xfId="14655"/>
    <cellStyle name="Normal 3 8 2 14" xfId="14656"/>
    <cellStyle name="Normal 3 8 2 15" xfId="14657"/>
    <cellStyle name="Normal 3 8 2 16" xfId="14658"/>
    <cellStyle name="Normal 3 8 2 17" xfId="14659"/>
    <cellStyle name="Normal 3 8 2 18" xfId="14660"/>
    <cellStyle name="Normal 3 8 2 19" xfId="14661"/>
    <cellStyle name="Normal 3 8 2 2" xfId="14662"/>
    <cellStyle name="Normal 3 8 2 2 2" xfId="14663"/>
    <cellStyle name="Normal 3 8 2 2 3" xfId="14664"/>
    <cellStyle name="Normal 3 8 2 2 4" xfId="14665"/>
    <cellStyle name="Normal 3 8 2 2 5" xfId="14666"/>
    <cellStyle name="Normal 3 8 2 2 6" xfId="14667"/>
    <cellStyle name="Normal 3 8 2 2 7" xfId="14668"/>
    <cellStyle name="Normal 3 8 2 20" xfId="14669"/>
    <cellStyle name="Normal 3 8 2 21" xfId="14670"/>
    <cellStyle name="Normal 3 8 2 22" xfId="40702"/>
    <cellStyle name="Normal 3 8 2 23" xfId="31535"/>
    <cellStyle name="Normal 3 8 2 3" xfId="14671"/>
    <cellStyle name="Normal 3 8 2 4" xfId="14672"/>
    <cellStyle name="Normal 3 8 2 5" xfId="14673"/>
    <cellStyle name="Normal 3 8 2 6" xfId="14674"/>
    <cellStyle name="Normal 3 8 2 7" xfId="14675"/>
    <cellStyle name="Normal 3 8 2 8" xfId="14676"/>
    <cellStyle name="Normal 3 8 2 9" xfId="14677"/>
    <cellStyle name="Normal 3 8 20" xfId="14678"/>
    <cellStyle name="Normal 3 8 20 2" xfId="14679"/>
    <cellStyle name="Normal 3 8 20 2 2" xfId="31537"/>
    <cellStyle name="Normal 3 8 20 3" xfId="14680"/>
    <cellStyle name="Normal 3 8 20 3 2" xfId="31538"/>
    <cellStyle name="Normal 3 8 20 4" xfId="14681"/>
    <cellStyle name="Normal 3 8 20 4 2" xfId="31539"/>
    <cellStyle name="Normal 3 8 20 5" xfId="14682"/>
    <cellStyle name="Normal 3 8 20 5 2" xfId="31540"/>
    <cellStyle name="Normal 3 8 20 6" xfId="31536"/>
    <cellStyle name="Normal 3 8 21" xfId="14683"/>
    <cellStyle name="Normal 3 8 21 2" xfId="14684"/>
    <cellStyle name="Normal 3 8 21 2 2" xfId="31542"/>
    <cellStyle name="Normal 3 8 21 3" xfId="14685"/>
    <cellStyle name="Normal 3 8 21 3 2" xfId="31543"/>
    <cellStyle name="Normal 3 8 21 4" xfId="14686"/>
    <cellStyle name="Normal 3 8 21 4 2" xfId="31544"/>
    <cellStyle name="Normal 3 8 21 5" xfId="14687"/>
    <cellStyle name="Normal 3 8 21 5 2" xfId="31545"/>
    <cellStyle name="Normal 3 8 21 6" xfId="31541"/>
    <cellStyle name="Normal 3 8 22" xfId="14688"/>
    <cellStyle name="Normal 3 8 22 2" xfId="31546"/>
    <cellStyle name="Normal 3 8 23" xfId="14689"/>
    <cellStyle name="Normal 3 8 23 2" xfId="31547"/>
    <cellStyle name="Normal 3 8 24" xfId="14690"/>
    <cellStyle name="Normal 3 8 24 2" xfId="31548"/>
    <cellStyle name="Normal 3 8 25" xfId="14691"/>
    <cellStyle name="Normal 3 8 25 2" xfId="31549"/>
    <cellStyle name="Normal 3 8 26" xfId="14692"/>
    <cellStyle name="Normal 3 8 26 2" xfId="31550"/>
    <cellStyle name="Normal 3 8 3" xfId="14693"/>
    <cellStyle name="Normal 3 8 3 10" xfId="14694"/>
    <cellStyle name="Normal 3 8 3 11" xfId="14695"/>
    <cellStyle name="Normal 3 8 3 12" xfId="14696"/>
    <cellStyle name="Normal 3 8 3 13" xfId="14697"/>
    <cellStyle name="Normal 3 8 3 14" xfId="14698"/>
    <cellStyle name="Normal 3 8 3 15" xfId="14699"/>
    <cellStyle name="Normal 3 8 3 16" xfId="14700"/>
    <cellStyle name="Normal 3 8 3 17" xfId="40703"/>
    <cellStyle name="Normal 3 8 3 2" xfId="14701"/>
    <cellStyle name="Normal 3 8 3 3" xfId="14702"/>
    <cellStyle name="Normal 3 8 3 4" xfId="14703"/>
    <cellStyle name="Normal 3 8 3 5" xfId="14704"/>
    <cellStyle name="Normal 3 8 3 6" xfId="14705"/>
    <cellStyle name="Normal 3 8 3 7" xfId="14706"/>
    <cellStyle name="Normal 3 8 3 8" xfId="14707"/>
    <cellStyle name="Normal 3 8 3 9" xfId="14708"/>
    <cellStyle name="Normal 3 8 4" xfId="14709"/>
    <cellStyle name="Normal 3 8 4 10" xfId="14710"/>
    <cellStyle name="Normal 3 8 4 10 2" xfId="14711"/>
    <cellStyle name="Normal 3 8 4 10 2 2" xfId="31552"/>
    <cellStyle name="Normal 3 8 4 10 3" xfId="14712"/>
    <cellStyle name="Normal 3 8 4 10 3 2" xfId="31553"/>
    <cellStyle name="Normal 3 8 4 10 4" xfId="14713"/>
    <cellStyle name="Normal 3 8 4 10 4 2" xfId="31554"/>
    <cellStyle name="Normal 3 8 4 10 5" xfId="14714"/>
    <cellStyle name="Normal 3 8 4 10 5 2" xfId="31555"/>
    <cellStyle name="Normal 3 8 4 10 6" xfId="31551"/>
    <cellStyle name="Normal 3 8 4 11" xfId="14715"/>
    <cellStyle name="Normal 3 8 4 11 2" xfId="14716"/>
    <cellStyle name="Normal 3 8 4 11 2 2" xfId="31557"/>
    <cellStyle name="Normal 3 8 4 11 3" xfId="14717"/>
    <cellStyle name="Normal 3 8 4 11 3 2" xfId="31558"/>
    <cellStyle name="Normal 3 8 4 11 4" xfId="14718"/>
    <cellStyle name="Normal 3 8 4 11 4 2" xfId="31559"/>
    <cellStyle name="Normal 3 8 4 11 5" xfId="14719"/>
    <cellStyle name="Normal 3 8 4 11 5 2" xfId="31560"/>
    <cellStyle name="Normal 3 8 4 11 6" xfId="31556"/>
    <cellStyle name="Normal 3 8 4 12" xfId="14720"/>
    <cellStyle name="Normal 3 8 4 12 2" xfId="14721"/>
    <cellStyle name="Normal 3 8 4 12 2 2" xfId="31562"/>
    <cellStyle name="Normal 3 8 4 12 3" xfId="14722"/>
    <cellStyle name="Normal 3 8 4 12 3 2" xfId="31563"/>
    <cellStyle name="Normal 3 8 4 12 4" xfId="14723"/>
    <cellStyle name="Normal 3 8 4 12 4 2" xfId="31564"/>
    <cellStyle name="Normal 3 8 4 12 5" xfId="14724"/>
    <cellStyle name="Normal 3 8 4 12 5 2" xfId="31565"/>
    <cellStyle name="Normal 3 8 4 12 6" xfId="31561"/>
    <cellStyle name="Normal 3 8 4 13" xfId="14725"/>
    <cellStyle name="Normal 3 8 4 13 2" xfId="14726"/>
    <cellStyle name="Normal 3 8 4 13 2 2" xfId="31567"/>
    <cellStyle name="Normal 3 8 4 13 3" xfId="14727"/>
    <cellStyle name="Normal 3 8 4 13 3 2" xfId="31568"/>
    <cellStyle name="Normal 3 8 4 13 4" xfId="14728"/>
    <cellStyle name="Normal 3 8 4 13 4 2" xfId="31569"/>
    <cellStyle name="Normal 3 8 4 13 5" xfId="14729"/>
    <cellStyle name="Normal 3 8 4 13 5 2" xfId="31570"/>
    <cellStyle name="Normal 3 8 4 13 6" xfId="31566"/>
    <cellStyle name="Normal 3 8 4 14" xfId="14730"/>
    <cellStyle name="Normal 3 8 4 14 2" xfId="14731"/>
    <cellStyle name="Normal 3 8 4 14 2 2" xfId="31572"/>
    <cellStyle name="Normal 3 8 4 14 3" xfId="14732"/>
    <cellStyle name="Normal 3 8 4 14 3 2" xfId="31573"/>
    <cellStyle name="Normal 3 8 4 14 4" xfId="14733"/>
    <cellStyle name="Normal 3 8 4 14 4 2" xfId="31574"/>
    <cellStyle name="Normal 3 8 4 14 5" xfId="14734"/>
    <cellStyle name="Normal 3 8 4 14 5 2" xfId="31575"/>
    <cellStyle name="Normal 3 8 4 14 6" xfId="31571"/>
    <cellStyle name="Normal 3 8 4 15" xfId="14735"/>
    <cellStyle name="Normal 3 8 4 15 2" xfId="14736"/>
    <cellStyle name="Normal 3 8 4 15 2 2" xfId="31577"/>
    <cellStyle name="Normal 3 8 4 15 3" xfId="14737"/>
    <cellStyle name="Normal 3 8 4 15 3 2" xfId="31578"/>
    <cellStyle name="Normal 3 8 4 15 4" xfId="14738"/>
    <cellStyle name="Normal 3 8 4 15 4 2" xfId="31579"/>
    <cellStyle name="Normal 3 8 4 15 5" xfId="14739"/>
    <cellStyle name="Normal 3 8 4 15 5 2" xfId="31580"/>
    <cellStyle name="Normal 3 8 4 15 6" xfId="31576"/>
    <cellStyle name="Normal 3 8 4 16" xfId="14740"/>
    <cellStyle name="Normal 3 8 4 16 2" xfId="14741"/>
    <cellStyle name="Normal 3 8 4 16 2 2" xfId="31582"/>
    <cellStyle name="Normal 3 8 4 16 3" xfId="14742"/>
    <cellStyle name="Normal 3 8 4 16 3 2" xfId="31583"/>
    <cellStyle name="Normal 3 8 4 16 4" xfId="14743"/>
    <cellStyle name="Normal 3 8 4 16 4 2" xfId="31584"/>
    <cellStyle name="Normal 3 8 4 16 5" xfId="14744"/>
    <cellStyle name="Normal 3 8 4 16 5 2" xfId="31585"/>
    <cellStyle name="Normal 3 8 4 16 6" xfId="31581"/>
    <cellStyle name="Normal 3 8 4 17" xfId="40704"/>
    <cellStyle name="Normal 3 8 4 2" xfId="14745"/>
    <cellStyle name="Normal 3 8 4 3" xfId="14746"/>
    <cellStyle name="Normal 3 8 4 3 2" xfId="14747"/>
    <cellStyle name="Normal 3 8 4 3 2 2" xfId="31587"/>
    <cellStyle name="Normal 3 8 4 3 3" xfId="14748"/>
    <cellStyle name="Normal 3 8 4 3 3 2" xfId="31588"/>
    <cellStyle name="Normal 3 8 4 3 4" xfId="14749"/>
    <cellStyle name="Normal 3 8 4 3 4 2" xfId="31589"/>
    <cellStyle name="Normal 3 8 4 3 5" xfId="14750"/>
    <cellStyle name="Normal 3 8 4 3 5 2" xfId="31590"/>
    <cellStyle name="Normal 3 8 4 3 6" xfId="31586"/>
    <cellStyle name="Normal 3 8 4 4" xfId="14751"/>
    <cellStyle name="Normal 3 8 4 4 2" xfId="14752"/>
    <cellStyle name="Normal 3 8 4 4 2 2" xfId="31592"/>
    <cellStyle name="Normal 3 8 4 4 3" xfId="14753"/>
    <cellStyle name="Normal 3 8 4 4 3 2" xfId="31593"/>
    <cellStyle name="Normal 3 8 4 4 4" xfId="14754"/>
    <cellStyle name="Normal 3 8 4 4 4 2" xfId="31594"/>
    <cellStyle name="Normal 3 8 4 4 5" xfId="14755"/>
    <cellStyle name="Normal 3 8 4 4 5 2" xfId="31595"/>
    <cellStyle name="Normal 3 8 4 4 6" xfId="31591"/>
    <cellStyle name="Normal 3 8 4 5" xfId="14756"/>
    <cellStyle name="Normal 3 8 4 5 2" xfId="14757"/>
    <cellStyle name="Normal 3 8 4 5 2 2" xfId="31597"/>
    <cellStyle name="Normal 3 8 4 5 3" xfId="14758"/>
    <cellStyle name="Normal 3 8 4 5 3 2" xfId="31598"/>
    <cellStyle name="Normal 3 8 4 5 4" xfId="14759"/>
    <cellStyle name="Normal 3 8 4 5 4 2" xfId="31599"/>
    <cellStyle name="Normal 3 8 4 5 5" xfId="14760"/>
    <cellStyle name="Normal 3 8 4 5 5 2" xfId="31600"/>
    <cellStyle name="Normal 3 8 4 5 6" xfId="31596"/>
    <cellStyle name="Normal 3 8 4 6" xfId="14761"/>
    <cellStyle name="Normal 3 8 4 6 2" xfId="14762"/>
    <cellStyle name="Normal 3 8 4 6 2 2" xfId="31602"/>
    <cellStyle name="Normal 3 8 4 6 3" xfId="14763"/>
    <cellStyle name="Normal 3 8 4 6 3 2" xfId="31603"/>
    <cellStyle name="Normal 3 8 4 6 4" xfId="14764"/>
    <cellStyle name="Normal 3 8 4 6 4 2" xfId="31604"/>
    <cellStyle name="Normal 3 8 4 6 5" xfId="14765"/>
    <cellStyle name="Normal 3 8 4 6 5 2" xfId="31605"/>
    <cellStyle name="Normal 3 8 4 6 6" xfId="31601"/>
    <cellStyle name="Normal 3 8 4 7" xfId="14766"/>
    <cellStyle name="Normal 3 8 4 7 2" xfId="14767"/>
    <cellStyle name="Normal 3 8 4 7 2 2" xfId="31607"/>
    <cellStyle name="Normal 3 8 4 7 3" xfId="14768"/>
    <cellStyle name="Normal 3 8 4 7 3 2" xfId="31608"/>
    <cellStyle name="Normal 3 8 4 7 4" xfId="14769"/>
    <cellStyle name="Normal 3 8 4 7 4 2" xfId="31609"/>
    <cellStyle name="Normal 3 8 4 7 5" xfId="14770"/>
    <cellStyle name="Normal 3 8 4 7 5 2" xfId="31610"/>
    <cellStyle name="Normal 3 8 4 7 6" xfId="31606"/>
    <cellStyle name="Normal 3 8 4 8" xfId="14771"/>
    <cellStyle name="Normal 3 8 4 8 2" xfId="14772"/>
    <cellStyle name="Normal 3 8 4 8 2 2" xfId="31612"/>
    <cellStyle name="Normal 3 8 4 8 3" xfId="14773"/>
    <cellStyle name="Normal 3 8 4 8 3 2" xfId="31613"/>
    <cellStyle name="Normal 3 8 4 8 4" xfId="14774"/>
    <cellStyle name="Normal 3 8 4 8 4 2" xfId="31614"/>
    <cellStyle name="Normal 3 8 4 8 5" xfId="14775"/>
    <cellStyle name="Normal 3 8 4 8 5 2" xfId="31615"/>
    <cellStyle name="Normal 3 8 4 8 6" xfId="31611"/>
    <cellStyle name="Normal 3 8 4 9" xfId="14776"/>
    <cellStyle name="Normal 3 8 4 9 2" xfId="14777"/>
    <cellStyle name="Normal 3 8 4 9 2 2" xfId="31617"/>
    <cellStyle name="Normal 3 8 4 9 3" xfId="14778"/>
    <cellStyle name="Normal 3 8 4 9 3 2" xfId="31618"/>
    <cellStyle name="Normal 3 8 4 9 4" xfId="14779"/>
    <cellStyle name="Normal 3 8 4 9 4 2" xfId="31619"/>
    <cellStyle name="Normal 3 8 4 9 5" xfId="14780"/>
    <cellStyle name="Normal 3 8 4 9 5 2" xfId="31620"/>
    <cellStyle name="Normal 3 8 4 9 6" xfId="31616"/>
    <cellStyle name="Normal 3 8 5" xfId="14781"/>
    <cellStyle name="Normal 3 8 5 2" xfId="14782"/>
    <cellStyle name="Normal 3 8 6" xfId="14783"/>
    <cellStyle name="Normal 3 8 6 2" xfId="14784"/>
    <cellStyle name="Normal 3 8 7" xfId="14785"/>
    <cellStyle name="Normal 3 8 7 2" xfId="14786"/>
    <cellStyle name="Normal 3 8 8" xfId="14787"/>
    <cellStyle name="Normal 3 8 8 2" xfId="14788"/>
    <cellStyle name="Normal 3 8 8 2 2" xfId="14789"/>
    <cellStyle name="Normal 3 8 8 2 2 2" xfId="31623"/>
    <cellStyle name="Normal 3 8 8 2 3" xfId="14790"/>
    <cellStyle name="Normal 3 8 8 2 3 2" xfId="31624"/>
    <cellStyle name="Normal 3 8 8 2 4" xfId="14791"/>
    <cellStyle name="Normal 3 8 8 2 4 2" xfId="31625"/>
    <cellStyle name="Normal 3 8 8 2 5" xfId="14792"/>
    <cellStyle name="Normal 3 8 8 2 5 2" xfId="31626"/>
    <cellStyle name="Normal 3 8 8 2 6" xfId="31622"/>
    <cellStyle name="Normal 3 8 8 3" xfId="14793"/>
    <cellStyle name="Normal 3 8 8 3 2" xfId="31627"/>
    <cellStyle name="Normal 3 8 8 4" xfId="14794"/>
    <cellStyle name="Normal 3 8 8 4 2" xfId="31628"/>
    <cellStyle name="Normal 3 8 8 5" xfId="14795"/>
    <cellStyle name="Normal 3 8 8 5 2" xfId="31629"/>
    <cellStyle name="Normal 3 8 8 6" xfId="14796"/>
    <cellStyle name="Normal 3 8 8 6 2" xfId="31630"/>
    <cellStyle name="Normal 3 8 8 7" xfId="31621"/>
    <cellStyle name="Normal 3 8 9" xfId="14797"/>
    <cellStyle name="Normal 3 8 9 2" xfId="14798"/>
    <cellStyle name="Normal 3 8 9 2 2" xfId="14799"/>
    <cellStyle name="Normal 3 8 9 2 2 2" xfId="31633"/>
    <cellStyle name="Normal 3 8 9 2 3" xfId="14800"/>
    <cellStyle name="Normal 3 8 9 2 3 2" xfId="31634"/>
    <cellStyle name="Normal 3 8 9 2 4" xfId="14801"/>
    <cellStyle name="Normal 3 8 9 2 4 2" xfId="31635"/>
    <cellStyle name="Normal 3 8 9 2 5" xfId="14802"/>
    <cellStyle name="Normal 3 8 9 2 5 2" xfId="31636"/>
    <cellStyle name="Normal 3 8 9 2 6" xfId="31632"/>
    <cellStyle name="Normal 3 8 9 3" xfId="14803"/>
    <cellStyle name="Normal 3 8 9 3 2" xfId="31637"/>
    <cellStyle name="Normal 3 8 9 4" xfId="14804"/>
    <cellStyle name="Normal 3 8 9 4 2" xfId="31638"/>
    <cellStyle name="Normal 3 8 9 5" xfId="14805"/>
    <cellStyle name="Normal 3 8 9 5 2" xfId="31639"/>
    <cellStyle name="Normal 3 8 9 6" xfId="14806"/>
    <cellStyle name="Normal 3 8 9 6 2" xfId="31640"/>
    <cellStyle name="Normal 3 8 9 7" xfId="31631"/>
    <cellStyle name="Normal 3 9" xfId="14807"/>
    <cellStyle name="Normal 3 9 10" xfId="14808"/>
    <cellStyle name="Normal 3 9 10 2" xfId="14809"/>
    <cellStyle name="Normal 3 9 10 2 2" xfId="14810"/>
    <cellStyle name="Normal 3 9 10 2 2 2" xfId="31643"/>
    <cellStyle name="Normal 3 9 10 2 3" xfId="14811"/>
    <cellStyle name="Normal 3 9 10 2 3 2" xfId="31644"/>
    <cellStyle name="Normal 3 9 10 2 4" xfId="14812"/>
    <cellStyle name="Normal 3 9 10 2 4 2" xfId="31645"/>
    <cellStyle name="Normal 3 9 10 2 5" xfId="14813"/>
    <cellStyle name="Normal 3 9 10 2 5 2" xfId="31646"/>
    <cellStyle name="Normal 3 9 10 2 6" xfId="31642"/>
    <cellStyle name="Normal 3 9 10 3" xfId="14814"/>
    <cellStyle name="Normal 3 9 10 3 2" xfId="31647"/>
    <cellStyle name="Normal 3 9 10 4" xfId="14815"/>
    <cellStyle name="Normal 3 9 10 4 2" xfId="31648"/>
    <cellStyle name="Normal 3 9 10 5" xfId="14816"/>
    <cellStyle name="Normal 3 9 10 5 2" xfId="31649"/>
    <cellStyle name="Normal 3 9 10 6" xfId="14817"/>
    <cellStyle name="Normal 3 9 10 6 2" xfId="31650"/>
    <cellStyle name="Normal 3 9 10 7" xfId="31641"/>
    <cellStyle name="Normal 3 9 11" xfId="14818"/>
    <cellStyle name="Normal 3 9 11 2" xfId="14819"/>
    <cellStyle name="Normal 3 9 11 2 2" xfId="31652"/>
    <cellStyle name="Normal 3 9 11 3" xfId="14820"/>
    <cellStyle name="Normal 3 9 11 3 2" xfId="31653"/>
    <cellStyle name="Normal 3 9 11 4" xfId="14821"/>
    <cellStyle name="Normal 3 9 11 4 2" xfId="31654"/>
    <cellStyle name="Normal 3 9 11 5" xfId="14822"/>
    <cellStyle name="Normal 3 9 11 5 2" xfId="31655"/>
    <cellStyle name="Normal 3 9 11 6" xfId="31651"/>
    <cellStyle name="Normal 3 9 12" xfId="14823"/>
    <cellStyle name="Normal 3 9 12 2" xfId="14824"/>
    <cellStyle name="Normal 3 9 12 2 2" xfId="31657"/>
    <cellStyle name="Normal 3 9 12 3" xfId="14825"/>
    <cellStyle name="Normal 3 9 12 3 2" xfId="31658"/>
    <cellStyle name="Normal 3 9 12 4" xfId="14826"/>
    <cellStyle name="Normal 3 9 12 4 2" xfId="31659"/>
    <cellStyle name="Normal 3 9 12 5" xfId="14827"/>
    <cellStyle name="Normal 3 9 12 5 2" xfId="31660"/>
    <cellStyle name="Normal 3 9 12 6" xfId="31656"/>
    <cellStyle name="Normal 3 9 13" xfId="14828"/>
    <cellStyle name="Normal 3 9 13 2" xfId="14829"/>
    <cellStyle name="Normal 3 9 13 2 2" xfId="31662"/>
    <cellStyle name="Normal 3 9 13 3" xfId="14830"/>
    <cellStyle name="Normal 3 9 13 3 2" xfId="31663"/>
    <cellStyle name="Normal 3 9 13 4" xfId="14831"/>
    <cellStyle name="Normal 3 9 13 4 2" xfId="31664"/>
    <cellStyle name="Normal 3 9 13 5" xfId="14832"/>
    <cellStyle name="Normal 3 9 13 5 2" xfId="31665"/>
    <cellStyle name="Normal 3 9 13 6" xfId="31661"/>
    <cellStyle name="Normal 3 9 14" xfId="14833"/>
    <cellStyle name="Normal 3 9 14 2" xfId="14834"/>
    <cellStyle name="Normal 3 9 14 2 2" xfId="31667"/>
    <cellStyle name="Normal 3 9 14 3" xfId="14835"/>
    <cellStyle name="Normal 3 9 14 3 2" xfId="31668"/>
    <cellStyle name="Normal 3 9 14 4" xfId="14836"/>
    <cellStyle name="Normal 3 9 14 4 2" xfId="31669"/>
    <cellStyle name="Normal 3 9 14 5" xfId="14837"/>
    <cellStyle name="Normal 3 9 14 5 2" xfId="31670"/>
    <cellStyle name="Normal 3 9 14 6" xfId="31666"/>
    <cellStyle name="Normal 3 9 15" xfId="14838"/>
    <cellStyle name="Normal 3 9 15 2" xfId="14839"/>
    <cellStyle name="Normal 3 9 15 2 2" xfId="31672"/>
    <cellStyle name="Normal 3 9 15 3" xfId="14840"/>
    <cellStyle name="Normal 3 9 15 3 2" xfId="31673"/>
    <cellStyle name="Normal 3 9 15 4" xfId="14841"/>
    <cellStyle name="Normal 3 9 15 4 2" xfId="31674"/>
    <cellStyle name="Normal 3 9 15 5" xfId="14842"/>
    <cellStyle name="Normal 3 9 15 5 2" xfId="31675"/>
    <cellStyle name="Normal 3 9 15 6" xfId="31671"/>
    <cellStyle name="Normal 3 9 16" xfId="14843"/>
    <cellStyle name="Normal 3 9 16 2" xfId="14844"/>
    <cellStyle name="Normal 3 9 16 2 2" xfId="31677"/>
    <cellStyle name="Normal 3 9 16 3" xfId="14845"/>
    <cellStyle name="Normal 3 9 16 3 2" xfId="31678"/>
    <cellStyle name="Normal 3 9 16 4" xfId="14846"/>
    <cellStyle name="Normal 3 9 16 4 2" xfId="31679"/>
    <cellStyle name="Normal 3 9 16 5" xfId="14847"/>
    <cellStyle name="Normal 3 9 16 5 2" xfId="31680"/>
    <cellStyle name="Normal 3 9 16 6" xfId="31676"/>
    <cellStyle name="Normal 3 9 17" xfId="14848"/>
    <cellStyle name="Normal 3 9 17 2" xfId="14849"/>
    <cellStyle name="Normal 3 9 17 2 2" xfId="31682"/>
    <cellStyle name="Normal 3 9 17 3" xfId="14850"/>
    <cellStyle name="Normal 3 9 17 3 2" xfId="31683"/>
    <cellStyle name="Normal 3 9 17 4" xfId="14851"/>
    <cellStyle name="Normal 3 9 17 4 2" xfId="31684"/>
    <cellStyle name="Normal 3 9 17 5" xfId="14852"/>
    <cellStyle name="Normal 3 9 17 5 2" xfId="31685"/>
    <cellStyle name="Normal 3 9 17 6" xfId="31681"/>
    <cellStyle name="Normal 3 9 18" xfId="14853"/>
    <cellStyle name="Normal 3 9 18 2" xfId="14854"/>
    <cellStyle name="Normal 3 9 18 2 2" xfId="31687"/>
    <cellStyle name="Normal 3 9 18 3" xfId="14855"/>
    <cellStyle name="Normal 3 9 18 3 2" xfId="31688"/>
    <cellStyle name="Normal 3 9 18 4" xfId="14856"/>
    <cellStyle name="Normal 3 9 18 4 2" xfId="31689"/>
    <cellStyle name="Normal 3 9 18 5" xfId="14857"/>
    <cellStyle name="Normal 3 9 18 5 2" xfId="31690"/>
    <cellStyle name="Normal 3 9 18 6" xfId="31686"/>
    <cellStyle name="Normal 3 9 19" xfId="14858"/>
    <cellStyle name="Normal 3 9 19 2" xfId="14859"/>
    <cellStyle name="Normal 3 9 19 2 2" xfId="31692"/>
    <cellStyle name="Normal 3 9 19 3" xfId="14860"/>
    <cellStyle name="Normal 3 9 19 3 2" xfId="31693"/>
    <cellStyle name="Normal 3 9 19 4" xfId="14861"/>
    <cellStyle name="Normal 3 9 19 4 2" xfId="31694"/>
    <cellStyle name="Normal 3 9 19 5" xfId="14862"/>
    <cellStyle name="Normal 3 9 19 5 2" xfId="31695"/>
    <cellStyle name="Normal 3 9 19 6" xfId="31691"/>
    <cellStyle name="Normal 3 9 2" xfId="14863"/>
    <cellStyle name="Normal 3 9 2 10" xfId="14864"/>
    <cellStyle name="Normal 3 9 2 11" xfId="14865"/>
    <cellStyle name="Normal 3 9 2 12" xfId="14866"/>
    <cellStyle name="Normal 3 9 2 13" xfId="14867"/>
    <cellStyle name="Normal 3 9 2 14" xfId="14868"/>
    <cellStyle name="Normal 3 9 2 15" xfId="14869"/>
    <cellStyle name="Normal 3 9 2 16" xfId="14870"/>
    <cellStyle name="Normal 3 9 2 17" xfId="14871"/>
    <cellStyle name="Normal 3 9 2 18" xfId="14872"/>
    <cellStyle name="Normal 3 9 2 19" xfId="14873"/>
    <cellStyle name="Normal 3 9 2 2" xfId="14874"/>
    <cellStyle name="Normal 3 9 2 2 2" xfId="14875"/>
    <cellStyle name="Normal 3 9 2 2 3" xfId="14876"/>
    <cellStyle name="Normal 3 9 2 2 4" xfId="14877"/>
    <cellStyle name="Normal 3 9 2 2 5" xfId="14878"/>
    <cellStyle name="Normal 3 9 2 2 6" xfId="14879"/>
    <cellStyle name="Normal 3 9 2 2 7" xfId="14880"/>
    <cellStyle name="Normal 3 9 2 20" xfId="14881"/>
    <cellStyle name="Normal 3 9 2 21" xfId="14882"/>
    <cellStyle name="Normal 3 9 2 22" xfId="40705"/>
    <cellStyle name="Normal 3 9 2 23" xfId="31696"/>
    <cellStyle name="Normal 3 9 2 3" xfId="14883"/>
    <cellStyle name="Normal 3 9 2 4" xfId="14884"/>
    <cellStyle name="Normal 3 9 2 5" xfId="14885"/>
    <cellStyle name="Normal 3 9 2 6" xfId="14886"/>
    <cellStyle name="Normal 3 9 2 7" xfId="14887"/>
    <cellStyle name="Normal 3 9 2 8" xfId="14888"/>
    <cellStyle name="Normal 3 9 2 9" xfId="14889"/>
    <cellStyle name="Normal 3 9 20" xfId="14890"/>
    <cellStyle name="Normal 3 9 20 2" xfId="14891"/>
    <cellStyle name="Normal 3 9 20 2 2" xfId="31698"/>
    <cellStyle name="Normal 3 9 20 3" xfId="14892"/>
    <cellStyle name="Normal 3 9 20 3 2" xfId="31699"/>
    <cellStyle name="Normal 3 9 20 4" xfId="14893"/>
    <cellStyle name="Normal 3 9 20 4 2" xfId="31700"/>
    <cellStyle name="Normal 3 9 20 5" xfId="14894"/>
    <cellStyle name="Normal 3 9 20 5 2" xfId="31701"/>
    <cellStyle name="Normal 3 9 20 6" xfId="31697"/>
    <cellStyle name="Normal 3 9 21" xfId="14895"/>
    <cellStyle name="Normal 3 9 21 2" xfId="14896"/>
    <cellStyle name="Normal 3 9 21 2 2" xfId="31703"/>
    <cellStyle name="Normal 3 9 21 3" xfId="14897"/>
    <cellStyle name="Normal 3 9 21 3 2" xfId="31704"/>
    <cellStyle name="Normal 3 9 21 4" xfId="14898"/>
    <cellStyle name="Normal 3 9 21 4 2" xfId="31705"/>
    <cellStyle name="Normal 3 9 21 5" xfId="14899"/>
    <cellStyle name="Normal 3 9 21 5 2" xfId="31706"/>
    <cellStyle name="Normal 3 9 21 6" xfId="31702"/>
    <cellStyle name="Normal 3 9 22" xfId="14900"/>
    <cellStyle name="Normal 3 9 22 2" xfId="31707"/>
    <cellStyle name="Normal 3 9 23" xfId="14901"/>
    <cellStyle name="Normal 3 9 23 2" xfId="31708"/>
    <cellStyle name="Normal 3 9 24" xfId="14902"/>
    <cellStyle name="Normal 3 9 24 2" xfId="31709"/>
    <cellStyle name="Normal 3 9 25" xfId="14903"/>
    <cellStyle name="Normal 3 9 25 2" xfId="31710"/>
    <cellStyle name="Normal 3 9 26" xfId="14904"/>
    <cellStyle name="Normal 3 9 26 2" xfId="31711"/>
    <cellStyle name="Normal 3 9 3" xfId="14905"/>
    <cellStyle name="Normal 3 9 3 10" xfId="14906"/>
    <cellStyle name="Normal 3 9 3 11" xfId="14907"/>
    <cellStyle name="Normal 3 9 3 12" xfId="14908"/>
    <cellStyle name="Normal 3 9 3 13" xfId="14909"/>
    <cellStyle name="Normal 3 9 3 14" xfId="14910"/>
    <cellStyle name="Normal 3 9 3 15" xfId="14911"/>
    <cellStyle name="Normal 3 9 3 16" xfId="14912"/>
    <cellStyle name="Normal 3 9 3 17" xfId="40706"/>
    <cellStyle name="Normal 3 9 3 2" xfId="14913"/>
    <cellStyle name="Normal 3 9 3 3" xfId="14914"/>
    <cellStyle name="Normal 3 9 3 4" xfId="14915"/>
    <cellStyle name="Normal 3 9 3 5" xfId="14916"/>
    <cellStyle name="Normal 3 9 3 6" xfId="14917"/>
    <cellStyle name="Normal 3 9 3 7" xfId="14918"/>
    <cellStyle name="Normal 3 9 3 8" xfId="14919"/>
    <cellStyle name="Normal 3 9 3 9" xfId="14920"/>
    <cellStyle name="Normal 3 9 4" xfId="14921"/>
    <cellStyle name="Normal 3 9 4 10" xfId="14922"/>
    <cellStyle name="Normal 3 9 4 10 2" xfId="14923"/>
    <cellStyle name="Normal 3 9 4 10 2 2" xfId="31713"/>
    <cellStyle name="Normal 3 9 4 10 3" xfId="14924"/>
    <cellStyle name="Normal 3 9 4 10 3 2" xfId="31714"/>
    <cellStyle name="Normal 3 9 4 10 4" xfId="14925"/>
    <cellStyle name="Normal 3 9 4 10 4 2" xfId="31715"/>
    <cellStyle name="Normal 3 9 4 10 5" xfId="14926"/>
    <cellStyle name="Normal 3 9 4 10 5 2" xfId="31716"/>
    <cellStyle name="Normal 3 9 4 10 6" xfId="31712"/>
    <cellStyle name="Normal 3 9 4 11" xfId="14927"/>
    <cellStyle name="Normal 3 9 4 11 2" xfId="14928"/>
    <cellStyle name="Normal 3 9 4 11 2 2" xfId="31718"/>
    <cellStyle name="Normal 3 9 4 11 3" xfId="14929"/>
    <cellStyle name="Normal 3 9 4 11 3 2" xfId="31719"/>
    <cellStyle name="Normal 3 9 4 11 4" xfId="14930"/>
    <cellStyle name="Normal 3 9 4 11 4 2" xfId="31720"/>
    <cellStyle name="Normal 3 9 4 11 5" xfId="14931"/>
    <cellStyle name="Normal 3 9 4 11 5 2" xfId="31721"/>
    <cellStyle name="Normal 3 9 4 11 6" xfId="31717"/>
    <cellStyle name="Normal 3 9 4 12" xfId="14932"/>
    <cellStyle name="Normal 3 9 4 12 2" xfId="14933"/>
    <cellStyle name="Normal 3 9 4 12 2 2" xfId="31723"/>
    <cellStyle name="Normal 3 9 4 12 3" xfId="14934"/>
    <cellStyle name="Normal 3 9 4 12 3 2" xfId="31724"/>
    <cellStyle name="Normal 3 9 4 12 4" xfId="14935"/>
    <cellStyle name="Normal 3 9 4 12 4 2" xfId="31725"/>
    <cellStyle name="Normal 3 9 4 12 5" xfId="14936"/>
    <cellStyle name="Normal 3 9 4 12 5 2" xfId="31726"/>
    <cellStyle name="Normal 3 9 4 12 6" xfId="31722"/>
    <cellStyle name="Normal 3 9 4 13" xfId="14937"/>
    <cellStyle name="Normal 3 9 4 13 2" xfId="14938"/>
    <cellStyle name="Normal 3 9 4 13 2 2" xfId="31728"/>
    <cellStyle name="Normal 3 9 4 13 3" xfId="14939"/>
    <cellStyle name="Normal 3 9 4 13 3 2" xfId="31729"/>
    <cellStyle name="Normal 3 9 4 13 4" xfId="14940"/>
    <cellStyle name="Normal 3 9 4 13 4 2" xfId="31730"/>
    <cellStyle name="Normal 3 9 4 13 5" xfId="14941"/>
    <cellStyle name="Normal 3 9 4 13 5 2" xfId="31731"/>
    <cellStyle name="Normal 3 9 4 13 6" xfId="31727"/>
    <cellStyle name="Normal 3 9 4 14" xfId="14942"/>
    <cellStyle name="Normal 3 9 4 14 2" xfId="14943"/>
    <cellStyle name="Normal 3 9 4 14 2 2" xfId="31733"/>
    <cellStyle name="Normal 3 9 4 14 3" xfId="14944"/>
    <cellStyle name="Normal 3 9 4 14 3 2" xfId="31734"/>
    <cellStyle name="Normal 3 9 4 14 4" xfId="14945"/>
    <cellStyle name="Normal 3 9 4 14 4 2" xfId="31735"/>
    <cellStyle name="Normal 3 9 4 14 5" xfId="14946"/>
    <cellStyle name="Normal 3 9 4 14 5 2" xfId="31736"/>
    <cellStyle name="Normal 3 9 4 14 6" xfId="31732"/>
    <cellStyle name="Normal 3 9 4 15" xfId="14947"/>
    <cellStyle name="Normal 3 9 4 15 2" xfId="14948"/>
    <cellStyle name="Normal 3 9 4 15 2 2" xfId="31738"/>
    <cellStyle name="Normal 3 9 4 15 3" xfId="14949"/>
    <cellStyle name="Normal 3 9 4 15 3 2" xfId="31739"/>
    <cellStyle name="Normal 3 9 4 15 4" xfId="14950"/>
    <cellStyle name="Normal 3 9 4 15 4 2" xfId="31740"/>
    <cellStyle name="Normal 3 9 4 15 5" xfId="14951"/>
    <cellStyle name="Normal 3 9 4 15 5 2" xfId="31741"/>
    <cellStyle name="Normal 3 9 4 15 6" xfId="31737"/>
    <cellStyle name="Normal 3 9 4 16" xfId="14952"/>
    <cellStyle name="Normal 3 9 4 16 2" xfId="14953"/>
    <cellStyle name="Normal 3 9 4 16 2 2" xfId="31743"/>
    <cellStyle name="Normal 3 9 4 16 3" xfId="14954"/>
    <cellStyle name="Normal 3 9 4 16 3 2" xfId="31744"/>
    <cellStyle name="Normal 3 9 4 16 4" xfId="14955"/>
    <cellStyle name="Normal 3 9 4 16 4 2" xfId="31745"/>
    <cellStyle name="Normal 3 9 4 16 5" xfId="14956"/>
    <cellStyle name="Normal 3 9 4 16 5 2" xfId="31746"/>
    <cellStyle name="Normal 3 9 4 16 6" xfId="31742"/>
    <cellStyle name="Normal 3 9 4 17" xfId="40707"/>
    <cellStyle name="Normal 3 9 4 2" xfId="14957"/>
    <cellStyle name="Normal 3 9 4 3" xfId="14958"/>
    <cellStyle name="Normal 3 9 4 3 2" xfId="14959"/>
    <cellStyle name="Normal 3 9 4 3 2 2" xfId="31748"/>
    <cellStyle name="Normal 3 9 4 3 3" xfId="14960"/>
    <cellStyle name="Normal 3 9 4 3 3 2" xfId="31749"/>
    <cellStyle name="Normal 3 9 4 3 4" xfId="14961"/>
    <cellStyle name="Normal 3 9 4 3 4 2" xfId="31750"/>
    <cellStyle name="Normal 3 9 4 3 5" xfId="14962"/>
    <cellStyle name="Normal 3 9 4 3 5 2" xfId="31751"/>
    <cellStyle name="Normal 3 9 4 3 6" xfId="31747"/>
    <cellStyle name="Normal 3 9 4 4" xfId="14963"/>
    <cellStyle name="Normal 3 9 4 4 2" xfId="14964"/>
    <cellStyle name="Normal 3 9 4 4 2 2" xfId="31753"/>
    <cellStyle name="Normal 3 9 4 4 3" xfId="14965"/>
    <cellStyle name="Normal 3 9 4 4 3 2" xfId="31754"/>
    <cellStyle name="Normal 3 9 4 4 4" xfId="14966"/>
    <cellStyle name="Normal 3 9 4 4 4 2" xfId="31755"/>
    <cellStyle name="Normal 3 9 4 4 5" xfId="14967"/>
    <cellStyle name="Normal 3 9 4 4 5 2" xfId="31756"/>
    <cellStyle name="Normal 3 9 4 4 6" xfId="31752"/>
    <cellStyle name="Normal 3 9 4 5" xfId="14968"/>
    <cellStyle name="Normal 3 9 4 5 2" xfId="14969"/>
    <cellStyle name="Normal 3 9 4 5 2 2" xfId="31758"/>
    <cellStyle name="Normal 3 9 4 5 3" xfId="14970"/>
    <cellStyle name="Normal 3 9 4 5 3 2" xfId="31759"/>
    <cellStyle name="Normal 3 9 4 5 4" xfId="14971"/>
    <cellStyle name="Normal 3 9 4 5 4 2" xfId="31760"/>
    <cellStyle name="Normal 3 9 4 5 5" xfId="14972"/>
    <cellStyle name="Normal 3 9 4 5 5 2" xfId="31761"/>
    <cellStyle name="Normal 3 9 4 5 6" xfId="31757"/>
    <cellStyle name="Normal 3 9 4 6" xfId="14973"/>
    <cellStyle name="Normal 3 9 4 6 2" xfId="14974"/>
    <cellStyle name="Normal 3 9 4 6 2 2" xfId="31763"/>
    <cellStyle name="Normal 3 9 4 6 3" xfId="14975"/>
    <cellStyle name="Normal 3 9 4 6 3 2" xfId="31764"/>
    <cellStyle name="Normal 3 9 4 6 4" xfId="14976"/>
    <cellStyle name="Normal 3 9 4 6 4 2" xfId="31765"/>
    <cellStyle name="Normal 3 9 4 6 5" xfId="14977"/>
    <cellStyle name="Normal 3 9 4 6 5 2" xfId="31766"/>
    <cellStyle name="Normal 3 9 4 6 6" xfId="31762"/>
    <cellStyle name="Normal 3 9 4 7" xfId="14978"/>
    <cellStyle name="Normal 3 9 4 7 2" xfId="14979"/>
    <cellStyle name="Normal 3 9 4 7 2 2" xfId="31768"/>
    <cellStyle name="Normal 3 9 4 7 3" xfId="14980"/>
    <cellStyle name="Normal 3 9 4 7 3 2" xfId="31769"/>
    <cellStyle name="Normal 3 9 4 7 4" xfId="14981"/>
    <cellStyle name="Normal 3 9 4 7 4 2" xfId="31770"/>
    <cellStyle name="Normal 3 9 4 7 5" xfId="14982"/>
    <cellStyle name="Normal 3 9 4 7 5 2" xfId="31771"/>
    <cellStyle name="Normal 3 9 4 7 6" xfId="31767"/>
    <cellStyle name="Normal 3 9 4 8" xfId="14983"/>
    <cellStyle name="Normal 3 9 4 8 2" xfId="14984"/>
    <cellStyle name="Normal 3 9 4 8 2 2" xfId="31773"/>
    <cellStyle name="Normal 3 9 4 8 3" xfId="14985"/>
    <cellStyle name="Normal 3 9 4 8 3 2" xfId="31774"/>
    <cellStyle name="Normal 3 9 4 8 4" xfId="14986"/>
    <cellStyle name="Normal 3 9 4 8 4 2" xfId="31775"/>
    <cellStyle name="Normal 3 9 4 8 5" xfId="14987"/>
    <cellStyle name="Normal 3 9 4 8 5 2" xfId="31776"/>
    <cellStyle name="Normal 3 9 4 8 6" xfId="31772"/>
    <cellStyle name="Normal 3 9 4 9" xfId="14988"/>
    <cellStyle name="Normal 3 9 4 9 2" xfId="14989"/>
    <cellStyle name="Normal 3 9 4 9 2 2" xfId="31778"/>
    <cellStyle name="Normal 3 9 4 9 3" xfId="14990"/>
    <cellStyle name="Normal 3 9 4 9 3 2" xfId="31779"/>
    <cellStyle name="Normal 3 9 4 9 4" xfId="14991"/>
    <cellStyle name="Normal 3 9 4 9 4 2" xfId="31780"/>
    <cellStyle name="Normal 3 9 4 9 5" xfId="14992"/>
    <cellStyle name="Normal 3 9 4 9 5 2" xfId="31781"/>
    <cellStyle name="Normal 3 9 4 9 6" xfId="31777"/>
    <cellStyle name="Normal 3 9 5" xfId="14993"/>
    <cellStyle name="Normal 3 9 5 2" xfId="14994"/>
    <cellStyle name="Normal 3 9 6" xfId="14995"/>
    <cellStyle name="Normal 3 9 6 2" xfId="14996"/>
    <cellStyle name="Normal 3 9 7" xfId="14997"/>
    <cellStyle name="Normal 3 9 7 2" xfId="14998"/>
    <cellStyle name="Normal 3 9 8" xfId="14999"/>
    <cellStyle name="Normal 3 9 8 2" xfId="15000"/>
    <cellStyle name="Normal 3 9 8 2 2" xfId="15001"/>
    <cellStyle name="Normal 3 9 8 2 2 2" xfId="31784"/>
    <cellStyle name="Normal 3 9 8 2 3" xfId="15002"/>
    <cellStyle name="Normal 3 9 8 2 3 2" xfId="31785"/>
    <cellStyle name="Normal 3 9 8 2 4" xfId="15003"/>
    <cellStyle name="Normal 3 9 8 2 4 2" xfId="31786"/>
    <cellStyle name="Normal 3 9 8 2 5" xfId="15004"/>
    <cellStyle name="Normal 3 9 8 2 5 2" xfId="31787"/>
    <cellStyle name="Normal 3 9 8 2 6" xfId="31783"/>
    <cellStyle name="Normal 3 9 8 3" xfId="15005"/>
    <cellStyle name="Normal 3 9 8 3 2" xfId="31788"/>
    <cellStyle name="Normal 3 9 8 4" xfId="15006"/>
    <cellStyle name="Normal 3 9 8 4 2" xfId="31789"/>
    <cellStyle name="Normal 3 9 8 5" xfId="15007"/>
    <cellStyle name="Normal 3 9 8 5 2" xfId="31790"/>
    <cellStyle name="Normal 3 9 8 6" xfId="15008"/>
    <cellStyle name="Normal 3 9 8 6 2" xfId="31791"/>
    <cellStyle name="Normal 3 9 8 7" xfId="31782"/>
    <cellStyle name="Normal 3 9 9" xfId="15009"/>
    <cellStyle name="Normal 3 9 9 2" xfId="15010"/>
    <cellStyle name="Normal 3 9 9 2 2" xfId="15011"/>
    <cellStyle name="Normal 3 9 9 2 2 2" xfId="31794"/>
    <cellStyle name="Normal 3 9 9 2 3" xfId="15012"/>
    <cellStyle name="Normal 3 9 9 2 3 2" xfId="31795"/>
    <cellStyle name="Normal 3 9 9 2 4" xfId="15013"/>
    <cellStyle name="Normal 3 9 9 2 4 2" xfId="31796"/>
    <cellStyle name="Normal 3 9 9 2 5" xfId="15014"/>
    <cellStyle name="Normal 3 9 9 2 5 2" xfId="31797"/>
    <cellStyle name="Normal 3 9 9 2 6" xfId="31793"/>
    <cellStyle name="Normal 3 9 9 3" xfId="15015"/>
    <cellStyle name="Normal 3 9 9 3 2" xfId="31798"/>
    <cellStyle name="Normal 3 9 9 4" xfId="15016"/>
    <cellStyle name="Normal 3 9 9 4 2" xfId="31799"/>
    <cellStyle name="Normal 3 9 9 5" xfId="15017"/>
    <cellStyle name="Normal 3 9 9 5 2" xfId="31800"/>
    <cellStyle name="Normal 3 9 9 6" xfId="15018"/>
    <cellStyle name="Normal 3 9 9 6 2" xfId="31801"/>
    <cellStyle name="Normal 3 9 9 7" xfId="31792"/>
    <cellStyle name="Normal 30" xfId="15019"/>
    <cellStyle name="Normal 31" xfId="15020"/>
    <cellStyle name="Normal 32" xfId="15021"/>
    <cellStyle name="Normal 33" xfId="15022"/>
    <cellStyle name="Normal 34" xfId="15023"/>
    <cellStyle name="Normal 34 2" xfId="31802"/>
    <cellStyle name="Normal 35" xfId="15024"/>
    <cellStyle name="Normal 35 2" xfId="31803"/>
    <cellStyle name="Normal 36" xfId="29090"/>
    <cellStyle name="Normal 37" xfId="41072"/>
    <cellStyle name="Normal 38" xfId="41"/>
    <cellStyle name="Normal 38 2" xfId="29376"/>
    <cellStyle name="Normal 39" xfId="41073"/>
    <cellStyle name="Normal 4" xfId="17"/>
    <cellStyle name="Normal 4 10" xfId="15026"/>
    <cellStyle name="Normal 4 10 2" xfId="15027"/>
    <cellStyle name="Normal 4 10 2 2" xfId="15028"/>
    <cellStyle name="Normal 4 10 2 3" xfId="15029"/>
    <cellStyle name="Normal 4 10 2 4" xfId="15030"/>
    <cellStyle name="Normal 4 10 2 5" xfId="15031"/>
    <cellStyle name="Normal 4 10 2 6" xfId="15032"/>
    <cellStyle name="Normal 4 10 2 7" xfId="15033"/>
    <cellStyle name="Normal 4 10 3" xfId="15034"/>
    <cellStyle name="Normal 4 10 4" xfId="15035"/>
    <cellStyle name="Normal 4 10 5" xfId="15036"/>
    <cellStyle name="Normal 4 10 6" xfId="15037"/>
    <cellStyle name="Normal 4 10 7" xfId="15038"/>
    <cellStyle name="Normal 4 10 8" xfId="15039"/>
    <cellStyle name="Normal 4 10 9" xfId="40709"/>
    <cellStyle name="Normal 4 11" xfId="15040"/>
    <cellStyle name="Normal 4 11 10" xfId="15041"/>
    <cellStyle name="Normal 4 11 10 2" xfId="15042"/>
    <cellStyle name="Normal 4 11 10 2 2" xfId="31805"/>
    <cellStyle name="Normal 4 11 10 3" xfId="15043"/>
    <cellStyle name="Normal 4 11 10 3 2" xfId="31806"/>
    <cellStyle name="Normal 4 11 10 4" xfId="15044"/>
    <cellStyle name="Normal 4 11 10 4 2" xfId="31807"/>
    <cellStyle name="Normal 4 11 10 5" xfId="15045"/>
    <cellStyle name="Normal 4 11 10 5 2" xfId="31808"/>
    <cellStyle name="Normal 4 11 10 6" xfId="31804"/>
    <cellStyle name="Normal 4 11 11" xfId="15046"/>
    <cellStyle name="Normal 4 11 11 2" xfId="15047"/>
    <cellStyle name="Normal 4 11 11 2 2" xfId="31810"/>
    <cellStyle name="Normal 4 11 11 3" xfId="15048"/>
    <cellStyle name="Normal 4 11 11 3 2" xfId="31811"/>
    <cellStyle name="Normal 4 11 11 4" xfId="15049"/>
    <cellStyle name="Normal 4 11 11 4 2" xfId="31812"/>
    <cellStyle name="Normal 4 11 11 5" xfId="15050"/>
    <cellStyle name="Normal 4 11 11 5 2" xfId="31813"/>
    <cellStyle name="Normal 4 11 11 6" xfId="31809"/>
    <cellStyle name="Normal 4 11 12" xfId="15051"/>
    <cellStyle name="Normal 4 11 12 2" xfId="15052"/>
    <cellStyle name="Normal 4 11 12 2 2" xfId="31815"/>
    <cellStyle name="Normal 4 11 12 3" xfId="15053"/>
    <cellStyle name="Normal 4 11 12 3 2" xfId="31816"/>
    <cellStyle name="Normal 4 11 12 4" xfId="15054"/>
    <cellStyle name="Normal 4 11 12 4 2" xfId="31817"/>
    <cellStyle name="Normal 4 11 12 5" xfId="15055"/>
    <cellStyle name="Normal 4 11 12 5 2" xfId="31818"/>
    <cellStyle name="Normal 4 11 12 6" xfId="31814"/>
    <cellStyle name="Normal 4 11 13" xfId="15056"/>
    <cellStyle name="Normal 4 11 13 2" xfId="15057"/>
    <cellStyle name="Normal 4 11 13 2 2" xfId="31820"/>
    <cellStyle name="Normal 4 11 13 3" xfId="15058"/>
    <cellStyle name="Normal 4 11 13 3 2" xfId="31821"/>
    <cellStyle name="Normal 4 11 13 4" xfId="15059"/>
    <cellStyle name="Normal 4 11 13 4 2" xfId="31822"/>
    <cellStyle name="Normal 4 11 13 5" xfId="15060"/>
    <cellStyle name="Normal 4 11 13 5 2" xfId="31823"/>
    <cellStyle name="Normal 4 11 13 6" xfId="31819"/>
    <cellStyle name="Normal 4 11 14" xfId="15061"/>
    <cellStyle name="Normal 4 11 14 2" xfId="15062"/>
    <cellStyle name="Normal 4 11 14 2 2" xfId="31825"/>
    <cellStyle name="Normal 4 11 14 3" xfId="15063"/>
    <cellStyle name="Normal 4 11 14 3 2" xfId="31826"/>
    <cellStyle name="Normal 4 11 14 4" xfId="15064"/>
    <cellStyle name="Normal 4 11 14 4 2" xfId="31827"/>
    <cellStyle name="Normal 4 11 14 5" xfId="15065"/>
    <cellStyle name="Normal 4 11 14 5 2" xfId="31828"/>
    <cellStyle name="Normal 4 11 14 6" xfId="31824"/>
    <cellStyle name="Normal 4 11 15" xfId="15066"/>
    <cellStyle name="Normal 4 11 15 2" xfId="15067"/>
    <cellStyle name="Normal 4 11 15 2 2" xfId="31830"/>
    <cellStyle name="Normal 4 11 15 3" xfId="15068"/>
    <cellStyle name="Normal 4 11 15 3 2" xfId="31831"/>
    <cellStyle name="Normal 4 11 15 4" xfId="15069"/>
    <cellStyle name="Normal 4 11 15 4 2" xfId="31832"/>
    <cellStyle name="Normal 4 11 15 5" xfId="15070"/>
    <cellStyle name="Normal 4 11 15 5 2" xfId="31833"/>
    <cellStyle name="Normal 4 11 15 6" xfId="31829"/>
    <cellStyle name="Normal 4 11 16" xfId="15071"/>
    <cellStyle name="Normal 4 11 16 2" xfId="15072"/>
    <cellStyle name="Normal 4 11 16 2 2" xfId="31835"/>
    <cellStyle name="Normal 4 11 16 3" xfId="15073"/>
    <cellStyle name="Normal 4 11 16 3 2" xfId="31836"/>
    <cellStyle name="Normal 4 11 16 4" xfId="15074"/>
    <cellStyle name="Normal 4 11 16 4 2" xfId="31837"/>
    <cellStyle name="Normal 4 11 16 5" xfId="15075"/>
    <cellStyle name="Normal 4 11 16 5 2" xfId="31838"/>
    <cellStyle name="Normal 4 11 16 6" xfId="31834"/>
    <cellStyle name="Normal 4 11 17" xfId="15076"/>
    <cellStyle name="Normal 4 11 17 2" xfId="15077"/>
    <cellStyle name="Normal 4 11 17 2 2" xfId="31840"/>
    <cellStyle name="Normal 4 11 17 3" xfId="15078"/>
    <cellStyle name="Normal 4 11 17 3 2" xfId="31841"/>
    <cellStyle name="Normal 4 11 17 4" xfId="15079"/>
    <cellStyle name="Normal 4 11 17 4 2" xfId="31842"/>
    <cellStyle name="Normal 4 11 17 5" xfId="15080"/>
    <cellStyle name="Normal 4 11 17 5 2" xfId="31843"/>
    <cellStyle name="Normal 4 11 17 6" xfId="31839"/>
    <cellStyle name="Normal 4 11 18" xfId="15081"/>
    <cellStyle name="Normal 4 11 18 2" xfId="15082"/>
    <cellStyle name="Normal 4 11 18 2 2" xfId="31845"/>
    <cellStyle name="Normal 4 11 18 3" xfId="15083"/>
    <cellStyle name="Normal 4 11 18 3 2" xfId="31846"/>
    <cellStyle name="Normal 4 11 18 4" xfId="15084"/>
    <cellStyle name="Normal 4 11 18 4 2" xfId="31847"/>
    <cellStyle name="Normal 4 11 18 5" xfId="15085"/>
    <cellStyle name="Normal 4 11 18 5 2" xfId="31848"/>
    <cellStyle name="Normal 4 11 18 6" xfId="31844"/>
    <cellStyle name="Normal 4 11 19" xfId="15086"/>
    <cellStyle name="Normal 4 11 19 2" xfId="31849"/>
    <cellStyle name="Normal 4 11 2" xfId="15087"/>
    <cellStyle name="Normal 4 11 2 2" xfId="15088"/>
    <cellStyle name="Normal 4 11 2 3" xfId="15089"/>
    <cellStyle name="Normal 4 11 2 4" xfId="15090"/>
    <cellStyle name="Normal 4 11 2 5" xfId="15091"/>
    <cellStyle name="Normal 4 11 2 6" xfId="15092"/>
    <cellStyle name="Normal 4 11 2 7" xfId="15093"/>
    <cellStyle name="Normal 4 11 2 8" xfId="31850"/>
    <cellStyle name="Normal 4 11 20" xfId="15094"/>
    <cellStyle name="Normal 4 11 20 2" xfId="31851"/>
    <cellStyle name="Normal 4 11 21" xfId="15095"/>
    <cellStyle name="Normal 4 11 21 2" xfId="31852"/>
    <cellStyle name="Normal 4 11 22" xfId="15096"/>
    <cellStyle name="Normal 4 11 22 2" xfId="31853"/>
    <cellStyle name="Normal 4 11 23" xfId="15097"/>
    <cellStyle name="Normal 4 11 23 2" xfId="31854"/>
    <cellStyle name="Normal 4 11 24" xfId="40710"/>
    <cellStyle name="Normal 4 11 3" xfId="15098"/>
    <cellStyle name="Normal 4 11 4" xfId="15099"/>
    <cellStyle name="Normal 4 11 4 10" xfId="15100"/>
    <cellStyle name="Normal 4 11 4 10 2" xfId="31856"/>
    <cellStyle name="Normal 4 11 4 11" xfId="15101"/>
    <cellStyle name="Normal 4 11 4 11 2" xfId="31857"/>
    <cellStyle name="Normal 4 11 4 12" xfId="31855"/>
    <cellStyle name="Normal 4 11 4 2" xfId="15102"/>
    <cellStyle name="Normal 4 11 4 2 2" xfId="15103"/>
    <cellStyle name="Normal 4 11 4 2 2 2" xfId="31859"/>
    <cellStyle name="Normal 4 11 4 2 3" xfId="15104"/>
    <cellStyle name="Normal 4 11 4 2 3 2" xfId="31860"/>
    <cellStyle name="Normal 4 11 4 2 4" xfId="15105"/>
    <cellStyle name="Normal 4 11 4 2 4 2" xfId="31861"/>
    <cellStyle name="Normal 4 11 4 2 5" xfId="15106"/>
    <cellStyle name="Normal 4 11 4 2 5 2" xfId="31862"/>
    <cellStyle name="Normal 4 11 4 2 6" xfId="31858"/>
    <cellStyle name="Normal 4 11 4 3" xfId="15107"/>
    <cellStyle name="Normal 4 11 4 3 2" xfId="15108"/>
    <cellStyle name="Normal 4 11 4 3 2 2" xfId="31864"/>
    <cellStyle name="Normal 4 11 4 3 3" xfId="15109"/>
    <cellStyle name="Normal 4 11 4 3 3 2" xfId="31865"/>
    <cellStyle name="Normal 4 11 4 3 4" xfId="15110"/>
    <cellStyle name="Normal 4 11 4 3 4 2" xfId="31866"/>
    <cellStyle name="Normal 4 11 4 3 5" xfId="15111"/>
    <cellStyle name="Normal 4 11 4 3 5 2" xfId="31867"/>
    <cellStyle name="Normal 4 11 4 3 6" xfId="31863"/>
    <cellStyle name="Normal 4 11 4 4" xfId="15112"/>
    <cellStyle name="Normal 4 11 4 4 2" xfId="15113"/>
    <cellStyle name="Normal 4 11 4 4 2 2" xfId="31869"/>
    <cellStyle name="Normal 4 11 4 4 3" xfId="15114"/>
    <cellStyle name="Normal 4 11 4 4 3 2" xfId="31870"/>
    <cellStyle name="Normal 4 11 4 4 4" xfId="15115"/>
    <cellStyle name="Normal 4 11 4 4 4 2" xfId="31871"/>
    <cellStyle name="Normal 4 11 4 4 5" xfId="15116"/>
    <cellStyle name="Normal 4 11 4 4 5 2" xfId="31872"/>
    <cellStyle name="Normal 4 11 4 4 6" xfId="31868"/>
    <cellStyle name="Normal 4 11 4 5" xfId="15117"/>
    <cellStyle name="Normal 4 11 4 5 2" xfId="15118"/>
    <cellStyle name="Normal 4 11 4 5 2 2" xfId="31874"/>
    <cellStyle name="Normal 4 11 4 5 3" xfId="15119"/>
    <cellStyle name="Normal 4 11 4 5 3 2" xfId="31875"/>
    <cellStyle name="Normal 4 11 4 5 4" xfId="15120"/>
    <cellStyle name="Normal 4 11 4 5 4 2" xfId="31876"/>
    <cellStyle name="Normal 4 11 4 5 5" xfId="15121"/>
    <cellStyle name="Normal 4 11 4 5 5 2" xfId="31877"/>
    <cellStyle name="Normal 4 11 4 5 6" xfId="31873"/>
    <cellStyle name="Normal 4 11 4 6" xfId="15122"/>
    <cellStyle name="Normal 4 11 4 6 2" xfId="15123"/>
    <cellStyle name="Normal 4 11 4 6 2 2" xfId="31879"/>
    <cellStyle name="Normal 4 11 4 6 3" xfId="15124"/>
    <cellStyle name="Normal 4 11 4 6 3 2" xfId="31880"/>
    <cellStyle name="Normal 4 11 4 6 4" xfId="15125"/>
    <cellStyle name="Normal 4 11 4 6 4 2" xfId="31881"/>
    <cellStyle name="Normal 4 11 4 6 5" xfId="15126"/>
    <cellStyle name="Normal 4 11 4 6 5 2" xfId="31882"/>
    <cellStyle name="Normal 4 11 4 6 6" xfId="31878"/>
    <cellStyle name="Normal 4 11 4 7" xfId="15127"/>
    <cellStyle name="Normal 4 11 4 7 2" xfId="15128"/>
    <cellStyle name="Normal 4 11 4 7 2 2" xfId="31884"/>
    <cellStyle name="Normal 4 11 4 7 3" xfId="15129"/>
    <cellStyle name="Normal 4 11 4 7 3 2" xfId="31885"/>
    <cellStyle name="Normal 4 11 4 7 4" xfId="15130"/>
    <cellStyle name="Normal 4 11 4 7 4 2" xfId="31886"/>
    <cellStyle name="Normal 4 11 4 7 5" xfId="15131"/>
    <cellStyle name="Normal 4 11 4 7 5 2" xfId="31887"/>
    <cellStyle name="Normal 4 11 4 7 6" xfId="31883"/>
    <cellStyle name="Normal 4 11 4 8" xfId="15132"/>
    <cellStyle name="Normal 4 11 4 8 2" xfId="31888"/>
    <cellStyle name="Normal 4 11 4 9" xfId="15133"/>
    <cellStyle name="Normal 4 11 4 9 2" xfId="31889"/>
    <cellStyle name="Normal 4 11 5" xfId="15134"/>
    <cellStyle name="Normal 4 11 5 2" xfId="15135"/>
    <cellStyle name="Normal 4 11 5 2 2" xfId="15136"/>
    <cellStyle name="Normal 4 11 5 2 2 2" xfId="31892"/>
    <cellStyle name="Normal 4 11 5 2 3" xfId="15137"/>
    <cellStyle name="Normal 4 11 5 2 3 2" xfId="31893"/>
    <cellStyle name="Normal 4 11 5 2 4" xfId="15138"/>
    <cellStyle name="Normal 4 11 5 2 4 2" xfId="31894"/>
    <cellStyle name="Normal 4 11 5 2 5" xfId="15139"/>
    <cellStyle name="Normal 4 11 5 2 5 2" xfId="31895"/>
    <cellStyle name="Normal 4 11 5 2 6" xfId="31891"/>
    <cellStyle name="Normal 4 11 5 3" xfId="15140"/>
    <cellStyle name="Normal 4 11 5 3 2" xfId="31896"/>
    <cellStyle name="Normal 4 11 5 4" xfId="15141"/>
    <cellStyle name="Normal 4 11 5 4 2" xfId="31897"/>
    <cellStyle name="Normal 4 11 5 5" xfId="15142"/>
    <cellStyle name="Normal 4 11 5 5 2" xfId="31898"/>
    <cellStyle name="Normal 4 11 5 6" xfId="15143"/>
    <cellStyle name="Normal 4 11 5 6 2" xfId="31899"/>
    <cellStyle name="Normal 4 11 5 7" xfId="31890"/>
    <cellStyle name="Normal 4 11 6" xfId="15144"/>
    <cellStyle name="Normal 4 11 6 2" xfId="15145"/>
    <cellStyle name="Normal 4 11 6 2 2" xfId="15146"/>
    <cellStyle name="Normal 4 11 6 2 2 2" xfId="31902"/>
    <cellStyle name="Normal 4 11 6 2 3" xfId="15147"/>
    <cellStyle name="Normal 4 11 6 2 3 2" xfId="31903"/>
    <cellStyle name="Normal 4 11 6 2 4" xfId="15148"/>
    <cellStyle name="Normal 4 11 6 2 4 2" xfId="31904"/>
    <cellStyle name="Normal 4 11 6 2 5" xfId="15149"/>
    <cellStyle name="Normal 4 11 6 2 5 2" xfId="31905"/>
    <cellStyle name="Normal 4 11 6 2 6" xfId="31901"/>
    <cellStyle name="Normal 4 11 6 3" xfId="15150"/>
    <cellStyle name="Normal 4 11 6 3 2" xfId="31906"/>
    <cellStyle name="Normal 4 11 6 4" xfId="15151"/>
    <cellStyle name="Normal 4 11 6 4 2" xfId="31907"/>
    <cellStyle name="Normal 4 11 6 5" xfId="15152"/>
    <cellStyle name="Normal 4 11 6 5 2" xfId="31908"/>
    <cellStyle name="Normal 4 11 6 6" xfId="15153"/>
    <cellStyle name="Normal 4 11 6 6 2" xfId="31909"/>
    <cellStyle name="Normal 4 11 6 7" xfId="31900"/>
    <cellStyle name="Normal 4 11 7" xfId="15154"/>
    <cellStyle name="Normal 4 11 7 2" xfId="15155"/>
    <cellStyle name="Normal 4 11 7 2 2" xfId="31911"/>
    <cellStyle name="Normal 4 11 7 3" xfId="15156"/>
    <cellStyle name="Normal 4 11 7 3 2" xfId="31912"/>
    <cellStyle name="Normal 4 11 7 4" xfId="15157"/>
    <cellStyle name="Normal 4 11 7 4 2" xfId="31913"/>
    <cellStyle name="Normal 4 11 7 5" xfId="15158"/>
    <cellStyle name="Normal 4 11 7 5 2" xfId="31914"/>
    <cellStyle name="Normal 4 11 7 6" xfId="31910"/>
    <cellStyle name="Normal 4 11 8" xfId="15159"/>
    <cellStyle name="Normal 4 11 8 2" xfId="15160"/>
    <cellStyle name="Normal 4 11 8 2 2" xfId="31916"/>
    <cellStyle name="Normal 4 11 8 3" xfId="15161"/>
    <cellStyle name="Normal 4 11 8 3 2" xfId="31917"/>
    <cellStyle name="Normal 4 11 8 4" xfId="15162"/>
    <cellStyle name="Normal 4 11 8 4 2" xfId="31918"/>
    <cellStyle name="Normal 4 11 8 5" xfId="15163"/>
    <cellStyle name="Normal 4 11 8 5 2" xfId="31919"/>
    <cellStyle name="Normal 4 11 8 6" xfId="31915"/>
    <cellStyle name="Normal 4 11 9" xfId="15164"/>
    <cellStyle name="Normal 4 11 9 2" xfId="15165"/>
    <cellStyle name="Normal 4 11 9 2 2" xfId="31921"/>
    <cellStyle name="Normal 4 11 9 3" xfId="15166"/>
    <cellStyle name="Normal 4 11 9 3 2" xfId="31922"/>
    <cellStyle name="Normal 4 11 9 4" xfId="15167"/>
    <cellStyle name="Normal 4 11 9 4 2" xfId="31923"/>
    <cellStyle name="Normal 4 11 9 5" xfId="15168"/>
    <cellStyle name="Normal 4 11 9 5 2" xfId="31924"/>
    <cellStyle name="Normal 4 11 9 6" xfId="31920"/>
    <cellStyle name="Normal 4 12" xfId="15169"/>
    <cellStyle name="Normal 4 12 10" xfId="15170"/>
    <cellStyle name="Normal 4 12 11" xfId="15171"/>
    <cellStyle name="Normal 4 12 12" xfId="15172"/>
    <cellStyle name="Normal 4 12 13" xfId="15173"/>
    <cellStyle name="Normal 4 12 14" xfId="15174"/>
    <cellStyle name="Normal 4 12 15" xfId="15175"/>
    <cellStyle name="Normal 4 12 16" xfId="15176"/>
    <cellStyle name="Normal 4 12 17" xfId="40711"/>
    <cellStyle name="Normal 4 12 2" xfId="15177"/>
    <cellStyle name="Normal 4 12 2 10" xfId="15178"/>
    <cellStyle name="Normal 4 12 2 10 2" xfId="15179"/>
    <cellStyle name="Normal 4 12 2 10 2 2" xfId="31927"/>
    <cellStyle name="Normal 4 12 2 10 3" xfId="15180"/>
    <cellStyle name="Normal 4 12 2 10 3 2" xfId="31928"/>
    <cellStyle name="Normal 4 12 2 10 4" xfId="15181"/>
    <cellStyle name="Normal 4 12 2 10 4 2" xfId="31929"/>
    <cellStyle name="Normal 4 12 2 10 5" xfId="15182"/>
    <cellStyle name="Normal 4 12 2 10 5 2" xfId="31930"/>
    <cellStyle name="Normal 4 12 2 10 6" xfId="31926"/>
    <cellStyle name="Normal 4 12 2 11" xfId="15183"/>
    <cellStyle name="Normal 4 12 2 11 2" xfId="15184"/>
    <cellStyle name="Normal 4 12 2 11 2 2" xfId="31932"/>
    <cellStyle name="Normal 4 12 2 11 3" xfId="15185"/>
    <cellStyle name="Normal 4 12 2 11 3 2" xfId="31933"/>
    <cellStyle name="Normal 4 12 2 11 4" xfId="15186"/>
    <cellStyle name="Normal 4 12 2 11 4 2" xfId="31934"/>
    <cellStyle name="Normal 4 12 2 11 5" xfId="15187"/>
    <cellStyle name="Normal 4 12 2 11 5 2" xfId="31935"/>
    <cellStyle name="Normal 4 12 2 11 6" xfId="31931"/>
    <cellStyle name="Normal 4 12 2 12" xfId="15188"/>
    <cellStyle name="Normal 4 12 2 12 2" xfId="15189"/>
    <cellStyle name="Normal 4 12 2 12 2 2" xfId="31937"/>
    <cellStyle name="Normal 4 12 2 12 3" xfId="15190"/>
    <cellStyle name="Normal 4 12 2 12 3 2" xfId="31938"/>
    <cellStyle name="Normal 4 12 2 12 4" xfId="15191"/>
    <cellStyle name="Normal 4 12 2 12 4 2" xfId="31939"/>
    <cellStyle name="Normal 4 12 2 12 5" xfId="15192"/>
    <cellStyle name="Normal 4 12 2 12 5 2" xfId="31940"/>
    <cellStyle name="Normal 4 12 2 12 6" xfId="31936"/>
    <cellStyle name="Normal 4 12 2 13" xfId="15193"/>
    <cellStyle name="Normal 4 12 2 13 2" xfId="15194"/>
    <cellStyle name="Normal 4 12 2 13 2 2" xfId="31942"/>
    <cellStyle name="Normal 4 12 2 13 3" xfId="15195"/>
    <cellStyle name="Normal 4 12 2 13 3 2" xfId="31943"/>
    <cellStyle name="Normal 4 12 2 13 4" xfId="15196"/>
    <cellStyle name="Normal 4 12 2 13 4 2" xfId="31944"/>
    <cellStyle name="Normal 4 12 2 13 5" xfId="15197"/>
    <cellStyle name="Normal 4 12 2 13 5 2" xfId="31945"/>
    <cellStyle name="Normal 4 12 2 13 6" xfId="31941"/>
    <cellStyle name="Normal 4 12 2 14" xfId="15198"/>
    <cellStyle name="Normal 4 12 2 14 2" xfId="15199"/>
    <cellStyle name="Normal 4 12 2 14 2 2" xfId="31947"/>
    <cellStyle name="Normal 4 12 2 14 3" xfId="15200"/>
    <cellStyle name="Normal 4 12 2 14 3 2" xfId="31948"/>
    <cellStyle name="Normal 4 12 2 14 4" xfId="15201"/>
    <cellStyle name="Normal 4 12 2 14 4 2" xfId="31949"/>
    <cellStyle name="Normal 4 12 2 14 5" xfId="15202"/>
    <cellStyle name="Normal 4 12 2 14 5 2" xfId="31950"/>
    <cellStyle name="Normal 4 12 2 14 6" xfId="31946"/>
    <cellStyle name="Normal 4 12 2 15" xfId="15203"/>
    <cellStyle name="Normal 4 12 2 15 2" xfId="15204"/>
    <cellStyle name="Normal 4 12 2 15 2 2" xfId="31952"/>
    <cellStyle name="Normal 4 12 2 15 3" xfId="15205"/>
    <cellStyle name="Normal 4 12 2 15 3 2" xfId="31953"/>
    <cellStyle name="Normal 4 12 2 15 4" xfId="15206"/>
    <cellStyle name="Normal 4 12 2 15 4 2" xfId="31954"/>
    <cellStyle name="Normal 4 12 2 15 5" xfId="15207"/>
    <cellStyle name="Normal 4 12 2 15 5 2" xfId="31955"/>
    <cellStyle name="Normal 4 12 2 15 6" xfId="31951"/>
    <cellStyle name="Normal 4 12 2 16" xfId="15208"/>
    <cellStyle name="Normal 4 12 2 16 2" xfId="15209"/>
    <cellStyle name="Normal 4 12 2 16 2 2" xfId="31957"/>
    <cellStyle name="Normal 4 12 2 16 3" xfId="15210"/>
    <cellStyle name="Normal 4 12 2 16 3 2" xfId="31958"/>
    <cellStyle name="Normal 4 12 2 16 4" xfId="15211"/>
    <cellStyle name="Normal 4 12 2 16 4 2" xfId="31959"/>
    <cellStyle name="Normal 4 12 2 16 5" xfId="15212"/>
    <cellStyle name="Normal 4 12 2 16 5 2" xfId="31960"/>
    <cellStyle name="Normal 4 12 2 16 6" xfId="31956"/>
    <cellStyle name="Normal 4 12 2 17" xfId="15213"/>
    <cellStyle name="Normal 4 12 2 17 2" xfId="31961"/>
    <cellStyle name="Normal 4 12 2 18" xfId="15214"/>
    <cellStyle name="Normal 4 12 2 18 2" xfId="31962"/>
    <cellStyle name="Normal 4 12 2 19" xfId="15215"/>
    <cellStyle name="Normal 4 12 2 19 2" xfId="31963"/>
    <cellStyle name="Normal 4 12 2 2" xfId="15216"/>
    <cellStyle name="Normal 4 12 2 20" xfId="15217"/>
    <cellStyle name="Normal 4 12 2 20 2" xfId="31964"/>
    <cellStyle name="Normal 4 12 2 21" xfId="31925"/>
    <cellStyle name="Normal 4 12 2 3" xfId="15218"/>
    <cellStyle name="Normal 4 12 2 3 2" xfId="15219"/>
    <cellStyle name="Normal 4 12 2 3 2 2" xfId="31966"/>
    <cellStyle name="Normal 4 12 2 3 3" xfId="15220"/>
    <cellStyle name="Normal 4 12 2 3 3 2" xfId="31967"/>
    <cellStyle name="Normal 4 12 2 3 4" xfId="15221"/>
    <cellStyle name="Normal 4 12 2 3 4 2" xfId="31968"/>
    <cellStyle name="Normal 4 12 2 3 5" xfId="15222"/>
    <cellStyle name="Normal 4 12 2 3 5 2" xfId="31969"/>
    <cellStyle name="Normal 4 12 2 3 6" xfId="31965"/>
    <cellStyle name="Normal 4 12 2 4" xfId="15223"/>
    <cellStyle name="Normal 4 12 2 4 2" xfId="15224"/>
    <cellStyle name="Normal 4 12 2 4 2 2" xfId="31971"/>
    <cellStyle name="Normal 4 12 2 4 3" xfId="15225"/>
    <cellStyle name="Normal 4 12 2 4 3 2" xfId="31972"/>
    <cellStyle name="Normal 4 12 2 4 4" xfId="15226"/>
    <cellStyle name="Normal 4 12 2 4 4 2" xfId="31973"/>
    <cellStyle name="Normal 4 12 2 4 5" xfId="15227"/>
    <cellStyle name="Normal 4 12 2 4 5 2" xfId="31974"/>
    <cellStyle name="Normal 4 12 2 4 6" xfId="31970"/>
    <cellStyle name="Normal 4 12 2 5" xfId="15228"/>
    <cellStyle name="Normal 4 12 2 5 2" xfId="15229"/>
    <cellStyle name="Normal 4 12 2 5 2 2" xfId="31976"/>
    <cellStyle name="Normal 4 12 2 5 3" xfId="15230"/>
    <cellStyle name="Normal 4 12 2 5 3 2" xfId="31977"/>
    <cellStyle name="Normal 4 12 2 5 4" xfId="15231"/>
    <cellStyle name="Normal 4 12 2 5 4 2" xfId="31978"/>
    <cellStyle name="Normal 4 12 2 5 5" xfId="15232"/>
    <cellStyle name="Normal 4 12 2 5 5 2" xfId="31979"/>
    <cellStyle name="Normal 4 12 2 5 6" xfId="31975"/>
    <cellStyle name="Normal 4 12 2 6" xfId="15233"/>
    <cellStyle name="Normal 4 12 2 6 2" xfId="15234"/>
    <cellStyle name="Normal 4 12 2 6 2 2" xfId="31981"/>
    <cellStyle name="Normal 4 12 2 6 3" xfId="15235"/>
    <cellStyle name="Normal 4 12 2 6 3 2" xfId="31982"/>
    <cellStyle name="Normal 4 12 2 6 4" xfId="15236"/>
    <cellStyle name="Normal 4 12 2 6 4 2" xfId="31983"/>
    <cellStyle name="Normal 4 12 2 6 5" xfId="15237"/>
    <cellStyle name="Normal 4 12 2 6 5 2" xfId="31984"/>
    <cellStyle name="Normal 4 12 2 6 6" xfId="31980"/>
    <cellStyle name="Normal 4 12 2 7" xfId="15238"/>
    <cellStyle name="Normal 4 12 2 7 2" xfId="15239"/>
    <cellStyle name="Normal 4 12 2 7 2 2" xfId="31986"/>
    <cellStyle name="Normal 4 12 2 7 3" xfId="15240"/>
    <cellStyle name="Normal 4 12 2 7 3 2" xfId="31987"/>
    <cellStyle name="Normal 4 12 2 7 4" xfId="15241"/>
    <cellStyle name="Normal 4 12 2 7 4 2" xfId="31988"/>
    <cellStyle name="Normal 4 12 2 7 5" xfId="15242"/>
    <cellStyle name="Normal 4 12 2 7 5 2" xfId="31989"/>
    <cellStyle name="Normal 4 12 2 7 6" xfId="31985"/>
    <cellStyle name="Normal 4 12 2 8" xfId="15243"/>
    <cellStyle name="Normal 4 12 2 8 2" xfId="15244"/>
    <cellStyle name="Normal 4 12 2 8 2 2" xfId="31991"/>
    <cellStyle name="Normal 4 12 2 8 3" xfId="15245"/>
    <cellStyle name="Normal 4 12 2 8 3 2" xfId="31992"/>
    <cellStyle name="Normal 4 12 2 8 4" xfId="15246"/>
    <cellStyle name="Normal 4 12 2 8 4 2" xfId="31993"/>
    <cellStyle name="Normal 4 12 2 8 5" xfId="15247"/>
    <cellStyle name="Normal 4 12 2 8 5 2" xfId="31994"/>
    <cellStyle name="Normal 4 12 2 8 6" xfId="31990"/>
    <cellStyle name="Normal 4 12 2 9" xfId="15248"/>
    <cellStyle name="Normal 4 12 2 9 2" xfId="15249"/>
    <cellStyle name="Normal 4 12 2 9 2 2" xfId="31996"/>
    <cellStyle name="Normal 4 12 2 9 3" xfId="15250"/>
    <cellStyle name="Normal 4 12 2 9 3 2" xfId="31997"/>
    <cellStyle name="Normal 4 12 2 9 4" xfId="15251"/>
    <cellStyle name="Normal 4 12 2 9 4 2" xfId="31998"/>
    <cellStyle name="Normal 4 12 2 9 5" xfId="15252"/>
    <cellStyle name="Normal 4 12 2 9 5 2" xfId="31999"/>
    <cellStyle name="Normal 4 12 2 9 6" xfId="31995"/>
    <cellStyle name="Normal 4 12 3" xfId="15253"/>
    <cellStyle name="Normal 4 12 4" xfId="15254"/>
    <cellStyle name="Normal 4 12 5" xfId="15255"/>
    <cellStyle name="Normal 4 12 6" xfId="15256"/>
    <cellStyle name="Normal 4 12 7" xfId="15257"/>
    <cellStyle name="Normal 4 12 8" xfId="15258"/>
    <cellStyle name="Normal 4 12 9" xfId="15259"/>
    <cellStyle name="Normal 4 13" xfId="15260"/>
    <cellStyle name="Normal 4 13 10" xfId="15261"/>
    <cellStyle name="Normal 4 13 11" xfId="15262"/>
    <cellStyle name="Normal 4 13 12" xfId="15263"/>
    <cellStyle name="Normal 4 13 13" xfId="15264"/>
    <cellStyle name="Normal 4 13 14" xfId="15265"/>
    <cellStyle name="Normal 4 13 15" xfId="15266"/>
    <cellStyle name="Normal 4 13 16" xfId="15267"/>
    <cellStyle name="Normal 4 13 17" xfId="15268"/>
    <cellStyle name="Normal 4 13 18" xfId="40712"/>
    <cellStyle name="Normal 4 13 2" xfId="15269"/>
    <cellStyle name="Normal 4 13 2 2" xfId="15270"/>
    <cellStyle name="Normal 4 13 3" xfId="15271"/>
    <cellStyle name="Normal 4 13 4" xfId="15272"/>
    <cellStyle name="Normal 4 13 5" xfId="15273"/>
    <cellStyle name="Normal 4 13 6" xfId="15274"/>
    <cellStyle name="Normal 4 13 7" xfId="15275"/>
    <cellStyle name="Normal 4 13 8" xfId="15276"/>
    <cellStyle name="Normal 4 13 9" xfId="15277"/>
    <cellStyle name="Normal 4 14" xfId="15278"/>
    <cellStyle name="Normal 4 14 2" xfId="40713"/>
    <cellStyle name="Normal 4 15" xfId="15279"/>
    <cellStyle name="Normal 4 15 2" xfId="40714"/>
    <cellStyle name="Normal 4 16" xfId="15280"/>
    <cellStyle name="Normal 4 16 2" xfId="40715"/>
    <cellStyle name="Normal 4 17" xfId="15281"/>
    <cellStyle name="Normal 4 17 2" xfId="40716"/>
    <cellStyle name="Normal 4 18" xfId="15282"/>
    <cellStyle name="Normal 4 18 2" xfId="40717"/>
    <cellStyle name="Normal 4 19" xfId="15283"/>
    <cellStyle name="Normal 4 19 10" xfId="15284"/>
    <cellStyle name="Normal 4 19 10 2" xfId="15285"/>
    <cellStyle name="Normal 4 19 10 2 2" xfId="32002"/>
    <cellStyle name="Normal 4 19 10 3" xfId="15286"/>
    <cellStyle name="Normal 4 19 10 3 2" xfId="32003"/>
    <cellStyle name="Normal 4 19 10 4" xfId="15287"/>
    <cellStyle name="Normal 4 19 10 4 2" xfId="32004"/>
    <cellStyle name="Normal 4 19 10 5" xfId="15288"/>
    <cellStyle name="Normal 4 19 10 5 2" xfId="32005"/>
    <cellStyle name="Normal 4 19 10 6" xfId="32001"/>
    <cellStyle name="Normal 4 19 11" xfId="15289"/>
    <cellStyle name="Normal 4 19 11 2" xfId="15290"/>
    <cellStyle name="Normal 4 19 11 2 2" xfId="32007"/>
    <cellStyle name="Normal 4 19 11 3" xfId="15291"/>
    <cellStyle name="Normal 4 19 11 3 2" xfId="32008"/>
    <cellStyle name="Normal 4 19 11 4" xfId="15292"/>
    <cellStyle name="Normal 4 19 11 4 2" xfId="32009"/>
    <cellStyle name="Normal 4 19 11 5" xfId="15293"/>
    <cellStyle name="Normal 4 19 11 5 2" xfId="32010"/>
    <cellStyle name="Normal 4 19 11 6" xfId="32006"/>
    <cellStyle name="Normal 4 19 12" xfId="15294"/>
    <cellStyle name="Normal 4 19 12 2" xfId="15295"/>
    <cellStyle name="Normal 4 19 12 2 2" xfId="32012"/>
    <cellStyle name="Normal 4 19 12 3" xfId="15296"/>
    <cellStyle name="Normal 4 19 12 3 2" xfId="32013"/>
    <cellStyle name="Normal 4 19 12 4" xfId="15297"/>
    <cellStyle name="Normal 4 19 12 4 2" xfId="32014"/>
    <cellStyle name="Normal 4 19 12 5" xfId="15298"/>
    <cellStyle name="Normal 4 19 12 5 2" xfId="32015"/>
    <cellStyle name="Normal 4 19 12 6" xfId="32011"/>
    <cellStyle name="Normal 4 19 13" xfId="15299"/>
    <cellStyle name="Normal 4 19 13 2" xfId="15300"/>
    <cellStyle name="Normal 4 19 13 2 2" xfId="32017"/>
    <cellStyle name="Normal 4 19 13 3" xfId="15301"/>
    <cellStyle name="Normal 4 19 13 3 2" xfId="32018"/>
    <cellStyle name="Normal 4 19 13 4" xfId="15302"/>
    <cellStyle name="Normal 4 19 13 4 2" xfId="32019"/>
    <cellStyle name="Normal 4 19 13 5" xfId="15303"/>
    <cellStyle name="Normal 4 19 13 5 2" xfId="32020"/>
    <cellStyle name="Normal 4 19 13 6" xfId="32016"/>
    <cellStyle name="Normal 4 19 14" xfId="15304"/>
    <cellStyle name="Normal 4 19 14 2" xfId="15305"/>
    <cellStyle name="Normal 4 19 14 2 2" xfId="32022"/>
    <cellStyle name="Normal 4 19 14 3" xfId="15306"/>
    <cellStyle name="Normal 4 19 14 3 2" xfId="32023"/>
    <cellStyle name="Normal 4 19 14 4" xfId="15307"/>
    <cellStyle name="Normal 4 19 14 4 2" xfId="32024"/>
    <cellStyle name="Normal 4 19 14 5" xfId="15308"/>
    <cellStyle name="Normal 4 19 14 5 2" xfId="32025"/>
    <cellStyle name="Normal 4 19 14 6" xfId="32021"/>
    <cellStyle name="Normal 4 19 15" xfId="15309"/>
    <cellStyle name="Normal 4 19 15 2" xfId="15310"/>
    <cellStyle name="Normal 4 19 15 2 2" xfId="32027"/>
    <cellStyle name="Normal 4 19 15 3" xfId="15311"/>
    <cellStyle name="Normal 4 19 15 3 2" xfId="32028"/>
    <cellStyle name="Normal 4 19 15 4" xfId="15312"/>
    <cellStyle name="Normal 4 19 15 4 2" xfId="32029"/>
    <cellStyle name="Normal 4 19 15 5" xfId="15313"/>
    <cellStyle name="Normal 4 19 15 5 2" xfId="32030"/>
    <cellStyle name="Normal 4 19 15 6" xfId="32026"/>
    <cellStyle name="Normal 4 19 16" xfId="15314"/>
    <cellStyle name="Normal 4 19 16 2" xfId="32031"/>
    <cellStyle name="Normal 4 19 17" xfId="15315"/>
    <cellStyle name="Normal 4 19 17 2" xfId="32032"/>
    <cellStyle name="Normal 4 19 18" xfId="15316"/>
    <cellStyle name="Normal 4 19 18 2" xfId="32033"/>
    <cellStyle name="Normal 4 19 19" xfId="15317"/>
    <cellStyle name="Normal 4 19 19 2" xfId="32034"/>
    <cellStyle name="Normal 4 19 2" xfId="15318"/>
    <cellStyle name="Normal 4 19 2 2" xfId="15319"/>
    <cellStyle name="Normal 4 19 2 2 2" xfId="15320"/>
    <cellStyle name="Normal 4 19 2 2 2 2" xfId="32037"/>
    <cellStyle name="Normal 4 19 2 2 3" xfId="15321"/>
    <cellStyle name="Normal 4 19 2 2 3 2" xfId="32038"/>
    <cellStyle name="Normal 4 19 2 2 4" xfId="15322"/>
    <cellStyle name="Normal 4 19 2 2 4 2" xfId="32039"/>
    <cellStyle name="Normal 4 19 2 2 5" xfId="15323"/>
    <cellStyle name="Normal 4 19 2 2 5 2" xfId="32040"/>
    <cellStyle name="Normal 4 19 2 2 6" xfId="32036"/>
    <cellStyle name="Normal 4 19 2 3" xfId="15324"/>
    <cellStyle name="Normal 4 19 2 3 2" xfId="32041"/>
    <cellStyle name="Normal 4 19 2 4" xfId="15325"/>
    <cellStyle name="Normal 4 19 2 4 2" xfId="32042"/>
    <cellStyle name="Normal 4 19 2 5" xfId="15326"/>
    <cellStyle name="Normal 4 19 2 5 2" xfId="32043"/>
    <cellStyle name="Normal 4 19 2 6" xfId="15327"/>
    <cellStyle name="Normal 4 19 2 6 2" xfId="32044"/>
    <cellStyle name="Normal 4 19 2 7" xfId="32035"/>
    <cellStyle name="Normal 4 19 20" xfId="40718"/>
    <cellStyle name="Normal 4 19 21" xfId="32000"/>
    <cellStyle name="Normal 4 19 3" xfId="15328"/>
    <cellStyle name="Normal 4 19 3 2" xfId="15329"/>
    <cellStyle name="Normal 4 19 3 2 2" xfId="15330"/>
    <cellStyle name="Normal 4 19 3 2 2 2" xfId="32047"/>
    <cellStyle name="Normal 4 19 3 2 3" xfId="15331"/>
    <cellStyle name="Normal 4 19 3 2 3 2" xfId="32048"/>
    <cellStyle name="Normal 4 19 3 2 4" xfId="15332"/>
    <cellStyle name="Normal 4 19 3 2 4 2" xfId="32049"/>
    <cellStyle name="Normal 4 19 3 2 5" xfId="15333"/>
    <cellStyle name="Normal 4 19 3 2 5 2" xfId="32050"/>
    <cellStyle name="Normal 4 19 3 2 6" xfId="32046"/>
    <cellStyle name="Normal 4 19 3 3" xfId="15334"/>
    <cellStyle name="Normal 4 19 3 3 2" xfId="32051"/>
    <cellStyle name="Normal 4 19 3 4" xfId="15335"/>
    <cellStyle name="Normal 4 19 3 4 2" xfId="32052"/>
    <cellStyle name="Normal 4 19 3 5" xfId="15336"/>
    <cellStyle name="Normal 4 19 3 5 2" xfId="32053"/>
    <cellStyle name="Normal 4 19 3 6" xfId="15337"/>
    <cellStyle name="Normal 4 19 3 6 2" xfId="32054"/>
    <cellStyle name="Normal 4 19 3 7" xfId="32045"/>
    <cellStyle name="Normal 4 19 4" xfId="15338"/>
    <cellStyle name="Normal 4 19 4 2" xfId="15339"/>
    <cellStyle name="Normal 4 19 4 2 2" xfId="15340"/>
    <cellStyle name="Normal 4 19 4 2 2 2" xfId="32057"/>
    <cellStyle name="Normal 4 19 4 2 3" xfId="15341"/>
    <cellStyle name="Normal 4 19 4 2 3 2" xfId="32058"/>
    <cellStyle name="Normal 4 19 4 2 4" xfId="15342"/>
    <cellStyle name="Normal 4 19 4 2 4 2" xfId="32059"/>
    <cellStyle name="Normal 4 19 4 2 5" xfId="15343"/>
    <cellStyle name="Normal 4 19 4 2 5 2" xfId="32060"/>
    <cellStyle name="Normal 4 19 4 2 6" xfId="32056"/>
    <cellStyle name="Normal 4 19 4 3" xfId="15344"/>
    <cellStyle name="Normal 4 19 4 3 2" xfId="32061"/>
    <cellStyle name="Normal 4 19 4 4" xfId="15345"/>
    <cellStyle name="Normal 4 19 4 4 2" xfId="32062"/>
    <cellStyle name="Normal 4 19 4 5" xfId="15346"/>
    <cellStyle name="Normal 4 19 4 5 2" xfId="32063"/>
    <cellStyle name="Normal 4 19 4 6" xfId="15347"/>
    <cellStyle name="Normal 4 19 4 6 2" xfId="32064"/>
    <cellStyle name="Normal 4 19 4 7" xfId="32055"/>
    <cellStyle name="Normal 4 19 5" xfId="15348"/>
    <cellStyle name="Normal 4 19 5 2" xfId="15349"/>
    <cellStyle name="Normal 4 19 5 2 2" xfId="32066"/>
    <cellStyle name="Normal 4 19 5 3" xfId="15350"/>
    <cellStyle name="Normal 4 19 5 3 2" xfId="32067"/>
    <cellStyle name="Normal 4 19 5 4" xfId="15351"/>
    <cellStyle name="Normal 4 19 5 4 2" xfId="32068"/>
    <cellStyle name="Normal 4 19 5 5" xfId="15352"/>
    <cellStyle name="Normal 4 19 5 5 2" xfId="32069"/>
    <cellStyle name="Normal 4 19 5 6" xfId="32065"/>
    <cellStyle name="Normal 4 19 6" xfId="15353"/>
    <cellStyle name="Normal 4 19 6 2" xfId="15354"/>
    <cellStyle name="Normal 4 19 6 2 2" xfId="32071"/>
    <cellStyle name="Normal 4 19 6 3" xfId="15355"/>
    <cellStyle name="Normal 4 19 6 3 2" xfId="32072"/>
    <cellStyle name="Normal 4 19 6 4" xfId="15356"/>
    <cellStyle name="Normal 4 19 6 4 2" xfId="32073"/>
    <cellStyle name="Normal 4 19 6 5" xfId="15357"/>
    <cellStyle name="Normal 4 19 6 5 2" xfId="32074"/>
    <cellStyle name="Normal 4 19 6 6" xfId="32070"/>
    <cellStyle name="Normal 4 19 7" xfId="15358"/>
    <cellStyle name="Normal 4 19 7 2" xfId="15359"/>
    <cellStyle name="Normal 4 19 7 2 2" xfId="32076"/>
    <cellStyle name="Normal 4 19 7 3" xfId="15360"/>
    <cellStyle name="Normal 4 19 7 3 2" xfId="32077"/>
    <cellStyle name="Normal 4 19 7 4" xfId="15361"/>
    <cellStyle name="Normal 4 19 7 4 2" xfId="32078"/>
    <cellStyle name="Normal 4 19 7 5" xfId="15362"/>
    <cellStyle name="Normal 4 19 7 5 2" xfId="32079"/>
    <cellStyle name="Normal 4 19 7 6" xfId="32075"/>
    <cellStyle name="Normal 4 19 8" xfId="15363"/>
    <cellStyle name="Normal 4 19 8 2" xfId="15364"/>
    <cellStyle name="Normal 4 19 8 2 2" xfId="32081"/>
    <cellStyle name="Normal 4 19 8 3" xfId="15365"/>
    <cellStyle name="Normal 4 19 8 3 2" xfId="32082"/>
    <cellStyle name="Normal 4 19 8 4" xfId="15366"/>
    <cellStyle name="Normal 4 19 8 4 2" xfId="32083"/>
    <cellStyle name="Normal 4 19 8 5" xfId="15367"/>
    <cellStyle name="Normal 4 19 8 5 2" xfId="32084"/>
    <cellStyle name="Normal 4 19 8 6" xfId="32080"/>
    <cellStyle name="Normal 4 19 9" xfId="15368"/>
    <cellStyle name="Normal 4 19 9 2" xfId="15369"/>
    <cellStyle name="Normal 4 19 9 2 2" xfId="32086"/>
    <cellStyle name="Normal 4 19 9 3" xfId="15370"/>
    <cellStyle name="Normal 4 19 9 3 2" xfId="32087"/>
    <cellStyle name="Normal 4 19 9 4" xfId="15371"/>
    <cellStyle name="Normal 4 19 9 4 2" xfId="32088"/>
    <cellStyle name="Normal 4 19 9 5" xfId="15372"/>
    <cellStyle name="Normal 4 19 9 5 2" xfId="32089"/>
    <cellStyle name="Normal 4 19 9 6" xfId="32085"/>
    <cellStyle name="Normal 4 2" xfId="15373"/>
    <cellStyle name="Normal 4 2 10" xfId="15374"/>
    <cellStyle name="Normal 4 2 11" xfId="15375"/>
    <cellStyle name="Normal 4 2 12" xfId="40708"/>
    <cellStyle name="Normal 4 2 2" xfId="15376"/>
    <cellStyle name="Normal 4 2 2 2" xfId="15377"/>
    <cellStyle name="Normal 4 2 2 2 2" xfId="40719"/>
    <cellStyle name="Normal 4 2 2 3" xfId="15378"/>
    <cellStyle name="Normal 4 2 2 3 2" xfId="41054"/>
    <cellStyle name="Normal 4 2 2 4" xfId="15379"/>
    <cellStyle name="Normal 4 2 2 5" xfId="15380"/>
    <cellStyle name="Normal 4 2 2 6" xfId="15381"/>
    <cellStyle name="Normal 4 2 2 7" xfId="15382"/>
    <cellStyle name="Normal 4 2 3" xfId="15383"/>
    <cellStyle name="Normal 4 2 3 2" xfId="41053"/>
    <cellStyle name="Normal 4 2 4" xfId="15384"/>
    <cellStyle name="Normal 4 2 5" xfId="15385"/>
    <cellStyle name="Normal 4 2 6" xfId="15386"/>
    <cellStyle name="Normal 4 2 7" xfId="15387"/>
    <cellStyle name="Normal 4 2 8" xfId="15388"/>
    <cellStyle name="Normal 4 2 9" xfId="15389"/>
    <cellStyle name="Normal 4 20" xfId="15390"/>
    <cellStyle name="Normal 4 20 10" xfId="15391"/>
    <cellStyle name="Normal 4 20 10 2" xfId="15392"/>
    <cellStyle name="Normal 4 20 10 2 2" xfId="32092"/>
    <cellStyle name="Normal 4 20 10 3" xfId="15393"/>
    <cellStyle name="Normal 4 20 10 3 2" xfId="32093"/>
    <cellStyle name="Normal 4 20 10 4" xfId="15394"/>
    <cellStyle name="Normal 4 20 10 4 2" xfId="32094"/>
    <cellStyle name="Normal 4 20 10 5" xfId="15395"/>
    <cellStyle name="Normal 4 20 10 5 2" xfId="32095"/>
    <cellStyle name="Normal 4 20 10 6" xfId="32091"/>
    <cellStyle name="Normal 4 20 11" xfId="15396"/>
    <cellStyle name="Normal 4 20 11 2" xfId="15397"/>
    <cellStyle name="Normal 4 20 11 2 2" xfId="32097"/>
    <cellStyle name="Normal 4 20 11 3" xfId="15398"/>
    <cellStyle name="Normal 4 20 11 3 2" xfId="32098"/>
    <cellStyle name="Normal 4 20 11 4" xfId="15399"/>
    <cellStyle name="Normal 4 20 11 4 2" xfId="32099"/>
    <cellStyle name="Normal 4 20 11 5" xfId="15400"/>
    <cellStyle name="Normal 4 20 11 5 2" xfId="32100"/>
    <cellStyle name="Normal 4 20 11 6" xfId="32096"/>
    <cellStyle name="Normal 4 20 12" xfId="15401"/>
    <cellStyle name="Normal 4 20 12 2" xfId="15402"/>
    <cellStyle name="Normal 4 20 12 2 2" xfId="32102"/>
    <cellStyle name="Normal 4 20 12 3" xfId="15403"/>
    <cellStyle name="Normal 4 20 12 3 2" xfId="32103"/>
    <cellStyle name="Normal 4 20 12 4" xfId="15404"/>
    <cellStyle name="Normal 4 20 12 4 2" xfId="32104"/>
    <cellStyle name="Normal 4 20 12 5" xfId="15405"/>
    <cellStyle name="Normal 4 20 12 5 2" xfId="32105"/>
    <cellStyle name="Normal 4 20 12 6" xfId="32101"/>
    <cellStyle name="Normal 4 20 13" xfId="15406"/>
    <cellStyle name="Normal 4 20 13 2" xfId="15407"/>
    <cellStyle name="Normal 4 20 13 2 2" xfId="32107"/>
    <cellStyle name="Normal 4 20 13 3" xfId="15408"/>
    <cellStyle name="Normal 4 20 13 3 2" xfId="32108"/>
    <cellStyle name="Normal 4 20 13 4" xfId="15409"/>
    <cellStyle name="Normal 4 20 13 4 2" xfId="32109"/>
    <cellStyle name="Normal 4 20 13 5" xfId="15410"/>
    <cellStyle name="Normal 4 20 13 5 2" xfId="32110"/>
    <cellStyle name="Normal 4 20 13 6" xfId="32106"/>
    <cellStyle name="Normal 4 20 14" xfId="15411"/>
    <cellStyle name="Normal 4 20 14 2" xfId="15412"/>
    <cellStyle name="Normal 4 20 14 2 2" xfId="32112"/>
    <cellStyle name="Normal 4 20 14 3" xfId="15413"/>
    <cellStyle name="Normal 4 20 14 3 2" xfId="32113"/>
    <cellStyle name="Normal 4 20 14 4" xfId="15414"/>
    <cellStyle name="Normal 4 20 14 4 2" xfId="32114"/>
    <cellStyle name="Normal 4 20 14 5" xfId="15415"/>
    <cellStyle name="Normal 4 20 14 5 2" xfId="32115"/>
    <cellStyle name="Normal 4 20 14 6" xfId="32111"/>
    <cellStyle name="Normal 4 20 15" xfId="15416"/>
    <cellStyle name="Normal 4 20 15 2" xfId="15417"/>
    <cellStyle name="Normal 4 20 15 2 2" xfId="32117"/>
    <cellStyle name="Normal 4 20 15 3" xfId="15418"/>
    <cellStyle name="Normal 4 20 15 3 2" xfId="32118"/>
    <cellStyle name="Normal 4 20 15 4" xfId="15419"/>
    <cellStyle name="Normal 4 20 15 4 2" xfId="32119"/>
    <cellStyle name="Normal 4 20 15 5" xfId="15420"/>
    <cellStyle name="Normal 4 20 15 5 2" xfId="32120"/>
    <cellStyle name="Normal 4 20 15 6" xfId="32116"/>
    <cellStyle name="Normal 4 20 16" xfId="15421"/>
    <cellStyle name="Normal 4 20 16 2" xfId="32121"/>
    <cellStyle name="Normal 4 20 17" xfId="15422"/>
    <cellStyle name="Normal 4 20 17 2" xfId="32122"/>
    <cellStyle name="Normal 4 20 18" xfId="15423"/>
    <cellStyle name="Normal 4 20 18 2" xfId="32123"/>
    <cellStyle name="Normal 4 20 19" xfId="15424"/>
    <cellStyle name="Normal 4 20 19 2" xfId="32124"/>
    <cellStyle name="Normal 4 20 2" xfId="15425"/>
    <cellStyle name="Normal 4 20 2 2" xfId="15426"/>
    <cellStyle name="Normal 4 20 2 2 2" xfId="15427"/>
    <cellStyle name="Normal 4 20 2 2 2 2" xfId="32127"/>
    <cellStyle name="Normal 4 20 2 2 3" xfId="15428"/>
    <cellStyle name="Normal 4 20 2 2 3 2" xfId="32128"/>
    <cellStyle name="Normal 4 20 2 2 4" xfId="15429"/>
    <cellStyle name="Normal 4 20 2 2 4 2" xfId="32129"/>
    <cellStyle name="Normal 4 20 2 2 5" xfId="15430"/>
    <cellStyle name="Normal 4 20 2 2 5 2" xfId="32130"/>
    <cellStyle name="Normal 4 20 2 2 6" xfId="32126"/>
    <cellStyle name="Normal 4 20 2 3" xfId="15431"/>
    <cellStyle name="Normal 4 20 2 3 2" xfId="32131"/>
    <cellStyle name="Normal 4 20 2 4" xfId="15432"/>
    <cellStyle name="Normal 4 20 2 4 2" xfId="32132"/>
    <cellStyle name="Normal 4 20 2 5" xfId="15433"/>
    <cellStyle name="Normal 4 20 2 5 2" xfId="32133"/>
    <cellStyle name="Normal 4 20 2 6" xfId="15434"/>
    <cellStyle name="Normal 4 20 2 6 2" xfId="32134"/>
    <cellStyle name="Normal 4 20 2 7" xfId="32125"/>
    <cellStyle name="Normal 4 20 20" xfId="40720"/>
    <cellStyle name="Normal 4 20 21" xfId="32090"/>
    <cellStyle name="Normal 4 20 3" xfId="15435"/>
    <cellStyle name="Normal 4 20 3 2" xfId="15436"/>
    <cellStyle name="Normal 4 20 3 2 2" xfId="15437"/>
    <cellStyle name="Normal 4 20 3 2 2 2" xfId="32137"/>
    <cellStyle name="Normal 4 20 3 2 3" xfId="15438"/>
    <cellStyle name="Normal 4 20 3 2 3 2" xfId="32138"/>
    <cellStyle name="Normal 4 20 3 2 4" xfId="15439"/>
    <cellStyle name="Normal 4 20 3 2 4 2" xfId="32139"/>
    <cellStyle name="Normal 4 20 3 2 5" xfId="15440"/>
    <cellStyle name="Normal 4 20 3 2 5 2" xfId="32140"/>
    <cellStyle name="Normal 4 20 3 2 6" xfId="32136"/>
    <cellStyle name="Normal 4 20 3 3" xfId="15441"/>
    <cellStyle name="Normal 4 20 3 3 2" xfId="32141"/>
    <cellStyle name="Normal 4 20 3 4" xfId="15442"/>
    <cellStyle name="Normal 4 20 3 4 2" xfId="32142"/>
    <cellStyle name="Normal 4 20 3 5" xfId="15443"/>
    <cellStyle name="Normal 4 20 3 5 2" xfId="32143"/>
    <cellStyle name="Normal 4 20 3 6" xfId="15444"/>
    <cellStyle name="Normal 4 20 3 6 2" xfId="32144"/>
    <cellStyle name="Normal 4 20 3 7" xfId="32135"/>
    <cellStyle name="Normal 4 20 4" xfId="15445"/>
    <cellStyle name="Normal 4 20 4 2" xfId="15446"/>
    <cellStyle name="Normal 4 20 4 2 2" xfId="15447"/>
    <cellStyle name="Normal 4 20 4 2 2 2" xfId="32147"/>
    <cellStyle name="Normal 4 20 4 2 3" xfId="15448"/>
    <cellStyle name="Normal 4 20 4 2 3 2" xfId="32148"/>
    <cellStyle name="Normal 4 20 4 2 4" xfId="15449"/>
    <cellStyle name="Normal 4 20 4 2 4 2" xfId="32149"/>
    <cellStyle name="Normal 4 20 4 2 5" xfId="15450"/>
    <cellStyle name="Normal 4 20 4 2 5 2" xfId="32150"/>
    <cellStyle name="Normal 4 20 4 2 6" xfId="32146"/>
    <cellStyle name="Normal 4 20 4 3" xfId="15451"/>
    <cellStyle name="Normal 4 20 4 3 2" xfId="32151"/>
    <cellStyle name="Normal 4 20 4 4" xfId="15452"/>
    <cellStyle name="Normal 4 20 4 4 2" xfId="32152"/>
    <cellStyle name="Normal 4 20 4 5" xfId="15453"/>
    <cellStyle name="Normal 4 20 4 5 2" xfId="32153"/>
    <cellStyle name="Normal 4 20 4 6" xfId="15454"/>
    <cellStyle name="Normal 4 20 4 6 2" xfId="32154"/>
    <cellStyle name="Normal 4 20 4 7" xfId="32145"/>
    <cellStyle name="Normal 4 20 5" xfId="15455"/>
    <cellStyle name="Normal 4 20 5 2" xfId="15456"/>
    <cellStyle name="Normal 4 20 5 2 2" xfId="32156"/>
    <cellStyle name="Normal 4 20 5 3" xfId="15457"/>
    <cellStyle name="Normal 4 20 5 3 2" xfId="32157"/>
    <cellStyle name="Normal 4 20 5 4" xfId="15458"/>
    <cellStyle name="Normal 4 20 5 4 2" xfId="32158"/>
    <cellStyle name="Normal 4 20 5 5" xfId="15459"/>
    <cellStyle name="Normal 4 20 5 5 2" xfId="32159"/>
    <cellStyle name="Normal 4 20 5 6" xfId="32155"/>
    <cellStyle name="Normal 4 20 6" xfId="15460"/>
    <cellStyle name="Normal 4 20 6 2" xfId="15461"/>
    <cellStyle name="Normal 4 20 6 2 2" xfId="32161"/>
    <cellStyle name="Normal 4 20 6 3" xfId="15462"/>
    <cellStyle name="Normal 4 20 6 3 2" xfId="32162"/>
    <cellStyle name="Normal 4 20 6 4" xfId="15463"/>
    <cellStyle name="Normal 4 20 6 4 2" xfId="32163"/>
    <cellStyle name="Normal 4 20 6 5" xfId="15464"/>
    <cellStyle name="Normal 4 20 6 5 2" xfId="32164"/>
    <cellStyle name="Normal 4 20 6 6" xfId="32160"/>
    <cellStyle name="Normal 4 20 7" xfId="15465"/>
    <cellStyle name="Normal 4 20 7 2" xfId="15466"/>
    <cellStyle name="Normal 4 20 7 2 2" xfId="32166"/>
    <cellStyle name="Normal 4 20 7 3" xfId="15467"/>
    <cellStyle name="Normal 4 20 7 3 2" xfId="32167"/>
    <cellStyle name="Normal 4 20 7 4" xfId="15468"/>
    <cellStyle name="Normal 4 20 7 4 2" xfId="32168"/>
    <cellStyle name="Normal 4 20 7 5" xfId="15469"/>
    <cellStyle name="Normal 4 20 7 5 2" xfId="32169"/>
    <cellStyle name="Normal 4 20 7 6" xfId="32165"/>
    <cellStyle name="Normal 4 20 8" xfId="15470"/>
    <cellStyle name="Normal 4 20 8 2" xfId="15471"/>
    <cellStyle name="Normal 4 20 8 2 2" xfId="32171"/>
    <cellStyle name="Normal 4 20 8 3" xfId="15472"/>
    <cellStyle name="Normal 4 20 8 3 2" xfId="32172"/>
    <cellStyle name="Normal 4 20 8 4" xfId="15473"/>
    <cellStyle name="Normal 4 20 8 4 2" xfId="32173"/>
    <cellStyle name="Normal 4 20 8 5" xfId="15474"/>
    <cellStyle name="Normal 4 20 8 5 2" xfId="32174"/>
    <cellStyle name="Normal 4 20 8 6" xfId="32170"/>
    <cellStyle name="Normal 4 20 9" xfId="15475"/>
    <cellStyle name="Normal 4 20 9 2" xfId="15476"/>
    <cellStyle name="Normal 4 20 9 2 2" xfId="32176"/>
    <cellStyle name="Normal 4 20 9 3" xfId="15477"/>
    <cellStyle name="Normal 4 20 9 3 2" xfId="32177"/>
    <cellStyle name="Normal 4 20 9 4" xfId="15478"/>
    <cellStyle name="Normal 4 20 9 4 2" xfId="32178"/>
    <cellStyle name="Normal 4 20 9 5" xfId="15479"/>
    <cellStyle name="Normal 4 20 9 5 2" xfId="32179"/>
    <cellStyle name="Normal 4 20 9 6" xfId="32175"/>
    <cellStyle name="Normal 4 21" xfId="15480"/>
    <cellStyle name="Normal 4 21 10" xfId="15481"/>
    <cellStyle name="Normal 4 21 10 2" xfId="15482"/>
    <cellStyle name="Normal 4 21 10 2 2" xfId="32182"/>
    <cellStyle name="Normal 4 21 10 3" xfId="15483"/>
    <cellStyle name="Normal 4 21 10 3 2" xfId="32183"/>
    <cellStyle name="Normal 4 21 10 4" xfId="15484"/>
    <cellStyle name="Normal 4 21 10 4 2" xfId="32184"/>
    <cellStyle name="Normal 4 21 10 5" xfId="15485"/>
    <cellStyle name="Normal 4 21 10 5 2" xfId="32185"/>
    <cellStyle name="Normal 4 21 10 6" xfId="32181"/>
    <cellStyle name="Normal 4 21 11" xfId="15486"/>
    <cellStyle name="Normal 4 21 11 2" xfId="15487"/>
    <cellStyle name="Normal 4 21 11 2 2" xfId="32187"/>
    <cellStyle name="Normal 4 21 11 3" xfId="15488"/>
    <cellStyle name="Normal 4 21 11 3 2" xfId="32188"/>
    <cellStyle name="Normal 4 21 11 4" xfId="15489"/>
    <cellStyle name="Normal 4 21 11 4 2" xfId="32189"/>
    <cellStyle name="Normal 4 21 11 5" xfId="15490"/>
    <cellStyle name="Normal 4 21 11 5 2" xfId="32190"/>
    <cellStyle name="Normal 4 21 11 6" xfId="32186"/>
    <cellStyle name="Normal 4 21 12" xfId="15491"/>
    <cellStyle name="Normal 4 21 12 2" xfId="15492"/>
    <cellStyle name="Normal 4 21 12 2 2" xfId="32192"/>
    <cellStyle name="Normal 4 21 12 3" xfId="15493"/>
    <cellStyle name="Normal 4 21 12 3 2" xfId="32193"/>
    <cellStyle name="Normal 4 21 12 4" xfId="15494"/>
    <cellStyle name="Normal 4 21 12 4 2" xfId="32194"/>
    <cellStyle name="Normal 4 21 12 5" xfId="15495"/>
    <cellStyle name="Normal 4 21 12 5 2" xfId="32195"/>
    <cellStyle name="Normal 4 21 12 6" xfId="32191"/>
    <cellStyle name="Normal 4 21 13" xfId="15496"/>
    <cellStyle name="Normal 4 21 13 2" xfId="15497"/>
    <cellStyle name="Normal 4 21 13 2 2" xfId="32197"/>
    <cellStyle name="Normal 4 21 13 3" xfId="15498"/>
    <cellStyle name="Normal 4 21 13 3 2" xfId="32198"/>
    <cellStyle name="Normal 4 21 13 4" xfId="15499"/>
    <cellStyle name="Normal 4 21 13 4 2" xfId="32199"/>
    <cellStyle name="Normal 4 21 13 5" xfId="15500"/>
    <cellStyle name="Normal 4 21 13 5 2" xfId="32200"/>
    <cellStyle name="Normal 4 21 13 6" xfId="32196"/>
    <cellStyle name="Normal 4 21 14" xfId="15501"/>
    <cellStyle name="Normal 4 21 14 2" xfId="15502"/>
    <cellStyle name="Normal 4 21 14 2 2" xfId="32202"/>
    <cellStyle name="Normal 4 21 14 3" xfId="15503"/>
    <cellStyle name="Normal 4 21 14 3 2" xfId="32203"/>
    <cellStyle name="Normal 4 21 14 4" xfId="15504"/>
    <cellStyle name="Normal 4 21 14 4 2" xfId="32204"/>
    <cellStyle name="Normal 4 21 14 5" xfId="15505"/>
    <cellStyle name="Normal 4 21 14 5 2" xfId="32205"/>
    <cellStyle name="Normal 4 21 14 6" xfId="32201"/>
    <cellStyle name="Normal 4 21 15" xfId="15506"/>
    <cellStyle name="Normal 4 21 15 2" xfId="15507"/>
    <cellStyle name="Normal 4 21 15 2 2" xfId="32207"/>
    <cellStyle name="Normal 4 21 15 3" xfId="15508"/>
    <cellStyle name="Normal 4 21 15 3 2" xfId="32208"/>
    <cellStyle name="Normal 4 21 15 4" xfId="15509"/>
    <cellStyle name="Normal 4 21 15 4 2" xfId="32209"/>
    <cellStyle name="Normal 4 21 15 5" xfId="15510"/>
    <cellStyle name="Normal 4 21 15 5 2" xfId="32210"/>
    <cellStyle name="Normal 4 21 15 6" xfId="32206"/>
    <cellStyle name="Normal 4 21 16" xfId="15511"/>
    <cellStyle name="Normal 4 21 16 2" xfId="32211"/>
    <cellStyle name="Normal 4 21 17" xfId="15512"/>
    <cellStyle name="Normal 4 21 17 2" xfId="32212"/>
    <cellStyle name="Normal 4 21 18" xfId="15513"/>
    <cellStyle name="Normal 4 21 18 2" xfId="32213"/>
    <cellStyle name="Normal 4 21 19" xfId="15514"/>
    <cellStyle name="Normal 4 21 19 2" xfId="32214"/>
    <cellStyle name="Normal 4 21 2" xfId="15515"/>
    <cellStyle name="Normal 4 21 2 2" xfId="15516"/>
    <cellStyle name="Normal 4 21 2 2 2" xfId="15517"/>
    <cellStyle name="Normal 4 21 2 2 2 2" xfId="32217"/>
    <cellStyle name="Normal 4 21 2 2 3" xfId="15518"/>
    <cellStyle name="Normal 4 21 2 2 3 2" xfId="32218"/>
    <cellStyle name="Normal 4 21 2 2 4" xfId="15519"/>
    <cellStyle name="Normal 4 21 2 2 4 2" xfId="32219"/>
    <cellStyle name="Normal 4 21 2 2 5" xfId="15520"/>
    <cellStyle name="Normal 4 21 2 2 5 2" xfId="32220"/>
    <cellStyle name="Normal 4 21 2 2 6" xfId="32216"/>
    <cellStyle name="Normal 4 21 2 3" xfId="15521"/>
    <cellStyle name="Normal 4 21 2 3 2" xfId="32221"/>
    <cellStyle name="Normal 4 21 2 4" xfId="15522"/>
    <cellStyle name="Normal 4 21 2 4 2" xfId="32222"/>
    <cellStyle name="Normal 4 21 2 5" xfId="15523"/>
    <cellStyle name="Normal 4 21 2 5 2" xfId="32223"/>
    <cellStyle name="Normal 4 21 2 6" xfId="15524"/>
    <cellStyle name="Normal 4 21 2 6 2" xfId="32224"/>
    <cellStyle name="Normal 4 21 2 7" xfId="32215"/>
    <cellStyle name="Normal 4 21 20" xfId="41052"/>
    <cellStyle name="Normal 4 21 21" xfId="32180"/>
    <cellStyle name="Normal 4 21 3" xfId="15525"/>
    <cellStyle name="Normal 4 21 3 2" xfId="15526"/>
    <cellStyle name="Normal 4 21 3 2 2" xfId="15527"/>
    <cellStyle name="Normal 4 21 3 2 2 2" xfId="32227"/>
    <cellStyle name="Normal 4 21 3 2 3" xfId="15528"/>
    <cellStyle name="Normal 4 21 3 2 3 2" xfId="32228"/>
    <cellStyle name="Normal 4 21 3 2 4" xfId="15529"/>
    <cellStyle name="Normal 4 21 3 2 4 2" xfId="32229"/>
    <cellStyle name="Normal 4 21 3 2 5" xfId="15530"/>
    <cellStyle name="Normal 4 21 3 2 5 2" xfId="32230"/>
    <cellStyle name="Normal 4 21 3 2 6" xfId="32226"/>
    <cellStyle name="Normal 4 21 3 3" xfId="15531"/>
    <cellStyle name="Normal 4 21 3 3 2" xfId="32231"/>
    <cellStyle name="Normal 4 21 3 4" xfId="15532"/>
    <cellStyle name="Normal 4 21 3 4 2" xfId="32232"/>
    <cellStyle name="Normal 4 21 3 5" xfId="15533"/>
    <cellStyle name="Normal 4 21 3 5 2" xfId="32233"/>
    <cellStyle name="Normal 4 21 3 6" xfId="15534"/>
    <cellStyle name="Normal 4 21 3 6 2" xfId="32234"/>
    <cellStyle name="Normal 4 21 3 7" xfId="32225"/>
    <cellStyle name="Normal 4 21 4" xfId="15535"/>
    <cellStyle name="Normal 4 21 4 2" xfId="15536"/>
    <cellStyle name="Normal 4 21 4 2 2" xfId="15537"/>
    <cellStyle name="Normal 4 21 4 2 2 2" xfId="32237"/>
    <cellStyle name="Normal 4 21 4 2 3" xfId="15538"/>
    <cellStyle name="Normal 4 21 4 2 3 2" xfId="32238"/>
    <cellStyle name="Normal 4 21 4 2 4" xfId="15539"/>
    <cellStyle name="Normal 4 21 4 2 4 2" xfId="32239"/>
    <cellStyle name="Normal 4 21 4 2 5" xfId="15540"/>
    <cellStyle name="Normal 4 21 4 2 5 2" xfId="32240"/>
    <cellStyle name="Normal 4 21 4 2 6" xfId="32236"/>
    <cellStyle name="Normal 4 21 4 3" xfId="15541"/>
    <cellStyle name="Normal 4 21 4 3 2" xfId="32241"/>
    <cellStyle name="Normal 4 21 4 4" xfId="15542"/>
    <cellStyle name="Normal 4 21 4 4 2" xfId="32242"/>
    <cellStyle name="Normal 4 21 4 5" xfId="15543"/>
    <cellStyle name="Normal 4 21 4 5 2" xfId="32243"/>
    <cellStyle name="Normal 4 21 4 6" xfId="15544"/>
    <cellStyle name="Normal 4 21 4 6 2" xfId="32244"/>
    <cellStyle name="Normal 4 21 4 7" xfId="32235"/>
    <cellStyle name="Normal 4 21 5" xfId="15545"/>
    <cellStyle name="Normal 4 21 5 2" xfId="15546"/>
    <cellStyle name="Normal 4 21 5 2 2" xfId="32246"/>
    <cellStyle name="Normal 4 21 5 3" xfId="15547"/>
    <cellStyle name="Normal 4 21 5 3 2" xfId="32247"/>
    <cellStyle name="Normal 4 21 5 4" xfId="15548"/>
    <cellStyle name="Normal 4 21 5 4 2" xfId="32248"/>
    <cellStyle name="Normal 4 21 5 5" xfId="15549"/>
    <cellStyle name="Normal 4 21 5 5 2" xfId="32249"/>
    <cellStyle name="Normal 4 21 5 6" xfId="32245"/>
    <cellStyle name="Normal 4 21 6" xfId="15550"/>
    <cellStyle name="Normal 4 21 6 2" xfId="15551"/>
    <cellStyle name="Normal 4 21 6 2 2" xfId="32251"/>
    <cellStyle name="Normal 4 21 6 3" xfId="15552"/>
    <cellStyle name="Normal 4 21 6 3 2" xfId="32252"/>
    <cellStyle name="Normal 4 21 6 4" xfId="15553"/>
    <cellStyle name="Normal 4 21 6 4 2" xfId="32253"/>
    <cellStyle name="Normal 4 21 6 5" xfId="15554"/>
    <cellStyle name="Normal 4 21 6 5 2" xfId="32254"/>
    <cellStyle name="Normal 4 21 6 6" xfId="32250"/>
    <cellStyle name="Normal 4 21 7" xfId="15555"/>
    <cellStyle name="Normal 4 21 7 2" xfId="15556"/>
    <cellStyle name="Normal 4 21 7 2 2" xfId="32256"/>
    <cellStyle name="Normal 4 21 7 3" xfId="15557"/>
    <cellStyle name="Normal 4 21 7 3 2" xfId="32257"/>
    <cellStyle name="Normal 4 21 7 4" xfId="15558"/>
    <cellStyle name="Normal 4 21 7 4 2" xfId="32258"/>
    <cellStyle name="Normal 4 21 7 5" xfId="15559"/>
    <cellStyle name="Normal 4 21 7 5 2" xfId="32259"/>
    <cellStyle name="Normal 4 21 7 6" xfId="32255"/>
    <cellStyle name="Normal 4 21 8" xfId="15560"/>
    <cellStyle name="Normal 4 21 8 2" xfId="15561"/>
    <cellStyle name="Normal 4 21 8 2 2" xfId="32261"/>
    <cellStyle name="Normal 4 21 8 3" xfId="15562"/>
    <cellStyle name="Normal 4 21 8 3 2" xfId="32262"/>
    <cellStyle name="Normal 4 21 8 4" xfId="15563"/>
    <cellStyle name="Normal 4 21 8 4 2" xfId="32263"/>
    <cellStyle name="Normal 4 21 8 5" xfId="15564"/>
    <cellStyle name="Normal 4 21 8 5 2" xfId="32264"/>
    <cellStyle name="Normal 4 21 8 6" xfId="32260"/>
    <cellStyle name="Normal 4 21 9" xfId="15565"/>
    <cellStyle name="Normal 4 21 9 2" xfId="15566"/>
    <cellStyle name="Normal 4 21 9 2 2" xfId="32266"/>
    <cellStyle name="Normal 4 21 9 3" xfId="15567"/>
    <cellStyle name="Normal 4 21 9 3 2" xfId="32267"/>
    <cellStyle name="Normal 4 21 9 4" xfId="15568"/>
    <cellStyle name="Normal 4 21 9 4 2" xfId="32268"/>
    <cellStyle name="Normal 4 21 9 5" xfId="15569"/>
    <cellStyle name="Normal 4 21 9 5 2" xfId="32269"/>
    <cellStyle name="Normal 4 21 9 6" xfId="32265"/>
    <cellStyle name="Normal 4 22" xfId="15570"/>
    <cellStyle name="Normal 4 22 10" xfId="15571"/>
    <cellStyle name="Normal 4 22 10 2" xfId="15572"/>
    <cellStyle name="Normal 4 22 10 2 2" xfId="32272"/>
    <cellStyle name="Normal 4 22 10 3" xfId="15573"/>
    <cellStyle name="Normal 4 22 10 3 2" xfId="32273"/>
    <cellStyle name="Normal 4 22 10 4" xfId="15574"/>
    <cellStyle name="Normal 4 22 10 4 2" xfId="32274"/>
    <cellStyle name="Normal 4 22 10 5" xfId="15575"/>
    <cellStyle name="Normal 4 22 10 5 2" xfId="32275"/>
    <cellStyle name="Normal 4 22 10 6" xfId="32271"/>
    <cellStyle name="Normal 4 22 11" xfId="15576"/>
    <cellStyle name="Normal 4 22 11 2" xfId="15577"/>
    <cellStyle name="Normal 4 22 11 2 2" xfId="32277"/>
    <cellStyle name="Normal 4 22 11 3" xfId="15578"/>
    <cellStyle name="Normal 4 22 11 3 2" xfId="32278"/>
    <cellStyle name="Normal 4 22 11 4" xfId="15579"/>
    <cellStyle name="Normal 4 22 11 4 2" xfId="32279"/>
    <cellStyle name="Normal 4 22 11 5" xfId="15580"/>
    <cellStyle name="Normal 4 22 11 5 2" xfId="32280"/>
    <cellStyle name="Normal 4 22 11 6" xfId="32276"/>
    <cellStyle name="Normal 4 22 12" xfId="15581"/>
    <cellStyle name="Normal 4 22 12 2" xfId="15582"/>
    <cellStyle name="Normal 4 22 12 2 2" xfId="32282"/>
    <cellStyle name="Normal 4 22 12 3" xfId="15583"/>
    <cellStyle name="Normal 4 22 12 3 2" xfId="32283"/>
    <cellStyle name="Normal 4 22 12 4" xfId="15584"/>
    <cellStyle name="Normal 4 22 12 4 2" xfId="32284"/>
    <cellStyle name="Normal 4 22 12 5" xfId="15585"/>
    <cellStyle name="Normal 4 22 12 5 2" xfId="32285"/>
    <cellStyle name="Normal 4 22 12 6" xfId="32281"/>
    <cellStyle name="Normal 4 22 13" xfId="15586"/>
    <cellStyle name="Normal 4 22 13 2" xfId="15587"/>
    <cellStyle name="Normal 4 22 13 2 2" xfId="32287"/>
    <cellStyle name="Normal 4 22 13 3" xfId="15588"/>
    <cellStyle name="Normal 4 22 13 3 2" xfId="32288"/>
    <cellStyle name="Normal 4 22 13 4" xfId="15589"/>
    <cellStyle name="Normal 4 22 13 4 2" xfId="32289"/>
    <cellStyle name="Normal 4 22 13 5" xfId="15590"/>
    <cellStyle name="Normal 4 22 13 5 2" xfId="32290"/>
    <cellStyle name="Normal 4 22 13 6" xfId="32286"/>
    <cellStyle name="Normal 4 22 14" xfId="15591"/>
    <cellStyle name="Normal 4 22 14 2" xfId="15592"/>
    <cellStyle name="Normal 4 22 14 2 2" xfId="32292"/>
    <cellStyle name="Normal 4 22 14 3" xfId="15593"/>
    <cellStyle name="Normal 4 22 14 3 2" xfId="32293"/>
    <cellStyle name="Normal 4 22 14 4" xfId="15594"/>
    <cellStyle name="Normal 4 22 14 4 2" xfId="32294"/>
    <cellStyle name="Normal 4 22 14 5" xfId="15595"/>
    <cellStyle name="Normal 4 22 14 5 2" xfId="32295"/>
    <cellStyle name="Normal 4 22 14 6" xfId="32291"/>
    <cellStyle name="Normal 4 22 15" xfId="15596"/>
    <cellStyle name="Normal 4 22 15 2" xfId="15597"/>
    <cellStyle name="Normal 4 22 15 2 2" xfId="32297"/>
    <cellStyle name="Normal 4 22 15 3" xfId="15598"/>
    <cellStyle name="Normal 4 22 15 3 2" xfId="32298"/>
    <cellStyle name="Normal 4 22 15 4" xfId="15599"/>
    <cellStyle name="Normal 4 22 15 4 2" xfId="32299"/>
    <cellStyle name="Normal 4 22 15 5" xfId="15600"/>
    <cellStyle name="Normal 4 22 15 5 2" xfId="32300"/>
    <cellStyle name="Normal 4 22 15 6" xfId="32296"/>
    <cellStyle name="Normal 4 22 16" xfId="15601"/>
    <cellStyle name="Normal 4 22 16 2" xfId="32301"/>
    <cellStyle name="Normal 4 22 17" xfId="15602"/>
    <cellStyle name="Normal 4 22 17 2" xfId="32302"/>
    <cellStyle name="Normal 4 22 18" xfId="15603"/>
    <cellStyle name="Normal 4 22 18 2" xfId="32303"/>
    <cellStyle name="Normal 4 22 19" xfId="15604"/>
    <cellStyle name="Normal 4 22 19 2" xfId="32304"/>
    <cellStyle name="Normal 4 22 2" xfId="15605"/>
    <cellStyle name="Normal 4 22 2 2" xfId="15606"/>
    <cellStyle name="Normal 4 22 2 2 2" xfId="15607"/>
    <cellStyle name="Normal 4 22 2 2 2 2" xfId="32307"/>
    <cellStyle name="Normal 4 22 2 2 3" xfId="15608"/>
    <cellStyle name="Normal 4 22 2 2 3 2" xfId="32308"/>
    <cellStyle name="Normal 4 22 2 2 4" xfId="15609"/>
    <cellStyle name="Normal 4 22 2 2 4 2" xfId="32309"/>
    <cellStyle name="Normal 4 22 2 2 5" xfId="15610"/>
    <cellStyle name="Normal 4 22 2 2 5 2" xfId="32310"/>
    <cellStyle name="Normal 4 22 2 2 6" xfId="32306"/>
    <cellStyle name="Normal 4 22 2 3" xfId="15611"/>
    <cellStyle name="Normal 4 22 2 3 2" xfId="32311"/>
    <cellStyle name="Normal 4 22 2 4" xfId="15612"/>
    <cellStyle name="Normal 4 22 2 4 2" xfId="32312"/>
    <cellStyle name="Normal 4 22 2 5" xfId="15613"/>
    <cellStyle name="Normal 4 22 2 5 2" xfId="32313"/>
    <cellStyle name="Normal 4 22 2 6" xfId="15614"/>
    <cellStyle name="Normal 4 22 2 6 2" xfId="32314"/>
    <cellStyle name="Normal 4 22 2 7" xfId="32305"/>
    <cellStyle name="Normal 4 22 20" xfId="32270"/>
    <cellStyle name="Normal 4 22 3" xfId="15615"/>
    <cellStyle name="Normal 4 22 3 2" xfId="15616"/>
    <cellStyle name="Normal 4 22 3 2 2" xfId="15617"/>
    <cellStyle name="Normal 4 22 3 2 2 2" xfId="32317"/>
    <cellStyle name="Normal 4 22 3 2 3" xfId="15618"/>
    <cellStyle name="Normal 4 22 3 2 3 2" xfId="32318"/>
    <cellStyle name="Normal 4 22 3 2 4" xfId="15619"/>
    <cellStyle name="Normal 4 22 3 2 4 2" xfId="32319"/>
    <cellStyle name="Normal 4 22 3 2 5" xfId="15620"/>
    <cellStyle name="Normal 4 22 3 2 5 2" xfId="32320"/>
    <cellStyle name="Normal 4 22 3 2 6" xfId="32316"/>
    <cellStyle name="Normal 4 22 3 3" xfId="15621"/>
    <cellStyle name="Normal 4 22 3 3 2" xfId="32321"/>
    <cellStyle name="Normal 4 22 3 4" xfId="15622"/>
    <cellStyle name="Normal 4 22 3 4 2" xfId="32322"/>
    <cellStyle name="Normal 4 22 3 5" xfId="15623"/>
    <cellStyle name="Normal 4 22 3 5 2" xfId="32323"/>
    <cellStyle name="Normal 4 22 3 6" xfId="15624"/>
    <cellStyle name="Normal 4 22 3 6 2" xfId="32324"/>
    <cellStyle name="Normal 4 22 3 7" xfId="32315"/>
    <cellStyle name="Normal 4 22 4" xfId="15625"/>
    <cellStyle name="Normal 4 22 4 2" xfId="15626"/>
    <cellStyle name="Normal 4 22 4 2 2" xfId="15627"/>
    <cellStyle name="Normal 4 22 4 2 2 2" xfId="32327"/>
    <cellStyle name="Normal 4 22 4 2 3" xfId="15628"/>
    <cellStyle name="Normal 4 22 4 2 3 2" xfId="32328"/>
    <cellStyle name="Normal 4 22 4 2 4" xfId="15629"/>
    <cellStyle name="Normal 4 22 4 2 4 2" xfId="32329"/>
    <cellStyle name="Normal 4 22 4 2 5" xfId="15630"/>
    <cellStyle name="Normal 4 22 4 2 5 2" xfId="32330"/>
    <cellStyle name="Normal 4 22 4 2 6" xfId="32326"/>
    <cellStyle name="Normal 4 22 4 3" xfId="15631"/>
    <cellStyle name="Normal 4 22 4 3 2" xfId="32331"/>
    <cellStyle name="Normal 4 22 4 4" xfId="15632"/>
    <cellStyle name="Normal 4 22 4 4 2" xfId="32332"/>
    <cellStyle name="Normal 4 22 4 5" xfId="15633"/>
    <cellStyle name="Normal 4 22 4 5 2" xfId="32333"/>
    <cellStyle name="Normal 4 22 4 6" xfId="15634"/>
    <cellStyle name="Normal 4 22 4 6 2" xfId="32334"/>
    <cellStyle name="Normal 4 22 4 7" xfId="32325"/>
    <cellStyle name="Normal 4 22 5" xfId="15635"/>
    <cellStyle name="Normal 4 22 5 2" xfId="15636"/>
    <cellStyle name="Normal 4 22 5 2 2" xfId="32336"/>
    <cellStyle name="Normal 4 22 5 3" xfId="15637"/>
    <cellStyle name="Normal 4 22 5 3 2" xfId="32337"/>
    <cellStyle name="Normal 4 22 5 4" xfId="15638"/>
    <cellStyle name="Normal 4 22 5 4 2" xfId="32338"/>
    <cellStyle name="Normal 4 22 5 5" xfId="15639"/>
    <cellStyle name="Normal 4 22 5 5 2" xfId="32339"/>
    <cellStyle name="Normal 4 22 5 6" xfId="32335"/>
    <cellStyle name="Normal 4 22 6" xfId="15640"/>
    <cellStyle name="Normal 4 22 6 2" xfId="15641"/>
    <cellStyle name="Normal 4 22 6 2 2" xfId="32341"/>
    <cellStyle name="Normal 4 22 6 3" xfId="15642"/>
    <cellStyle name="Normal 4 22 6 3 2" xfId="32342"/>
    <cellStyle name="Normal 4 22 6 4" xfId="15643"/>
    <cellStyle name="Normal 4 22 6 4 2" xfId="32343"/>
    <cellStyle name="Normal 4 22 6 5" xfId="15644"/>
    <cellStyle name="Normal 4 22 6 5 2" xfId="32344"/>
    <cellStyle name="Normal 4 22 6 6" xfId="32340"/>
    <cellStyle name="Normal 4 22 7" xfId="15645"/>
    <cellStyle name="Normal 4 22 7 2" xfId="15646"/>
    <cellStyle name="Normal 4 22 7 2 2" xfId="32346"/>
    <cellStyle name="Normal 4 22 7 3" xfId="15647"/>
    <cellStyle name="Normal 4 22 7 3 2" xfId="32347"/>
    <cellStyle name="Normal 4 22 7 4" xfId="15648"/>
    <cellStyle name="Normal 4 22 7 4 2" xfId="32348"/>
    <cellStyle name="Normal 4 22 7 5" xfId="15649"/>
    <cellStyle name="Normal 4 22 7 5 2" xfId="32349"/>
    <cellStyle name="Normal 4 22 7 6" xfId="32345"/>
    <cellStyle name="Normal 4 22 8" xfId="15650"/>
    <cellStyle name="Normal 4 22 8 2" xfId="15651"/>
    <cellStyle name="Normal 4 22 8 2 2" xfId="32351"/>
    <cellStyle name="Normal 4 22 8 3" xfId="15652"/>
    <cellStyle name="Normal 4 22 8 3 2" xfId="32352"/>
    <cellStyle name="Normal 4 22 8 4" xfId="15653"/>
    <cellStyle name="Normal 4 22 8 4 2" xfId="32353"/>
    <cellStyle name="Normal 4 22 8 5" xfId="15654"/>
    <cellStyle name="Normal 4 22 8 5 2" xfId="32354"/>
    <cellStyle name="Normal 4 22 8 6" xfId="32350"/>
    <cellStyle name="Normal 4 22 9" xfId="15655"/>
    <cellStyle name="Normal 4 22 9 2" xfId="15656"/>
    <cellStyle name="Normal 4 22 9 2 2" xfId="32356"/>
    <cellStyle name="Normal 4 22 9 3" xfId="15657"/>
    <cellStyle name="Normal 4 22 9 3 2" xfId="32357"/>
    <cellStyle name="Normal 4 22 9 4" xfId="15658"/>
    <cellStyle name="Normal 4 22 9 4 2" xfId="32358"/>
    <cellStyle name="Normal 4 22 9 5" xfId="15659"/>
    <cellStyle name="Normal 4 22 9 5 2" xfId="32359"/>
    <cellStyle name="Normal 4 22 9 6" xfId="32355"/>
    <cellStyle name="Normal 4 23" xfId="15660"/>
    <cellStyle name="Normal 4 23 2" xfId="15661"/>
    <cellStyle name="Normal 4 23 3" xfId="15662"/>
    <cellStyle name="Normal 4 23 3 2" xfId="32361"/>
    <cellStyle name="Normal 4 23 4" xfId="15663"/>
    <cellStyle name="Normal 4 23 4 2" xfId="32362"/>
    <cellStyle name="Normal 4 23 5" xfId="15664"/>
    <cellStyle name="Normal 4 23 5 2" xfId="32363"/>
    <cellStyle name="Normal 4 23 6" xfId="15665"/>
    <cellStyle name="Normal 4 23 6 2" xfId="32364"/>
    <cellStyle name="Normal 4 23 7" xfId="32360"/>
    <cellStyle name="Normal 4 24" xfId="15666"/>
    <cellStyle name="Normal 4 25" xfId="15667"/>
    <cellStyle name="Normal 4 26" xfId="15668"/>
    <cellStyle name="Normal 4 27" xfId="15669"/>
    <cellStyle name="Normal 4 28" xfId="15670"/>
    <cellStyle name="Normal 4 29" xfId="15671"/>
    <cellStyle name="Normal 4 3" xfId="15672"/>
    <cellStyle name="Normal 4 3 10" xfId="15673"/>
    <cellStyle name="Normal 4 3 11" xfId="15674"/>
    <cellStyle name="Normal 4 3 2" xfId="15675"/>
    <cellStyle name="Normal 4 3 2 2" xfId="15676"/>
    <cellStyle name="Normal 4 3 2 3" xfId="15677"/>
    <cellStyle name="Normal 4 3 2 4" xfId="15678"/>
    <cellStyle name="Normal 4 3 2 5" xfId="15679"/>
    <cellStyle name="Normal 4 3 2 6" xfId="15680"/>
    <cellStyle name="Normal 4 3 2 7" xfId="15681"/>
    <cellStyle name="Normal 4 3 2 8" xfId="40721"/>
    <cellStyle name="Normal 4 3 3" xfId="15682"/>
    <cellStyle name="Normal 4 3 3 2" xfId="41035"/>
    <cellStyle name="Normal 4 3 4" xfId="15683"/>
    <cellStyle name="Normal 4 3 4 2" xfId="41032"/>
    <cellStyle name="Normal 4 3 5" xfId="15684"/>
    <cellStyle name="Normal 4 3 6" xfId="15685"/>
    <cellStyle name="Normal 4 3 7" xfId="15686"/>
    <cellStyle name="Normal 4 3 8" xfId="15687"/>
    <cellStyle name="Normal 4 3 9" xfId="15688"/>
    <cellStyle name="Normal 4 30" xfId="15689"/>
    <cellStyle name="Normal 4 31" xfId="15690"/>
    <cellStyle name="Normal 4 32" xfId="15691"/>
    <cellStyle name="Normal 4 33" xfId="15692"/>
    <cellStyle name="Normal 4 34" xfId="15693"/>
    <cellStyle name="Normal 4 35" xfId="15694"/>
    <cellStyle name="Normal 4 36" xfId="15695"/>
    <cellStyle name="Normal 4 37" xfId="15696"/>
    <cellStyle name="Normal 4 38" xfId="15697"/>
    <cellStyle name="Normal 4 39" xfId="15698"/>
    <cellStyle name="Normal 4 39 2" xfId="32365"/>
    <cellStyle name="Normal 4 4" xfId="15699"/>
    <cellStyle name="Normal 4 4 10" xfId="15700"/>
    <cellStyle name="Normal 4 4 10 2" xfId="15701"/>
    <cellStyle name="Normal 4 4 10 3" xfId="15702"/>
    <cellStyle name="Normal 4 4 10 3 2" xfId="32367"/>
    <cellStyle name="Normal 4 4 10 4" xfId="15703"/>
    <cellStyle name="Normal 4 4 10 4 2" xfId="32368"/>
    <cellStyle name="Normal 4 4 10 5" xfId="15704"/>
    <cellStyle name="Normal 4 4 10 5 2" xfId="32369"/>
    <cellStyle name="Normal 4 4 10 6" xfId="15705"/>
    <cellStyle name="Normal 4 4 10 6 2" xfId="32370"/>
    <cellStyle name="Normal 4 4 10 7" xfId="32366"/>
    <cellStyle name="Normal 4 4 11" xfId="15706"/>
    <cellStyle name="Normal 4 4 11 2" xfId="15707"/>
    <cellStyle name="Normal 4 4 11 2 2" xfId="32372"/>
    <cellStyle name="Normal 4 4 11 3" xfId="15708"/>
    <cellStyle name="Normal 4 4 11 3 2" xfId="32373"/>
    <cellStyle name="Normal 4 4 11 4" xfId="15709"/>
    <cellStyle name="Normal 4 4 11 4 2" xfId="32374"/>
    <cellStyle name="Normal 4 4 11 5" xfId="15710"/>
    <cellStyle name="Normal 4 4 11 5 2" xfId="32375"/>
    <cellStyle name="Normal 4 4 11 6" xfId="32371"/>
    <cellStyle name="Normal 4 4 12" xfId="15711"/>
    <cellStyle name="Normal 4 4 12 2" xfId="15712"/>
    <cellStyle name="Normal 4 4 12 2 2" xfId="32377"/>
    <cellStyle name="Normal 4 4 12 3" xfId="15713"/>
    <cellStyle name="Normal 4 4 12 3 2" xfId="32378"/>
    <cellStyle name="Normal 4 4 12 4" xfId="15714"/>
    <cellStyle name="Normal 4 4 12 4 2" xfId="32379"/>
    <cellStyle name="Normal 4 4 12 5" xfId="15715"/>
    <cellStyle name="Normal 4 4 12 5 2" xfId="32380"/>
    <cellStyle name="Normal 4 4 12 6" xfId="32376"/>
    <cellStyle name="Normal 4 4 13" xfId="15716"/>
    <cellStyle name="Normal 4 4 13 2" xfId="15717"/>
    <cellStyle name="Normal 4 4 13 2 2" xfId="32382"/>
    <cellStyle name="Normal 4 4 13 3" xfId="15718"/>
    <cellStyle name="Normal 4 4 13 3 2" xfId="32383"/>
    <cellStyle name="Normal 4 4 13 4" xfId="15719"/>
    <cellStyle name="Normal 4 4 13 4 2" xfId="32384"/>
    <cellStyle name="Normal 4 4 13 5" xfId="15720"/>
    <cellStyle name="Normal 4 4 13 5 2" xfId="32385"/>
    <cellStyle name="Normal 4 4 13 6" xfId="32381"/>
    <cellStyle name="Normal 4 4 14" xfId="15721"/>
    <cellStyle name="Normal 4 4 14 2" xfId="15722"/>
    <cellStyle name="Normal 4 4 14 2 2" xfId="32387"/>
    <cellStyle name="Normal 4 4 14 3" xfId="15723"/>
    <cellStyle name="Normal 4 4 14 3 2" xfId="32388"/>
    <cellStyle name="Normal 4 4 14 4" xfId="15724"/>
    <cellStyle name="Normal 4 4 14 4 2" xfId="32389"/>
    <cellStyle name="Normal 4 4 14 5" xfId="15725"/>
    <cellStyle name="Normal 4 4 14 5 2" xfId="32390"/>
    <cellStyle name="Normal 4 4 14 6" xfId="32386"/>
    <cellStyle name="Normal 4 4 15" xfId="15726"/>
    <cellStyle name="Normal 4 4 15 2" xfId="15727"/>
    <cellStyle name="Normal 4 4 15 2 2" xfId="32392"/>
    <cellStyle name="Normal 4 4 15 3" xfId="15728"/>
    <cellStyle name="Normal 4 4 15 3 2" xfId="32393"/>
    <cellStyle name="Normal 4 4 15 4" xfId="15729"/>
    <cellStyle name="Normal 4 4 15 4 2" xfId="32394"/>
    <cellStyle name="Normal 4 4 15 5" xfId="15730"/>
    <cellStyle name="Normal 4 4 15 5 2" xfId="32395"/>
    <cellStyle name="Normal 4 4 15 6" xfId="32391"/>
    <cellStyle name="Normal 4 4 16" xfId="15731"/>
    <cellStyle name="Normal 4 4 16 2" xfId="15732"/>
    <cellStyle name="Normal 4 4 16 2 2" xfId="32397"/>
    <cellStyle name="Normal 4 4 16 3" xfId="15733"/>
    <cellStyle name="Normal 4 4 16 3 2" xfId="32398"/>
    <cellStyle name="Normal 4 4 16 4" xfId="15734"/>
    <cellStyle name="Normal 4 4 16 4 2" xfId="32399"/>
    <cellStyle name="Normal 4 4 16 5" xfId="15735"/>
    <cellStyle name="Normal 4 4 16 5 2" xfId="32400"/>
    <cellStyle name="Normal 4 4 16 6" xfId="32396"/>
    <cellStyle name="Normal 4 4 17" xfId="15736"/>
    <cellStyle name="Normal 4 4 17 2" xfId="15737"/>
    <cellStyle name="Normal 4 4 17 2 2" xfId="32402"/>
    <cellStyle name="Normal 4 4 17 3" xfId="15738"/>
    <cellStyle name="Normal 4 4 17 3 2" xfId="32403"/>
    <cellStyle name="Normal 4 4 17 4" xfId="15739"/>
    <cellStyle name="Normal 4 4 17 4 2" xfId="32404"/>
    <cellStyle name="Normal 4 4 17 5" xfId="15740"/>
    <cellStyle name="Normal 4 4 17 5 2" xfId="32405"/>
    <cellStyle name="Normal 4 4 17 6" xfId="32401"/>
    <cellStyle name="Normal 4 4 18" xfId="15741"/>
    <cellStyle name="Normal 4 4 18 2" xfId="15742"/>
    <cellStyle name="Normal 4 4 18 2 2" xfId="32407"/>
    <cellStyle name="Normal 4 4 18 3" xfId="15743"/>
    <cellStyle name="Normal 4 4 18 3 2" xfId="32408"/>
    <cellStyle name="Normal 4 4 18 4" xfId="15744"/>
    <cellStyle name="Normal 4 4 18 4 2" xfId="32409"/>
    <cellStyle name="Normal 4 4 18 5" xfId="15745"/>
    <cellStyle name="Normal 4 4 18 5 2" xfId="32410"/>
    <cellStyle name="Normal 4 4 18 6" xfId="32406"/>
    <cellStyle name="Normal 4 4 19" xfId="15746"/>
    <cellStyle name="Normal 4 4 19 2" xfId="15747"/>
    <cellStyle name="Normal 4 4 19 2 2" xfId="32412"/>
    <cellStyle name="Normal 4 4 19 3" xfId="15748"/>
    <cellStyle name="Normal 4 4 19 3 2" xfId="32413"/>
    <cellStyle name="Normal 4 4 19 4" xfId="15749"/>
    <cellStyle name="Normal 4 4 19 4 2" xfId="32414"/>
    <cellStyle name="Normal 4 4 19 5" xfId="15750"/>
    <cellStyle name="Normal 4 4 19 5 2" xfId="32415"/>
    <cellStyle name="Normal 4 4 19 6" xfId="32411"/>
    <cellStyle name="Normal 4 4 2" xfId="15751"/>
    <cellStyle name="Normal 4 4 2 10" xfId="15752"/>
    <cellStyle name="Normal 4 4 2 10 2" xfId="15753"/>
    <cellStyle name="Normal 4 4 2 10 2 2" xfId="32418"/>
    <cellStyle name="Normal 4 4 2 10 3" xfId="15754"/>
    <cellStyle name="Normal 4 4 2 10 3 2" xfId="32419"/>
    <cellStyle name="Normal 4 4 2 10 4" xfId="15755"/>
    <cellStyle name="Normal 4 4 2 10 4 2" xfId="32420"/>
    <cellStyle name="Normal 4 4 2 10 5" xfId="15756"/>
    <cellStyle name="Normal 4 4 2 10 5 2" xfId="32421"/>
    <cellStyle name="Normal 4 4 2 10 6" xfId="32417"/>
    <cellStyle name="Normal 4 4 2 11" xfId="15757"/>
    <cellStyle name="Normal 4 4 2 11 2" xfId="15758"/>
    <cellStyle name="Normal 4 4 2 11 2 2" xfId="32423"/>
    <cellStyle name="Normal 4 4 2 11 3" xfId="15759"/>
    <cellStyle name="Normal 4 4 2 11 3 2" xfId="32424"/>
    <cellStyle name="Normal 4 4 2 11 4" xfId="15760"/>
    <cellStyle name="Normal 4 4 2 11 4 2" xfId="32425"/>
    <cellStyle name="Normal 4 4 2 11 5" xfId="15761"/>
    <cellStyle name="Normal 4 4 2 11 5 2" xfId="32426"/>
    <cellStyle name="Normal 4 4 2 11 6" xfId="32422"/>
    <cellStyle name="Normal 4 4 2 12" xfId="15762"/>
    <cellStyle name="Normal 4 4 2 12 2" xfId="15763"/>
    <cellStyle name="Normal 4 4 2 12 2 2" xfId="32428"/>
    <cellStyle name="Normal 4 4 2 12 3" xfId="15764"/>
    <cellStyle name="Normal 4 4 2 12 3 2" xfId="32429"/>
    <cellStyle name="Normal 4 4 2 12 4" xfId="15765"/>
    <cellStyle name="Normal 4 4 2 12 4 2" xfId="32430"/>
    <cellStyle name="Normal 4 4 2 12 5" xfId="15766"/>
    <cellStyle name="Normal 4 4 2 12 5 2" xfId="32431"/>
    <cellStyle name="Normal 4 4 2 12 6" xfId="32427"/>
    <cellStyle name="Normal 4 4 2 13" xfId="15767"/>
    <cellStyle name="Normal 4 4 2 13 2" xfId="15768"/>
    <cellStyle name="Normal 4 4 2 13 2 2" xfId="32433"/>
    <cellStyle name="Normal 4 4 2 13 3" xfId="15769"/>
    <cellStyle name="Normal 4 4 2 13 3 2" xfId="32434"/>
    <cellStyle name="Normal 4 4 2 13 4" xfId="15770"/>
    <cellStyle name="Normal 4 4 2 13 4 2" xfId="32435"/>
    <cellStyle name="Normal 4 4 2 13 5" xfId="15771"/>
    <cellStyle name="Normal 4 4 2 13 5 2" xfId="32436"/>
    <cellStyle name="Normal 4 4 2 13 6" xfId="32432"/>
    <cellStyle name="Normal 4 4 2 14" xfId="15772"/>
    <cellStyle name="Normal 4 4 2 14 2" xfId="15773"/>
    <cellStyle name="Normal 4 4 2 14 2 2" xfId="32438"/>
    <cellStyle name="Normal 4 4 2 14 3" xfId="15774"/>
    <cellStyle name="Normal 4 4 2 14 3 2" xfId="32439"/>
    <cellStyle name="Normal 4 4 2 14 4" xfId="15775"/>
    <cellStyle name="Normal 4 4 2 14 4 2" xfId="32440"/>
    <cellStyle name="Normal 4 4 2 14 5" xfId="15776"/>
    <cellStyle name="Normal 4 4 2 14 5 2" xfId="32441"/>
    <cellStyle name="Normal 4 4 2 14 6" xfId="32437"/>
    <cellStyle name="Normal 4 4 2 15" xfId="15777"/>
    <cellStyle name="Normal 4 4 2 15 2" xfId="15778"/>
    <cellStyle name="Normal 4 4 2 15 2 2" xfId="32443"/>
    <cellStyle name="Normal 4 4 2 15 3" xfId="15779"/>
    <cellStyle name="Normal 4 4 2 15 3 2" xfId="32444"/>
    <cellStyle name="Normal 4 4 2 15 4" xfId="15780"/>
    <cellStyle name="Normal 4 4 2 15 4 2" xfId="32445"/>
    <cellStyle name="Normal 4 4 2 15 5" xfId="15781"/>
    <cellStyle name="Normal 4 4 2 15 5 2" xfId="32446"/>
    <cellStyle name="Normal 4 4 2 15 6" xfId="32442"/>
    <cellStyle name="Normal 4 4 2 16" xfId="15782"/>
    <cellStyle name="Normal 4 4 2 16 2" xfId="15783"/>
    <cellStyle name="Normal 4 4 2 16 2 2" xfId="32448"/>
    <cellStyle name="Normal 4 4 2 16 3" xfId="15784"/>
    <cellStyle name="Normal 4 4 2 16 3 2" xfId="32449"/>
    <cellStyle name="Normal 4 4 2 16 4" xfId="15785"/>
    <cellStyle name="Normal 4 4 2 16 4 2" xfId="32450"/>
    <cellStyle name="Normal 4 4 2 16 5" xfId="15786"/>
    <cellStyle name="Normal 4 4 2 16 5 2" xfId="32451"/>
    <cellStyle name="Normal 4 4 2 16 6" xfId="32447"/>
    <cellStyle name="Normal 4 4 2 17" xfId="15787"/>
    <cellStyle name="Normal 4 4 2 17 2" xfId="15788"/>
    <cellStyle name="Normal 4 4 2 17 2 2" xfId="32453"/>
    <cellStyle name="Normal 4 4 2 17 3" xfId="15789"/>
    <cellStyle name="Normal 4 4 2 17 3 2" xfId="32454"/>
    <cellStyle name="Normal 4 4 2 17 4" xfId="15790"/>
    <cellStyle name="Normal 4 4 2 17 4 2" xfId="32455"/>
    <cellStyle name="Normal 4 4 2 17 5" xfId="15791"/>
    <cellStyle name="Normal 4 4 2 17 5 2" xfId="32456"/>
    <cellStyle name="Normal 4 4 2 17 6" xfId="32452"/>
    <cellStyle name="Normal 4 4 2 18" xfId="15792"/>
    <cellStyle name="Normal 4 4 2 18 2" xfId="15793"/>
    <cellStyle name="Normal 4 4 2 18 2 2" xfId="32458"/>
    <cellStyle name="Normal 4 4 2 18 3" xfId="15794"/>
    <cellStyle name="Normal 4 4 2 18 3 2" xfId="32459"/>
    <cellStyle name="Normal 4 4 2 18 4" xfId="15795"/>
    <cellStyle name="Normal 4 4 2 18 4 2" xfId="32460"/>
    <cellStyle name="Normal 4 4 2 18 5" xfId="15796"/>
    <cellStyle name="Normal 4 4 2 18 5 2" xfId="32461"/>
    <cellStyle name="Normal 4 4 2 18 6" xfId="32457"/>
    <cellStyle name="Normal 4 4 2 19" xfId="15797"/>
    <cellStyle name="Normal 4 4 2 19 2" xfId="15798"/>
    <cellStyle name="Normal 4 4 2 19 2 2" xfId="32463"/>
    <cellStyle name="Normal 4 4 2 19 3" xfId="15799"/>
    <cellStyle name="Normal 4 4 2 19 3 2" xfId="32464"/>
    <cellStyle name="Normal 4 4 2 19 4" xfId="15800"/>
    <cellStyle name="Normal 4 4 2 19 4 2" xfId="32465"/>
    <cellStyle name="Normal 4 4 2 19 5" xfId="15801"/>
    <cellStyle name="Normal 4 4 2 19 5 2" xfId="32466"/>
    <cellStyle name="Normal 4 4 2 19 6" xfId="32462"/>
    <cellStyle name="Normal 4 4 2 2" xfId="15802"/>
    <cellStyle name="Normal 4 4 2 2 10" xfId="15803"/>
    <cellStyle name="Normal 4 4 2 2 10 2" xfId="15804"/>
    <cellStyle name="Normal 4 4 2 2 10 2 2" xfId="32469"/>
    <cellStyle name="Normal 4 4 2 2 10 3" xfId="15805"/>
    <cellStyle name="Normal 4 4 2 2 10 3 2" xfId="32470"/>
    <cellStyle name="Normal 4 4 2 2 10 4" xfId="15806"/>
    <cellStyle name="Normal 4 4 2 2 10 4 2" xfId="32471"/>
    <cellStyle name="Normal 4 4 2 2 10 5" xfId="15807"/>
    <cellStyle name="Normal 4 4 2 2 10 5 2" xfId="32472"/>
    <cellStyle name="Normal 4 4 2 2 10 6" xfId="32468"/>
    <cellStyle name="Normal 4 4 2 2 11" xfId="15808"/>
    <cellStyle name="Normal 4 4 2 2 11 2" xfId="15809"/>
    <cellStyle name="Normal 4 4 2 2 11 2 2" xfId="32474"/>
    <cellStyle name="Normal 4 4 2 2 11 3" xfId="15810"/>
    <cellStyle name="Normal 4 4 2 2 11 3 2" xfId="32475"/>
    <cellStyle name="Normal 4 4 2 2 11 4" xfId="15811"/>
    <cellStyle name="Normal 4 4 2 2 11 4 2" xfId="32476"/>
    <cellStyle name="Normal 4 4 2 2 11 5" xfId="15812"/>
    <cellStyle name="Normal 4 4 2 2 11 5 2" xfId="32477"/>
    <cellStyle name="Normal 4 4 2 2 11 6" xfId="32473"/>
    <cellStyle name="Normal 4 4 2 2 12" xfId="15813"/>
    <cellStyle name="Normal 4 4 2 2 12 2" xfId="15814"/>
    <cellStyle name="Normal 4 4 2 2 12 2 2" xfId="32479"/>
    <cellStyle name="Normal 4 4 2 2 12 3" xfId="15815"/>
    <cellStyle name="Normal 4 4 2 2 12 3 2" xfId="32480"/>
    <cellStyle name="Normal 4 4 2 2 12 4" xfId="15816"/>
    <cellStyle name="Normal 4 4 2 2 12 4 2" xfId="32481"/>
    <cellStyle name="Normal 4 4 2 2 12 5" xfId="15817"/>
    <cellStyle name="Normal 4 4 2 2 12 5 2" xfId="32482"/>
    <cellStyle name="Normal 4 4 2 2 12 6" xfId="32478"/>
    <cellStyle name="Normal 4 4 2 2 13" xfId="15818"/>
    <cellStyle name="Normal 4 4 2 2 13 2" xfId="15819"/>
    <cellStyle name="Normal 4 4 2 2 13 2 2" xfId="32484"/>
    <cellStyle name="Normal 4 4 2 2 13 3" xfId="15820"/>
    <cellStyle name="Normal 4 4 2 2 13 3 2" xfId="32485"/>
    <cellStyle name="Normal 4 4 2 2 13 4" xfId="15821"/>
    <cellStyle name="Normal 4 4 2 2 13 4 2" xfId="32486"/>
    <cellStyle name="Normal 4 4 2 2 13 5" xfId="15822"/>
    <cellStyle name="Normal 4 4 2 2 13 5 2" xfId="32487"/>
    <cellStyle name="Normal 4 4 2 2 13 6" xfId="32483"/>
    <cellStyle name="Normal 4 4 2 2 14" xfId="15823"/>
    <cellStyle name="Normal 4 4 2 2 14 2" xfId="15824"/>
    <cellStyle name="Normal 4 4 2 2 14 2 2" xfId="32489"/>
    <cellStyle name="Normal 4 4 2 2 14 3" xfId="15825"/>
    <cellStyle name="Normal 4 4 2 2 14 3 2" xfId="32490"/>
    <cellStyle name="Normal 4 4 2 2 14 4" xfId="15826"/>
    <cellStyle name="Normal 4 4 2 2 14 4 2" xfId="32491"/>
    <cellStyle name="Normal 4 4 2 2 14 5" xfId="15827"/>
    <cellStyle name="Normal 4 4 2 2 14 5 2" xfId="32492"/>
    <cellStyle name="Normal 4 4 2 2 14 6" xfId="32488"/>
    <cellStyle name="Normal 4 4 2 2 15" xfId="15828"/>
    <cellStyle name="Normal 4 4 2 2 15 2" xfId="15829"/>
    <cellStyle name="Normal 4 4 2 2 15 2 2" xfId="32494"/>
    <cellStyle name="Normal 4 4 2 2 15 3" xfId="15830"/>
    <cellStyle name="Normal 4 4 2 2 15 3 2" xfId="32495"/>
    <cellStyle name="Normal 4 4 2 2 15 4" xfId="15831"/>
    <cellStyle name="Normal 4 4 2 2 15 4 2" xfId="32496"/>
    <cellStyle name="Normal 4 4 2 2 15 5" xfId="15832"/>
    <cellStyle name="Normal 4 4 2 2 15 5 2" xfId="32497"/>
    <cellStyle name="Normal 4 4 2 2 15 6" xfId="32493"/>
    <cellStyle name="Normal 4 4 2 2 16" xfId="15833"/>
    <cellStyle name="Normal 4 4 2 2 16 2" xfId="15834"/>
    <cellStyle name="Normal 4 4 2 2 16 2 2" xfId="32499"/>
    <cellStyle name="Normal 4 4 2 2 16 3" xfId="15835"/>
    <cellStyle name="Normal 4 4 2 2 16 3 2" xfId="32500"/>
    <cellStyle name="Normal 4 4 2 2 16 4" xfId="15836"/>
    <cellStyle name="Normal 4 4 2 2 16 4 2" xfId="32501"/>
    <cellStyle name="Normal 4 4 2 2 16 5" xfId="15837"/>
    <cellStyle name="Normal 4 4 2 2 16 5 2" xfId="32502"/>
    <cellStyle name="Normal 4 4 2 2 16 6" xfId="32498"/>
    <cellStyle name="Normal 4 4 2 2 17" xfId="15838"/>
    <cellStyle name="Normal 4 4 2 2 17 2" xfId="32503"/>
    <cellStyle name="Normal 4 4 2 2 18" xfId="15839"/>
    <cellStyle name="Normal 4 4 2 2 18 2" xfId="32504"/>
    <cellStyle name="Normal 4 4 2 2 19" xfId="15840"/>
    <cellStyle name="Normal 4 4 2 2 19 2" xfId="32505"/>
    <cellStyle name="Normal 4 4 2 2 2" xfId="15841"/>
    <cellStyle name="Normal 4 4 2 2 2 10" xfId="15842"/>
    <cellStyle name="Normal 4 4 2 2 2 10 2" xfId="32507"/>
    <cellStyle name="Normal 4 4 2 2 2 11" xfId="15843"/>
    <cellStyle name="Normal 4 4 2 2 2 11 2" xfId="32508"/>
    <cellStyle name="Normal 4 4 2 2 2 12" xfId="32506"/>
    <cellStyle name="Normal 4 4 2 2 2 2" xfId="15844"/>
    <cellStyle name="Normal 4 4 2 2 2 2 2" xfId="15845"/>
    <cellStyle name="Normal 4 4 2 2 2 2 2 2" xfId="32510"/>
    <cellStyle name="Normal 4 4 2 2 2 2 3" xfId="15846"/>
    <cellStyle name="Normal 4 4 2 2 2 2 3 2" xfId="32511"/>
    <cellStyle name="Normal 4 4 2 2 2 2 4" xfId="15847"/>
    <cellStyle name="Normal 4 4 2 2 2 2 4 2" xfId="32512"/>
    <cellStyle name="Normal 4 4 2 2 2 2 5" xfId="15848"/>
    <cellStyle name="Normal 4 4 2 2 2 2 5 2" xfId="32513"/>
    <cellStyle name="Normal 4 4 2 2 2 2 6" xfId="32509"/>
    <cellStyle name="Normal 4 4 2 2 2 3" xfId="15849"/>
    <cellStyle name="Normal 4 4 2 2 2 3 2" xfId="15850"/>
    <cellStyle name="Normal 4 4 2 2 2 3 2 2" xfId="32515"/>
    <cellStyle name="Normal 4 4 2 2 2 3 3" xfId="15851"/>
    <cellStyle name="Normal 4 4 2 2 2 3 3 2" xfId="32516"/>
    <cellStyle name="Normal 4 4 2 2 2 3 4" xfId="15852"/>
    <cellStyle name="Normal 4 4 2 2 2 3 4 2" xfId="32517"/>
    <cellStyle name="Normal 4 4 2 2 2 3 5" xfId="15853"/>
    <cellStyle name="Normal 4 4 2 2 2 3 5 2" xfId="32518"/>
    <cellStyle name="Normal 4 4 2 2 2 3 6" xfId="32514"/>
    <cellStyle name="Normal 4 4 2 2 2 4" xfId="15854"/>
    <cellStyle name="Normal 4 4 2 2 2 4 2" xfId="15855"/>
    <cellStyle name="Normal 4 4 2 2 2 4 2 2" xfId="32520"/>
    <cellStyle name="Normal 4 4 2 2 2 4 3" xfId="15856"/>
    <cellStyle name="Normal 4 4 2 2 2 4 3 2" xfId="32521"/>
    <cellStyle name="Normal 4 4 2 2 2 4 4" xfId="15857"/>
    <cellStyle name="Normal 4 4 2 2 2 4 4 2" xfId="32522"/>
    <cellStyle name="Normal 4 4 2 2 2 4 5" xfId="15858"/>
    <cellStyle name="Normal 4 4 2 2 2 4 5 2" xfId="32523"/>
    <cellStyle name="Normal 4 4 2 2 2 4 6" xfId="32519"/>
    <cellStyle name="Normal 4 4 2 2 2 5" xfId="15859"/>
    <cellStyle name="Normal 4 4 2 2 2 5 2" xfId="15860"/>
    <cellStyle name="Normal 4 4 2 2 2 5 2 2" xfId="32525"/>
    <cellStyle name="Normal 4 4 2 2 2 5 3" xfId="15861"/>
    <cellStyle name="Normal 4 4 2 2 2 5 3 2" xfId="32526"/>
    <cellStyle name="Normal 4 4 2 2 2 5 4" xfId="15862"/>
    <cellStyle name="Normal 4 4 2 2 2 5 4 2" xfId="32527"/>
    <cellStyle name="Normal 4 4 2 2 2 5 5" xfId="15863"/>
    <cellStyle name="Normal 4 4 2 2 2 5 5 2" xfId="32528"/>
    <cellStyle name="Normal 4 4 2 2 2 5 6" xfId="32524"/>
    <cellStyle name="Normal 4 4 2 2 2 6" xfId="15864"/>
    <cellStyle name="Normal 4 4 2 2 2 6 2" xfId="15865"/>
    <cellStyle name="Normal 4 4 2 2 2 6 2 2" xfId="32530"/>
    <cellStyle name="Normal 4 4 2 2 2 6 3" xfId="15866"/>
    <cellStyle name="Normal 4 4 2 2 2 6 3 2" xfId="32531"/>
    <cellStyle name="Normal 4 4 2 2 2 6 4" xfId="15867"/>
    <cellStyle name="Normal 4 4 2 2 2 6 4 2" xfId="32532"/>
    <cellStyle name="Normal 4 4 2 2 2 6 5" xfId="15868"/>
    <cellStyle name="Normal 4 4 2 2 2 6 5 2" xfId="32533"/>
    <cellStyle name="Normal 4 4 2 2 2 6 6" xfId="32529"/>
    <cellStyle name="Normal 4 4 2 2 2 7" xfId="15869"/>
    <cellStyle name="Normal 4 4 2 2 2 7 2" xfId="15870"/>
    <cellStyle name="Normal 4 4 2 2 2 7 2 2" xfId="32535"/>
    <cellStyle name="Normal 4 4 2 2 2 7 3" xfId="15871"/>
    <cellStyle name="Normal 4 4 2 2 2 7 3 2" xfId="32536"/>
    <cellStyle name="Normal 4 4 2 2 2 7 4" xfId="15872"/>
    <cellStyle name="Normal 4 4 2 2 2 7 4 2" xfId="32537"/>
    <cellStyle name="Normal 4 4 2 2 2 7 5" xfId="15873"/>
    <cellStyle name="Normal 4 4 2 2 2 7 5 2" xfId="32538"/>
    <cellStyle name="Normal 4 4 2 2 2 7 6" xfId="32534"/>
    <cellStyle name="Normal 4 4 2 2 2 8" xfId="15874"/>
    <cellStyle name="Normal 4 4 2 2 2 8 2" xfId="32539"/>
    <cellStyle name="Normal 4 4 2 2 2 9" xfId="15875"/>
    <cellStyle name="Normal 4 4 2 2 2 9 2" xfId="32540"/>
    <cellStyle name="Normal 4 4 2 2 20" xfId="15876"/>
    <cellStyle name="Normal 4 4 2 2 20 2" xfId="32541"/>
    <cellStyle name="Normal 4 4 2 2 21" xfId="40724"/>
    <cellStyle name="Normal 4 4 2 2 22" xfId="32467"/>
    <cellStyle name="Normal 4 4 2 2 3" xfId="15877"/>
    <cellStyle name="Normal 4 4 2 2 3 2" xfId="15878"/>
    <cellStyle name="Normal 4 4 2 2 3 2 2" xfId="15879"/>
    <cellStyle name="Normal 4 4 2 2 3 2 2 2" xfId="32544"/>
    <cellStyle name="Normal 4 4 2 2 3 2 3" xfId="15880"/>
    <cellStyle name="Normal 4 4 2 2 3 2 3 2" xfId="32545"/>
    <cellStyle name="Normal 4 4 2 2 3 2 4" xfId="15881"/>
    <cellStyle name="Normal 4 4 2 2 3 2 4 2" xfId="32546"/>
    <cellStyle name="Normal 4 4 2 2 3 2 5" xfId="15882"/>
    <cellStyle name="Normal 4 4 2 2 3 2 5 2" xfId="32547"/>
    <cellStyle name="Normal 4 4 2 2 3 2 6" xfId="32543"/>
    <cellStyle name="Normal 4 4 2 2 3 3" xfId="15883"/>
    <cellStyle name="Normal 4 4 2 2 3 3 2" xfId="32548"/>
    <cellStyle name="Normal 4 4 2 2 3 4" xfId="15884"/>
    <cellStyle name="Normal 4 4 2 2 3 4 2" xfId="32549"/>
    <cellStyle name="Normal 4 4 2 2 3 5" xfId="15885"/>
    <cellStyle name="Normal 4 4 2 2 3 5 2" xfId="32550"/>
    <cellStyle name="Normal 4 4 2 2 3 6" xfId="15886"/>
    <cellStyle name="Normal 4 4 2 2 3 6 2" xfId="32551"/>
    <cellStyle name="Normal 4 4 2 2 3 7" xfId="32542"/>
    <cellStyle name="Normal 4 4 2 2 4" xfId="15887"/>
    <cellStyle name="Normal 4 4 2 2 4 2" xfId="15888"/>
    <cellStyle name="Normal 4 4 2 2 4 2 2" xfId="15889"/>
    <cellStyle name="Normal 4 4 2 2 4 2 2 2" xfId="32554"/>
    <cellStyle name="Normal 4 4 2 2 4 2 3" xfId="15890"/>
    <cellStyle name="Normal 4 4 2 2 4 2 3 2" xfId="32555"/>
    <cellStyle name="Normal 4 4 2 2 4 2 4" xfId="15891"/>
    <cellStyle name="Normal 4 4 2 2 4 2 4 2" xfId="32556"/>
    <cellStyle name="Normal 4 4 2 2 4 2 5" xfId="15892"/>
    <cellStyle name="Normal 4 4 2 2 4 2 5 2" xfId="32557"/>
    <cellStyle name="Normal 4 4 2 2 4 2 6" xfId="32553"/>
    <cellStyle name="Normal 4 4 2 2 4 3" xfId="15893"/>
    <cellStyle name="Normal 4 4 2 2 4 3 2" xfId="32558"/>
    <cellStyle name="Normal 4 4 2 2 4 4" xfId="15894"/>
    <cellStyle name="Normal 4 4 2 2 4 4 2" xfId="32559"/>
    <cellStyle name="Normal 4 4 2 2 4 5" xfId="15895"/>
    <cellStyle name="Normal 4 4 2 2 4 5 2" xfId="32560"/>
    <cellStyle name="Normal 4 4 2 2 4 6" xfId="15896"/>
    <cellStyle name="Normal 4 4 2 2 4 6 2" xfId="32561"/>
    <cellStyle name="Normal 4 4 2 2 4 7" xfId="32552"/>
    <cellStyle name="Normal 4 4 2 2 5" xfId="15897"/>
    <cellStyle name="Normal 4 4 2 2 5 2" xfId="15898"/>
    <cellStyle name="Normal 4 4 2 2 5 2 2" xfId="32563"/>
    <cellStyle name="Normal 4 4 2 2 5 3" xfId="15899"/>
    <cellStyle name="Normal 4 4 2 2 5 3 2" xfId="32564"/>
    <cellStyle name="Normal 4 4 2 2 5 4" xfId="15900"/>
    <cellStyle name="Normal 4 4 2 2 5 4 2" xfId="32565"/>
    <cellStyle name="Normal 4 4 2 2 5 5" xfId="15901"/>
    <cellStyle name="Normal 4 4 2 2 5 5 2" xfId="32566"/>
    <cellStyle name="Normal 4 4 2 2 5 6" xfId="32562"/>
    <cellStyle name="Normal 4 4 2 2 6" xfId="15902"/>
    <cellStyle name="Normal 4 4 2 2 6 2" xfId="15903"/>
    <cellStyle name="Normal 4 4 2 2 6 2 2" xfId="32568"/>
    <cellStyle name="Normal 4 4 2 2 6 3" xfId="15904"/>
    <cellStyle name="Normal 4 4 2 2 6 3 2" xfId="32569"/>
    <cellStyle name="Normal 4 4 2 2 6 4" xfId="15905"/>
    <cellStyle name="Normal 4 4 2 2 6 4 2" xfId="32570"/>
    <cellStyle name="Normal 4 4 2 2 6 5" xfId="15906"/>
    <cellStyle name="Normal 4 4 2 2 6 5 2" xfId="32571"/>
    <cellStyle name="Normal 4 4 2 2 6 6" xfId="32567"/>
    <cellStyle name="Normal 4 4 2 2 7" xfId="15907"/>
    <cellStyle name="Normal 4 4 2 2 7 2" xfId="15908"/>
    <cellStyle name="Normal 4 4 2 2 7 2 2" xfId="32573"/>
    <cellStyle name="Normal 4 4 2 2 7 3" xfId="15909"/>
    <cellStyle name="Normal 4 4 2 2 7 3 2" xfId="32574"/>
    <cellStyle name="Normal 4 4 2 2 7 4" xfId="15910"/>
    <cellStyle name="Normal 4 4 2 2 7 4 2" xfId="32575"/>
    <cellStyle name="Normal 4 4 2 2 7 5" xfId="15911"/>
    <cellStyle name="Normal 4 4 2 2 7 5 2" xfId="32576"/>
    <cellStyle name="Normal 4 4 2 2 7 6" xfId="32572"/>
    <cellStyle name="Normal 4 4 2 2 8" xfId="15912"/>
    <cellStyle name="Normal 4 4 2 2 8 2" xfId="15913"/>
    <cellStyle name="Normal 4 4 2 2 8 2 2" xfId="32578"/>
    <cellStyle name="Normal 4 4 2 2 8 3" xfId="15914"/>
    <cellStyle name="Normal 4 4 2 2 8 3 2" xfId="32579"/>
    <cellStyle name="Normal 4 4 2 2 8 4" xfId="15915"/>
    <cellStyle name="Normal 4 4 2 2 8 4 2" xfId="32580"/>
    <cellStyle name="Normal 4 4 2 2 8 5" xfId="15916"/>
    <cellStyle name="Normal 4 4 2 2 8 5 2" xfId="32581"/>
    <cellStyle name="Normal 4 4 2 2 8 6" xfId="32577"/>
    <cellStyle name="Normal 4 4 2 2 9" xfId="15917"/>
    <cellStyle name="Normal 4 4 2 2 9 2" xfId="15918"/>
    <cellStyle name="Normal 4 4 2 2 9 2 2" xfId="32583"/>
    <cellStyle name="Normal 4 4 2 2 9 3" xfId="15919"/>
    <cellStyle name="Normal 4 4 2 2 9 3 2" xfId="32584"/>
    <cellStyle name="Normal 4 4 2 2 9 4" xfId="15920"/>
    <cellStyle name="Normal 4 4 2 2 9 4 2" xfId="32585"/>
    <cellStyle name="Normal 4 4 2 2 9 5" xfId="15921"/>
    <cellStyle name="Normal 4 4 2 2 9 5 2" xfId="32586"/>
    <cellStyle name="Normal 4 4 2 2 9 6" xfId="32582"/>
    <cellStyle name="Normal 4 4 2 20" xfId="15922"/>
    <cellStyle name="Normal 4 4 2 20 2" xfId="32587"/>
    <cellStyle name="Normal 4 4 2 21" xfId="15923"/>
    <cellStyle name="Normal 4 4 2 21 2" xfId="32588"/>
    <cellStyle name="Normal 4 4 2 22" xfId="15924"/>
    <cellStyle name="Normal 4 4 2 22 2" xfId="32589"/>
    <cellStyle name="Normal 4 4 2 23" xfId="15925"/>
    <cellStyle name="Normal 4 4 2 23 2" xfId="32590"/>
    <cellStyle name="Normal 4 4 2 24" xfId="40723"/>
    <cellStyle name="Normal 4 4 2 25" xfId="32416"/>
    <cellStyle name="Normal 4 4 2 3" xfId="15926"/>
    <cellStyle name="Normal 4 4 2 3 10" xfId="15927"/>
    <cellStyle name="Normal 4 4 2 3 10 2" xfId="15928"/>
    <cellStyle name="Normal 4 4 2 3 10 2 2" xfId="32593"/>
    <cellStyle name="Normal 4 4 2 3 10 3" xfId="15929"/>
    <cellStyle name="Normal 4 4 2 3 10 3 2" xfId="32594"/>
    <cellStyle name="Normal 4 4 2 3 10 4" xfId="15930"/>
    <cellStyle name="Normal 4 4 2 3 10 4 2" xfId="32595"/>
    <cellStyle name="Normal 4 4 2 3 10 5" xfId="15931"/>
    <cellStyle name="Normal 4 4 2 3 10 5 2" xfId="32596"/>
    <cellStyle name="Normal 4 4 2 3 10 6" xfId="32592"/>
    <cellStyle name="Normal 4 4 2 3 11" xfId="15932"/>
    <cellStyle name="Normal 4 4 2 3 11 2" xfId="15933"/>
    <cellStyle name="Normal 4 4 2 3 11 2 2" xfId="32598"/>
    <cellStyle name="Normal 4 4 2 3 11 3" xfId="15934"/>
    <cellStyle name="Normal 4 4 2 3 11 3 2" xfId="32599"/>
    <cellStyle name="Normal 4 4 2 3 11 4" xfId="15935"/>
    <cellStyle name="Normal 4 4 2 3 11 4 2" xfId="32600"/>
    <cellStyle name="Normal 4 4 2 3 11 5" xfId="15936"/>
    <cellStyle name="Normal 4 4 2 3 11 5 2" xfId="32601"/>
    <cellStyle name="Normal 4 4 2 3 11 6" xfId="32597"/>
    <cellStyle name="Normal 4 4 2 3 12" xfId="15937"/>
    <cellStyle name="Normal 4 4 2 3 12 2" xfId="15938"/>
    <cellStyle name="Normal 4 4 2 3 12 2 2" xfId="32603"/>
    <cellStyle name="Normal 4 4 2 3 12 3" xfId="15939"/>
    <cellStyle name="Normal 4 4 2 3 12 3 2" xfId="32604"/>
    <cellStyle name="Normal 4 4 2 3 12 4" xfId="15940"/>
    <cellStyle name="Normal 4 4 2 3 12 4 2" xfId="32605"/>
    <cellStyle name="Normal 4 4 2 3 12 5" xfId="15941"/>
    <cellStyle name="Normal 4 4 2 3 12 5 2" xfId="32606"/>
    <cellStyle name="Normal 4 4 2 3 12 6" xfId="32602"/>
    <cellStyle name="Normal 4 4 2 3 13" xfId="15942"/>
    <cellStyle name="Normal 4 4 2 3 13 2" xfId="15943"/>
    <cellStyle name="Normal 4 4 2 3 13 2 2" xfId="32608"/>
    <cellStyle name="Normal 4 4 2 3 13 3" xfId="15944"/>
    <cellStyle name="Normal 4 4 2 3 13 3 2" xfId="32609"/>
    <cellStyle name="Normal 4 4 2 3 13 4" xfId="15945"/>
    <cellStyle name="Normal 4 4 2 3 13 4 2" xfId="32610"/>
    <cellStyle name="Normal 4 4 2 3 13 5" xfId="15946"/>
    <cellStyle name="Normal 4 4 2 3 13 5 2" xfId="32611"/>
    <cellStyle name="Normal 4 4 2 3 13 6" xfId="32607"/>
    <cellStyle name="Normal 4 4 2 3 14" xfId="15947"/>
    <cellStyle name="Normal 4 4 2 3 14 2" xfId="15948"/>
    <cellStyle name="Normal 4 4 2 3 14 2 2" xfId="32613"/>
    <cellStyle name="Normal 4 4 2 3 14 3" xfId="15949"/>
    <cellStyle name="Normal 4 4 2 3 14 3 2" xfId="32614"/>
    <cellStyle name="Normal 4 4 2 3 14 4" xfId="15950"/>
    <cellStyle name="Normal 4 4 2 3 14 4 2" xfId="32615"/>
    <cellStyle name="Normal 4 4 2 3 14 5" xfId="15951"/>
    <cellStyle name="Normal 4 4 2 3 14 5 2" xfId="32616"/>
    <cellStyle name="Normal 4 4 2 3 14 6" xfId="32612"/>
    <cellStyle name="Normal 4 4 2 3 15" xfId="15952"/>
    <cellStyle name="Normal 4 4 2 3 15 2" xfId="15953"/>
    <cellStyle name="Normal 4 4 2 3 15 2 2" xfId="32618"/>
    <cellStyle name="Normal 4 4 2 3 15 3" xfId="15954"/>
    <cellStyle name="Normal 4 4 2 3 15 3 2" xfId="32619"/>
    <cellStyle name="Normal 4 4 2 3 15 4" xfId="15955"/>
    <cellStyle name="Normal 4 4 2 3 15 4 2" xfId="32620"/>
    <cellStyle name="Normal 4 4 2 3 15 5" xfId="15956"/>
    <cellStyle name="Normal 4 4 2 3 15 5 2" xfId="32621"/>
    <cellStyle name="Normal 4 4 2 3 15 6" xfId="32617"/>
    <cellStyle name="Normal 4 4 2 3 16" xfId="15957"/>
    <cellStyle name="Normal 4 4 2 3 16 2" xfId="15958"/>
    <cellStyle name="Normal 4 4 2 3 16 2 2" xfId="32623"/>
    <cellStyle name="Normal 4 4 2 3 16 3" xfId="15959"/>
    <cellStyle name="Normal 4 4 2 3 16 3 2" xfId="32624"/>
    <cellStyle name="Normal 4 4 2 3 16 4" xfId="15960"/>
    <cellStyle name="Normal 4 4 2 3 16 4 2" xfId="32625"/>
    <cellStyle name="Normal 4 4 2 3 16 5" xfId="15961"/>
    <cellStyle name="Normal 4 4 2 3 16 5 2" xfId="32626"/>
    <cellStyle name="Normal 4 4 2 3 16 6" xfId="32622"/>
    <cellStyle name="Normal 4 4 2 3 17" xfId="15962"/>
    <cellStyle name="Normal 4 4 2 3 17 2" xfId="32627"/>
    <cellStyle name="Normal 4 4 2 3 18" xfId="15963"/>
    <cellStyle name="Normal 4 4 2 3 18 2" xfId="32628"/>
    <cellStyle name="Normal 4 4 2 3 19" xfId="15964"/>
    <cellStyle name="Normal 4 4 2 3 19 2" xfId="32629"/>
    <cellStyle name="Normal 4 4 2 3 2" xfId="15965"/>
    <cellStyle name="Normal 4 4 2 3 2 10" xfId="15966"/>
    <cellStyle name="Normal 4 4 2 3 2 10 2" xfId="32631"/>
    <cellStyle name="Normal 4 4 2 3 2 11" xfId="15967"/>
    <cellStyle name="Normal 4 4 2 3 2 11 2" xfId="32632"/>
    <cellStyle name="Normal 4 4 2 3 2 12" xfId="32630"/>
    <cellStyle name="Normal 4 4 2 3 2 2" xfId="15968"/>
    <cellStyle name="Normal 4 4 2 3 2 2 2" xfId="15969"/>
    <cellStyle name="Normal 4 4 2 3 2 2 2 2" xfId="32634"/>
    <cellStyle name="Normal 4 4 2 3 2 2 3" xfId="15970"/>
    <cellStyle name="Normal 4 4 2 3 2 2 3 2" xfId="32635"/>
    <cellStyle name="Normal 4 4 2 3 2 2 4" xfId="15971"/>
    <cellStyle name="Normal 4 4 2 3 2 2 4 2" xfId="32636"/>
    <cellStyle name="Normal 4 4 2 3 2 2 5" xfId="15972"/>
    <cellStyle name="Normal 4 4 2 3 2 2 5 2" xfId="32637"/>
    <cellStyle name="Normal 4 4 2 3 2 2 6" xfId="32633"/>
    <cellStyle name="Normal 4 4 2 3 2 3" xfId="15973"/>
    <cellStyle name="Normal 4 4 2 3 2 3 2" xfId="15974"/>
    <cellStyle name="Normal 4 4 2 3 2 3 2 2" xfId="32639"/>
    <cellStyle name="Normal 4 4 2 3 2 3 3" xfId="15975"/>
    <cellStyle name="Normal 4 4 2 3 2 3 3 2" xfId="32640"/>
    <cellStyle name="Normal 4 4 2 3 2 3 4" xfId="15976"/>
    <cellStyle name="Normal 4 4 2 3 2 3 4 2" xfId="32641"/>
    <cellStyle name="Normal 4 4 2 3 2 3 5" xfId="15977"/>
    <cellStyle name="Normal 4 4 2 3 2 3 5 2" xfId="32642"/>
    <cellStyle name="Normal 4 4 2 3 2 3 6" xfId="32638"/>
    <cellStyle name="Normal 4 4 2 3 2 4" xfId="15978"/>
    <cellStyle name="Normal 4 4 2 3 2 4 2" xfId="15979"/>
    <cellStyle name="Normal 4 4 2 3 2 4 2 2" xfId="32644"/>
    <cellStyle name="Normal 4 4 2 3 2 4 3" xfId="15980"/>
    <cellStyle name="Normal 4 4 2 3 2 4 3 2" xfId="32645"/>
    <cellStyle name="Normal 4 4 2 3 2 4 4" xfId="15981"/>
    <cellStyle name="Normal 4 4 2 3 2 4 4 2" xfId="32646"/>
    <cellStyle name="Normal 4 4 2 3 2 4 5" xfId="15982"/>
    <cellStyle name="Normal 4 4 2 3 2 4 5 2" xfId="32647"/>
    <cellStyle name="Normal 4 4 2 3 2 4 6" xfId="32643"/>
    <cellStyle name="Normal 4 4 2 3 2 5" xfId="15983"/>
    <cellStyle name="Normal 4 4 2 3 2 5 2" xfId="15984"/>
    <cellStyle name="Normal 4 4 2 3 2 5 2 2" xfId="32649"/>
    <cellStyle name="Normal 4 4 2 3 2 5 3" xfId="15985"/>
    <cellStyle name="Normal 4 4 2 3 2 5 3 2" xfId="32650"/>
    <cellStyle name="Normal 4 4 2 3 2 5 4" xfId="15986"/>
    <cellStyle name="Normal 4 4 2 3 2 5 4 2" xfId="32651"/>
    <cellStyle name="Normal 4 4 2 3 2 5 5" xfId="15987"/>
    <cellStyle name="Normal 4 4 2 3 2 5 5 2" xfId="32652"/>
    <cellStyle name="Normal 4 4 2 3 2 5 6" xfId="32648"/>
    <cellStyle name="Normal 4 4 2 3 2 6" xfId="15988"/>
    <cellStyle name="Normal 4 4 2 3 2 6 2" xfId="15989"/>
    <cellStyle name="Normal 4 4 2 3 2 6 2 2" xfId="32654"/>
    <cellStyle name="Normal 4 4 2 3 2 6 3" xfId="15990"/>
    <cellStyle name="Normal 4 4 2 3 2 6 3 2" xfId="32655"/>
    <cellStyle name="Normal 4 4 2 3 2 6 4" xfId="15991"/>
    <cellStyle name="Normal 4 4 2 3 2 6 4 2" xfId="32656"/>
    <cellStyle name="Normal 4 4 2 3 2 6 5" xfId="15992"/>
    <cellStyle name="Normal 4 4 2 3 2 6 5 2" xfId="32657"/>
    <cellStyle name="Normal 4 4 2 3 2 6 6" xfId="32653"/>
    <cellStyle name="Normal 4 4 2 3 2 7" xfId="15993"/>
    <cellStyle name="Normal 4 4 2 3 2 7 2" xfId="15994"/>
    <cellStyle name="Normal 4 4 2 3 2 7 2 2" xfId="32659"/>
    <cellStyle name="Normal 4 4 2 3 2 7 3" xfId="15995"/>
    <cellStyle name="Normal 4 4 2 3 2 7 3 2" xfId="32660"/>
    <cellStyle name="Normal 4 4 2 3 2 7 4" xfId="15996"/>
    <cellStyle name="Normal 4 4 2 3 2 7 4 2" xfId="32661"/>
    <cellStyle name="Normal 4 4 2 3 2 7 5" xfId="15997"/>
    <cellStyle name="Normal 4 4 2 3 2 7 5 2" xfId="32662"/>
    <cellStyle name="Normal 4 4 2 3 2 7 6" xfId="32658"/>
    <cellStyle name="Normal 4 4 2 3 2 8" xfId="15998"/>
    <cellStyle name="Normal 4 4 2 3 2 8 2" xfId="32663"/>
    <cellStyle name="Normal 4 4 2 3 2 9" xfId="15999"/>
    <cellStyle name="Normal 4 4 2 3 2 9 2" xfId="32664"/>
    <cellStyle name="Normal 4 4 2 3 20" xfId="16000"/>
    <cellStyle name="Normal 4 4 2 3 20 2" xfId="32665"/>
    <cellStyle name="Normal 4 4 2 3 21" xfId="32591"/>
    <cellStyle name="Normal 4 4 2 3 3" xfId="16001"/>
    <cellStyle name="Normal 4 4 2 3 3 2" xfId="16002"/>
    <cellStyle name="Normal 4 4 2 3 3 2 2" xfId="16003"/>
    <cellStyle name="Normal 4 4 2 3 3 2 2 2" xfId="32668"/>
    <cellStyle name="Normal 4 4 2 3 3 2 3" xfId="16004"/>
    <cellStyle name="Normal 4 4 2 3 3 2 3 2" xfId="32669"/>
    <cellStyle name="Normal 4 4 2 3 3 2 4" xfId="16005"/>
    <cellStyle name="Normal 4 4 2 3 3 2 4 2" xfId="32670"/>
    <cellStyle name="Normal 4 4 2 3 3 2 5" xfId="16006"/>
    <cellStyle name="Normal 4 4 2 3 3 2 5 2" xfId="32671"/>
    <cellStyle name="Normal 4 4 2 3 3 2 6" xfId="32667"/>
    <cellStyle name="Normal 4 4 2 3 3 3" xfId="16007"/>
    <cellStyle name="Normal 4 4 2 3 3 3 2" xfId="32672"/>
    <cellStyle name="Normal 4 4 2 3 3 4" xfId="16008"/>
    <cellStyle name="Normal 4 4 2 3 3 4 2" xfId="32673"/>
    <cellStyle name="Normal 4 4 2 3 3 5" xfId="16009"/>
    <cellStyle name="Normal 4 4 2 3 3 5 2" xfId="32674"/>
    <cellStyle name="Normal 4 4 2 3 3 6" xfId="16010"/>
    <cellStyle name="Normal 4 4 2 3 3 6 2" xfId="32675"/>
    <cellStyle name="Normal 4 4 2 3 3 7" xfId="32666"/>
    <cellStyle name="Normal 4 4 2 3 4" xfId="16011"/>
    <cellStyle name="Normal 4 4 2 3 4 2" xfId="16012"/>
    <cellStyle name="Normal 4 4 2 3 4 2 2" xfId="16013"/>
    <cellStyle name="Normal 4 4 2 3 4 2 2 2" xfId="32678"/>
    <cellStyle name="Normal 4 4 2 3 4 2 3" xfId="16014"/>
    <cellStyle name="Normal 4 4 2 3 4 2 3 2" xfId="32679"/>
    <cellStyle name="Normal 4 4 2 3 4 2 4" xfId="16015"/>
    <cellStyle name="Normal 4 4 2 3 4 2 4 2" xfId="32680"/>
    <cellStyle name="Normal 4 4 2 3 4 2 5" xfId="16016"/>
    <cellStyle name="Normal 4 4 2 3 4 2 5 2" xfId="32681"/>
    <cellStyle name="Normal 4 4 2 3 4 2 6" xfId="32677"/>
    <cellStyle name="Normal 4 4 2 3 4 3" xfId="16017"/>
    <cellStyle name="Normal 4 4 2 3 4 3 2" xfId="32682"/>
    <cellStyle name="Normal 4 4 2 3 4 4" xfId="16018"/>
    <cellStyle name="Normal 4 4 2 3 4 4 2" xfId="32683"/>
    <cellStyle name="Normal 4 4 2 3 4 5" xfId="16019"/>
    <cellStyle name="Normal 4 4 2 3 4 5 2" xfId="32684"/>
    <cellStyle name="Normal 4 4 2 3 4 6" xfId="16020"/>
    <cellStyle name="Normal 4 4 2 3 4 6 2" xfId="32685"/>
    <cellStyle name="Normal 4 4 2 3 4 7" xfId="32676"/>
    <cellStyle name="Normal 4 4 2 3 5" xfId="16021"/>
    <cellStyle name="Normal 4 4 2 3 5 2" xfId="16022"/>
    <cellStyle name="Normal 4 4 2 3 5 2 2" xfId="32687"/>
    <cellStyle name="Normal 4 4 2 3 5 3" xfId="16023"/>
    <cellStyle name="Normal 4 4 2 3 5 3 2" xfId="32688"/>
    <cellStyle name="Normal 4 4 2 3 5 4" xfId="16024"/>
    <cellStyle name="Normal 4 4 2 3 5 4 2" xfId="32689"/>
    <cellStyle name="Normal 4 4 2 3 5 5" xfId="16025"/>
    <cellStyle name="Normal 4 4 2 3 5 5 2" xfId="32690"/>
    <cellStyle name="Normal 4 4 2 3 5 6" xfId="32686"/>
    <cellStyle name="Normal 4 4 2 3 6" xfId="16026"/>
    <cellStyle name="Normal 4 4 2 3 6 2" xfId="16027"/>
    <cellStyle name="Normal 4 4 2 3 6 2 2" xfId="32692"/>
    <cellStyle name="Normal 4 4 2 3 6 3" xfId="16028"/>
    <cellStyle name="Normal 4 4 2 3 6 3 2" xfId="32693"/>
    <cellStyle name="Normal 4 4 2 3 6 4" xfId="16029"/>
    <cellStyle name="Normal 4 4 2 3 6 4 2" xfId="32694"/>
    <cellStyle name="Normal 4 4 2 3 6 5" xfId="16030"/>
    <cellStyle name="Normal 4 4 2 3 6 5 2" xfId="32695"/>
    <cellStyle name="Normal 4 4 2 3 6 6" xfId="32691"/>
    <cellStyle name="Normal 4 4 2 3 7" xfId="16031"/>
    <cellStyle name="Normal 4 4 2 3 7 2" xfId="16032"/>
    <cellStyle name="Normal 4 4 2 3 7 2 2" xfId="32697"/>
    <cellStyle name="Normal 4 4 2 3 7 3" xfId="16033"/>
    <cellStyle name="Normal 4 4 2 3 7 3 2" xfId="32698"/>
    <cellStyle name="Normal 4 4 2 3 7 4" xfId="16034"/>
    <cellStyle name="Normal 4 4 2 3 7 4 2" xfId="32699"/>
    <cellStyle name="Normal 4 4 2 3 7 5" xfId="16035"/>
    <cellStyle name="Normal 4 4 2 3 7 5 2" xfId="32700"/>
    <cellStyle name="Normal 4 4 2 3 7 6" xfId="32696"/>
    <cellStyle name="Normal 4 4 2 3 8" xfId="16036"/>
    <cellStyle name="Normal 4 4 2 3 8 2" xfId="16037"/>
    <cellStyle name="Normal 4 4 2 3 8 2 2" xfId="32702"/>
    <cellStyle name="Normal 4 4 2 3 8 3" xfId="16038"/>
    <cellStyle name="Normal 4 4 2 3 8 3 2" xfId="32703"/>
    <cellStyle name="Normal 4 4 2 3 8 4" xfId="16039"/>
    <cellStyle name="Normal 4 4 2 3 8 4 2" xfId="32704"/>
    <cellStyle name="Normal 4 4 2 3 8 5" xfId="16040"/>
    <cellStyle name="Normal 4 4 2 3 8 5 2" xfId="32705"/>
    <cellStyle name="Normal 4 4 2 3 8 6" xfId="32701"/>
    <cellStyle name="Normal 4 4 2 3 9" xfId="16041"/>
    <cellStyle name="Normal 4 4 2 3 9 2" xfId="16042"/>
    <cellStyle name="Normal 4 4 2 3 9 2 2" xfId="32707"/>
    <cellStyle name="Normal 4 4 2 3 9 3" xfId="16043"/>
    <cellStyle name="Normal 4 4 2 3 9 3 2" xfId="32708"/>
    <cellStyle name="Normal 4 4 2 3 9 4" xfId="16044"/>
    <cellStyle name="Normal 4 4 2 3 9 4 2" xfId="32709"/>
    <cellStyle name="Normal 4 4 2 3 9 5" xfId="16045"/>
    <cellStyle name="Normal 4 4 2 3 9 5 2" xfId="32710"/>
    <cellStyle name="Normal 4 4 2 3 9 6" xfId="32706"/>
    <cellStyle name="Normal 4 4 2 4" xfId="16046"/>
    <cellStyle name="Normal 4 4 2 4 10" xfId="16047"/>
    <cellStyle name="Normal 4 4 2 4 10 2" xfId="16048"/>
    <cellStyle name="Normal 4 4 2 4 10 2 2" xfId="32713"/>
    <cellStyle name="Normal 4 4 2 4 10 3" xfId="16049"/>
    <cellStyle name="Normal 4 4 2 4 10 3 2" xfId="32714"/>
    <cellStyle name="Normal 4 4 2 4 10 4" xfId="16050"/>
    <cellStyle name="Normal 4 4 2 4 10 4 2" xfId="32715"/>
    <cellStyle name="Normal 4 4 2 4 10 5" xfId="16051"/>
    <cellStyle name="Normal 4 4 2 4 10 5 2" xfId="32716"/>
    <cellStyle name="Normal 4 4 2 4 10 6" xfId="32712"/>
    <cellStyle name="Normal 4 4 2 4 11" xfId="16052"/>
    <cellStyle name="Normal 4 4 2 4 11 2" xfId="16053"/>
    <cellStyle name="Normal 4 4 2 4 11 2 2" xfId="32718"/>
    <cellStyle name="Normal 4 4 2 4 11 3" xfId="16054"/>
    <cellStyle name="Normal 4 4 2 4 11 3 2" xfId="32719"/>
    <cellStyle name="Normal 4 4 2 4 11 4" xfId="16055"/>
    <cellStyle name="Normal 4 4 2 4 11 4 2" xfId="32720"/>
    <cellStyle name="Normal 4 4 2 4 11 5" xfId="16056"/>
    <cellStyle name="Normal 4 4 2 4 11 5 2" xfId="32721"/>
    <cellStyle name="Normal 4 4 2 4 11 6" xfId="32717"/>
    <cellStyle name="Normal 4 4 2 4 12" xfId="16057"/>
    <cellStyle name="Normal 4 4 2 4 12 2" xfId="16058"/>
    <cellStyle name="Normal 4 4 2 4 12 2 2" xfId="32723"/>
    <cellStyle name="Normal 4 4 2 4 12 3" xfId="16059"/>
    <cellStyle name="Normal 4 4 2 4 12 3 2" xfId="32724"/>
    <cellStyle name="Normal 4 4 2 4 12 4" xfId="16060"/>
    <cellStyle name="Normal 4 4 2 4 12 4 2" xfId="32725"/>
    <cellStyle name="Normal 4 4 2 4 12 5" xfId="16061"/>
    <cellStyle name="Normal 4 4 2 4 12 5 2" xfId="32726"/>
    <cellStyle name="Normal 4 4 2 4 12 6" xfId="32722"/>
    <cellStyle name="Normal 4 4 2 4 13" xfId="16062"/>
    <cellStyle name="Normal 4 4 2 4 13 2" xfId="16063"/>
    <cellStyle name="Normal 4 4 2 4 13 2 2" xfId="32728"/>
    <cellStyle name="Normal 4 4 2 4 13 3" xfId="16064"/>
    <cellStyle name="Normal 4 4 2 4 13 3 2" xfId="32729"/>
    <cellStyle name="Normal 4 4 2 4 13 4" xfId="16065"/>
    <cellStyle name="Normal 4 4 2 4 13 4 2" xfId="32730"/>
    <cellStyle name="Normal 4 4 2 4 13 5" xfId="16066"/>
    <cellStyle name="Normal 4 4 2 4 13 5 2" xfId="32731"/>
    <cellStyle name="Normal 4 4 2 4 13 6" xfId="32727"/>
    <cellStyle name="Normal 4 4 2 4 14" xfId="16067"/>
    <cellStyle name="Normal 4 4 2 4 14 2" xfId="16068"/>
    <cellStyle name="Normal 4 4 2 4 14 2 2" xfId="32733"/>
    <cellStyle name="Normal 4 4 2 4 14 3" xfId="16069"/>
    <cellStyle name="Normal 4 4 2 4 14 3 2" xfId="32734"/>
    <cellStyle name="Normal 4 4 2 4 14 4" xfId="16070"/>
    <cellStyle name="Normal 4 4 2 4 14 4 2" xfId="32735"/>
    <cellStyle name="Normal 4 4 2 4 14 5" xfId="16071"/>
    <cellStyle name="Normal 4 4 2 4 14 5 2" xfId="32736"/>
    <cellStyle name="Normal 4 4 2 4 14 6" xfId="32732"/>
    <cellStyle name="Normal 4 4 2 4 15" xfId="16072"/>
    <cellStyle name="Normal 4 4 2 4 15 2" xfId="16073"/>
    <cellStyle name="Normal 4 4 2 4 15 2 2" xfId="32738"/>
    <cellStyle name="Normal 4 4 2 4 15 3" xfId="16074"/>
    <cellStyle name="Normal 4 4 2 4 15 3 2" xfId="32739"/>
    <cellStyle name="Normal 4 4 2 4 15 4" xfId="16075"/>
    <cellStyle name="Normal 4 4 2 4 15 4 2" xfId="32740"/>
    <cellStyle name="Normal 4 4 2 4 15 5" xfId="16076"/>
    <cellStyle name="Normal 4 4 2 4 15 5 2" xfId="32741"/>
    <cellStyle name="Normal 4 4 2 4 15 6" xfId="32737"/>
    <cellStyle name="Normal 4 4 2 4 16" xfId="16077"/>
    <cellStyle name="Normal 4 4 2 4 16 2" xfId="16078"/>
    <cellStyle name="Normal 4 4 2 4 16 2 2" xfId="32743"/>
    <cellStyle name="Normal 4 4 2 4 16 3" xfId="16079"/>
    <cellStyle name="Normal 4 4 2 4 16 3 2" xfId="32744"/>
    <cellStyle name="Normal 4 4 2 4 16 4" xfId="16080"/>
    <cellStyle name="Normal 4 4 2 4 16 4 2" xfId="32745"/>
    <cellStyle name="Normal 4 4 2 4 16 5" xfId="16081"/>
    <cellStyle name="Normal 4 4 2 4 16 5 2" xfId="32746"/>
    <cellStyle name="Normal 4 4 2 4 16 6" xfId="32742"/>
    <cellStyle name="Normal 4 4 2 4 17" xfId="16082"/>
    <cellStyle name="Normal 4 4 2 4 17 2" xfId="32747"/>
    <cellStyle name="Normal 4 4 2 4 18" xfId="16083"/>
    <cellStyle name="Normal 4 4 2 4 18 2" xfId="32748"/>
    <cellStyle name="Normal 4 4 2 4 19" xfId="16084"/>
    <cellStyle name="Normal 4 4 2 4 19 2" xfId="32749"/>
    <cellStyle name="Normal 4 4 2 4 2" xfId="16085"/>
    <cellStyle name="Normal 4 4 2 4 2 10" xfId="16086"/>
    <cellStyle name="Normal 4 4 2 4 2 10 2" xfId="32751"/>
    <cellStyle name="Normal 4 4 2 4 2 11" xfId="16087"/>
    <cellStyle name="Normal 4 4 2 4 2 11 2" xfId="32752"/>
    <cellStyle name="Normal 4 4 2 4 2 12" xfId="32750"/>
    <cellStyle name="Normal 4 4 2 4 2 2" xfId="16088"/>
    <cellStyle name="Normal 4 4 2 4 2 2 2" xfId="16089"/>
    <cellStyle name="Normal 4 4 2 4 2 2 2 2" xfId="32754"/>
    <cellStyle name="Normal 4 4 2 4 2 2 3" xfId="16090"/>
    <cellStyle name="Normal 4 4 2 4 2 2 3 2" xfId="32755"/>
    <cellStyle name="Normal 4 4 2 4 2 2 4" xfId="16091"/>
    <cellStyle name="Normal 4 4 2 4 2 2 4 2" xfId="32756"/>
    <cellStyle name="Normal 4 4 2 4 2 2 5" xfId="16092"/>
    <cellStyle name="Normal 4 4 2 4 2 2 5 2" xfId="32757"/>
    <cellStyle name="Normal 4 4 2 4 2 2 6" xfId="32753"/>
    <cellStyle name="Normal 4 4 2 4 2 3" xfId="16093"/>
    <cellStyle name="Normal 4 4 2 4 2 3 2" xfId="16094"/>
    <cellStyle name="Normal 4 4 2 4 2 3 2 2" xfId="32759"/>
    <cellStyle name="Normal 4 4 2 4 2 3 3" xfId="16095"/>
    <cellStyle name="Normal 4 4 2 4 2 3 3 2" xfId="32760"/>
    <cellStyle name="Normal 4 4 2 4 2 3 4" xfId="16096"/>
    <cellStyle name="Normal 4 4 2 4 2 3 4 2" xfId="32761"/>
    <cellStyle name="Normal 4 4 2 4 2 3 5" xfId="16097"/>
    <cellStyle name="Normal 4 4 2 4 2 3 5 2" xfId="32762"/>
    <cellStyle name="Normal 4 4 2 4 2 3 6" xfId="32758"/>
    <cellStyle name="Normal 4 4 2 4 2 4" xfId="16098"/>
    <cellStyle name="Normal 4 4 2 4 2 4 2" xfId="16099"/>
    <cellStyle name="Normal 4 4 2 4 2 4 2 2" xfId="32764"/>
    <cellStyle name="Normal 4 4 2 4 2 4 3" xfId="16100"/>
    <cellStyle name="Normal 4 4 2 4 2 4 3 2" xfId="32765"/>
    <cellStyle name="Normal 4 4 2 4 2 4 4" xfId="16101"/>
    <cellStyle name="Normal 4 4 2 4 2 4 4 2" xfId="32766"/>
    <cellStyle name="Normal 4 4 2 4 2 4 5" xfId="16102"/>
    <cellStyle name="Normal 4 4 2 4 2 4 5 2" xfId="32767"/>
    <cellStyle name="Normal 4 4 2 4 2 4 6" xfId="32763"/>
    <cellStyle name="Normal 4 4 2 4 2 5" xfId="16103"/>
    <cellStyle name="Normal 4 4 2 4 2 5 2" xfId="16104"/>
    <cellStyle name="Normal 4 4 2 4 2 5 2 2" xfId="32769"/>
    <cellStyle name="Normal 4 4 2 4 2 5 3" xfId="16105"/>
    <cellStyle name="Normal 4 4 2 4 2 5 3 2" xfId="32770"/>
    <cellStyle name="Normal 4 4 2 4 2 5 4" xfId="16106"/>
    <cellStyle name="Normal 4 4 2 4 2 5 4 2" xfId="32771"/>
    <cellStyle name="Normal 4 4 2 4 2 5 5" xfId="16107"/>
    <cellStyle name="Normal 4 4 2 4 2 5 5 2" xfId="32772"/>
    <cellStyle name="Normal 4 4 2 4 2 5 6" xfId="32768"/>
    <cellStyle name="Normal 4 4 2 4 2 6" xfId="16108"/>
    <cellStyle name="Normal 4 4 2 4 2 6 2" xfId="16109"/>
    <cellStyle name="Normal 4 4 2 4 2 6 2 2" xfId="32774"/>
    <cellStyle name="Normal 4 4 2 4 2 6 3" xfId="16110"/>
    <cellStyle name="Normal 4 4 2 4 2 6 3 2" xfId="32775"/>
    <cellStyle name="Normal 4 4 2 4 2 6 4" xfId="16111"/>
    <cellStyle name="Normal 4 4 2 4 2 6 4 2" xfId="32776"/>
    <cellStyle name="Normal 4 4 2 4 2 6 5" xfId="16112"/>
    <cellStyle name="Normal 4 4 2 4 2 6 5 2" xfId="32777"/>
    <cellStyle name="Normal 4 4 2 4 2 6 6" xfId="32773"/>
    <cellStyle name="Normal 4 4 2 4 2 7" xfId="16113"/>
    <cellStyle name="Normal 4 4 2 4 2 7 2" xfId="16114"/>
    <cellStyle name="Normal 4 4 2 4 2 7 2 2" xfId="32779"/>
    <cellStyle name="Normal 4 4 2 4 2 7 3" xfId="16115"/>
    <cellStyle name="Normal 4 4 2 4 2 7 3 2" xfId="32780"/>
    <cellStyle name="Normal 4 4 2 4 2 7 4" xfId="16116"/>
    <cellStyle name="Normal 4 4 2 4 2 7 4 2" xfId="32781"/>
    <cellStyle name="Normal 4 4 2 4 2 7 5" xfId="16117"/>
    <cellStyle name="Normal 4 4 2 4 2 7 5 2" xfId="32782"/>
    <cellStyle name="Normal 4 4 2 4 2 7 6" xfId="32778"/>
    <cellStyle name="Normal 4 4 2 4 2 8" xfId="16118"/>
    <cellStyle name="Normal 4 4 2 4 2 8 2" xfId="32783"/>
    <cellStyle name="Normal 4 4 2 4 2 9" xfId="16119"/>
    <cellStyle name="Normal 4 4 2 4 2 9 2" xfId="32784"/>
    <cellStyle name="Normal 4 4 2 4 20" xfId="16120"/>
    <cellStyle name="Normal 4 4 2 4 20 2" xfId="32785"/>
    <cellStyle name="Normal 4 4 2 4 21" xfId="32711"/>
    <cellStyle name="Normal 4 4 2 4 3" xfId="16121"/>
    <cellStyle name="Normal 4 4 2 4 3 2" xfId="16122"/>
    <cellStyle name="Normal 4 4 2 4 3 2 2" xfId="16123"/>
    <cellStyle name="Normal 4 4 2 4 3 2 2 2" xfId="32788"/>
    <cellStyle name="Normal 4 4 2 4 3 2 3" xfId="16124"/>
    <cellStyle name="Normal 4 4 2 4 3 2 3 2" xfId="32789"/>
    <cellStyle name="Normal 4 4 2 4 3 2 4" xfId="16125"/>
    <cellStyle name="Normal 4 4 2 4 3 2 4 2" xfId="32790"/>
    <cellStyle name="Normal 4 4 2 4 3 2 5" xfId="16126"/>
    <cellStyle name="Normal 4 4 2 4 3 2 5 2" xfId="32791"/>
    <cellStyle name="Normal 4 4 2 4 3 2 6" xfId="32787"/>
    <cellStyle name="Normal 4 4 2 4 3 3" xfId="16127"/>
    <cellStyle name="Normal 4 4 2 4 3 3 2" xfId="32792"/>
    <cellStyle name="Normal 4 4 2 4 3 4" xfId="16128"/>
    <cellStyle name="Normal 4 4 2 4 3 4 2" xfId="32793"/>
    <cellStyle name="Normal 4 4 2 4 3 5" xfId="16129"/>
    <cellStyle name="Normal 4 4 2 4 3 5 2" xfId="32794"/>
    <cellStyle name="Normal 4 4 2 4 3 6" xfId="16130"/>
    <cellStyle name="Normal 4 4 2 4 3 6 2" xfId="32795"/>
    <cellStyle name="Normal 4 4 2 4 3 7" xfId="32786"/>
    <cellStyle name="Normal 4 4 2 4 4" xfId="16131"/>
    <cellStyle name="Normal 4 4 2 4 4 2" xfId="16132"/>
    <cellStyle name="Normal 4 4 2 4 4 2 2" xfId="16133"/>
    <cellStyle name="Normal 4 4 2 4 4 2 2 2" xfId="32798"/>
    <cellStyle name="Normal 4 4 2 4 4 2 3" xfId="16134"/>
    <cellStyle name="Normal 4 4 2 4 4 2 3 2" xfId="32799"/>
    <cellStyle name="Normal 4 4 2 4 4 2 4" xfId="16135"/>
    <cellStyle name="Normal 4 4 2 4 4 2 4 2" xfId="32800"/>
    <cellStyle name="Normal 4 4 2 4 4 2 5" xfId="16136"/>
    <cellStyle name="Normal 4 4 2 4 4 2 5 2" xfId="32801"/>
    <cellStyle name="Normal 4 4 2 4 4 2 6" xfId="32797"/>
    <cellStyle name="Normal 4 4 2 4 4 3" xfId="16137"/>
    <cellStyle name="Normal 4 4 2 4 4 3 2" xfId="32802"/>
    <cellStyle name="Normal 4 4 2 4 4 4" xfId="16138"/>
    <cellStyle name="Normal 4 4 2 4 4 4 2" xfId="32803"/>
    <cellStyle name="Normal 4 4 2 4 4 5" xfId="16139"/>
    <cellStyle name="Normal 4 4 2 4 4 5 2" xfId="32804"/>
    <cellStyle name="Normal 4 4 2 4 4 6" xfId="16140"/>
    <cellStyle name="Normal 4 4 2 4 4 6 2" xfId="32805"/>
    <cellStyle name="Normal 4 4 2 4 4 7" xfId="32796"/>
    <cellStyle name="Normal 4 4 2 4 5" xfId="16141"/>
    <cellStyle name="Normal 4 4 2 4 5 2" xfId="16142"/>
    <cellStyle name="Normal 4 4 2 4 5 2 2" xfId="32807"/>
    <cellStyle name="Normal 4 4 2 4 5 3" xfId="16143"/>
    <cellStyle name="Normal 4 4 2 4 5 3 2" xfId="32808"/>
    <cellStyle name="Normal 4 4 2 4 5 4" xfId="16144"/>
    <cellStyle name="Normal 4 4 2 4 5 4 2" xfId="32809"/>
    <cellStyle name="Normal 4 4 2 4 5 5" xfId="16145"/>
    <cellStyle name="Normal 4 4 2 4 5 5 2" xfId="32810"/>
    <cellStyle name="Normal 4 4 2 4 5 6" xfId="32806"/>
    <cellStyle name="Normal 4 4 2 4 6" xfId="16146"/>
    <cellStyle name="Normal 4 4 2 4 6 2" xfId="16147"/>
    <cellStyle name="Normal 4 4 2 4 6 2 2" xfId="32812"/>
    <cellStyle name="Normal 4 4 2 4 6 3" xfId="16148"/>
    <cellStyle name="Normal 4 4 2 4 6 3 2" xfId="32813"/>
    <cellStyle name="Normal 4 4 2 4 6 4" xfId="16149"/>
    <cellStyle name="Normal 4 4 2 4 6 4 2" xfId="32814"/>
    <cellStyle name="Normal 4 4 2 4 6 5" xfId="16150"/>
    <cellStyle name="Normal 4 4 2 4 6 5 2" xfId="32815"/>
    <cellStyle name="Normal 4 4 2 4 6 6" xfId="32811"/>
    <cellStyle name="Normal 4 4 2 4 7" xfId="16151"/>
    <cellStyle name="Normal 4 4 2 4 7 2" xfId="16152"/>
    <cellStyle name="Normal 4 4 2 4 7 2 2" xfId="32817"/>
    <cellStyle name="Normal 4 4 2 4 7 3" xfId="16153"/>
    <cellStyle name="Normal 4 4 2 4 7 3 2" xfId="32818"/>
    <cellStyle name="Normal 4 4 2 4 7 4" xfId="16154"/>
    <cellStyle name="Normal 4 4 2 4 7 4 2" xfId="32819"/>
    <cellStyle name="Normal 4 4 2 4 7 5" xfId="16155"/>
    <cellStyle name="Normal 4 4 2 4 7 5 2" xfId="32820"/>
    <cellStyle name="Normal 4 4 2 4 7 6" xfId="32816"/>
    <cellStyle name="Normal 4 4 2 4 8" xfId="16156"/>
    <cellStyle name="Normal 4 4 2 4 8 2" xfId="16157"/>
    <cellStyle name="Normal 4 4 2 4 8 2 2" xfId="32822"/>
    <cellStyle name="Normal 4 4 2 4 8 3" xfId="16158"/>
    <cellStyle name="Normal 4 4 2 4 8 3 2" xfId="32823"/>
    <cellStyle name="Normal 4 4 2 4 8 4" xfId="16159"/>
    <cellStyle name="Normal 4 4 2 4 8 4 2" xfId="32824"/>
    <cellStyle name="Normal 4 4 2 4 8 5" xfId="16160"/>
    <cellStyle name="Normal 4 4 2 4 8 5 2" xfId="32825"/>
    <cellStyle name="Normal 4 4 2 4 8 6" xfId="32821"/>
    <cellStyle name="Normal 4 4 2 4 9" xfId="16161"/>
    <cellStyle name="Normal 4 4 2 4 9 2" xfId="16162"/>
    <cellStyle name="Normal 4 4 2 4 9 2 2" xfId="32827"/>
    <cellStyle name="Normal 4 4 2 4 9 3" xfId="16163"/>
    <cellStyle name="Normal 4 4 2 4 9 3 2" xfId="32828"/>
    <cellStyle name="Normal 4 4 2 4 9 4" xfId="16164"/>
    <cellStyle name="Normal 4 4 2 4 9 4 2" xfId="32829"/>
    <cellStyle name="Normal 4 4 2 4 9 5" xfId="16165"/>
    <cellStyle name="Normal 4 4 2 4 9 5 2" xfId="32830"/>
    <cellStyle name="Normal 4 4 2 4 9 6" xfId="32826"/>
    <cellStyle name="Normal 4 4 2 5" xfId="16166"/>
    <cellStyle name="Normal 4 4 2 5 10" xfId="16167"/>
    <cellStyle name="Normal 4 4 2 5 10 2" xfId="32832"/>
    <cellStyle name="Normal 4 4 2 5 11" xfId="16168"/>
    <cellStyle name="Normal 4 4 2 5 11 2" xfId="32833"/>
    <cellStyle name="Normal 4 4 2 5 12" xfId="32831"/>
    <cellStyle name="Normal 4 4 2 5 2" xfId="16169"/>
    <cellStyle name="Normal 4 4 2 5 2 2" xfId="16170"/>
    <cellStyle name="Normal 4 4 2 5 2 2 2" xfId="32835"/>
    <cellStyle name="Normal 4 4 2 5 2 3" xfId="16171"/>
    <cellStyle name="Normal 4 4 2 5 2 3 2" xfId="32836"/>
    <cellStyle name="Normal 4 4 2 5 2 4" xfId="16172"/>
    <cellStyle name="Normal 4 4 2 5 2 4 2" xfId="32837"/>
    <cellStyle name="Normal 4 4 2 5 2 5" xfId="16173"/>
    <cellStyle name="Normal 4 4 2 5 2 5 2" xfId="32838"/>
    <cellStyle name="Normal 4 4 2 5 2 6" xfId="32834"/>
    <cellStyle name="Normal 4 4 2 5 3" xfId="16174"/>
    <cellStyle name="Normal 4 4 2 5 3 2" xfId="16175"/>
    <cellStyle name="Normal 4 4 2 5 3 2 2" xfId="32840"/>
    <cellStyle name="Normal 4 4 2 5 3 3" xfId="16176"/>
    <cellStyle name="Normal 4 4 2 5 3 3 2" xfId="32841"/>
    <cellStyle name="Normal 4 4 2 5 3 4" xfId="16177"/>
    <cellStyle name="Normal 4 4 2 5 3 4 2" xfId="32842"/>
    <cellStyle name="Normal 4 4 2 5 3 5" xfId="16178"/>
    <cellStyle name="Normal 4 4 2 5 3 5 2" xfId="32843"/>
    <cellStyle name="Normal 4 4 2 5 3 6" xfId="32839"/>
    <cellStyle name="Normal 4 4 2 5 4" xfId="16179"/>
    <cellStyle name="Normal 4 4 2 5 4 2" xfId="16180"/>
    <cellStyle name="Normal 4 4 2 5 4 2 2" xfId="32845"/>
    <cellStyle name="Normal 4 4 2 5 4 3" xfId="16181"/>
    <cellStyle name="Normal 4 4 2 5 4 3 2" xfId="32846"/>
    <cellStyle name="Normal 4 4 2 5 4 4" xfId="16182"/>
    <cellStyle name="Normal 4 4 2 5 4 4 2" xfId="32847"/>
    <cellStyle name="Normal 4 4 2 5 4 5" xfId="16183"/>
    <cellStyle name="Normal 4 4 2 5 4 5 2" xfId="32848"/>
    <cellStyle name="Normal 4 4 2 5 4 6" xfId="32844"/>
    <cellStyle name="Normal 4 4 2 5 5" xfId="16184"/>
    <cellStyle name="Normal 4 4 2 5 5 2" xfId="16185"/>
    <cellStyle name="Normal 4 4 2 5 5 2 2" xfId="32850"/>
    <cellStyle name="Normal 4 4 2 5 5 3" xfId="16186"/>
    <cellStyle name="Normal 4 4 2 5 5 3 2" xfId="32851"/>
    <cellStyle name="Normal 4 4 2 5 5 4" xfId="16187"/>
    <cellStyle name="Normal 4 4 2 5 5 4 2" xfId="32852"/>
    <cellStyle name="Normal 4 4 2 5 5 5" xfId="16188"/>
    <cellStyle name="Normal 4 4 2 5 5 5 2" xfId="32853"/>
    <cellStyle name="Normal 4 4 2 5 5 6" xfId="32849"/>
    <cellStyle name="Normal 4 4 2 5 6" xfId="16189"/>
    <cellStyle name="Normal 4 4 2 5 6 2" xfId="16190"/>
    <cellStyle name="Normal 4 4 2 5 6 2 2" xfId="32855"/>
    <cellStyle name="Normal 4 4 2 5 6 3" xfId="16191"/>
    <cellStyle name="Normal 4 4 2 5 6 3 2" xfId="32856"/>
    <cellStyle name="Normal 4 4 2 5 6 4" xfId="16192"/>
    <cellStyle name="Normal 4 4 2 5 6 4 2" xfId="32857"/>
    <cellStyle name="Normal 4 4 2 5 6 5" xfId="16193"/>
    <cellStyle name="Normal 4 4 2 5 6 5 2" xfId="32858"/>
    <cellStyle name="Normal 4 4 2 5 6 6" xfId="32854"/>
    <cellStyle name="Normal 4 4 2 5 7" xfId="16194"/>
    <cellStyle name="Normal 4 4 2 5 7 2" xfId="16195"/>
    <cellStyle name="Normal 4 4 2 5 7 2 2" xfId="32860"/>
    <cellStyle name="Normal 4 4 2 5 7 3" xfId="16196"/>
    <cellStyle name="Normal 4 4 2 5 7 3 2" xfId="32861"/>
    <cellStyle name="Normal 4 4 2 5 7 4" xfId="16197"/>
    <cellStyle name="Normal 4 4 2 5 7 4 2" xfId="32862"/>
    <cellStyle name="Normal 4 4 2 5 7 5" xfId="16198"/>
    <cellStyle name="Normal 4 4 2 5 7 5 2" xfId="32863"/>
    <cellStyle name="Normal 4 4 2 5 7 6" xfId="32859"/>
    <cellStyle name="Normal 4 4 2 5 8" xfId="16199"/>
    <cellStyle name="Normal 4 4 2 5 8 2" xfId="32864"/>
    <cellStyle name="Normal 4 4 2 5 9" xfId="16200"/>
    <cellStyle name="Normal 4 4 2 5 9 2" xfId="32865"/>
    <cellStyle name="Normal 4 4 2 6" xfId="16201"/>
    <cellStyle name="Normal 4 4 2 6 2" xfId="16202"/>
    <cellStyle name="Normal 4 4 2 6 2 2" xfId="16203"/>
    <cellStyle name="Normal 4 4 2 6 2 2 2" xfId="32868"/>
    <cellStyle name="Normal 4 4 2 6 2 3" xfId="16204"/>
    <cellStyle name="Normal 4 4 2 6 2 3 2" xfId="32869"/>
    <cellStyle name="Normal 4 4 2 6 2 4" xfId="16205"/>
    <cellStyle name="Normal 4 4 2 6 2 4 2" xfId="32870"/>
    <cellStyle name="Normal 4 4 2 6 2 5" xfId="16206"/>
    <cellStyle name="Normal 4 4 2 6 2 5 2" xfId="32871"/>
    <cellStyle name="Normal 4 4 2 6 2 6" xfId="32867"/>
    <cellStyle name="Normal 4 4 2 6 3" xfId="16207"/>
    <cellStyle name="Normal 4 4 2 6 3 2" xfId="32872"/>
    <cellStyle name="Normal 4 4 2 6 4" xfId="16208"/>
    <cellStyle name="Normal 4 4 2 6 4 2" xfId="32873"/>
    <cellStyle name="Normal 4 4 2 6 5" xfId="16209"/>
    <cellStyle name="Normal 4 4 2 6 5 2" xfId="32874"/>
    <cellStyle name="Normal 4 4 2 6 6" xfId="16210"/>
    <cellStyle name="Normal 4 4 2 6 6 2" xfId="32875"/>
    <cellStyle name="Normal 4 4 2 6 7" xfId="32866"/>
    <cellStyle name="Normal 4 4 2 7" xfId="16211"/>
    <cellStyle name="Normal 4 4 2 7 2" xfId="16212"/>
    <cellStyle name="Normal 4 4 2 7 2 2" xfId="16213"/>
    <cellStyle name="Normal 4 4 2 7 2 2 2" xfId="32878"/>
    <cellStyle name="Normal 4 4 2 7 2 3" xfId="16214"/>
    <cellStyle name="Normal 4 4 2 7 2 3 2" xfId="32879"/>
    <cellStyle name="Normal 4 4 2 7 2 4" xfId="16215"/>
    <cellStyle name="Normal 4 4 2 7 2 4 2" xfId="32880"/>
    <cellStyle name="Normal 4 4 2 7 2 5" xfId="16216"/>
    <cellStyle name="Normal 4 4 2 7 2 5 2" xfId="32881"/>
    <cellStyle name="Normal 4 4 2 7 2 6" xfId="32877"/>
    <cellStyle name="Normal 4 4 2 7 3" xfId="16217"/>
    <cellStyle name="Normal 4 4 2 7 3 2" xfId="32882"/>
    <cellStyle name="Normal 4 4 2 7 4" xfId="16218"/>
    <cellStyle name="Normal 4 4 2 7 4 2" xfId="32883"/>
    <cellStyle name="Normal 4 4 2 7 5" xfId="16219"/>
    <cellStyle name="Normal 4 4 2 7 5 2" xfId="32884"/>
    <cellStyle name="Normal 4 4 2 7 6" xfId="16220"/>
    <cellStyle name="Normal 4 4 2 7 6 2" xfId="32885"/>
    <cellStyle name="Normal 4 4 2 7 7" xfId="32876"/>
    <cellStyle name="Normal 4 4 2 8" xfId="16221"/>
    <cellStyle name="Normal 4 4 2 8 2" xfId="16222"/>
    <cellStyle name="Normal 4 4 2 8 2 2" xfId="32887"/>
    <cellStyle name="Normal 4 4 2 8 3" xfId="16223"/>
    <cellStyle name="Normal 4 4 2 8 3 2" xfId="32888"/>
    <cellStyle name="Normal 4 4 2 8 4" xfId="16224"/>
    <cellStyle name="Normal 4 4 2 8 4 2" xfId="32889"/>
    <cellStyle name="Normal 4 4 2 8 5" xfId="16225"/>
    <cellStyle name="Normal 4 4 2 8 5 2" xfId="32890"/>
    <cellStyle name="Normal 4 4 2 8 6" xfId="32886"/>
    <cellStyle name="Normal 4 4 2 9" xfId="16226"/>
    <cellStyle name="Normal 4 4 2 9 2" xfId="16227"/>
    <cellStyle name="Normal 4 4 2 9 2 2" xfId="32892"/>
    <cellStyle name="Normal 4 4 2 9 3" xfId="16228"/>
    <cellStyle name="Normal 4 4 2 9 3 2" xfId="32893"/>
    <cellStyle name="Normal 4 4 2 9 4" xfId="16229"/>
    <cellStyle name="Normal 4 4 2 9 4 2" xfId="32894"/>
    <cellStyle name="Normal 4 4 2 9 5" xfId="16230"/>
    <cellStyle name="Normal 4 4 2 9 5 2" xfId="32895"/>
    <cellStyle name="Normal 4 4 2 9 6" xfId="32891"/>
    <cellStyle name="Normal 4 4 20" xfId="16231"/>
    <cellStyle name="Normal 4 4 20 2" xfId="16232"/>
    <cellStyle name="Normal 4 4 20 2 2" xfId="32897"/>
    <cellStyle name="Normal 4 4 20 3" xfId="16233"/>
    <cellStyle name="Normal 4 4 20 3 2" xfId="32898"/>
    <cellStyle name="Normal 4 4 20 4" xfId="16234"/>
    <cellStyle name="Normal 4 4 20 4 2" xfId="32899"/>
    <cellStyle name="Normal 4 4 20 5" xfId="16235"/>
    <cellStyle name="Normal 4 4 20 5 2" xfId="32900"/>
    <cellStyle name="Normal 4 4 20 6" xfId="32896"/>
    <cellStyle name="Normal 4 4 21" xfId="16236"/>
    <cellStyle name="Normal 4 4 21 2" xfId="16237"/>
    <cellStyle name="Normal 4 4 21 2 2" xfId="32902"/>
    <cellStyle name="Normal 4 4 21 3" xfId="16238"/>
    <cellStyle name="Normal 4 4 21 3 2" xfId="32903"/>
    <cellStyle name="Normal 4 4 21 4" xfId="16239"/>
    <cellStyle name="Normal 4 4 21 4 2" xfId="32904"/>
    <cellStyle name="Normal 4 4 21 5" xfId="16240"/>
    <cellStyle name="Normal 4 4 21 5 2" xfId="32905"/>
    <cellStyle name="Normal 4 4 21 6" xfId="32901"/>
    <cellStyle name="Normal 4 4 22" xfId="16241"/>
    <cellStyle name="Normal 4 4 22 2" xfId="16242"/>
    <cellStyle name="Normal 4 4 22 2 2" xfId="32907"/>
    <cellStyle name="Normal 4 4 22 3" xfId="16243"/>
    <cellStyle name="Normal 4 4 22 3 2" xfId="32908"/>
    <cellStyle name="Normal 4 4 22 4" xfId="16244"/>
    <cellStyle name="Normal 4 4 22 4 2" xfId="32909"/>
    <cellStyle name="Normal 4 4 22 5" xfId="16245"/>
    <cellStyle name="Normal 4 4 22 5 2" xfId="32910"/>
    <cellStyle name="Normal 4 4 22 6" xfId="32906"/>
    <cellStyle name="Normal 4 4 23" xfId="16246"/>
    <cellStyle name="Normal 4 4 23 2" xfId="16247"/>
    <cellStyle name="Normal 4 4 23 2 2" xfId="32912"/>
    <cellStyle name="Normal 4 4 23 3" xfId="16248"/>
    <cellStyle name="Normal 4 4 23 3 2" xfId="32913"/>
    <cellStyle name="Normal 4 4 23 4" xfId="16249"/>
    <cellStyle name="Normal 4 4 23 4 2" xfId="32914"/>
    <cellStyle name="Normal 4 4 23 5" xfId="16250"/>
    <cellStyle name="Normal 4 4 23 5 2" xfId="32915"/>
    <cellStyle name="Normal 4 4 23 6" xfId="32911"/>
    <cellStyle name="Normal 4 4 24" xfId="16251"/>
    <cellStyle name="Normal 4 4 24 2" xfId="16252"/>
    <cellStyle name="Normal 4 4 24 2 2" xfId="32917"/>
    <cellStyle name="Normal 4 4 24 3" xfId="16253"/>
    <cellStyle name="Normal 4 4 24 3 2" xfId="32918"/>
    <cellStyle name="Normal 4 4 24 4" xfId="16254"/>
    <cellStyle name="Normal 4 4 24 4 2" xfId="32919"/>
    <cellStyle name="Normal 4 4 24 5" xfId="16255"/>
    <cellStyle name="Normal 4 4 24 5 2" xfId="32920"/>
    <cellStyle name="Normal 4 4 24 6" xfId="32916"/>
    <cellStyle name="Normal 4 4 25" xfId="16256"/>
    <cellStyle name="Normal 4 4 25 2" xfId="32921"/>
    <cellStyle name="Normal 4 4 26" xfId="16257"/>
    <cellStyle name="Normal 4 4 26 2" xfId="32922"/>
    <cellStyle name="Normal 4 4 27" xfId="16258"/>
    <cellStyle name="Normal 4 4 27 2" xfId="32923"/>
    <cellStyle name="Normal 4 4 28" xfId="16259"/>
    <cellStyle name="Normal 4 4 28 2" xfId="32924"/>
    <cellStyle name="Normal 4 4 29" xfId="16260"/>
    <cellStyle name="Normal 4 4 29 2" xfId="32925"/>
    <cellStyle name="Normal 4 4 3" xfId="16261"/>
    <cellStyle name="Normal 4 4 3 10" xfId="16262"/>
    <cellStyle name="Normal 4 4 3 10 2" xfId="16263"/>
    <cellStyle name="Normal 4 4 3 10 2 2" xfId="32928"/>
    <cellStyle name="Normal 4 4 3 10 3" xfId="16264"/>
    <cellStyle name="Normal 4 4 3 10 3 2" xfId="32929"/>
    <cellStyle name="Normal 4 4 3 10 4" xfId="16265"/>
    <cellStyle name="Normal 4 4 3 10 4 2" xfId="32930"/>
    <cellStyle name="Normal 4 4 3 10 5" xfId="16266"/>
    <cellStyle name="Normal 4 4 3 10 5 2" xfId="32931"/>
    <cellStyle name="Normal 4 4 3 10 6" xfId="32927"/>
    <cellStyle name="Normal 4 4 3 11" xfId="16267"/>
    <cellStyle name="Normal 4 4 3 11 2" xfId="16268"/>
    <cellStyle name="Normal 4 4 3 11 2 2" xfId="32933"/>
    <cellStyle name="Normal 4 4 3 11 3" xfId="16269"/>
    <cellStyle name="Normal 4 4 3 11 3 2" xfId="32934"/>
    <cellStyle name="Normal 4 4 3 11 4" xfId="16270"/>
    <cellStyle name="Normal 4 4 3 11 4 2" xfId="32935"/>
    <cellStyle name="Normal 4 4 3 11 5" xfId="16271"/>
    <cellStyle name="Normal 4 4 3 11 5 2" xfId="32936"/>
    <cellStyle name="Normal 4 4 3 11 6" xfId="32932"/>
    <cellStyle name="Normal 4 4 3 12" xfId="16272"/>
    <cellStyle name="Normal 4 4 3 12 2" xfId="16273"/>
    <cellStyle name="Normal 4 4 3 12 2 2" xfId="32938"/>
    <cellStyle name="Normal 4 4 3 12 3" xfId="16274"/>
    <cellStyle name="Normal 4 4 3 12 3 2" xfId="32939"/>
    <cellStyle name="Normal 4 4 3 12 4" xfId="16275"/>
    <cellStyle name="Normal 4 4 3 12 4 2" xfId="32940"/>
    <cellStyle name="Normal 4 4 3 12 5" xfId="16276"/>
    <cellStyle name="Normal 4 4 3 12 5 2" xfId="32941"/>
    <cellStyle name="Normal 4 4 3 12 6" xfId="32937"/>
    <cellStyle name="Normal 4 4 3 13" xfId="16277"/>
    <cellStyle name="Normal 4 4 3 13 2" xfId="16278"/>
    <cellStyle name="Normal 4 4 3 13 2 2" xfId="32943"/>
    <cellStyle name="Normal 4 4 3 13 3" xfId="16279"/>
    <cellStyle name="Normal 4 4 3 13 3 2" xfId="32944"/>
    <cellStyle name="Normal 4 4 3 13 4" xfId="16280"/>
    <cellStyle name="Normal 4 4 3 13 4 2" xfId="32945"/>
    <cellStyle name="Normal 4 4 3 13 5" xfId="16281"/>
    <cellStyle name="Normal 4 4 3 13 5 2" xfId="32946"/>
    <cellStyle name="Normal 4 4 3 13 6" xfId="32942"/>
    <cellStyle name="Normal 4 4 3 14" xfId="16282"/>
    <cellStyle name="Normal 4 4 3 14 2" xfId="16283"/>
    <cellStyle name="Normal 4 4 3 14 2 2" xfId="32948"/>
    <cellStyle name="Normal 4 4 3 14 3" xfId="16284"/>
    <cellStyle name="Normal 4 4 3 14 3 2" xfId="32949"/>
    <cellStyle name="Normal 4 4 3 14 4" xfId="16285"/>
    <cellStyle name="Normal 4 4 3 14 4 2" xfId="32950"/>
    <cellStyle name="Normal 4 4 3 14 5" xfId="16286"/>
    <cellStyle name="Normal 4 4 3 14 5 2" xfId="32951"/>
    <cellStyle name="Normal 4 4 3 14 6" xfId="32947"/>
    <cellStyle name="Normal 4 4 3 15" xfId="16287"/>
    <cellStyle name="Normal 4 4 3 15 2" xfId="16288"/>
    <cellStyle name="Normal 4 4 3 15 2 2" xfId="32953"/>
    <cellStyle name="Normal 4 4 3 15 3" xfId="16289"/>
    <cellStyle name="Normal 4 4 3 15 3 2" xfId="32954"/>
    <cellStyle name="Normal 4 4 3 15 4" xfId="16290"/>
    <cellStyle name="Normal 4 4 3 15 4 2" xfId="32955"/>
    <cellStyle name="Normal 4 4 3 15 5" xfId="16291"/>
    <cellStyle name="Normal 4 4 3 15 5 2" xfId="32956"/>
    <cellStyle name="Normal 4 4 3 15 6" xfId="32952"/>
    <cellStyle name="Normal 4 4 3 16" xfId="16292"/>
    <cellStyle name="Normal 4 4 3 16 2" xfId="16293"/>
    <cellStyle name="Normal 4 4 3 16 2 2" xfId="32958"/>
    <cellStyle name="Normal 4 4 3 16 3" xfId="16294"/>
    <cellStyle name="Normal 4 4 3 16 3 2" xfId="32959"/>
    <cellStyle name="Normal 4 4 3 16 4" xfId="16295"/>
    <cellStyle name="Normal 4 4 3 16 4 2" xfId="32960"/>
    <cellStyle name="Normal 4 4 3 16 5" xfId="16296"/>
    <cellStyle name="Normal 4 4 3 16 5 2" xfId="32961"/>
    <cellStyle name="Normal 4 4 3 16 6" xfId="32957"/>
    <cellStyle name="Normal 4 4 3 17" xfId="16297"/>
    <cellStyle name="Normal 4 4 3 17 2" xfId="32962"/>
    <cellStyle name="Normal 4 4 3 18" xfId="16298"/>
    <cellStyle name="Normal 4 4 3 18 2" xfId="32963"/>
    <cellStyle name="Normal 4 4 3 19" xfId="16299"/>
    <cellStyle name="Normal 4 4 3 19 2" xfId="32964"/>
    <cellStyle name="Normal 4 4 3 2" xfId="16300"/>
    <cellStyle name="Normal 4 4 3 2 10" xfId="16301"/>
    <cellStyle name="Normal 4 4 3 2 10 2" xfId="32966"/>
    <cellStyle name="Normal 4 4 3 2 11" xfId="16302"/>
    <cellStyle name="Normal 4 4 3 2 11 2" xfId="32967"/>
    <cellStyle name="Normal 4 4 3 2 12" xfId="32965"/>
    <cellStyle name="Normal 4 4 3 2 2" xfId="16303"/>
    <cellStyle name="Normal 4 4 3 2 2 2" xfId="16304"/>
    <cellStyle name="Normal 4 4 3 2 2 2 2" xfId="32969"/>
    <cellStyle name="Normal 4 4 3 2 2 3" xfId="16305"/>
    <cellStyle name="Normal 4 4 3 2 2 3 2" xfId="32970"/>
    <cellStyle name="Normal 4 4 3 2 2 4" xfId="16306"/>
    <cellStyle name="Normal 4 4 3 2 2 4 2" xfId="32971"/>
    <cellStyle name="Normal 4 4 3 2 2 5" xfId="16307"/>
    <cellStyle name="Normal 4 4 3 2 2 5 2" xfId="32972"/>
    <cellStyle name="Normal 4 4 3 2 2 6" xfId="32968"/>
    <cellStyle name="Normal 4 4 3 2 3" xfId="16308"/>
    <cellStyle name="Normal 4 4 3 2 3 2" xfId="16309"/>
    <cellStyle name="Normal 4 4 3 2 3 2 2" xfId="32974"/>
    <cellStyle name="Normal 4 4 3 2 3 3" xfId="16310"/>
    <cellStyle name="Normal 4 4 3 2 3 3 2" xfId="32975"/>
    <cellStyle name="Normal 4 4 3 2 3 4" xfId="16311"/>
    <cellStyle name="Normal 4 4 3 2 3 4 2" xfId="32976"/>
    <cellStyle name="Normal 4 4 3 2 3 5" xfId="16312"/>
    <cellStyle name="Normal 4 4 3 2 3 5 2" xfId="32977"/>
    <cellStyle name="Normal 4 4 3 2 3 6" xfId="32973"/>
    <cellStyle name="Normal 4 4 3 2 4" xfId="16313"/>
    <cellStyle name="Normal 4 4 3 2 4 2" xfId="16314"/>
    <cellStyle name="Normal 4 4 3 2 4 2 2" xfId="32979"/>
    <cellStyle name="Normal 4 4 3 2 4 3" xfId="16315"/>
    <cellStyle name="Normal 4 4 3 2 4 3 2" xfId="32980"/>
    <cellStyle name="Normal 4 4 3 2 4 4" xfId="16316"/>
    <cellStyle name="Normal 4 4 3 2 4 4 2" xfId="32981"/>
    <cellStyle name="Normal 4 4 3 2 4 5" xfId="16317"/>
    <cellStyle name="Normal 4 4 3 2 4 5 2" xfId="32982"/>
    <cellStyle name="Normal 4 4 3 2 4 6" xfId="32978"/>
    <cellStyle name="Normal 4 4 3 2 5" xfId="16318"/>
    <cellStyle name="Normal 4 4 3 2 5 2" xfId="16319"/>
    <cellStyle name="Normal 4 4 3 2 5 2 2" xfId="32984"/>
    <cellStyle name="Normal 4 4 3 2 5 3" xfId="16320"/>
    <cellStyle name="Normal 4 4 3 2 5 3 2" xfId="32985"/>
    <cellStyle name="Normal 4 4 3 2 5 4" xfId="16321"/>
    <cellStyle name="Normal 4 4 3 2 5 4 2" xfId="32986"/>
    <cellStyle name="Normal 4 4 3 2 5 5" xfId="16322"/>
    <cellStyle name="Normal 4 4 3 2 5 5 2" xfId="32987"/>
    <cellStyle name="Normal 4 4 3 2 5 6" xfId="32983"/>
    <cellStyle name="Normal 4 4 3 2 6" xfId="16323"/>
    <cellStyle name="Normal 4 4 3 2 6 2" xfId="16324"/>
    <cellStyle name="Normal 4 4 3 2 6 2 2" xfId="32989"/>
    <cellStyle name="Normal 4 4 3 2 6 3" xfId="16325"/>
    <cellStyle name="Normal 4 4 3 2 6 3 2" xfId="32990"/>
    <cellStyle name="Normal 4 4 3 2 6 4" xfId="16326"/>
    <cellStyle name="Normal 4 4 3 2 6 4 2" xfId="32991"/>
    <cellStyle name="Normal 4 4 3 2 6 5" xfId="16327"/>
    <cellStyle name="Normal 4 4 3 2 6 5 2" xfId="32992"/>
    <cellStyle name="Normal 4 4 3 2 6 6" xfId="32988"/>
    <cellStyle name="Normal 4 4 3 2 7" xfId="16328"/>
    <cellStyle name="Normal 4 4 3 2 7 2" xfId="16329"/>
    <cellStyle name="Normal 4 4 3 2 7 2 2" xfId="32994"/>
    <cellStyle name="Normal 4 4 3 2 7 3" xfId="16330"/>
    <cellStyle name="Normal 4 4 3 2 7 3 2" xfId="32995"/>
    <cellStyle name="Normal 4 4 3 2 7 4" xfId="16331"/>
    <cellStyle name="Normal 4 4 3 2 7 4 2" xfId="32996"/>
    <cellStyle name="Normal 4 4 3 2 7 5" xfId="16332"/>
    <cellStyle name="Normal 4 4 3 2 7 5 2" xfId="32997"/>
    <cellStyle name="Normal 4 4 3 2 7 6" xfId="32993"/>
    <cellStyle name="Normal 4 4 3 2 8" xfId="16333"/>
    <cellStyle name="Normal 4 4 3 2 8 2" xfId="32998"/>
    <cellStyle name="Normal 4 4 3 2 9" xfId="16334"/>
    <cellStyle name="Normal 4 4 3 2 9 2" xfId="32999"/>
    <cellStyle name="Normal 4 4 3 20" xfId="16335"/>
    <cellStyle name="Normal 4 4 3 20 2" xfId="33000"/>
    <cellStyle name="Normal 4 4 3 21" xfId="40725"/>
    <cellStyle name="Normal 4 4 3 22" xfId="32926"/>
    <cellStyle name="Normal 4 4 3 3" xfId="16336"/>
    <cellStyle name="Normal 4 4 3 3 2" xfId="16337"/>
    <cellStyle name="Normal 4 4 3 3 2 2" xfId="16338"/>
    <cellStyle name="Normal 4 4 3 3 2 2 2" xfId="33003"/>
    <cellStyle name="Normal 4 4 3 3 2 3" xfId="16339"/>
    <cellStyle name="Normal 4 4 3 3 2 3 2" xfId="33004"/>
    <cellStyle name="Normal 4 4 3 3 2 4" xfId="16340"/>
    <cellStyle name="Normal 4 4 3 3 2 4 2" xfId="33005"/>
    <cellStyle name="Normal 4 4 3 3 2 5" xfId="16341"/>
    <cellStyle name="Normal 4 4 3 3 2 5 2" xfId="33006"/>
    <cellStyle name="Normal 4 4 3 3 2 6" xfId="33002"/>
    <cellStyle name="Normal 4 4 3 3 3" xfId="16342"/>
    <cellStyle name="Normal 4 4 3 3 3 2" xfId="33007"/>
    <cellStyle name="Normal 4 4 3 3 4" xfId="16343"/>
    <cellStyle name="Normal 4 4 3 3 4 2" xfId="33008"/>
    <cellStyle name="Normal 4 4 3 3 5" xfId="16344"/>
    <cellStyle name="Normal 4 4 3 3 5 2" xfId="33009"/>
    <cellStyle name="Normal 4 4 3 3 6" xfId="16345"/>
    <cellStyle name="Normal 4 4 3 3 6 2" xfId="33010"/>
    <cellStyle name="Normal 4 4 3 3 7" xfId="33001"/>
    <cellStyle name="Normal 4 4 3 4" xfId="16346"/>
    <cellStyle name="Normal 4 4 3 4 2" xfId="16347"/>
    <cellStyle name="Normal 4 4 3 4 2 2" xfId="16348"/>
    <cellStyle name="Normal 4 4 3 4 2 2 2" xfId="33013"/>
    <cellStyle name="Normal 4 4 3 4 2 3" xfId="16349"/>
    <cellStyle name="Normal 4 4 3 4 2 3 2" xfId="33014"/>
    <cellStyle name="Normal 4 4 3 4 2 4" xfId="16350"/>
    <cellStyle name="Normal 4 4 3 4 2 4 2" xfId="33015"/>
    <cellStyle name="Normal 4 4 3 4 2 5" xfId="16351"/>
    <cellStyle name="Normal 4 4 3 4 2 5 2" xfId="33016"/>
    <cellStyle name="Normal 4 4 3 4 2 6" xfId="33012"/>
    <cellStyle name="Normal 4 4 3 4 3" xfId="16352"/>
    <cellStyle name="Normal 4 4 3 4 3 2" xfId="33017"/>
    <cellStyle name="Normal 4 4 3 4 4" xfId="16353"/>
    <cellStyle name="Normal 4 4 3 4 4 2" xfId="33018"/>
    <cellStyle name="Normal 4 4 3 4 5" xfId="16354"/>
    <cellStyle name="Normal 4 4 3 4 5 2" xfId="33019"/>
    <cellStyle name="Normal 4 4 3 4 6" xfId="16355"/>
    <cellStyle name="Normal 4 4 3 4 6 2" xfId="33020"/>
    <cellStyle name="Normal 4 4 3 4 7" xfId="33011"/>
    <cellStyle name="Normal 4 4 3 5" xfId="16356"/>
    <cellStyle name="Normal 4 4 3 5 2" xfId="16357"/>
    <cellStyle name="Normal 4 4 3 5 2 2" xfId="33022"/>
    <cellStyle name="Normal 4 4 3 5 3" xfId="16358"/>
    <cellStyle name="Normal 4 4 3 5 3 2" xfId="33023"/>
    <cellStyle name="Normal 4 4 3 5 4" xfId="16359"/>
    <cellStyle name="Normal 4 4 3 5 4 2" xfId="33024"/>
    <cellStyle name="Normal 4 4 3 5 5" xfId="16360"/>
    <cellStyle name="Normal 4 4 3 5 5 2" xfId="33025"/>
    <cellStyle name="Normal 4 4 3 5 6" xfId="33021"/>
    <cellStyle name="Normal 4 4 3 6" xfId="16361"/>
    <cellStyle name="Normal 4 4 3 6 2" xfId="16362"/>
    <cellStyle name="Normal 4 4 3 6 2 2" xfId="33027"/>
    <cellStyle name="Normal 4 4 3 6 3" xfId="16363"/>
    <cellStyle name="Normal 4 4 3 6 3 2" xfId="33028"/>
    <cellStyle name="Normal 4 4 3 6 4" xfId="16364"/>
    <cellStyle name="Normal 4 4 3 6 4 2" xfId="33029"/>
    <cellStyle name="Normal 4 4 3 6 5" xfId="16365"/>
    <cellStyle name="Normal 4 4 3 6 5 2" xfId="33030"/>
    <cellStyle name="Normal 4 4 3 6 6" xfId="33026"/>
    <cellStyle name="Normal 4 4 3 7" xfId="16366"/>
    <cellStyle name="Normal 4 4 3 7 2" xfId="16367"/>
    <cellStyle name="Normal 4 4 3 7 2 2" xfId="33032"/>
    <cellStyle name="Normal 4 4 3 7 3" xfId="16368"/>
    <cellStyle name="Normal 4 4 3 7 3 2" xfId="33033"/>
    <cellStyle name="Normal 4 4 3 7 4" xfId="16369"/>
    <cellStyle name="Normal 4 4 3 7 4 2" xfId="33034"/>
    <cellStyle name="Normal 4 4 3 7 5" xfId="16370"/>
    <cellStyle name="Normal 4 4 3 7 5 2" xfId="33035"/>
    <cellStyle name="Normal 4 4 3 7 6" xfId="33031"/>
    <cellStyle name="Normal 4 4 3 8" xfId="16371"/>
    <cellStyle name="Normal 4 4 3 8 2" xfId="16372"/>
    <cellStyle name="Normal 4 4 3 8 2 2" xfId="33037"/>
    <cellStyle name="Normal 4 4 3 8 3" xfId="16373"/>
    <cellStyle name="Normal 4 4 3 8 3 2" xfId="33038"/>
    <cellStyle name="Normal 4 4 3 8 4" xfId="16374"/>
    <cellStyle name="Normal 4 4 3 8 4 2" xfId="33039"/>
    <cellStyle name="Normal 4 4 3 8 5" xfId="16375"/>
    <cellStyle name="Normal 4 4 3 8 5 2" xfId="33040"/>
    <cellStyle name="Normal 4 4 3 8 6" xfId="33036"/>
    <cellStyle name="Normal 4 4 3 9" xfId="16376"/>
    <cellStyle name="Normal 4 4 3 9 2" xfId="16377"/>
    <cellStyle name="Normal 4 4 3 9 2 2" xfId="33042"/>
    <cellStyle name="Normal 4 4 3 9 3" xfId="16378"/>
    <cellStyle name="Normal 4 4 3 9 3 2" xfId="33043"/>
    <cellStyle name="Normal 4 4 3 9 4" xfId="16379"/>
    <cellStyle name="Normal 4 4 3 9 4 2" xfId="33044"/>
    <cellStyle name="Normal 4 4 3 9 5" xfId="16380"/>
    <cellStyle name="Normal 4 4 3 9 5 2" xfId="33045"/>
    <cellStyle name="Normal 4 4 3 9 6" xfId="33041"/>
    <cellStyle name="Normal 4 4 30" xfId="40722"/>
    <cellStyle name="Normal 4 4 4" xfId="16381"/>
    <cellStyle name="Normal 4 4 4 10" xfId="16382"/>
    <cellStyle name="Normal 4 4 4 10 2" xfId="16383"/>
    <cellStyle name="Normal 4 4 4 10 2 2" xfId="33048"/>
    <cellStyle name="Normal 4 4 4 10 3" xfId="16384"/>
    <cellStyle name="Normal 4 4 4 10 3 2" xfId="33049"/>
    <cellStyle name="Normal 4 4 4 10 4" xfId="16385"/>
    <cellStyle name="Normal 4 4 4 10 4 2" xfId="33050"/>
    <cellStyle name="Normal 4 4 4 10 5" xfId="16386"/>
    <cellStyle name="Normal 4 4 4 10 5 2" xfId="33051"/>
    <cellStyle name="Normal 4 4 4 10 6" xfId="33047"/>
    <cellStyle name="Normal 4 4 4 11" xfId="16387"/>
    <cellStyle name="Normal 4 4 4 11 2" xfId="16388"/>
    <cellStyle name="Normal 4 4 4 11 2 2" xfId="33053"/>
    <cellStyle name="Normal 4 4 4 11 3" xfId="16389"/>
    <cellStyle name="Normal 4 4 4 11 3 2" xfId="33054"/>
    <cellStyle name="Normal 4 4 4 11 4" xfId="16390"/>
    <cellStyle name="Normal 4 4 4 11 4 2" xfId="33055"/>
    <cellStyle name="Normal 4 4 4 11 5" xfId="16391"/>
    <cellStyle name="Normal 4 4 4 11 5 2" xfId="33056"/>
    <cellStyle name="Normal 4 4 4 11 6" xfId="33052"/>
    <cellStyle name="Normal 4 4 4 12" xfId="16392"/>
    <cellStyle name="Normal 4 4 4 12 2" xfId="16393"/>
    <cellStyle name="Normal 4 4 4 12 2 2" xfId="33058"/>
    <cellStyle name="Normal 4 4 4 12 3" xfId="16394"/>
    <cellStyle name="Normal 4 4 4 12 3 2" xfId="33059"/>
    <cellStyle name="Normal 4 4 4 12 4" xfId="16395"/>
    <cellStyle name="Normal 4 4 4 12 4 2" xfId="33060"/>
    <cellStyle name="Normal 4 4 4 12 5" xfId="16396"/>
    <cellStyle name="Normal 4 4 4 12 5 2" xfId="33061"/>
    <cellStyle name="Normal 4 4 4 12 6" xfId="33057"/>
    <cellStyle name="Normal 4 4 4 13" xfId="16397"/>
    <cellStyle name="Normal 4 4 4 13 2" xfId="16398"/>
    <cellStyle name="Normal 4 4 4 13 2 2" xfId="33063"/>
    <cellStyle name="Normal 4 4 4 13 3" xfId="16399"/>
    <cellStyle name="Normal 4 4 4 13 3 2" xfId="33064"/>
    <cellStyle name="Normal 4 4 4 13 4" xfId="16400"/>
    <cellStyle name="Normal 4 4 4 13 4 2" xfId="33065"/>
    <cellStyle name="Normal 4 4 4 13 5" xfId="16401"/>
    <cellStyle name="Normal 4 4 4 13 5 2" xfId="33066"/>
    <cellStyle name="Normal 4 4 4 13 6" xfId="33062"/>
    <cellStyle name="Normal 4 4 4 14" xfId="16402"/>
    <cellStyle name="Normal 4 4 4 14 2" xfId="16403"/>
    <cellStyle name="Normal 4 4 4 14 2 2" xfId="33068"/>
    <cellStyle name="Normal 4 4 4 14 3" xfId="16404"/>
    <cellStyle name="Normal 4 4 4 14 3 2" xfId="33069"/>
    <cellStyle name="Normal 4 4 4 14 4" xfId="16405"/>
    <cellStyle name="Normal 4 4 4 14 4 2" xfId="33070"/>
    <cellStyle name="Normal 4 4 4 14 5" xfId="16406"/>
    <cellStyle name="Normal 4 4 4 14 5 2" xfId="33071"/>
    <cellStyle name="Normal 4 4 4 14 6" xfId="33067"/>
    <cellStyle name="Normal 4 4 4 15" xfId="16407"/>
    <cellStyle name="Normal 4 4 4 15 2" xfId="16408"/>
    <cellStyle name="Normal 4 4 4 15 2 2" xfId="33073"/>
    <cellStyle name="Normal 4 4 4 15 3" xfId="16409"/>
    <cellStyle name="Normal 4 4 4 15 3 2" xfId="33074"/>
    <cellStyle name="Normal 4 4 4 15 4" xfId="16410"/>
    <cellStyle name="Normal 4 4 4 15 4 2" xfId="33075"/>
    <cellStyle name="Normal 4 4 4 15 5" xfId="16411"/>
    <cellStyle name="Normal 4 4 4 15 5 2" xfId="33076"/>
    <cellStyle name="Normal 4 4 4 15 6" xfId="33072"/>
    <cellStyle name="Normal 4 4 4 16" xfId="16412"/>
    <cellStyle name="Normal 4 4 4 16 2" xfId="16413"/>
    <cellStyle name="Normal 4 4 4 16 2 2" xfId="33078"/>
    <cellStyle name="Normal 4 4 4 16 3" xfId="16414"/>
    <cellStyle name="Normal 4 4 4 16 3 2" xfId="33079"/>
    <cellStyle name="Normal 4 4 4 16 4" xfId="16415"/>
    <cellStyle name="Normal 4 4 4 16 4 2" xfId="33080"/>
    <cellStyle name="Normal 4 4 4 16 5" xfId="16416"/>
    <cellStyle name="Normal 4 4 4 16 5 2" xfId="33081"/>
    <cellStyle name="Normal 4 4 4 16 6" xfId="33077"/>
    <cellStyle name="Normal 4 4 4 17" xfId="16417"/>
    <cellStyle name="Normal 4 4 4 17 2" xfId="33082"/>
    <cellStyle name="Normal 4 4 4 18" xfId="16418"/>
    <cellStyle name="Normal 4 4 4 18 2" xfId="33083"/>
    <cellStyle name="Normal 4 4 4 19" xfId="16419"/>
    <cellStyle name="Normal 4 4 4 19 2" xfId="33084"/>
    <cellStyle name="Normal 4 4 4 2" xfId="16420"/>
    <cellStyle name="Normal 4 4 4 2 10" xfId="16421"/>
    <cellStyle name="Normal 4 4 4 2 10 2" xfId="33086"/>
    <cellStyle name="Normal 4 4 4 2 11" xfId="16422"/>
    <cellStyle name="Normal 4 4 4 2 11 2" xfId="33087"/>
    <cellStyle name="Normal 4 4 4 2 12" xfId="33085"/>
    <cellStyle name="Normal 4 4 4 2 2" xfId="16423"/>
    <cellStyle name="Normal 4 4 4 2 2 2" xfId="16424"/>
    <cellStyle name="Normal 4 4 4 2 2 2 2" xfId="33089"/>
    <cellStyle name="Normal 4 4 4 2 2 3" xfId="16425"/>
    <cellStyle name="Normal 4 4 4 2 2 3 2" xfId="33090"/>
    <cellStyle name="Normal 4 4 4 2 2 4" xfId="16426"/>
    <cellStyle name="Normal 4 4 4 2 2 4 2" xfId="33091"/>
    <cellStyle name="Normal 4 4 4 2 2 5" xfId="16427"/>
    <cellStyle name="Normal 4 4 4 2 2 5 2" xfId="33092"/>
    <cellStyle name="Normal 4 4 4 2 2 6" xfId="33088"/>
    <cellStyle name="Normal 4 4 4 2 3" xfId="16428"/>
    <cellStyle name="Normal 4 4 4 2 3 2" xfId="16429"/>
    <cellStyle name="Normal 4 4 4 2 3 2 2" xfId="33094"/>
    <cellStyle name="Normal 4 4 4 2 3 3" xfId="16430"/>
    <cellStyle name="Normal 4 4 4 2 3 3 2" xfId="33095"/>
    <cellStyle name="Normal 4 4 4 2 3 4" xfId="16431"/>
    <cellStyle name="Normal 4 4 4 2 3 4 2" xfId="33096"/>
    <cellStyle name="Normal 4 4 4 2 3 5" xfId="16432"/>
    <cellStyle name="Normal 4 4 4 2 3 5 2" xfId="33097"/>
    <cellStyle name="Normal 4 4 4 2 3 6" xfId="33093"/>
    <cellStyle name="Normal 4 4 4 2 4" xfId="16433"/>
    <cellStyle name="Normal 4 4 4 2 4 2" xfId="16434"/>
    <cellStyle name="Normal 4 4 4 2 4 2 2" xfId="33099"/>
    <cellStyle name="Normal 4 4 4 2 4 3" xfId="16435"/>
    <cellStyle name="Normal 4 4 4 2 4 3 2" xfId="33100"/>
    <cellStyle name="Normal 4 4 4 2 4 4" xfId="16436"/>
    <cellStyle name="Normal 4 4 4 2 4 4 2" xfId="33101"/>
    <cellStyle name="Normal 4 4 4 2 4 5" xfId="16437"/>
    <cellStyle name="Normal 4 4 4 2 4 5 2" xfId="33102"/>
    <cellStyle name="Normal 4 4 4 2 4 6" xfId="33098"/>
    <cellStyle name="Normal 4 4 4 2 5" xfId="16438"/>
    <cellStyle name="Normal 4 4 4 2 5 2" xfId="16439"/>
    <cellStyle name="Normal 4 4 4 2 5 2 2" xfId="33104"/>
    <cellStyle name="Normal 4 4 4 2 5 3" xfId="16440"/>
    <cellStyle name="Normal 4 4 4 2 5 3 2" xfId="33105"/>
    <cellStyle name="Normal 4 4 4 2 5 4" xfId="16441"/>
    <cellStyle name="Normal 4 4 4 2 5 4 2" xfId="33106"/>
    <cellStyle name="Normal 4 4 4 2 5 5" xfId="16442"/>
    <cellStyle name="Normal 4 4 4 2 5 5 2" xfId="33107"/>
    <cellStyle name="Normal 4 4 4 2 5 6" xfId="33103"/>
    <cellStyle name="Normal 4 4 4 2 6" xfId="16443"/>
    <cellStyle name="Normal 4 4 4 2 6 2" xfId="16444"/>
    <cellStyle name="Normal 4 4 4 2 6 2 2" xfId="33109"/>
    <cellStyle name="Normal 4 4 4 2 6 3" xfId="16445"/>
    <cellStyle name="Normal 4 4 4 2 6 3 2" xfId="33110"/>
    <cellStyle name="Normal 4 4 4 2 6 4" xfId="16446"/>
    <cellStyle name="Normal 4 4 4 2 6 4 2" xfId="33111"/>
    <cellStyle name="Normal 4 4 4 2 6 5" xfId="16447"/>
    <cellStyle name="Normal 4 4 4 2 6 5 2" xfId="33112"/>
    <cellStyle name="Normal 4 4 4 2 6 6" xfId="33108"/>
    <cellStyle name="Normal 4 4 4 2 7" xfId="16448"/>
    <cellStyle name="Normal 4 4 4 2 7 2" xfId="16449"/>
    <cellStyle name="Normal 4 4 4 2 7 2 2" xfId="33114"/>
    <cellStyle name="Normal 4 4 4 2 7 3" xfId="16450"/>
    <cellStyle name="Normal 4 4 4 2 7 3 2" xfId="33115"/>
    <cellStyle name="Normal 4 4 4 2 7 4" xfId="16451"/>
    <cellStyle name="Normal 4 4 4 2 7 4 2" xfId="33116"/>
    <cellStyle name="Normal 4 4 4 2 7 5" xfId="16452"/>
    <cellStyle name="Normal 4 4 4 2 7 5 2" xfId="33117"/>
    <cellStyle name="Normal 4 4 4 2 7 6" xfId="33113"/>
    <cellStyle name="Normal 4 4 4 2 8" xfId="16453"/>
    <cellStyle name="Normal 4 4 4 2 8 2" xfId="33118"/>
    <cellStyle name="Normal 4 4 4 2 9" xfId="16454"/>
    <cellStyle name="Normal 4 4 4 2 9 2" xfId="33119"/>
    <cellStyle name="Normal 4 4 4 20" xfId="16455"/>
    <cellStyle name="Normal 4 4 4 20 2" xfId="33120"/>
    <cellStyle name="Normal 4 4 4 21" xfId="40726"/>
    <cellStyle name="Normal 4 4 4 22" xfId="33046"/>
    <cellStyle name="Normal 4 4 4 3" xfId="16456"/>
    <cellStyle name="Normal 4 4 4 3 2" xfId="16457"/>
    <cellStyle name="Normal 4 4 4 3 2 2" xfId="16458"/>
    <cellStyle name="Normal 4 4 4 3 2 2 2" xfId="33123"/>
    <cellStyle name="Normal 4 4 4 3 2 3" xfId="16459"/>
    <cellStyle name="Normal 4 4 4 3 2 3 2" xfId="33124"/>
    <cellStyle name="Normal 4 4 4 3 2 4" xfId="16460"/>
    <cellStyle name="Normal 4 4 4 3 2 4 2" xfId="33125"/>
    <cellStyle name="Normal 4 4 4 3 2 5" xfId="16461"/>
    <cellStyle name="Normal 4 4 4 3 2 5 2" xfId="33126"/>
    <cellStyle name="Normal 4 4 4 3 2 6" xfId="33122"/>
    <cellStyle name="Normal 4 4 4 3 3" xfId="16462"/>
    <cellStyle name="Normal 4 4 4 3 3 2" xfId="33127"/>
    <cellStyle name="Normal 4 4 4 3 4" xfId="16463"/>
    <cellStyle name="Normal 4 4 4 3 4 2" xfId="33128"/>
    <cellStyle name="Normal 4 4 4 3 5" xfId="16464"/>
    <cellStyle name="Normal 4 4 4 3 5 2" xfId="33129"/>
    <cellStyle name="Normal 4 4 4 3 6" xfId="16465"/>
    <cellStyle name="Normal 4 4 4 3 6 2" xfId="33130"/>
    <cellStyle name="Normal 4 4 4 3 7" xfId="33121"/>
    <cellStyle name="Normal 4 4 4 4" xfId="16466"/>
    <cellStyle name="Normal 4 4 4 4 2" xfId="16467"/>
    <cellStyle name="Normal 4 4 4 4 2 2" xfId="16468"/>
    <cellStyle name="Normal 4 4 4 4 2 2 2" xfId="33133"/>
    <cellStyle name="Normal 4 4 4 4 2 3" xfId="16469"/>
    <cellStyle name="Normal 4 4 4 4 2 3 2" xfId="33134"/>
    <cellStyle name="Normal 4 4 4 4 2 4" xfId="16470"/>
    <cellStyle name="Normal 4 4 4 4 2 4 2" xfId="33135"/>
    <cellStyle name="Normal 4 4 4 4 2 5" xfId="16471"/>
    <cellStyle name="Normal 4 4 4 4 2 5 2" xfId="33136"/>
    <cellStyle name="Normal 4 4 4 4 2 6" xfId="33132"/>
    <cellStyle name="Normal 4 4 4 4 3" xfId="16472"/>
    <cellStyle name="Normal 4 4 4 4 3 2" xfId="33137"/>
    <cellStyle name="Normal 4 4 4 4 4" xfId="16473"/>
    <cellStyle name="Normal 4 4 4 4 4 2" xfId="33138"/>
    <cellStyle name="Normal 4 4 4 4 5" xfId="16474"/>
    <cellStyle name="Normal 4 4 4 4 5 2" xfId="33139"/>
    <cellStyle name="Normal 4 4 4 4 6" xfId="16475"/>
    <cellStyle name="Normal 4 4 4 4 6 2" xfId="33140"/>
    <cellStyle name="Normal 4 4 4 4 7" xfId="33131"/>
    <cellStyle name="Normal 4 4 4 5" xfId="16476"/>
    <cellStyle name="Normal 4 4 4 5 2" xfId="16477"/>
    <cellStyle name="Normal 4 4 4 5 2 2" xfId="33142"/>
    <cellStyle name="Normal 4 4 4 5 3" xfId="16478"/>
    <cellStyle name="Normal 4 4 4 5 3 2" xfId="33143"/>
    <cellStyle name="Normal 4 4 4 5 4" xfId="16479"/>
    <cellStyle name="Normal 4 4 4 5 4 2" xfId="33144"/>
    <cellStyle name="Normal 4 4 4 5 5" xfId="16480"/>
    <cellStyle name="Normal 4 4 4 5 5 2" xfId="33145"/>
    <cellStyle name="Normal 4 4 4 5 6" xfId="33141"/>
    <cellStyle name="Normal 4 4 4 6" xfId="16481"/>
    <cellStyle name="Normal 4 4 4 6 2" xfId="16482"/>
    <cellStyle name="Normal 4 4 4 6 2 2" xfId="33147"/>
    <cellStyle name="Normal 4 4 4 6 3" xfId="16483"/>
    <cellStyle name="Normal 4 4 4 6 3 2" xfId="33148"/>
    <cellStyle name="Normal 4 4 4 6 4" xfId="16484"/>
    <cellStyle name="Normal 4 4 4 6 4 2" xfId="33149"/>
    <cellStyle name="Normal 4 4 4 6 5" xfId="16485"/>
    <cellStyle name="Normal 4 4 4 6 5 2" xfId="33150"/>
    <cellStyle name="Normal 4 4 4 6 6" xfId="33146"/>
    <cellStyle name="Normal 4 4 4 7" xfId="16486"/>
    <cellStyle name="Normal 4 4 4 7 2" xfId="16487"/>
    <cellStyle name="Normal 4 4 4 7 2 2" xfId="33152"/>
    <cellStyle name="Normal 4 4 4 7 3" xfId="16488"/>
    <cellStyle name="Normal 4 4 4 7 3 2" xfId="33153"/>
    <cellStyle name="Normal 4 4 4 7 4" xfId="16489"/>
    <cellStyle name="Normal 4 4 4 7 4 2" xfId="33154"/>
    <cellStyle name="Normal 4 4 4 7 5" xfId="16490"/>
    <cellStyle name="Normal 4 4 4 7 5 2" xfId="33155"/>
    <cellStyle name="Normal 4 4 4 7 6" xfId="33151"/>
    <cellStyle name="Normal 4 4 4 8" xfId="16491"/>
    <cellStyle name="Normal 4 4 4 8 2" xfId="16492"/>
    <cellStyle name="Normal 4 4 4 8 2 2" xfId="33157"/>
    <cellStyle name="Normal 4 4 4 8 3" xfId="16493"/>
    <cellStyle name="Normal 4 4 4 8 3 2" xfId="33158"/>
    <cellStyle name="Normal 4 4 4 8 4" xfId="16494"/>
    <cellStyle name="Normal 4 4 4 8 4 2" xfId="33159"/>
    <cellStyle name="Normal 4 4 4 8 5" xfId="16495"/>
    <cellStyle name="Normal 4 4 4 8 5 2" xfId="33160"/>
    <cellStyle name="Normal 4 4 4 8 6" xfId="33156"/>
    <cellStyle name="Normal 4 4 4 9" xfId="16496"/>
    <cellStyle name="Normal 4 4 4 9 2" xfId="16497"/>
    <cellStyle name="Normal 4 4 4 9 2 2" xfId="33162"/>
    <cellStyle name="Normal 4 4 4 9 3" xfId="16498"/>
    <cellStyle name="Normal 4 4 4 9 3 2" xfId="33163"/>
    <cellStyle name="Normal 4 4 4 9 4" xfId="16499"/>
    <cellStyle name="Normal 4 4 4 9 4 2" xfId="33164"/>
    <cellStyle name="Normal 4 4 4 9 5" xfId="16500"/>
    <cellStyle name="Normal 4 4 4 9 5 2" xfId="33165"/>
    <cellStyle name="Normal 4 4 4 9 6" xfId="33161"/>
    <cellStyle name="Normal 4 4 5" xfId="16501"/>
    <cellStyle name="Normal 4 4 5 10" xfId="16502"/>
    <cellStyle name="Normal 4 4 5 10 2" xfId="16503"/>
    <cellStyle name="Normal 4 4 5 10 2 2" xfId="33168"/>
    <cellStyle name="Normal 4 4 5 10 3" xfId="16504"/>
    <cellStyle name="Normal 4 4 5 10 3 2" xfId="33169"/>
    <cellStyle name="Normal 4 4 5 10 4" xfId="16505"/>
    <cellStyle name="Normal 4 4 5 10 4 2" xfId="33170"/>
    <cellStyle name="Normal 4 4 5 10 5" xfId="16506"/>
    <cellStyle name="Normal 4 4 5 10 5 2" xfId="33171"/>
    <cellStyle name="Normal 4 4 5 10 6" xfId="33167"/>
    <cellStyle name="Normal 4 4 5 11" xfId="16507"/>
    <cellStyle name="Normal 4 4 5 11 2" xfId="16508"/>
    <cellStyle name="Normal 4 4 5 11 2 2" xfId="33173"/>
    <cellStyle name="Normal 4 4 5 11 3" xfId="16509"/>
    <cellStyle name="Normal 4 4 5 11 3 2" xfId="33174"/>
    <cellStyle name="Normal 4 4 5 11 4" xfId="16510"/>
    <cellStyle name="Normal 4 4 5 11 4 2" xfId="33175"/>
    <cellStyle name="Normal 4 4 5 11 5" xfId="16511"/>
    <cellStyle name="Normal 4 4 5 11 5 2" xfId="33176"/>
    <cellStyle name="Normal 4 4 5 11 6" xfId="33172"/>
    <cellStyle name="Normal 4 4 5 12" xfId="16512"/>
    <cellStyle name="Normal 4 4 5 12 2" xfId="16513"/>
    <cellStyle name="Normal 4 4 5 12 2 2" xfId="33178"/>
    <cellStyle name="Normal 4 4 5 12 3" xfId="16514"/>
    <cellStyle name="Normal 4 4 5 12 3 2" xfId="33179"/>
    <cellStyle name="Normal 4 4 5 12 4" xfId="16515"/>
    <cellStyle name="Normal 4 4 5 12 4 2" xfId="33180"/>
    <cellStyle name="Normal 4 4 5 12 5" xfId="16516"/>
    <cellStyle name="Normal 4 4 5 12 5 2" xfId="33181"/>
    <cellStyle name="Normal 4 4 5 12 6" xfId="33177"/>
    <cellStyle name="Normal 4 4 5 13" xfId="16517"/>
    <cellStyle name="Normal 4 4 5 13 2" xfId="16518"/>
    <cellStyle name="Normal 4 4 5 13 2 2" xfId="33183"/>
    <cellStyle name="Normal 4 4 5 13 3" xfId="16519"/>
    <cellStyle name="Normal 4 4 5 13 3 2" xfId="33184"/>
    <cellStyle name="Normal 4 4 5 13 4" xfId="16520"/>
    <cellStyle name="Normal 4 4 5 13 4 2" xfId="33185"/>
    <cellStyle name="Normal 4 4 5 13 5" xfId="16521"/>
    <cellStyle name="Normal 4 4 5 13 5 2" xfId="33186"/>
    <cellStyle name="Normal 4 4 5 13 6" xfId="33182"/>
    <cellStyle name="Normal 4 4 5 14" xfId="16522"/>
    <cellStyle name="Normal 4 4 5 14 2" xfId="16523"/>
    <cellStyle name="Normal 4 4 5 14 2 2" xfId="33188"/>
    <cellStyle name="Normal 4 4 5 14 3" xfId="16524"/>
    <cellStyle name="Normal 4 4 5 14 3 2" xfId="33189"/>
    <cellStyle name="Normal 4 4 5 14 4" xfId="16525"/>
    <cellStyle name="Normal 4 4 5 14 4 2" xfId="33190"/>
    <cellStyle name="Normal 4 4 5 14 5" xfId="16526"/>
    <cellStyle name="Normal 4 4 5 14 5 2" xfId="33191"/>
    <cellStyle name="Normal 4 4 5 14 6" xfId="33187"/>
    <cellStyle name="Normal 4 4 5 15" xfId="16527"/>
    <cellStyle name="Normal 4 4 5 15 2" xfId="16528"/>
    <cellStyle name="Normal 4 4 5 15 2 2" xfId="33193"/>
    <cellStyle name="Normal 4 4 5 15 3" xfId="16529"/>
    <cellStyle name="Normal 4 4 5 15 3 2" xfId="33194"/>
    <cellStyle name="Normal 4 4 5 15 4" xfId="16530"/>
    <cellStyle name="Normal 4 4 5 15 4 2" xfId="33195"/>
    <cellStyle name="Normal 4 4 5 15 5" xfId="16531"/>
    <cellStyle name="Normal 4 4 5 15 5 2" xfId="33196"/>
    <cellStyle name="Normal 4 4 5 15 6" xfId="33192"/>
    <cellStyle name="Normal 4 4 5 16" xfId="16532"/>
    <cellStyle name="Normal 4 4 5 16 2" xfId="16533"/>
    <cellStyle name="Normal 4 4 5 16 2 2" xfId="33198"/>
    <cellStyle name="Normal 4 4 5 16 3" xfId="16534"/>
    <cellStyle name="Normal 4 4 5 16 3 2" xfId="33199"/>
    <cellStyle name="Normal 4 4 5 16 4" xfId="16535"/>
    <cellStyle name="Normal 4 4 5 16 4 2" xfId="33200"/>
    <cellStyle name="Normal 4 4 5 16 5" xfId="16536"/>
    <cellStyle name="Normal 4 4 5 16 5 2" xfId="33201"/>
    <cellStyle name="Normal 4 4 5 16 6" xfId="33197"/>
    <cellStyle name="Normal 4 4 5 17" xfId="16537"/>
    <cellStyle name="Normal 4 4 5 17 2" xfId="33202"/>
    <cellStyle name="Normal 4 4 5 18" xfId="16538"/>
    <cellStyle name="Normal 4 4 5 18 2" xfId="33203"/>
    <cellStyle name="Normal 4 4 5 19" xfId="16539"/>
    <cellStyle name="Normal 4 4 5 19 2" xfId="33204"/>
    <cellStyle name="Normal 4 4 5 2" xfId="16540"/>
    <cellStyle name="Normal 4 4 5 2 10" xfId="16541"/>
    <cellStyle name="Normal 4 4 5 2 10 2" xfId="33206"/>
    <cellStyle name="Normal 4 4 5 2 11" xfId="16542"/>
    <cellStyle name="Normal 4 4 5 2 11 2" xfId="33207"/>
    <cellStyle name="Normal 4 4 5 2 12" xfId="33205"/>
    <cellStyle name="Normal 4 4 5 2 2" xfId="16543"/>
    <cellStyle name="Normal 4 4 5 2 2 2" xfId="16544"/>
    <cellStyle name="Normal 4 4 5 2 2 2 2" xfId="33209"/>
    <cellStyle name="Normal 4 4 5 2 2 3" xfId="16545"/>
    <cellStyle name="Normal 4 4 5 2 2 3 2" xfId="33210"/>
    <cellStyle name="Normal 4 4 5 2 2 4" xfId="16546"/>
    <cellStyle name="Normal 4 4 5 2 2 4 2" xfId="33211"/>
    <cellStyle name="Normal 4 4 5 2 2 5" xfId="16547"/>
    <cellStyle name="Normal 4 4 5 2 2 5 2" xfId="33212"/>
    <cellStyle name="Normal 4 4 5 2 2 6" xfId="33208"/>
    <cellStyle name="Normal 4 4 5 2 3" xfId="16548"/>
    <cellStyle name="Normal 4 4 5 2 3 2" xfId="16549"/>
    <cellStyle name="Normal 4 4 5 2 3 2 2" xfId="33214"/>
    <cellStyle name="Normal 4 4 5 2 3 3" xfId="16550"/>
    <cellStyle name="Normal 4 4 5 2 3 3 2" xfId="33215"/>
    <cellStyle name="Normal 4 4 5 2 3 4" xfId="16551"/>
    <cellStyle name="Normal 4 4 5 2 3 4 2" xfId="33216"/>
    <cellStyle name="Normal 4 4 5 2 3 5" xfId="16552"/>
    <cellStyle name="Normal 4 4 5 2 3 5 2" xfId="33217"/>
    <cellStyle name="Normal 4 4 5 2 3 6" xfId="33213"/>
    <cellStyle name="Normal 4 4 5 2 4" xfId="16553"/>
    <cellStyle name="Normal 4 4 5 2 4 2" xfId="16554"/>
    <cellStyle name="Normal 4 4 5 2 4 2 2" xfId="33219"/>
    <cellStyle name="Normal 4 4 5 2 4 3" xfId="16555"/>
    <cellStyle name="Normal 4 4 5 2 4 3 2" xfId="33220"/>
    <cellStyle name="Normal 4 4 5 2 4 4" xfId="16556"/>
    <cellStyle name="Normal 4 4 5 2 4 4 2" xfId="33221"/>
    <cellStyle name="Normal 4 4 5 2 4 5" xfId="16557"/>
    <cellStyle name="Normal 4 4 5 2 4 5 2" xfId="33222"/>
    <cellStyle name="Normal 4 4 5 2 4 6" xfId="33218"/>
    <cellStyle name="Normal 4 4 5 2 5" xfId="16558"/>
    <cellStyle name="Normal 4 4 5 2 5 2" xfId="16559"/>
    <cellStyle name="Normal 4 4 5 2 5 2 2" xfId="33224"/>
    <cellStyle name="Normal 4 4 5 2 5 3" xfId="16560"/>
    <cellStyle name="Normal 4 4 5 2 5 3 2" xfId="33225"/>
    <cellStyle name="Normal 4 4 5 2 5 4" xfId="16561"/>
    <cellStyle name="Normal 4 4 5 2 5 4 2" xfId="33226"/>
    <cellStyle name="Normal 4 4 5 2 5 5" xfId="16562"/>
    <cellStyle name="Normal 4 4 5 2 5 5 2" xfId="33227"/>
    <cellStyle name="Normal 4 4 5 2 5 6" xfId="33223"/>
    <cellStyle name="Normal 4 4 5 2 6" xfId="16563"/>
    <cellStyle name="Normal 4 4 5 2 6 2" xfId="16564"/>
    <cellStyle name="Normal 4 4 5 2 6 2 2" xfId="33229"/>
    <cellStyle name="Normal 4 4 5 2 6 3" xfId="16565"/>
    <cellStyle name="Normal 4 4 5 2 6 3 2" xfId="33230"/>
    <cellStyle name="Normal 4 4 5 2 6 4" xfId="16566"/>
    <cellStyle name="Normal 4 4 5 2 6 4 2" xfId="33231"/>
    <cellStyle name="Normal 4 4 5 2 6 5" xfId="16567"/>
    <cellStyle name="Normal 4 4 5 2 6 5 2" xfId="33232"/>
    <cellStyle name="Normal 4 4 5 2 6 6" xfId="33228"/>
    <cellStyle name="Normal 4 4 5 2 7" xfId="16568"/>
    <cellStyle name="Normal 4 4 5 2 7 2" xfId="16569"/>
    <cellStyle name="Normal 4 4 5 2 7 2 2" xfId="33234"/>
    <cellStyle name="Normal 4 4 5 2 7 3" xfId="16570"/>
    <cellStyle name="Normal 4 4 5 2 7 3 2" xfId="33235"/>
    <cellStyle name="Normal 4 4 5 2 7 4" xfId="16571"/>
    <cellStyle name="Normal 4 4 5 2 7 4 2" xfId="33236"/>
    <cellStyle name="Normal 4 4 5 2 7 5" xfId="16572"/>
    <cellStyle name="Normal 4 4 5 2 7 5 2" xfId="33237"/>
    <cellStyle name="Normal 4 4 5 2 7 6" xfId="33233"/>
    <cellStyle name="Normal 4 4 5 2 8" xfId="16573"/>
    <cellStyle name="Normal 4 4 5 2 8 2" xfId="33238"/>
    <cellStyle name="Normal 4 4 5 2 9" xfId="16574"/>
    <cellStyle name="Normal 4 4 5 2 9 2" xfId="33239"/>
    <cellStyle name="Normal 4 4 5 20" xfId="16575"/>
    <cellStyle name="Normal 4 4 5 20 2" xfId="33240"/>
    <cellStyle name="Normal 4 4 5 21" xfId="33166"/>
    <cellStyle name="Normal 4 4 5 3" xfId="16576"/>
    <cellStyle name="Normal 4 4 5 3 2" xfId="16577"/>
    <cellStyle name="Normal 4 4 5 3 2 2" xfId="16578"/>
    <cellStyle name="Normal 4 4 5 3 2 2 2" xfId="33243"/>
    <cellStyle name="Normal 4 4 5 3 2 3" xfId="16579"/>
    <cellStyle name="Normal 4 4 5 3 2 3 2" xfId="33244"/>
    <cellStyle name="Normal 4 4 5 3 2 4" xfId="16580"/>
    <cellStyle name="Normal 4 4 5 3 2 4 2" xfId="33245"/>
    <cellStyle name="Normal 4 4 5 3 2 5" xfId="16581"/>
    <cellStyle name="Normal 4 4 5 3 2 5 2" xfId="33246"/>
    <cellStyle name="Normal 4 4 5 3 2 6" xfId="33242"/>
    <cellStyle name="Normal 4 4 5 3 3" xfId="16582"/>
    <cellStyle name="Normal 4 4 5 3 3 2" xfId="33247"/>
    <cellStyle name="Normal 4 4 5 3 4" xfId="16583"/>
    <cellStyle name="Normal 4 4 5 3 4 2" xfId="33248"/>
    <cellStyle name="Normal 4 4 5 3 5" xfId="16584"/>
    <cellStyle name="Normal 4 4 5 3 5 2" xfId="33249"/>
    <cellStyle name="Normal 4 4 5 3 6" xfId="16585"/>
    <cellStyle name="Normal 4 4 5 3 6 2" xfId="33250"/>
    <cellStyle name="Normal 4 4 5 3 7" xfId="33241"/>
    <cellStyle name="Normal 4 4 5 4" xfId="16586"/>
    <cellStyle name="Normal 4 4 5 4 2" xfId="16587"/>
    <cellStyle name="Normal 4 4 5 4 2 2" xfId="16588"/>
    <cellStyle name="Normal 4 4 5 4 2 2 2" xfId="33253"/>
    <cellStyle name="Normal 4 4 5 4 2 3" xfId="16589"/>
    <cellStyle name="Normal 4 4 5 4 2 3 2" xfId="33254"/>
    <cellStyle name="Normal 4 4 5 4 2 4" xfId="16590"/>
    <cellStyle name="Normal 4 4 5 4 2 4 2" xfId="33255"/>
    <cellStyle name="Normal 4 4 5 4 2 5" xfId="16591"/>
    <cellStyle name="Normal 4 4 5 4 2 5 2" xfId="33256"/>
    <cellStyle name="Normal 4 4 5 4 2 6" xfId="33252"/>
    <cellStyle name="Normal 4 4 5 4 3" xfId="16592"/>
    <cellStyle name="Normal 4 4 5 4 3 2" xfId="33257"/>
    <cellStyle name="Normal 4 4 5 4 4" xfId="16593"/>
    <cellStyle name="Normal 4 4 5 4 4 2" xfId="33258"/>
    <cellStyle name="Normal 4 4 5 4 5" xfId="16594"/>
    <cellStyle name="Normal 4 4 5 4 5 2" xfId="33259"/>
    <cellStyle name="Normal 4 4 5 4 6" xfId="16595"/>
    <cellStyle name="Normal 4 4 5 4 6 2" xfId="33260"/>
    <cellStyle name="Normal 4 4 5 4 7" xfId="33251"/>
    <cellStyle name="Normal 4 4 5 5" xfId="16596"/>
    <cellStyle name="Normal 4 4 5 5 2" xfId="16597"/>
    <cellStyle name="Normal 4 4 5 5 2 2" xfId="33262"/>
    <cellStyle name="Normal 4 4 5 5 3" xfId="16598"/>
    <cellStyle name="Normal 4 4 5 5 3 2" xfId="33263"/>
    <cellStyle name="Normal 4 4 5 5 4" xfId="16599"/>
    <cellStyle name="Normal 4 4 5 5 4 2" xfId="33264"/>
    <cellStyle name="Normal 4 4 5 5 5" xfId="16600"/>
    <cellStyle name="Normal 4 4 5 5 5 2" xfId="33265"/>
    <cellStyle name="Normal 4 4 5 5 6" xfId="33261"/>
    <cellStyle name="Normal 4 4 5 6" xfId="16601"/>
    <cellStyle name="Normal 4 4 5 6 2" xfId="16602"/>
    <cellStyle name="Normal 4 4 5 6 2 2" xfId="33267"/>
    <cellStyle name="Normal 4 4 5 6 3" xfId="16603"/>
    <cellStyle name="Normal 4 4 5 6 3 2" xfId="33268"/>
    <cellStyle name="Normal 4 4 5 6 4" xfId="16604"/>
    <cellStyle name="Normal 4 4 5 6 4 2" xfId="33269"/>
    <cellStyle name="Normal 4 4 5 6 5" xfId="16605"/>
    <cellStyle name="Normal 4 4 5 6 5 2" xfId="33270"/>
    <cellStyle name="Normal 4 4 5 6 6" xfId="33266"/>
    <cellStyle name="Normal 4 4 5 7" xfId="16606"/>
    <cellStyle name="Normal 4 4 5 7 2" xfId="16607"/>
    <cellStyle name="Normal 4 4 5 7 2 2" xfId="33272"/>
    <cellStyle name="Normal 4 4 5 7 3" xfId="16608"/>
    <cellStyle name="Normal 4 4 5 7 3 2" xfId="33273"/>
    <cellStyle name="Normal 4 4 5 7 4" xfId="16609"/>
    <cellStyle name="Normal 4 4 5 7 4 2" xfId="33274"/>
    <cellStyle name="Normal 4 4 5 7 5" xfId="16610"/>
    <cellStyle name="Normal 4 4 5 7 5 2" xfId="33275"/>
    <cellStyle name="Normal 4 4 5 7 6" xfId="33271"/>
    <cellStyle name="Normal 4 4 5 8" xfId="16611"/>
    <cellStyle name="Normal 4 4 5 8 2" xfId="16612"/>
    <cellStyle name="Normal 4 4 5 8 2 2" xfId="33277"/>
    <cellStyle name="Normal 4 4 5 8 3" xfId="16613"/>
    <cellStyle name="Normal 4 4 5 8 3 2" xfId="33278"/>
    <cellStyle name="Normal 4 4 5 8 4" xfId="16614"/>
    <cellStyle name="Normal 4 4 5 8 4 2" xfId="33279"/>
    <cellStyle name="Normal 4 4 5 8 5" xfId="16615"/>
    <cellStyle name="Normal 4 4 5 8 5 2" xfId="33280"/>
    <cellStyle name="Normal 4 4 5 8 6" xfId="33276"/>
    <cellStyle name="Normal 4 4 5 9" xfId="16616"/>
    <cellStyle name="Normal 4 4 5 9 2" xfId="16617"/>
    <cellStyle name="Normal 4 4 5 9 2 2" xfId="33282"/>
    <cellStyle name="Normal 4 4 5 9 3" xfId="16618"/>
    <cellStyle name="Normal 4 4 5 9 3 2" xfId="33283"/>
    <cellStyle name="Normal 4 4 5 9 4" xfId="16619"/>
    <cellStyle name="Normal 4 4 5 9 4 2" xfId="33284"/>
    <cellStyle name="Normal 4 4 5 9 5" xfId="16620"/>
    <cellStyle name="Normal 4 4 5 9 5 2" xfId="33285"/>
    <cellStyle name="Normal 4 4 5 9 6" xfId="33281"/>
    <cellStyle name="Normal 4 4 6" xfId="16621"/>
    <cellStyle name="Normal 4 4 6 10" xfId="16622"/>
    <cellStyle name="Normal 4 4 6 11" xfId="16623"/>
    <cellStyle name="Normal 4 4 6 12" xfId="16624"/>
    <cellStyle name="Normal 4 4 6 13" xfId="16625"/>
    <cellStyle name="Normal 4 4 6 14" xfId="16626"/>
    <cellStyle name="Normal 4 4 6 15" xfId="16627"/>
    <cellStyle name="Normal 4 4 6 16" xfId="16628"/>
    <cellStyle name="Normal 4 4 6 2" xfId="16629"/>
    <cellStyle name="Normal 4 4 6 3" xfId="16630"/>
    <cellStyle name="Normal 4 4 6 4" xfId="16631"/>
    <cellStyle name="Normal 4 4 6 5" xfId="16632"/>
    <cellStyle name="Normal 4 4 6 6" xfId="16633"/>
    <cellStyle name="Normal 4 4 6 7" xfId="16634"/>
    <cellStyle name="Normal 4 4 6 8" xfId="16635"/>
    <cellStyle name="Normal 4 4 6 9" xfId="16636"/>
    <cellStyle name="Normal 4 4 7" xfId="16637"/>
    <cellStyle name="Normal 4 4 7 10" xfId="16638"/>
    <cellStyle name="Normal 4 4 7 11" xfId="16639"/>
    <cellStyle name="Normal 4 4 7 12" xfId="16640"/>
    <cellStyle name="Normal 4 4 7 13" xfId="16641"/>
    <cellStyle name="Normal 4 4 7 14" xfId="16642"/>
    <cellStyle name="Normal 4 4 7 15" xfId="16643"/>
    <cellStyle name="Normal 4 4 7 16" xfId="16644"/>
    <cellStyle name="Normal 4 4 7 2" xfId="16645"/>
    <cellStyle name="Normal 4 4 7 3" xfId="16646"/>
    <cellStyle name="Normal 4 4 7 4" xfId="16647"/>
    <cellStyle name="Normal 4 4 7 5" xfId="16648"/>
    <cellStyle name="Normal 4 4 7 6" xfId="16649"/>
    <cellStyle name="Normal 4 4 7 7" xfId="16650"/>
    <cellStyle name="Normal 4 4 7 8" xfId="16651"/>
    <cellStyle name="Normal 4 4 7 9" xfId="16652"/>
    <cellStyle name="Normal 4 4 8" xfId="16653"/>
    <cellStyle name="Normal 4 4 8 10" xfId="16654"/>
    <cellStyle name="Normal 4 4 8 10 2" xfId="16655"/>
    <cellStyle name="Normal 4 4 8 10 2 2" xfId="33288"/>
    <cellStyle name="Normal 4 4 8 10 3" xfId="16656"/>
    <cellStyle name="Normal 4 4 8 10 3 2" xfId="33289"/>
    <cellStyle name="Normal 4 4 8 10 4" xfId="16657"/>
    <cellStyle name="Normal 4 4 8 10 4 2" xfId="33290"/>
    <cellStyle name="Normal 4 4 8 10 5" xfId="16658"/>
    <cellStyle name="Normal 4 4 8 10 5 2" xfId="33291"/>
    <cellStyle name="Normal 4 4 8 10 6" xfId="33287"/>
    <cellStyle name="Normal 4 4 8 11" xfId="16659"/>
    <cellStyle name="Normal 4 4 8 11 2" xfId="16660"/>
    <cellStyle name="Normal 4 4 8 11 2 2" xfId="33293"/>
    <cellStyle name="Normal 4 4 8 11 3" xfId="16661"/>
    <cellStyle name="Normal 4 4 8 11 3 2" xfId="33294"/>
    <cellStyle name="Normal 4 4 8 11 4" xfId="16662"/>
    <cellStyle name="Normal 4 4 8 11 4 2" xfId="33295"/>
    <cellStyle name="Normal 4 4 8 11 5" xfId="16663"/>
    <cellStyle name="Normal 4 4 8 11 5 2" xfId="33296"/>
    <cellStyle name="Normal 4 4 8 11 6" xfId="33292"/>
    <cellStyle name="Normal 4 4 8 12" xfId="16664"/>
    <cellStyle name="Normal 4 4 8 12 2" xfId="16665"/>
    <cellStyle name="Normal 4 4 8 12 2 2" xfId="33298"/>
    <cellStyle name="Normal 4 4 8 12 3" xfId="16666"/>
    <cellStyle name="Normal 4 4 8 12 3 2" xfId="33299"/>
    <cellStyle name="Normal 4 4 8 12 4" xfId="16667"/>
    <cellStyle name="Normal 4 4 8 12 4 2" xfId="33300"/>
    <cellStyle name="Normal 4 4 8 12 5" xfId="16668"/>
    <cellStyle name="Normal 4 4 8 12 5 2" xfId="33301"/>
    <cellStyle name="Normal 4 4 8 12 6" xfId="33297"/>
    <cellStyle name="Normal 4 4 8 13" xfId="16669"/>
    <cellStyle name="Normal 4 4 8 13 2" xfId="16670"/>
    <cellStyle name="Normal 4 4 8 13 2 2" xfId="33303"/>
    <cellStyle name="Normal 4 4 8 13 3" xfId="16671"/>
    <cellStyle name="Normal 4 4 8 13 3 2" xfId="33304"/>
    <cellStyle name="Normal 4 4 8 13 4" xfId="16672"/>
    <cellStyle name="Normal 4 4 8 13 4 2" xfId="33305"/>
    <cellStyle name="Normal 4 4 8 13 5" xfId="16673"/>
    <cellStyle name="Normal 4 4 8 13 5 2" xfId="33306"/>
    <cellStyle name="Normal 4 4 8 13 6" xfId="33302"/>
    <cellStyle name="Normal 4 4 8 14" xfId="16674"/>
    <cellStyle name="Normal 4 4 8 14 2" xfId="16675"/>
    <cellStyle name="Normal 4 4 8 14 2 2" xfId="33308"/>
    <cellStyle name="Normal 4 4 8 14 3" xfId="16676"/>
    <cellStyle name="Normal 4 4 8 14 3 2" xfId="33309"/>
    <cellStyle name="Normal 4 4 8 14 4" xfId="16677"/>
    <cellStyle name="Normal 4 4 8 14 4 2" xfId="33310"/>
    <cellStyle name="Normal 4 4 8 14 5" xfId="16678"/>
    <cellStyle name="Normal 4 4 8 14 5 2" xfId="33311"/>
    <cellStyle name="Normal 4 4 8 14 6" xfId="33307"/>
    <cellStyle name="Normal 4 4 8 15" xfId="16679"/>
    <cellStyle name="Normal 4 4 8 15 2" xfId="16680"/>
    <cellStyle name="Normal 4 4 8 15 2 2" xfId="33313"/>
    <cellStyle name="Normal 4 4 8 15 3" xfId="16681"/>
    <cellStyle name="Normal 4 4 8 15 3 2" xfId="33314"/>
    <cellStyle name="Normal 4 4 8 15 4" xfId="16682"/>
    <cellStyle name="Normal 4 4 8 15 4 2" xfId="33315"/>
    <cellStyle name="Normal 4 4 8 15 5" xfId="16683"/>
    <cellStyle name="Normal 4 4 8 15 5 2" xfId="33316"/>
    <cellStyle name="Normal 4 4 8 15 6" xfId="33312"/>
    <cellStyle name="Normal 4 4 8 16" xfId="16684"/>
    <cellStyle name="Normal 4 4 8 16 2" xfId="16685"/>
    <cellStyle name="Normal 4 4 8 16 2 2" xfId="33318"/>
    <cellStyle name="Normal 4 4 8 16 3" xfId="16686"/>
    <cellStyle name="Normal 4 4 8 16 3 2" xfId="33319"/>
    <cellStyle name="Normal 4 4 8 16 4" xfId="16687"/>
    <cellStyle name="Normal 4 4 8 16 4 2" xfId="33320"/>
    <cellStyle name="Normal 4 4 8 16 5" xfId="16688"/>
    <cellStyle name="Normal 4 4 8 16 5 2" xfId="33321"/>
    <cellStyle name="Normal 4 4 8 16 6" xfId="33317"/>
    <cellStyle name="Normal 4 4 8 17" xfId="16689"/>
    <cellStyle name="Normal 4 4 8 17 2" xfId="33322"/>
    <cellStyle name="Normal 4 4 8 18" xfId="16690"/>
    <cellStyle name="Normal 4 4 8 18 2" xfId="33323"/>
    <cellStyle name="Normal 4 4 8 19" xfId="16691"/>
    <cellStyle name="Normal 4 4 8 19 2" xfId="33324"/>
    <cellStyle name="Normal 4 4 8 2" xfId="16692"/>
    <cellStyle name="Normal 4 4 8 20" xfId="16693"/>
    <cellStyle name="Normal 4 4 8 20 2" xfId="33325"/>
    <cellStyle name="Normal 4 4 8 21" xfId="33286"/>
    <cellStyle name="Normal 4 4 8 3" xfId="16694"/>
    <cellStyle name="Normal 4 4 8 3 2" xfId="16695"/>
    <cellStyle name="Normal 4 4 8 3 2 2" xfId="33327"/>
    <cellStyle name="Normal 4 4 8 3 3" xfId="16696"/>
    <cellStyle name="Normal 4 4 8 3 3 2" xfId="33328"/>
    <cellStyle name="Normal 4 4 8 3 4" xfId="16697"/>
    <cellStyle name="Normal 4 4 8 3 4 2" xfId="33329"/>
    <cellStyle name="Normal 4 4 8 3 5" xfId="16698"/>
    <cellStyle name="Normal 4 4 8 3 5 2" xfId="33330"/>
    <cellStyle name="Normal 4 4 8 3 6" xfId="33326"/>
    <cellStyle name="Normal 4 4 8 4" xfId="16699"/>
    <cellStyle name="Normal 4 4 8 4 2" xfId="16700"/>
    <cellStyle name="Normal 4 4 8 4 2 2" xfId="33332"/>
    <cellStyle name="Normal 4 4 8 4 3" xfId="16701"/>
    <cellStyle name="Normal 4 4 8 4 3 2" xfId="33333"/>
    <cellStyle name="Normal 4 4 8 4 4" xfId="16702"/>
    <cellStyle name="Normal 4 4 8 4 4 2" xfId="33334"/>
    <cellStyle name="Normal 4 4 8 4 5" xfId="16703"/>
    <cellStyle name="Normal 4 4 8 4 5 2" xfId="33335"/>
    <cellStyle name="Normal 4 4 8 4 6" xfId="33331"/>
    <cellStyle name="Normal 4 4 8 5" xfId="16704"/>
    <cellStyle name="Normal 4 4 8 5 2" xfId="16705"/>
    <cellStyle name="Normal 4 4 8 5 2 2" xfId="33337"/>
    <cellStyle name="Normal 4 4 8 5 3" xfId="16706"/>
    <cellStyle name="Normal 4 4 8 5 3 2" xfId="33338"/>
    <cellStyle name="Normal 4 4 8 5 4" xfId="16707"/>
    <cellStyle name="Normal 4 4 8 5 4 2" xfId="33339"/>
    <cellStyle name="Normal 4 4 8 5 5" xfId="16708"/>
    <cellStyle name="Normal 4 4 8 5 5 2" xfId="33340"/>
    <cellStyle name="Normal 4 4 8 5 6" xfId="33336"/>
    <cellStyle name="Normal 4 4 8 6" xfId="16709"/>
    <cellStyle name="Normal 4 4 8 6 2" xfId="16710"/>
    <cellStyle name="Normal 4 4 8 6 2 2" xfId="33342"/>
    <cellStyle name="Normal 4 4 8 6 3" xfId="16711"/>
    <cellStyle name="Normal 4 4 8 6 3 2" xfId="33343"/>
    <cellStyle name="Normal 4 4 8 6 4" xfId="16712"/>
    <cellStyle name="Normal 4 4 8 6 4 2" xfId="33344"/>
    <cellStyle name="Normal 4 4 8 6 5" xfId="16713"/>
    <cellStyle name="Normal 4 4 8 6 5 2" xfId="33345"/>
    <cellStyle name="Normal 4 4 8 6 6" xfId="33341"/>
    <cellStyle name="Normal 4 4 8 7" xfId="16714"/>
    <cellStyle name="Normal 4 4 8 7 2" xfId="16715"/>
    <cellStyle name="Normal 4 4 8 7 2 2" xfId="33347"/>
    <cellStyle name="Normal 4 4 8 7 3" xfId="16716"/>
    <cellStyle name="Normal 4 4 8 7 3 2" xfId="33348"/>
    <cellStyle name="Normal 4 4 8 7 4" xfId="16717"/>
    <cellStyle name="Normal 4 4 8 7 4 2" xfId="33349"/>
    <cellStyle name="Normal 4 4 8 7 5" xfId="16718"/>
    <cellStyle name="Normal 4 4 8 7 5 2" xfId="33350"/>
    <cellStyle name="Normal 4 4 8 7 6" xfId="33346"/>
    <cellStyle name="Normal 4 4 8 8" xfId="16719"/>
    <cellStyle name="Normal 4 4 8 8 2" xfId="16720"/>
    <cellStyle name="Normal 4 4 8 8 2 2" xfId="33352"/>
    <cellStyle name="Normal 4 4 8 8 3" xfId="16721"/>
    <cellStyle name="Normal 4 4 8 8 3 2" xfId="33353"/>
    <cellStyle name="Normal 4 4 8 8 4" xfId="16722"/>
    <cellStyle name="Normal 4 4 8 8 4 2" xfId="33354"/>
    <cellStyle name="Normal 4 4 8 8 5" xfId="16723"/>
    <cellStyle name="Normal 4 4 8 8 5 2" xfId="33355"/>
    <cellStyle name="Normal 4 4 8 8 6" xfId="33351"/>
    <cellStyle name="Normal 4 4 8 9" xfId="16724"/>
    <cellStyle name="Normal 4 4 8 9 2" xfId="16725"/>
    <cellStyle name="Normal 4 4 8 9 2 2" xfId="33357"/>
    <cellStyle name="Normal 4 4 8 9 3" xfId="16726"/>
    <cellStyle name="Normal 4 4 8 9 3 2" xfId="33358"/>
    <cellStyle name="Normal 4 4 8 9 4" xfId="16727"/>
    <cellStyle name="Normal 4 4 8 9 4 2" xfId="33359"/>
    <cellStyle name="Normal 4 4 8 9 5" xfId="16728"/>
    <cellStyle name="Normal 4 4 8 9 5 2" xfId="33360"/>
    <cellStyle name="Normal 4 4 8 9 6" xfId="33356"/>
    <cellStyle name="Normal 4 4 9" xfId="16729"/>
    <cellStyle name="Normal 4 4 9 2" xfId="16730"/>
    <cellStyle name="Normal 4 4 9 3" xfId="16731"/>
    <cellStyle name="Normal 4 4 9 3 2" xfId="33362"/>
    <cellStyle name="Normal 4 4 9 4" xfId="16732"/>
    <cellStyle name="Normal 4 4 9 4 2" xfId="33363"/>
    <cellStyle name="Normal 4 4 9 5" xfId="16733"/>
    <cellStyle name="Normal 4 4 9 5 2" xfId="33364"/>
    <cellStyle name="Normal 4 4 9 6" xfId="16734"/>
    <cellStyle name="Normal 4 4 9 6 2" xfId="33365"/>
    <cellStyle name="Normal 4 4 9 7" xfId="33361"/>
    <cellStyle name="Normal 4 40" xfId="16735"/>
    <cellStyle name="Normal 4 40 2" xfId="33366"/>
    <cellStyle name="Normal 4 41" xfId="15025"/>
    <cellStyle name="Normal 4 5" xfId="16736"/>
    <cellStyle name="Normal 4 5 10" xfId="16737"/>
    <cellStyle name="Normal 4 5 10 2" xfId="16738"/>
    <cellStyle name="Normal 4 5 10 2 2" xfId="33368"/>
    <cellStyle name="Normal 4 5 10 3" xfId="16739"/>
    <cellStyle name="Normal 4 5 10 3 2" xfId="33369"/>
    <cellStyle name="Normal 4 5 10 4" xfId="16740"/>
    <cellStyle name="Normal 4 5 10 4 2" xfId="33370"/>
    <cellStyle name="Normal 4 5 10 5" xfId="16741"/>
    <cellStyle name="Normal 4 5 10 5 2" xfId="33371"/>
    <cellStyle name="Normal 4 5 10 6" xfId="33367"/>
    <cellStyle name="Normal 4 5 11" xfId="16742"/>
    <cellStyle name="Normal 4 5 11 2" xfId="16743"/>
    <cellStyle name="Normal 4 5 11 2 2" xfId="33373"/>
    <cellStyle name="Normal 4 5 11 3" xfId="16744"/>
    <cellStyle name="Normal 4 5 11 3 2" xfId="33374"/>
    <cellStyle name="Normal 4 5 11 4" xfId="16745"/>
    <cellStyle name="Normal 4 5 11 4 2" xfId="33375"/>
    <cellStyle name="Normal 4 5 11 5" xfId="16746"/>
    <cellStyle name="Normal 4 5 11 5 2" xfId="33376"/>
    <cellStyle name="Normal 4 5 11 6" xfId="33372"/>
    <cellStyle name="Normal 4 5 12" xfId="16747"/>
    <cellStyle name="Normal 4 5 12 2" xfId="16748"/>
    <cellStyle name="Normal 4 5 12 2 2" xfId="33378"/>
    <cellStyle name="Normal 4 5 12 3" xfId="16749"/>
    <cellStyle name="Normal 4 5 12 3 2" xfId="33379"/>
    <cellStyle name="Normal 4 5 12 4" xfId="16750"/>
    <cellStyle name="Normal 4 5 12 4 2" xfId="33380"/>
    <cellStyle name="Normal 4 5 12 5" xfId="16751"/>
    <cellStyle name="Normal 4 5 12 5 2" xfId="33381"/>
    <cellStyle name="Normal 4 5 12 6" xfId="33377"/>
    <cellStyle name="Normal 4 5 13" xfId="16752"/>
    <cellStyle name="Normal 4 5 13 2" xfId="16753"/>
    <cellStyle name="Normal 4 5 13 2 2" xfId="33383"/>
    <cellStyle name="Normal 4 5 13 3" xfId="16754"/>
    <cellStyle name="Normal 4 5 13 3 2" xfId="33384"/>
    <cellStyle name="Normal 4 5 13 4" xfId="16755"/>
    <cellStyle name="Normal 4 5 13 4 2" xfId="33385"/>
    <cellStyle name="Normal 4 5 13 5" xfId="16756"/>
    <cellStyle name="Normal 4 5 13 5 2" xfId="33386"/>
    <cellStyle name="Normal 4 5 13 6" xfId="33382"/>
    <cellStyle name="Normal 4 5 14" xfId="16757"/>
    <cellStyle name="Normal 4 5 14 2" xfId="16758"/>
    <cellStyle name="Normal 4 5 14 2 2" xfId="33388"/>
    <cellStyle name="Normal 4 5 14 3" xfId="16759"/>
    <cellStyle name="Normal 4 5 14 3 2" xfId="33389"/>
    <cellStyle name="Normal 4 5 14 4" xfId="16760"/>
    <cellStyle name="Normal 4 5 14 4 2" xfId="33390"/>
    <cellStyle name="Normal 4 5 14 5" xfId="16761"/>
    <cellStyle name="Normal 4 5 14 5 2" xfId="33391"/>
    <cellStyle name="Normal 4 5 14 6" xfId="33387"/>
    <cellStyle name="Normal 4 5 15" xfId="16762"/>
    <cellStyle name="Normal 4 5 15 2" xfId="16763"/>
    <cellStyle name="Normal 4 5 15 2 2" xfId="33393"/>
    <cellStyle name="Normal 4 5 15 3" xfId="16764"/>
    <cellStyle name="Normal 4 5 15 3 2" xfId="33394"/>
    <cellStyle name="Normal 4 5 15 4" xfId="16765"/>
    <cellStyle name="Normal 4 5 15 4 2" xfId="33395"/>
    <cellStyle name="Normal 4 5 15 5" xfId="16766"/>
    <cellStyle name="Normal 4 5 15 5 2" xfId="33396"/>
    <cellStyle name="Normal 4 5 15 6" xfId="33392"/>
    <cellStyle name="Normal 4 5 16" xfId="16767"/>
    <cellStyle name="Normal 4 5 16 2" xfId="16768"/>
    <cellStyle name="Normal 4 5 16 2 2" xfId="33398"/>
    <cellStyle name="Normal 4 5 16 3" xfId="16769"/>
    <cellStyle name="Normal 4 5 16 3 2" xfId="33399"/>
    <cellStyle name="Normal 4 5 16 4" xfId="16770"/>
    <cellStyle name="Normal 4 5 16 4 2" xfId="33400"/>
    <cellStyle name="Normal 4 5 16 5" xfId="16771"/>
    <cellStyle name="Normal 4 5 16 5 2" xfId="33401"/>
    <cellStyle name="Normal 4 5 16 6" xfId="33397"/>
    <cellStyle name="Normal 4 5 17" xfId="16772"/>
    <cellStyle name="Normal 4 5 17 2" xfId="16773"/>
    <cellStyle name="Normal 4 5 17 2 2" xfId="33403"/>
    <cellStyle name="Normal 4 5 17 3" xfId="16774"/>
    <cellStyle name="Normal 4 5 17 3 2" xfId="33404"/>
    <cellStyle name="Normal 4 5 17 4" xfId="16775"/>
    <cellStyle name="Normal 4 5 17 4 2" xfId="33405"/>
    <cellStyle name="Normal 4 5 17 5" xfId="16776"/>
    <cellStyle name="Normal 4 5 17 5 2" xfId="33406"/>
    <cellStyle name="Normal 4 5 17 6" xfId="33402"/>
    <cellStyle name="Normal 4 5 18" xfId="16777"/>
    <cellStyle name="Normal 4 5 18 2" xfId="16778"/>
    <cellStyle name="Normal 4 5 18 2 2" xfId="33408"/>
    <cellStyle name="Normal 4 5 18 3" xfId="16779"/>
    <cellStyle name="Normal 4 5 18 3 2" xfId="33409"/>
    <cellStyle name="Normal 4 5 18 4" xfId="16780"/>
    <cellStyle name="Normal 4 5 18 4 2" xfId="33410"/>
    <cellStyle name="Normal 4 5 18 5" xfId="16781"/>
    <cellStyle name="Normal 4 5 18 5 2" xfId="33411"/>
    <cellStyle name="Normal 4 5 18 6" xfId="33407"/>
    <cellStyle name="Normal 4 5 19" xfId="16782"/>
    <cellStyle name="Normal 4 5 19 2" xfId="16783"/>
    <cellStyle name="Normal 4 5 19 2 2" xfId="33413"/>
    <cellStyle name="Normal 4 5 19 3" xfId="16784"/>
    <cellStyle name="Normal 4 5 19 3 2" xfId="33414"/>
    <cellStyle name="Normal 4 5 19 4" xfId="16785"/>
    <cellStyle name="Normal 4 5 19 4 2" xfId="33415"/>
    <cellStyle name="Normal 4 5 19 5" xfId="16786"/>
    <cellStyle name="Normal 4 5 19 5 2" xfId="33416"/>
    <cellStyle name="Normal 4 5 19 6" xfId="33412"/>
    <cellStyle name="Normal 4 5 2" xfId="16787"/>
    <cellStyle name="Normal 4 5 2 10" xfId="16788"/>
    <cellStyle name="Normal 4 5 2 10 2" xfId="16789"/>
    <cellStyle name="Normal 4 5 2 10 2 2" xfId="33419"/>
    <cellStyle name="Normal 4 5 2 10 3" xfId="16790"/>
    <cellStyle name="Normal 4 5 2 10 3 2" xfId="33420"/>
    <cellStyle name="Normal 4 5 2 10 4" xfId="16791"/>
    <cellStyle name="Normal 4 5 2 10 4 2" xfId="33421"/>
    <cellStyle name="Normal 4 5 2 10 5" xfId="16792"/>
    <cellStyle name="Normal 4 5 2 10 5 2" xfId="33422"/>
    <cellStyle name="Normal 4 5 2 10 6" xfId="33418"/>
    <cellStyle name="Normal 4 5 2 11" xfId="16793"/>
    <cellStyle name="Normal 4 5 2 11 2" xfId="16794"/>
    <cellStyle name="Normal 4 5 2 11 2 2" xfId="33424"/>
    <cellStyle name="Normal 4 5 2 11 3" xfId="16795"/>
    <cellStyle name="Normal 4 5 2 11 3 2" xfId="33425"/>
    <cellStyle name="Normal 4 5 2 11 4" xfId="16796"/>
    <cellStyle name="Normal 4 5 2 11 4 2" xfId="33426"/>
    <cellStyle name="Normal 4 5 2 11 5" xfId="16797"/>
    <cellStyle name="Normal 4 5 2 11 5 2" xfId="33427"/>
    <cellStyle name="Normal 4 5 2 11 6" xfId="33423"/>
    <cellStyle name="Normal 4 5 2 12" xfId="16798"/>
    <cellStyle name="Normal 4 5 2 12 2" xfId="16799"/>
    <cellStyle name="Normal 4 5 2 12 2 2" xfId="33429"/>
    <cellStyle name="Normal 4 5 2 12 3" xfId="16800"/>
    <cellStyle name="Normal 4 5 2 12 3 2" xfId="33430"/>
    <cellStyle name="Normal 4 5 2 12 4" xfId="16801"/>
    <cellStyle name="Normal 4 5 2 12 4 2" xfId="33431"/>
    <cellStyle name="Normal 4 5 2 12 5" xfId="16802"/>
    <cellStyle name="Normal 4 5 2 12 5 2" xfId="33432"/>
    <cellStyle name="Normal 4 5 2 12 6" xfId="33428"/>
    <cellStyle name="Normal 4 5 2 13" xfId="16803"/>
    <cellStyle name="Normal 4 5 2 13 2" xfId="16804"/>
    <cellStyle name="Normal 4 5 2 13 2 2" xfId="33434"/>
    <cellStyle name="Normal 4 5 2 13 3" xfId="16805"/>
    <cellStyle name="Normal 4 5 2 13 3 2" xfId="33435"/>
    <cellStyle name="Normal 4 5 2 13 4" xfId="16806"/>
    <cellStyle name="Normal 4 5 2 13 4 2" xfId="33436"/>
    <cellStyle name="Normal 4 5 2 13 5" xfId="16807"/>
    <cellStyle name="Normal 4 5 2 13 5 2" xfId="33437"/>
    <cellStyle name="Normal 4 5 2 13 6" xfId="33433"/>
    <cellStyle name="Normal 4 5 2 14" xfId="16808"/>
    <cellStyle name="Normal 4 5 2 14 2" xfId="16809"/>
    <cellStyle name="Normal 4 5 2 14 2 2" xfId="33439"/>
    <cellStyle name="Normal 4 5 2 14 3" xfId="16810"/>
    <cellStyle name="Normal 4 5 2 14 3 2" xfId="33440"/>
    <cellStyle name="Normal 4 5 2 14 4" xfId="16811"/>
    <cellStyle name="Normal 4 5 2 14 4 2" xfId="33441"/>
    <cellStyle name="Normal 4 5 2 14 5" xfId="16812"/>
    <cellStyle name="Normal 4 5 2 14 5 2" xfId="33442"/>
    <cellStyle name="Normal 4 5 2 14 6" xfId="33438"/>
    <cellStyle name="Normal 4 5 2 15" xfId="16813"/>
    <cellStyle name="Normal 4 5 2 15 2" xfId="16814"/>
    <cellStyle name="Normal 4 5 2 15 2 2" xfId="33444"/>
    <cellStyle name="Normal 4 5 2 15 3" xfId="16815"/>
    <cellStyle name="Normal 4 5 2 15 3 2" xfId="33445"/>
    <cellStyle name="Normal 4 5 2 15 4" xfId="16816"/>
    <cellStyle name="Normal 4 5 2 15 4 2" xfId="33446"/>
    <cellStyle name="Normal 4 5 2 15 5" xfId="16817"/>
    <cellStyle name="Normal 4 5 2 15 5 2" xfId="33447"/>
    <cellStyle name="Normal 4 5 2 15 6" xfId="33443"/>
    <cellStyle name="Normal 4 5 2 16" xfId="16818"/>
    <cellStyle name="Normal 4 5 2 16 2" xfId="16819"/>
    <cellStyle name="Normal 4 5 2 16 2 2" xfId="33449"/>
    <cellStyle name="Normal 4 5 2 16 3" xfId="16820"/>
    <cellStyle name="Normal 4 5 2 16 3 2" xfId="33450"/>
    <cellStyle name="Normal 4 5 2 16 4" xfId="16821"/>
    <cellStyle name="Normal 4 5 2 16 4 2" xfId="33451"/>
    <cellStyle name="Normal 4 5 2 16 5" xfId="16822"/>
    <cellStyle name="Normal 4 5 2 16 5 2" xfId="33452"/>
    <cellStyle name="Normal 4 5 2 16 6" xfId="33448"/>
    <cellStyle name="Normal 4 5 2 17" xfId="16823"/>
    <cellStyle name="Normal 4 5 2 17 2" xfId="33453"/>
    <cellStyle name="Normal 4 5 2 18" xfId="16824"/>
    <cellStyle name="Normal 4 5 2 18 2" xfId="33454"/>
    <cellStyle name="Normal 4 5 2 19" xfId="16825"/>
    <cellStyle name="Normal 4 5 2 19 2" xfId="33455"/>
    <cellStyle name="Normal 4 5 2 2" xfId="16826"/>
    <cellStyle name="Normal 4 5 2 2 10" xfId="16827"/>
    <cellStyle name="Normal 4 5 2 2 10 2" xfId="33457"/>
    <cellStyle name="Normal 4 5 2 2 11" xfId="16828"/>
    <cellStyle name="Normal 4 5 2 2 11 2" xfId="33458"/>
    <cellStyle name="Normal 4 5 2 2 12" xfId="33456"/>
    <cellStyle name="Normal 4 5 2 2 2" xfId="16829"/>
    <cellStyle name="Normal 4 5 2 2 2 2" xfId="16830"/>
    <cellStyle name="Normal 4 5 2 2 2 2 2" xfId="33460"/>
    <cellStyle name="Normal 4 5 2 2 2 3" xfId="16831"/>
    <cellStyle name="Normal 4 5 2 2 2 3 2" xfId="33461"/>
    <cellStyle name="Normal 4 5 2 2 2 4" xfId="16832"/>
    <cellStyle name="Normal 4 5 2 2 2 4 2" xfId="33462"/>
    <cellStyle name="Normal 4 5 2 2 2 5" xfId="16833"/>
    <cellStyle name="Normal 4 5 2 2 2 5 2" xfId="33463"/>
    <cellStyle name="Normal 4 5 2 2 2 6" xfId="33459"/>
    <cellStyle name="Normal 4 5 2 2 3" xfId="16834"/>
    <cellStyle name="Normal 4 5 2 2 3 2" xfId="16835"/>
    <cellStyle name="Normal 4 5 2 2 3 2 2" xfId="33465"/>
    <cellStyle name="Normal 4 5 2 2 3 3" xfId="16836"/>
    <cellStyle name="Normal 4 5 2 2 3 3 2" xfId="33466"/>
    <cellStyle name="Normal 4 5 2 2 3 4" xfId="16837"/>
    <cellStyle name="Normal 4 5 2 2 3 4 2" xfId="33467"/>
    <cellStyle name="Normal 4 5 2 2 3 5" xfId="16838"/>
    <cellStyle name="Normal 4 5 2 2 3 5 2" xfId="33468"/>
    <cellStyle name="Normal 4 5 2 2 3 6" xfId="33464"/>
    <cellStyle name="Normal 4 5 2 2 4" xfId="16839"/>
    <cellStyle name="Normal 4 5 2 2 4 2" xfId="16840"/>
    <cellStyle name="Normal 4 5 2 2 4 2 2" xfId="33470"/>
    <cellStyle name="Normal 4 5 2 2 4 3" xfId="16841"/>
    <cellStyle name="Normal 4 5 2 2 4 3 2" xfId="33471"/>
    <cellStyle name="Normal 4 5 2 2 4 4" xfId="16842"/>
    <cellStyle name="Normal 4 5 2 2 4 4 2" xfId="33472"/>
    <cellStyle name="Normal 4 5 2 2 4 5" xfId="16843"/>
    <cellStyle name="Normal 4 5 2 2 4 5 2" xfId="33473"/>
    <cellStyle name="Normal 4 5 2 2 4 6" xfId="33469"/>
    <cellStyle name="Normal 4 5 2 2 5" xfId="16844"/>
    <cellStyle name="Normal 4 5 2 2 5 2" xfId="16845"/>
    <cellStyle name="Normal 4 5 2 2 5 2 2" xfId="33475"/>
    <cellStyle name="Normal 4 5 2 2 5 3" xfId="16846"/>
    <cellStyle name="Normal 4 5 2 2 5 3 2" xfId="33476"/>
    <cellStyle name="Normal 4 5 2 2 5 4" xfId="16847"/>
    <cellStyle name="Normal 4 5 2 2 5 4 2" xfId="33477"/>
    <cellStyle name="Normal 4 5 2 2 5 5" xfId="16848"/>
    <cellStyle name="Normal 4 5 2 2 5 5 2" xfId="33478"/>
    <cellStyle name="Normal 4 5 2 2 5 6" xfId="33474"/>
    <cellStyle name="Normal 4 5 2 2 6" xfId="16849"/>
    <cellStyle name="Normal 4 5 2 2 6 2" xfId="16850"/>
    <cellStyle name="Normal 4 5 2 2 6 2 2" xfId="33480"/>
    <cellStyle name="Normal 4 5 2 2 6 3" xfId="16851"/>
    <cellStyle name="Normal 4 5 2 2 6 3 2" xfId="33481"/>
    <cellStyle name="Normal 4 5 2 2 6 4" xfId="16852"/>
    <cellStyle name="Normal 4 5 2 2 6 4 2" xfId="33482"/>
    <cellStyle name="Normal 4 5 2 2 6 5" xfId="16853"/>
    <cellStyle name="Normal 4 5 2 2 6 5 2" xfId="33483"/>
    <cellStyle name="Normal 4 5 2 2 6 6" xfId="33479"/>
    <cellStyle name="Normal 4 5 2 2 7" xfId="16854"/>
    <cellStyle name="Normal 4 5 2 2 7 2" xfId="16855"/>
    <cellStyle name="Normal 4 5 2 2 7 2 2" xfId="33485"/>
    <cellStyle name="Normal 4 5 2 2 7 3" xfId="16856"/>
    <cellStyle name="Normal 4 5 2 2 7 3 2" xfId="33486"/>
    <cellStyle name="Normal 4 5 2 2 7 4" xfId="16857"/>
    <cellStyle name="Normal 4 5 2 2 7 4 2" xfId="33487"/>
    <cellStyle name="Normal 4 5 2 2 7 5" xfId="16858"/>
    <cellStyle name="Normal 4 5 2 2 7 5 2" xfId="33488"/>
    <cellStyle name="Normal 4 5 2 2 7 6" xfId="33484"/>
    <cellStyle name="Normal 4 5 2 2 8" xfId="16859"/>
    <cellStyle name="Normal 4 5 2 2 8 2" xfId="33489"/>
    <cellStyle name="Normal 4 5 2 2 9" xfId="16860"/>
    <cellStyle name="Normal 4 5 2 2 9 2" xfId="33490"/>
    <cellStyle name="Normal 4 5 2 20" xfId="16861"/>
    <cellStyle name="Normal 4 5 2 20 2" xfId="33491"/>
    <cellStyle name="Normal 4 5 2 21" xfId="40728"/>
    <cellStyle name="Normal 4 5 2 22" xfId="33417"/>
    <cellStyle name="Normal 4 5 2 3" xfId="16862"/>
    <cellStyle name="Normal 4 5 2 3 2" xfId="16863"/>
    <cellStyle name="Normal 4 5 2 3 2 2" xfId="16864"/>
    <cellStyle name="Normal 4 5 2 3 2 2 2" xfId="33494"/>
    <cellStyle name="Normal 4 5 2 3 2 3" xfId="16865"/>
    <cellStyle name="Normal 4 5 2 3 2 3 2" xfId="33495"/>
    <cellStyle name="Normal 4 5 2 3 2 4" xfId="16866"/>
    <cellStyle name="Normal 4 5 2 3 2 4 2" xfId="33496"/>
    <cellStyle name="Normal 4 5 2 3 2 5" xfId="16867"/>
    <cellStyle name="Normal 4 5 2 3 2 5 2" xfId="33497"/>
    <cellStyle name="Normal 4 5 2 3 2 6" xfId="33493"/>
    <cellStyle name="Normal 4 5 2 3 3" xfId="16868"/>
    <cellStyle name="Normal 4 5 2 3 3 2" xfId="33498"/>
    <cellStyle name="Normal 4 5 2 3 4" xfId="16869"/>
    <cellStyle name="Normal 4 5 2 3 4 2" xfId="33499"/>
    <cellStyle name="Normal 4 5 2 3 5" xfId="16870"/>
    <cellStyle name="Normal 4 5 2 3 5 2" xfId="33500"/>
    <cellStyle name="Normal 4 5 2 3 6" xfId="16871"/>
    <cellStyle name="Normal 4 5 2 3 6 2" xfId="33501"/>
    <cellStyle name="Normal 4 5 2 3 7" xfId="33492"/>
    <cellStyle name="Normal 4 5 2 4" xfId="16872"/>
    <cellStyle name="Normal 4 5 2 4 2" xfId="16873"/>
    <cellStyle name="Normal 4 5 2 4 2 2" xfId="16874"/>
    <cellStyle name="Normal 4 5 2 4 2 2 2" xfId="33504"/>
    <cellStyle name="Normal 4 5 2 4 2 3" xfId="16875"/>
    <cellStyle name="Normal 4 5 2 4 2 3 2" xfId="33505"/>
    <cellStyle name="Normal 4 5 2 4 2 4" xfId="16876"/>
    <cellStyle name="Normal 4 5 2 4 2 4 2" xfId="33506"/>
    <cellStyle name="Normal 4 5 2 4 2 5" xfId="16877"/>
    <cellStyle name="Normal 4 5 2 4 2 5 2" xfId="33507"/>
    <cellStyle name="Normal 4 5 2 4 2 6" xfId="33503"/>
    <cellStyle name="Normal 4 5 2 4 3" xfId="16878"/>
    <cellStyle name="Normal 4 5 2 4 3 2" xfId="33508"/>
    <cellStyle name="Normal 4 5 2 4 4" xfId="16879"/>
    <cellStyle name="Normal 4 5 2 4 4 2" xfId="33509"/>
    <cellStyle name="Normal 4 5 2 4 5" xfId="16880"/>
    <cellStyle name="Normal 4 5 2 4 5 2" xfId="33510"/>
    <cellStyle name="Normal 4 5 2 4 6" xfId="16881"/>
    <cellStyle name="Normal 4 5 2 4 6 2" xfId="33511"/>
    <cellStyle name="Normal 4 5 2 4 7" xfId="33502"/>
    <cellStyle name="Normal 4 5 2 5" xfId="16882"/>
    <cellStyle name="Normal 4 5 2 5 2" xfId="16883"/>
    <cellStyle name="Normal 4 5 2 5 2 2" xfId="33513"/>
    <cellStyle name="Normal 4 5 2 5 3" xfId="16884"/>
    <cellStyle name="Normal 4 5 2 5 3 2" xfId="33514"/>
    <cellStyle name="Normal 4 5 2 5 4" xfId="16885"/>
    <cellStyle name="Normal 4 5 2 5 4 2" xfId="33515"/>
    <cellStyle name="Normal 4 5 2 5 5" xfId="16886"/>
    <cellStyle name="Normal 4 5 2 5 5 2" xfId="33516"/>
    <cellStyle name="Normal 4 5 2 5 6" xfId="33512"/>
    <cellStyle name="Normal 4 5 2 6" xfId="16887"/>
    <cellStyle name="Normal 4 5 2 6 2" xfId="16888"/>
    <cellStyle name="Normal 4 5 2 6 2 2" xfId="33518"/>
    <cellStyle name="Normal 4 5 2 6 3" xfId="16889"/>
    <cellStyle name="Normal 4 5 2 6 3 2" xfId="33519"/>
    <cellStyle name="Normal 4 5 2 6 4" xfId="16890"/>
    <cellStyle name="Normal 4 5 2 6 4 2" xfId="33520"/>
    <cellStyle name="Normal 4 5 2 6 5" xfId="16891"/>
    <cellStyle name="Normal 4 5 2 6 5 2" xfId="33521"/>
    <cellStyle name="Normal 4 5 2 6 6" xfId="33517"/>
    <cellStyle name="Normal 4 5 2 7" xfId="16892"/>
    <cellStyle name="Normal 4 5 2 7 2" xfId="16893"/>
    <cellStyle name="Normal 4 5 2 7 2 2" xfId="33523"/>
    <cellStyle name="Normal 4 5 2 7 3" xfId="16894"/>
    <cellStyle name="Normal 4 5 2 7 3 2" xfId="33524"/>
    <cellStyle name="Normal 4 5 2 7 4" xfId="16895"/>
    <cellStyle name="Normal 4 5 2 7 4 2" xfId="33525"/>
    <cellStyle name="Normal 4 5 2 7 5" xfId="16896"/>
    <cellStyle name="Normal 4 5 2 7 5 2" xfId="33526"/>
    <cellStyle name="Normal 4 5 2 7 6" xfId="33522"/>
    <cellStyle name="Normal 4 5 2 8" xfId="16897"/>
    <cellStyle name="Normal 4 5 2 8 2" xfId="16898"/>
    <cellStyle name="Normal 4 5 2 8 2 2" xfId="33528"/>
    <cellStyle name="Normal 4 5 2 8 3" xfId="16899"/>
    <cellStyle name="Normal 4 5 2 8 3 2" xfId="33529"/>
    <cellStyle name="Normal 4 5 2 8 4" xfId="16900"/>
    <cellStyle name="Normal 4 5 2 8 4 2" xfId="33530"/>
    <cellStyle name="Normal 4 5 2 8 5" xfId="16901"/>
    <cellStyle name="Normal 4 5 2 8 5 2" xfId="33531"/>
    <cellStyle name="Normal 4 5 2 8 6" xfId="33527"/>
    <cellStyle name="Normal 4 5 2 9" xfId="16902"/>
    <cellStyle name="Normal 4 5 2 9 2" xfId="16903"/>
    <cellStyle name="Normal 4 5 2 9 2 2" xfId="33533"/>
    <cellStyle name="Normal 4 5 2 9 3" xfId="16904"/>
    <cellStyle name="Normal 4 5 2 9 3 2" xfId="33534"/>
    <cellStyle name="Normal 4 5 2 9 4" xfId="16905"/>
    <cellStyle name="Normal 4 5 2 9 4 2" xfId="33535"/>
    <cellStyle name="Normal 4 5 2 9 5" xfId="16906"/>
    <cellStyle name="Normal 4 5 2 9 5 2" xfId="33536"/>
    <cellStyle name="Normal 4 5 2 9 6" xfId="33532"/>
    <cellStyle name="Normal 4 5 20" xfId="16907"/>
    <cellStyle name="Normal 4 5 20 2" xfId="16908"/>
    <cellStyle name="Normal 4 5 20 2 2" xfId="33538"/>
    <cellStyle name="Normal 4 5 20 3" xfId="16909"/>
    <cellStyle name="Normal 4 5 20 3 2" xfId="33539"/>
    <cellStyle name="Normal 4 5 20 4" xfId="16910"/>
    <cellStyle name="Normal 4 5 20 4 2" xfId="33540"/>
    <cellStyle name="Normal 4 5 20 5" xfId="16911"/>
    <cellStyle name="Normal 4 5 20 5 2" xfId="33541"/>
    <cellStyle name="Normal 4 5 20 6" xfId="33537"/>
    <cellStyle name="Normal 4 5 21" xfId="16912"/>
    <cellStyle name="Normal 4 5 21 2" xfId="16913"/>
    <cellStyle name="Normal 4 5 21 2 2" xfId="33543"/>
    <cellStyle name="Normal 4 5 21 3" xfId="16914"/>
    <cellStyle name="Normal 4 5 21 3 2" xfId="33544"/>
    <cellStyle name="Normal 4 5 21 4" xfId="16915"/>
    <cellStyle name="Normal 4 5 21 4 2" xfId="33545"/>
    <cellStyle name="Normal 4 5 21 5" xfId="16916"/>
    <cellStyle name="Normal 4 5 21 5 2" xfId="33546"/>
    <cellStyle name="Normal 4 5 21 6" xfId="33542"/>
    <cellStyle name="Normal 4 5 22" xfId="16917"/>
    <cellStyle name="Normal 4 5 22 2" xfId="16918"/>
    <cellStyle name="Normal 4 5 22 2 2" xfId="33548"/>
    <cellStyle name="Normal 4 5 22 3" xfId="16919"/>
    <cellStyle name="Normal 4 5 22 3 2" xfId="33549"/>
    <cellStyle name="Normal 4 5 22 4" xfId="16920"/>
    <cellStyle name="Normal 4 5 22 4 2" xfId="33550"/>
    <cellStyle name="Normal 4 5 22 5" xfId="16921"/>
    <cellStyle name="Normal 4 5 22 5 2" xfId="33551"/>
    <cellStyle name="Normal 4 5 22 6" xfId="33547"/>
    <cellStyle name="Normal 4 5 23" xfId="16922"/>
    <cellStyle name="Normal 4 5 23 2" xfId="16923"/>
    <cellStyle name="Normal 4 5 23 2 2" xfId="33553"/>
    <cellStyle name="Normal 4 5 23 3" xfId="16924"/>
    <cellStyle name="Normal 4 5 23 3 2" xfId="33554"/>
    <cellStyle name="Normal 4 5 23 4" xfId="16925"/>
    <cellStyle name="Normal 4 5 23 4 2" xfId="33555"/>
    <cellStyle name="Normal 4 5 23 5" xfId="16926"/>
    <cellStyle name="Normal 4 5 23 5 2" xfId="33556"/>
    <cellStyle name="Normal 4 5 23 6" xfId="33552"/>
    <cellStyle name="Normal 4 5 24" xfId="16927"/>
    <cellStyle name="Normal 4 5 24 2" xfId="33557"/>
    <cellStyle name="Normal 4 5 25" xfId="16928"/>
    <cellStyle name="Normal 4 5 25 2" xfId="33558"/>
    <cellStyle name="Normal 4 5 26" xfId="16929"/>
    <cellStyle name="Normal 4 5 26 2" xfId="33559"/>
    <cellStyle name="Normal 4 5 27" xfId="16930"/>
    <cellStyle name="Normal 4 5 27 2" xfId="33560"/>
    <cellStyle name="Normal 4 5 28" xfId="16931"/>
    <cellStyle name="Normal 4 5 28 2" xfId="33561"/>
    <cellStyle name="Normal 4 5 29" xfId="40727"/>
    <cellStyle name="Normal 4 5 3" xfId="16932"/>
    <cellStyle name="Normal 4 5 3 10" xfId="16933"/>
    <cellStyle name="Normal 4 5 3 10 2" xfId="16934"/>
    <cellStyle name="Normal 4 5 3 10 2 2" xfId="33564"/>
    <cellStyle name="Normal 4 5 3 10 3" xfId="16935"/>
    <cellStyle name="Normal 4 5 3 10 3 2" xfId="33565"/>
    <cellStyle name="Normal 4 5 3 10 4" xfId="16936"/>
    <cellStyle name="Normal 4 5 3 10 4 2" xfId="33566"/>
    <cellStyle name="Normal 4 5 3 10 5" xfId="16937"/>
    <cellStyle name="Normal 4 5 3 10 5 2" xfId="33567"/>
    <cellStyle name="Normal 4 5 3 10 6" xfId="33563"/>
    <cellStyle name="Normal 4 5 3 11" xfId="16938"/>
    <cellStyle name="Normal 4 5 3 11 2" xfId="16939"/>
    <cellStyle name="Normal 4 5 3 11 2 2" xfId="33569"/>
    <cellStyle name="Normal 4 5 3 11 3" xfId="16940"/>
    <cellStyle name="Normal 4 5 3 11 3 2" xfId="33570"/>
    <cellStyle name="Normal 4 5 3 11 4" xfId="16941"/>
    <cellStyle name="Normal 4 5 3 11 4 2" xfId="33571"/>
    <cellStyle name="Normal 4 5 3 11 5" xfId="16942"/>
    <cellStyle name="Normal 4 5 3 11 5 2" xfId="33572"/>
    <cellStyle name="Normal 4 5 3 11 6" xfId="33568"/>
    <cellStyle name="Normal 4 5 3 12" xfId="16943"/>
    <cellStyle name="Normal 4 5 3 12 2" xfId="16944"/>
    <cellStyle name="Normal 4 5 3 12 2 2" xfId="33574"/>
    <cellStyle name="Normal 4 5 3 12 3" xfId="16945"/>
    <cellStyle name="Normal 4 5 3 12 3 2" xfId="33575"/>
    <cellStyle name="Normal 4 5 3 12 4" xfId="16946"/>
    <cellStyle name="Normal 4 5 3 12 4 2" xfId="33576"/>
    <cellStyle name="Normal 4 5 3 12 5" xfId="16947"/>
    <cellStyle name="Normal 4 5 3 12 5 2" xfId="33577"/>
    <cellStyle name="Normal 4 5 3 12 6" xfId="33573"/>
    <cellStyle name="Normal 4 5 3 13" xfId="16948"/>
    <cellStyle name="Normal 4 5 3 13 2" xfId="16949"/>
    <cellStyle name="Normal 4 5 3 13 2 2" xfId="33579"/>
    <cellStyle name="Normal 4 5 3 13 3" xfId="16950"/>
    <cellStyle name="Normal 4 5 3 13 3 2" xfId="33580"/>
    <cellStyle name="Normal 4 5 3 13 4" xfId="16951"/>
    <cellStyle name="Normal 4 5 3 13 4 2" xfId="33581"/>
    <cellStyle name="Normal 4 5 3 13 5" xfId="16952"/>
    <cellStyle name="Normal 4 5 3 13 5 2" xfId="33582"/>
    <cellStyle name="Normal 4 5 3 13 6" xfId="33578"/>
    <cellStyle name="Normal 4 5 3 14" xfId="16953"/>
    <cellStyle name="Normal 4 5 3 14 2" xfId="16954"/>
    <cellStyle name="Normal 4 5 3 14 2 2" xfId="33584"/>
    <cellStyle name="Normal 4 5 3 14 3" xfId="16955"/>
    <cellStyle name="Normal 4 5 3 14 3 2" xfId="33585"/>
    <cellStyle name="Normal 4 5 3 14 4" xfId="16956"/>
    <cellStyle name="Normal 4 5 3 14 4 2" xfId="33586"/>
    <cellStyle name="Normal 4 5 3 14 5" xfId="16957"/>
    <cellStyle name="Normal 4 5 3 14 5 2" xfId="33587"/>
    <cellStyle name="Normal 4 5 3 14 6" xfId="33583"/>
    <cellStyle name="Normal 4 5 3 15" xfId="16958"/>
    <cellStyle name="Normal 4 5 3 15 2" xfId="16959"/>
    <cellStyle name="Normal 4 5 3 15 2 2" xfId="33589"/>
    <cellStyle name="Normal 4 5 3 15 3" xfId="16960"/>
    <cellStyle name="Normal 4 5 3 15 3 2" xfId="33590"/>
    <cellStyle name="Normal 4 5 3 15 4" xfId="16961"/>
    <cellStyle name="Normal 4 5 3 15 4 2" xfId="33591"/>
    <cellStyle name="Normal 4 5 3 15 5" xfId="16962"/>
    <cellStyle name="Normal 4 5 3 15 5 2" xfId="33592"/>
    <cellStyle name="Normal 4 5 3 15 6" xfId="33588"/>
    <cellStyle name="Normal 4 5 3 16" xfId="16963"/>
    <cellStyle name="Normal 4 5 3 16 2" xfId="16964"/>
    <cellStyle name="Normal 4 5 3 16 2 2" xfId="33594"/>
    <cellStyle name="Normal 4 5 3 16 3" xfId="16965"/>
    <cellStyle name="Normal 4 5 3 16 3 2" xfId="33595"/>
    <cellStyle name="Normal 4 5 3 16 4" xfId="16966"/>
    <cellStyle name="Normal 4 5 3 16 4 2" xfId="33596"/>
    <cellStyle name="Normal 4 5 3 16 5" xfId="16967"/>
    <cellStyle name="Normal 4 5 3 16 5 2" xfId="33597"/>
    <cellStyle name="Normal 4 5 3 16 6" xfId="33593"/>
    <cellStyle name="Normal 4 5 3 17" xfId="16968"/>
    <cellStyle name="Normal 4 5 3 17 2" xfId="33598"/>
    <cellStyle name="Normal 4 5 3 18" xfId="16969"/>
    <cellStyle name="Normal 4 5 3 18 2" xfId="33599"/>
    <cellStyle name="Normal 4 5 3 19" xfId="16970"/>
    <cellStyle name="Normal 4 5 3 19 2" xfId="33600"/>
    <cellStyle name="Normal 4 5 3 2" xfId="16971"/>
    <cellStyle name="Normal 4 5 3 2 10" xfId="16972"/>
    <cellStyle name="Normal 4 5 3 2 10 2" xfId="33602"/>
    <cellStyle name="Normal 4 5 3 2 11" xfId="16973"/>
    <cellStyle name="Normal 4 5 3 2 11 2" xfId="33603"/>
    <cellStyle name="Normal 4 5 3 2 12" xfId="33601"/>
    <cellStyle name="Normal 4 5 3 2 2" xfId="16974"/>
    <cellStyle name="Normal 4 5 3 2 2 2" xfId="16975"/>
    <cellStyle name="Normal 4 5 3 2 2 2 2" xfId="33605"/>
    <cellStyle name="Normal 4 5 3 2 2 3" xfId="16976"/>
    <cellStyle name="Normal 4 5 3 2 2 3 2" xfId="33606"/>
    <cellStyle name="Normal 4 5 3 2 2 4" xfId="16977"/>
    <cellStyle name="Normal 4 5 3 2 2 4 2" xfId="33607"/>
    <cellStyle name="Normal 4 5 3 2 2 5" xfId="16978"/>
    <cellStyle name="Normal 4 5 3 2 2 5 2" xfId="33608"/>
    <cellStyle name="Normal 4 5 3 2 2 6" xfId="33604"/>
    <cellStyle name="Normal 4 5 3 2 3" xfId="16979"/>
    <cellStyle name="Normal 4 5 3 2 3 2" xfId="16980"/>
    <cellStyle name="Normal 4 5 3 2 3 2 2" xfId="33610"/>
    <cellStyle name="Normal 4 5 3 2 3 3" xfId="16981"/>
    <cellStyle name="Normal 4 5 3 2 3 3 2" xfId="33611"/>
    <cellStyle name="Normal 4 5 3 2 3 4" xfId="16982"/>
    <cellStyle name="Normal 4 5 3 2 3 4 2" xfId="33612"/>
    <cellStyle name="Normal 4 5 3 2 3 5" xfId="16983"/>
    <cellStyle name="Normal 4 5 3 2 3 5 2" xfId="33613"/>
    <cellStyle name="Normal 4 5 3 2 3 6" xfId="33609"/>
    <cellStyle name="Normal 4 5 3 2 4" xfId="16984"/>
    <cellStyle name="Normal 4 5 3 2 4 2" xfId="16985"/>
    <cellStyle name="Normal 4 5 3 2 4 2 2" xfId="33615"/>
    <cellStyle name="Normal 4 5 3 2 4 3" xfId="16986"/>
    <cellStyle name="Normal 4 5 3 2 4 3 2" xfId="33616"/>
    <cellStyle name="Normal 4 5 3 2 4 4" xfId="16987"/>
    <cellStyle name="Normal 4 5 3 2 4 4 2" xfId="33617"/>
    <cellStyle name="Normal 4 5 3 2 4 5" xfId="16988"/>
    <cellStyle name="Normal 4 5 3 2 4 5 2" xfId="33618"/>
    <cellStyle name="Normal 4 5 3 2 4 6" xfId="33614"/>
    <cellStyle name="Normal 4 5 3 2 5" xfId="16989"/>
    <cellStyle name="Normal 4 5 3 2 5 2" xfId="16990"/>
    <cellStyle name="Normal 4 5 3 2 5 2 2" xfId="33620"/>
    <cellStyle name="Normal 4 5 3 2 5 3" xfId="16991"/>
    <cellStyle name="Normal 4 5 3 2 5 3 2" xfId="33621"/>
    <cellStyle name="Normal 4 5 3 2 5 4" xfId="16992"/>
    <cellStyle name="Normal 4 5 3 2 5 4 2" xfId="33622"/>
    <cellStyle name="Normal 4 5 3 2 5 5" xfId="16993"/>
    <cellStyle name="Normal 4 5 3 2 5 5 2" xfId="33623"/>
    <cellStyle name="Normal 4 5 3 2 5 6" xfId="33619"/>
    <cellStyle name="Normal 4 5 3 2 6" xfId="16994"/>
    <cellStyle name="Normal 4 5 3 2 6 2" xfId="16995"/>
    <cellStyle name="Normal 4 5 3 2 6 2 2" xfId="33625"/>
    <cellStyle name="Normal 4 5 3 2 6 3" xfId="16996"/>
    <cellStyle name="Normal 4 5 3 2 6 3 2" xfId="33626"/>
    <cellStyle name="Normal 4 5 3 2 6 4" xfId="16997"/>
    <cellStyle name="Normal 4 5 3 2 6 4 2" xfId="33627"/>
    <cellStyle name="Normal 4 5 3 2 6 5" xfId="16998"/>
    <cellStyle name="Normal 4 5 3 2 6 5 2" xfId="33628"/>
    <cellStyle name="Normal 4 5 3 2 6 6" xfId="33624"/>
    <cellStyle name="Normal 4 5 3 2 7" xfId="16999"/>
    <cellStyle name="Normal 4 5 3 2 7 2" xfId="17000"/>
    <cellStyle name="Normal 4 5 3 2 7 2 2" xfId="33630"/>
    <cellStyle name="Normal 4 5 3 2 7 3" xfId="17001"/>
    <cellStyle name="Normal 4 5 3 2 7 3 2" xfId="33631"/>
    <cellStyle name="Normal 4 5 3 2 7 4" xfId="17002"/>
    <cellStyle name="Normal 4 5 3 2 7 4 2" xfId="33632"/>
    <cellStyle name="Normal 4 5 3 2 7 5" xfId="17003"/>
    <cellStyle name="Normal 4 5 3 2 7 5 2" xfId="33633"/>
    <cellStyle name="Normal 4 5 3 2 7 6" xfId="33629"/>
    <cellStyle name="Normal 4 5 3 2 8" xfId="17004"/>
    <cellStyle name="Normal 4 5 3 2 8 2" xfId="33634"/>
    <cellStyle name="Normal 4 5 3 2 9" xfId="17005"/>
    <cellStyle name="Normal 4 5 3 2 9 2" xfId="33635"/>
    <cellStyle name="Normal 4 5 3 20" xfId="17006"/>
    <cellStyle name="Normal 4 5 3 20 2" xfId="33636"/>
    <cellStyle name="Normal 4 5 3 21" xfId="40729"/>
    <cellStyle name="Normal 4 5 3 22" xfId="33562"/>
    <cellStyle name="Normal 4 5 3 3" xfId="17007"/>
    <cellStyle name="Normal 4 5 3 3 2" xfId="17008"/>
    <cellStyle name="Normal 4 5 3 3 2 2" xfId="17009"/>
    <cellStyle name="Normal 4 5 3 3 2 2 2" xfId="33639"/>
    <cellStyle name="Normal 4 5 3 3 2 3" xfId="17010"/>
    <cellStyle name="Normal 4 5 3 3 2 3 2" xfId="33640"/>
    <cellStyle name="Normal 4 5 3 3 2 4" xfId="17011"/>
    <cellStyle name="Normal 4 5 3 3 2 4 2" xfId="33641"/>
    <cellStyle name="Normal 4 5 3 3 2 5" xfId="17012"/>
    <cellStyle name="Normal 4 5 3 3 2 5 2" xfId="33642"/>
    <cellStyle name="Normal 4 5 3 3 2 6" xfId="33638"/>
    <cellStyle name="Normal 4 5 3 3 3" xfId="17013"/>
    <cellStyle name="Normal 4 5 3 3 3 2" xfId="33643"/>
    <cellStyle name="Normal 4 5 3 3 4" xfId="17014"/>
    <cellStyle name="Normal 4 5 3 3 4 2" xfId="33644"/>
    <cellStyle name="Normal 4 5 3 3 5" xfId="17015"/>
    <cellStyle name="Normal 4 5 3 3 5 2" xfId="33645"/>
    <cellStyle name="Normal 4 5 3 3 6" xfId="17016"/>
    <cellStyle name="Normal 4 5 3 3 6 2" xfId="33646"/>
    <cellStyle name="Normal 4 5 3 3 7" xfId="33637"/>
    <cellStyle name="Normal 4 5 3 4" xfId="17017"/>
    <cellStyle name="Normal 4 5 3 4 2" xfId="17018"/>
    <cellStyle name="Normal 4 5 3 4 2 2" xfId="17019"/>
    <cellStyle name="Normal 4 5 3 4 2 2 2" xfId="33649"/>
    <cellStyle name="Normal 4 5 3 4 2 3" xfId="17020"/>
    <cellStyle name="Normal 4 5 3 4 2 3 2" xfId="33650"/>
    <cellStyle name="Normal 4 5 3 4 2 4" xfId="17021"/>
    <cellStyle name="Normal 4 5 3 4 2 4 2" xfId="33651"/>
    <cellStyle name="Normal 4 5 3 4 2 5" xfId="17022"/>
    <cellStyle name="Normal 4 5 3 4 2 5 2" xfId="33652"/>
    <cellStyle name="Normal 4 5 3 4 2 6" xfId="33648"/>
    <cellStyle name="Normal 4 5 3 4 3" xfId="17023"/>
    <cellStyle name="Normal 4 5 3 4 3 2" xfId="33653"/>
    <cellStyle name="Normal 4 5 3 4 4" xfId="17024"/>
    <cellStyle name="Normal 4 5 3 4 4 2" xfId="33654"/>
    <cellStyle name="Normal 4 5 3 4 5" xfId="17025"/>
    <cellStyle name="Normal 4 5 3 4 5 2" xfId="33655"/>
    <cellStyle name="Normal 4 5 3 4 6" xfId="17026"/>
    <cellStyle name="Normal 4 5 3 4 6 2" xfId="33656"/>
    <cellStyle name="Normal 4 5 3 4 7" xfId="33647"/>
    <cellStyle name="Normal 4 5 3 5" xfId="17027"/>
    <cellStyle name="Normal 4 5 3 5 2" xfId="17028"/>
    <cellStyle name="Normal 4 5 3 5 2 2" xfId="33658"/>
    <cellStyle name="Normal 4 5 3 5 3" xfId="17029"/>
    <cellStyle name="Normal 4 5 3 5 3 2" xfId="33659"/>
    <cellStyle name="Normal 4 5 3 5 4" xfId="17030"/>
    <cellStyle name="Normal 4 5 3 5 4 2" xfId="33660"/>
    <cellStyle name="Normal 4 5 3 5 5" xfId="17031"/>
    <cellStyle name="Normal 4 5 3 5 5 2" xfId="33661"/>
    <cellStyle name="Normal 4 5 3 5 6" xfId="33657"/>
    <cellStyle name="Normal 4 5 3 6" xfId="17032"/>
    <cellStyle name="Normal 4 5 3 6 2" xfId="17033"/>
    <cellStyle name="Normal 4 5 3 6 2 2" xfId="33663"/>
    <cellStyle name="Normal 4 5 3 6 3" xfId="17034"/>
    <cellStyle name="Normal 4 5 3 6 3 2" xfId="33664"/>
    <cellStyle name="Normal 4 5 3 6 4" xfId="17035"/>
    <cellStyle name="Normal 4 5 3 6 4 2" xfId="33665"/>
    <cellStyle name="Normal 4 5 3 6 5" xfId="17036"/>
    <cellStyle name="Normal 4 5 3 6 5 2" xfId="33666"/>
    <cellStyle name="Normal 4 5 3 6 6" xfId="33662"/>
    <cellStyle name="Normal 4 5 3 7" xfId="17037"/>
    <cellStyle name="Normal 4 5 3 7 2" xfId="17038"/>
    <cellStyle name="Normal 4 5 3 7 2 2" xfId="33668"/>
    <cellStyle name="Normal 4 5 3 7 3" xfId="17039"/>
    <cellStyle name="Normal 4 5 3 7 3 2" xfId="33669"/>
    <cellStyle name="Normal 4 5 3 7 4" xfId="17040"/>
    <cellStyle name="Normal 4 5 3 7 4 2" xfId="33670"/>
    <cellStyle name="Normal 4 5 3 7 5" xfId="17041"/>
    <cellStyle name="Normal 4 5 3 7 5 2" xfId="33671"/>
    <cellStyle name="Normal 4 5 3 7 6" xfId="33667"/>
    <cellStyle name="Normal 4 5 3 8" xfId="17042"/>
    <cellStyle name="Normal 4 5 3 8 2" xfId="17043"/>
    <cellStyle name="Normal 4 5 3 8 2 2" xfId="33673"/>
    <cellStyle name="Normal 4 5 3 8 3" xfId="17044"/>
    <cellStyle name="Normal 4 5 3 8 3 2" xfId="33674"/>
    <cellStyle name="Normal 4 5 3 8 4" xfId="17045"/>
    <cellStyle name="Normal 4 5 3 8 4 2" xfId="33675"/>
    <cellStyle name="Normal 4 5 3 8 5" xfId="17046"/>
    <cellStyle name="Normal 4 5 3 8 5 2" xfId="33676"/>
    <cellStyle name="Normal 4 5 3 8 6" xfId="33672"/>
    <cellStyle name="Normal 4 5 3 9" xfId="17047"/>
    <cellStyle name="Normal 4 5 3 9 2" xfId="17048"/>
    <cellStyle name="Normal 4 5 3 9 2 2" xfId="33678"/>
    <cellStyle name="Normal 4 5 3 9 3" xfId="17049"/>
    <cellStyle name="Normal 4 5 3 9 3 2" xfId="33679"/>
    <cellStyle name="Normal 4 5 3 9 4" xfId="17050"/>
    <cellStyle name="Normal 4 5 3 9 4 2" xfId="33680"/>
    <cellStyle name="Normal 4 5 3 9 5" xfId="17051"/>
    <cellStyle name="Normal 4 5 3 9 5 2" xfId="33681"/>
    <cellStyle name="Normal 4 5 3 9 6" xfId="33677"/>
    <cellStyle name="Normal 4 5 4" xfId="17052"/>
    <cellStyle name="Normal 4 5 4 10" xfId="17053"/>
    <cellStyle name="Normal 4 5 4 10 2" xfId="17054"/>
    <cellStyle name="Normal 4 5 4 10 2 2" xfId="33684"/>
    <cellStyle name="Normal 4 5 4 10 3" xfId="17055"/>
    <cellStyle name="Normal 4 5 4 10 3 2" xfId="33685"/>
    <cellStyle name="Normal 4 5 4 10 4" xfId="17056"/>
    <cellStyle name="Normal 4 5 4 10 4 2" xfId="33686"/>
    <cellStyle name="Normal 4 5 4 10 5" xfId="17057"/>
    <cellStyle name="Normal 4 5 4 10 5 2" xfId="33687"/>
    <cellStyle name="Normal 4 5 4 10 6" xfId="33683"/>
    <cellStyle name="Normal 4 5 4 11" xfId="17058"/>
    <cellStyle name="Normal 4 5 4 11 2" xfId="17059"/>
    <cellStyle name="Normal 4 5 4 11 2 2" xfId="33689"/>
    <cellStyle name="Normal 4 5 4 11 3" xfId="17060"/>
    <cellStyle name="Normal 4 5 4 11 3 2" xfId="33690"/>
    <cellStyle name="Normal 4 5 4 11 4" xfId="17061"/>
    <cellStyle name="Normal 4 5 4 11 4 2" xfId="33691"/>
    <cellStyle name="Normal 4 5 4 11 5" xfId="17062"/>
    <cellStyle name="Normal 4 5 4 11 5 2" xfId="33692"/>
    <cellStyle name="Normal 4 5 4 11 6" xfId="33688"/>
    <cellStyle name="Normal 4 5 4 12" xfId="17063"/>
    <cellStyle name="Normal 4 5 4 12 2" xfId="17064"/>
    <cellStyle name="Normal 4 5 4 12 2 2" xfId="33694"/>
    <cellStyle name="Normal 4 5 4 12 3" xfId="17065"/>
    <cellStyle name="Normal 4 5 4 12 3 2" xfId="33695"/>
    <cellStyle name="Normal 4 5 4 12 4" xfId="17066"/>
    <cellStyle name="Normal 4 5 4 12 4 2" xfId="33696"/>
    <cellStyle name="Normal 4 5 4 12 5" xfId="17067"/>
    <cellStyle name="Normal 4 5 4 12 5 2" xfId="33697"/>
    <cellStyle name="Normal 4 5 4 12 6" xfId="33693"/>
    <cellStyle name="Normal 4 5 4 13" xfId="17068"/>
    <cellStyle name="Normal 4 5 4 13 2" xfId="17069"/>
    <cellStyle name="Normal 4 5 4 13 2 2" xfId="33699"/>
    <cellStyle name="Normal 4 5 4 13 3" xfId="17070"/>
    <cellStyle name="Normal 4 5 4 13 3 2" xfId="33700"/>
    <cellStyle name="Normal 4 5 4 13 4" xfId="17071"/>
    <cellStyle name="Normal 4 5 4 13 4 2" xfId="33701"/>
    <cellStyle name="Normal 4 5 4 13 5" xfId="17072"/>
    <cellStyle name="Normal 4 5 4 13 5 2" xfId="33702"/>
    <cellStyle name="Normal 4 5 4 13 6" xfId="33698"/>
    <cellStyle name="Normal 4 5 4 14" xfId="17073"/>
    <cellStyle name="Normal 4 5 4 14 2" xfId="17074"/>
    <cellStyle name="Normal 4 5 4 14 2 2" xfId="33704"/>
    <cellStyle name="Normal 4 5 4 14 3" xfId="17075"/>
    <cellStyle name="Normal 4 5 4 14 3 2" xfId="33705"/>
    <cellStyle name="Normal 4 5 4 14 4" xfId="17076"/>
    <cellStyle name="Normal 4 5 4 14 4 2" xfId="33706"/>
    <cellStyle name="Normal 4 5 4 14 5" xfId="17077"/>
    <cellStyle name="Normal 4 5 4 14 5 2" xfId="33707"/>
    <cellStyle name="Normal 4 5 4 14 6" xfId="33703"/>
    <cellStyle name="Normal 4 5 4 15" xfId="17078"/>
    <cellStyle name="Normal 4 5 4 15 2" xfId="17079"/>
    <cellStyle name="Normal 4 5 4 15 2 2" xfId="33709"/>
    <cellStyle name="Normal 4 5 4 15 3" xfId="17080"/>
    <cellStyle name="Normal 4 5 4 15 3 2" xfId="33710"/>
    <cellStyle name="Normal 4 5 4 15 4" xfId="17081"/>
    <cellStyle name="Normal 4 5 4 15 4 2" xfId="33711"/>
    <cellStyle name="Normal 4 5 4 15 5" xfId="17082"/>
    <cellStyle name="Normal 4 5 4 15 5 2" xfId="33712"/>
    <cellStyle name="Normal 4 5 4 15 6" xfId="33708"/>
    <cellStyle name="Normal 4 5 4 16" xfId="17083"/>
    <cellStyle name="Normal 4 5 4 16 2" xfId="17084"/>
    <cellStyle name="Normal 4 5 4 16 2 2" xfId="33714"/>
    <cellStyle name="Normal 4 5 4 16 3" xfId="17085"/>
    <cellStyle name="Normal 4 5 4 16 3 2" xfId="33715"/>
    <cellStyle name="Normal 4 5 4 16 4" xfId="17086"/>
    <cellStyle name="Normal 4 5 4 16 4 2" xfId="33716"/>
    <cellStyle name="Normal 4 5 4 16 5" xfId="17087"/>
    <cellStyle name="Normal 4 5 4 16 5 2" xfId="33717"/>
    <cellStyle name="Normal 4 5 4 16 6" xfId="33713"/>
    <cellStyle name="Normal 4 5 4 17" xfId="17088"/>
    <cellStyle name="Normal 4 5 4 17 2" xfId="33718"/>
    <cellStyle name="Normal 4 5 4 18" xfId="17089"/>
    <cellStyle name="Normal 4 5 4 18 2" xfId="33719"/>
    <cellStyle name="Normal 4 5 4 19" xfId="17090"/>
    <cellStyle name="Normal 4 5 4 19 2" xfId="33720"/>
    <cellStyle name="Normal 4 5 4 2" xfId="17091"/>
    <cellStyle name="Normal 4 5 4 2 10" xfId="17092"/>
    <cellStyle name="Normal 4 5 4 2 10 2" xfId="33722"/>
    <cellStyle name="Normal 4 5 4 2 11" xfId="17093"/>
    <cellStyle name="Normal 4 5 4 2 11 2" xfId="33723"/>
    <cellStyle name="Normal 4 5 4 2 12" xfId="33721"/>
    <cellStyle name="Normal 4 5 4 2 2" xfId="17094"/>
    <cellStyle name="Normal 4 5 4 2 2 2" xfId="17095"/>
    <cellStyle name="Normal 4 5 4 2 2 2 2" xfId="33725"/>
    <cellStyle name="Normal 4 5 4 2 2 3" xfId="17096"/>
    <cellStyle name="Normal 4 5 4 2 2 3 2" xfId="33726"/>
    <cellStyle name="Normal 4 5 4 2 2 4" xfId="17097"/>
    <cellStyle name="Normal 4 5 4 2 2 4 2" xfId="33727"/>
    <cellStyle name="Normal 4 5 4 2 2 5" xfId="17098"/>
    <cellStyle name="Normal 4 5 4 2 2 5 2" xfId="33728"/>
    <cellStyle name="Normal 4 5 4 2 2 6" xfId="33724"/>
    <cellStyle name="Normal 4 5 4 2 3" xfId="17099"/>
    <cellStyle name="Normal 4 5 4 2 3 2" xfId="17100"/>
    <cellStyle name="Normal 4 5 4 2 3 2 2" xfId="33730"/>
    <cellStyle name="Normal 4 5 4 2 3 3" xfId="17101"/>
    <cellStyle name="Normal 4 5 4 2 3 3 2" xfId="33731"/>
    <cellStyle name="Normal 4 5 4 2 3 4" xfId="17102"/>
    <cellStyle name="Normal 4 5 4 2 3 4 2" xfId="33732"/>
    <cellStyle name="Normal 4 5 4 2 3 5" xfId="17103"/>
    <cellStyle name="Normal 4 5 4 2 3 5 2" xfId="33733"/>
    <cellStyle name="Normal 4 5 4 2 3 6" xfId="33729"/>
    <cellStyle name="Normal 4 5 4 2 4" xfId="17104"/>
    <cellStyle name="Normal 4 5 4 2 4 2" xfId="17105"/>
    <cellStyle name="Normal 4 5 4 2 4 2 2" xfId="33735"/>
    <cellStyle name="Normal 4 5 4 2 4 3" xfId="17106"/>
    <cellStyle name="Normal 4 5 4 2 4 3 2" xfId="33736"/>
    <cellStyle name="Normal 4 5 4 2 4 4" xfId="17107"/>
    <cellStyle name="Normal 4 5 4 2 4 4 2" xfId="33737"/>
    <cellStyle name="Normal 4 5 4 2 4 5" xfId="17108"/>
    <cellStyle name="Normal 4 5 4 2 4 5 2" xfId="33738"/>
    <cellStyle name="Normal 4 5 4 2 4 6" xfId="33734"/>
    <cellStyle name="Normal 4 5 4 2 5" xfId="17109"/>
    <cellStyle name="Normal 4 5 4 2 5 2" xfId="17110"/>
    <cellStyle name="Normal 4 5 4 2 5 2 2" xfId="33740"/>
    <cellStyle name="Normal 4 5 4 2 5 3" xfId="17111"/>
    <cellStyle name="Normal 4 5 4 2 5 3 2" xfId="33741"/>
    <cellStyle name="Normal 4 5 4 2 5 4" xfId="17112"/>
    <cellStyle name="Normal 4 5 4 2 5 4 2" xfId="33742"/>
    <cellStyle name="Normal 4 5 4 2 5 5" xfId="17113"/>
    <cellStyle name="Normal 4 5 4 2 5 5 2" xfId="33743"/>
    <cellStyle name="Normal 4 5 4 2 5 6" xfId="33739"/>
    <cellStyle name="Normal 4 5 4 2 6" xfId="17114"/>
    <cellStyle name="Normal 4 5 4 2 6 2" xfId="17115"/>
    <cellStyle name="Normal 4 5 4 2 6 2 2" xfId="33745"/>
    <cellStyle name="Normal 4 5 4 2 6 3" xfId="17116"/>
    <cellStyle name="Normal 4 5 4 2 6 3 2" xfId="33746"/>
    <cellStyle name="Normal 4 5 4 2 6 4" xfId="17117"/>
    <cellStyle name="Normal 4 5 4 2 6 4 2" xfId="33747"/>
    <cellStyle name="Normal 4 5 4 2 6 5" xfId="17118"/>
    <cellStyle name="Normal 4 5 4 2 6 5 2" xfId="33748"/>
    <cellStyle name="Normal 4 5 4 2 6 6" xfId="33744"/>
    <cellStyle name="Normal 4 5 4 2 7" xfId="17119"/>
    <cellStyle name="Normal 4 5 4 2 7 2" xfId="17120"/>
    <cellStyle name="Normal 4 5 4 2 7 2 2" xfId="33750"/>
    <cellStyle name="Normal 4 5 4 2 7 3" xfId="17121"/>
    <cellStyle name="Normal 4 5 4 2 7 3 2" xfId="33751"/>
    <cellStyle name="Normal 4 5 4 2 7 4" xfId="17122"/>
    <cellStyle name="Normal 4 5 4 2 7 4 2" xfId="33752"/>
    <cellStyle name="Normal 4 5 4 2 7 5" xfId="17123"/>
    <cellStyle name="Normal 4 5 4 2 7 5 2" xfId="33753"/>
    <cellStyle name="Normal 4 5 4 2 7 6" xfId="33749"/>
    <cellStyle name="Normal 4 5 4 2 8" xfId="17124"/>
    <cellStyle name="Normal 4 5 4 2 8 2" xfId="33754"/>
    <cellStyle name="Normal 4 5 4 2 9" xfId="17125"/>
    <cellStyle name="Normal 4 5 4 2 9 2" xfId="33755"/>
    <cellStyle name="Normal 4 5 4 20" xfId="17126"/>
    <cellStyle name="Normal 4 5 4 20 2" xfId="33756"/>
    <cellStyle name="Normal 4 5 4 21" xfId="40730"/>
    <cellStyle name="Normal 4 5 4 22" xfId="33682"/>
    <cellStyle name="Normal 4 5 4 3" xfId="17127"/>
    <cellStyle name="Normal 4 5 4 3 2" xfId="17128"/>
    <cellStyle name="Normal 4 5 4 3 2 2" xfId="17129"/>
    <cellStyle name="Normal 4 5 4 3 2 2 2" xfId="33759"/>
    <cellStyle name="Normal 4 5 4 3 2 3" xfId="17130"/>
    <cellStyle name="Normal 4 5 4 3 2 3 2" xfId="33760"/>
    <cellStyle name="Normal 4 5 4 3 2 4" xfId="17131"/>
    <cellStyle name="Normal 4 5 4 3 2 4 2" xfId="33761"/>
    <cellStyle name="Normal 4 5 4 3 2 5" xfId="17132"/>
    <cellStyle name="Normal 4 5 4 3 2 5 2" xfId="33762"/>
    <cellStyle name="Normal 4 5 4 3 2 6" xfId="33758"/>
    <cellStyle name="Normal 4 5 4 3 3" xfId="17133"/>
    <cellStyle name="Normal 4 5 4 3 3 2" xfId="33763"/>
    <cellStyle name="Normal 4 5 4 3 4" xfId="17134"/>
    <cellStyle name="Normal 4 5 4 3 4 2" xfId="33764"/>
    <cellStyle name="Normal 4 5 4 3 5" xfId="17135"/>
    <cellStyle name="Normal 4 5 4 3 5 2" xfId="33765"/>
    <cellStyle name="Normal 4 5 4 3 6" xfId="17136"/>
    <cellStyle name="Normal 4 5 4 3 6 2" xfId="33766"/>
    <cellStyle name="Normal 4 5 4 3 7" xfId="33757"/>
    <cellStyle name="Normal 4 5 4 4" xfId="17137"/>
    <cellStyle name="Normal 4 5 4 4 2" xfId="17138"/>
    <cellStyle name="Normal 4 5 4 4 2 2" xfId="17139"/>
    <cellStyle name="Normal 4 5 4 4 2 2 2" xfId="33769"/>
    <cellStyle name="Normal 4 5 4 4 2 3" xfId="17140"/>
    <cellStyle name="Normal 4 5 4 4 2 3 2" xfId="33770"/>
    <cellStyle name="Normal 4 5 4 4 2 4" xfId="17141"/>
    <cellStyle name="Normal 4 5 4 4 2 4 2" xfId="33771"/>
    <cellStyle name="Normal 4 5 4 4 2 5" xfId="17142"/>
    <cellStyle name="Normal 4 5 4 4 2 5 2" xfId="33772"/>
    <cellStyle name="Normal 4 5 4 4 2 6" xfId="33768"/>
    <cellStyle name="Normal 4 5 4 4 3" xfId="17143"/>
    <cellStyle name="Normal 4 5 4 4 3 2" xfId="33773"/>
    <cellStyle name="Normal 4 5 4 4 4" xfId="17144"/>
    <cellStyle name="Normal 4 5 4 4 4 2" xfId="33774"/>
    <cellStyle name="Normal 4 5 4 4 5" xfId="17145"/>
    <cellStyle name="Normal 4 5 4 4 5 2" xfId="33775"/>
    <cellStyle name="Normal 4 5 4 4 6" xfId="17146"/>
    <cellStyle name="Normal 4 5 4 4 6 2" xfId="33776"/>
    <cellStyle name="Normal 4 5 4 4 7" xfId="33767"/>
    <cellStyle name="Normal 4 5 4 5" xfId="17147"/>
    <cellStyle name="Normal 4 5 4 5 2" xfId="17148"/>
    <cellStyle name="Normal 4 5 4 5 2 2" xfId="33778"/>
    <cellStyle name="Normal 4 5 4 5 3" xfId="17149"/>
    <cellStyle name="Normal 4 5 4 5 3 2" xfId="33779"/>
    <cellStyle name="Normal 4 5 4 5 4" xfId="17150"/>
    <cellStyle name="Normal 4 5 4 5 4 2" xfId="33780"/>
    <cellStyle name="Normal 4 5 4 5 5" xfId="17151"/>
    <cellStyle name="Normal 4 5 4 5 5 2" xfId="33781"/>
    <cellStyle name="Normal 4 5 4 5 6" xfId="33777"/>
    <cellStyle name="Normal 4 5 4 6" xfId="17152"/>
    <cellStyle name="Normal 4 5 4 6 2" xfId="17153"/>
    <cellStyle name="Normal 4 5 4 6 2 2" xfId="33783"/>
    <cellStyle name="Normal 4 5 4 6 3" xfId="17154"/>
    <cellStyle name="Normal 4 5 4 6 3 2" xfId="33784"/>
    <cellStyle name="Normal 4 5 4 6 4" xfId="17155"/>
    <cellStyle name="Normal 4 5 4 6 4 2" xfId="33785"/>
    <cellStyle name="Normal 4 5 4 6 5" xfId="17156"/>
    <cellStyle name="Normal 4 5 4 6 5 2" xfId="33786"/>
    <cellStyle name="Normal 4 5 4 6 6" xfId="33782"/>
    <cellStyle name="Normal 4 5 4 7" xfId="17157"/>
    <cellStyle name="Normal 4 5 4 7 2" xfId="17158"/>
    <cellStyle name="Normal 4 5 4 7 2 2" xfId="33788"/>
    <cellStyle name="Normal 4 5 4 7 3" xfId="17159"/>
    <cellStyle name="Normal 4 5 4 7 3 2" xfId="33789"/>
    <cellStyle name="Normal 4 5 4 7 4" xfId="17160"/>
    <cellStyle name="Normal 4 5 4 7 4 2" xfId="33790"/>
    <cellStyle name="Normal 4 5 4 7 5" xfId="17161"/>
    <cellStyle name="Normal 4 5 4 7 5 2" xfId="33791"/>
    <cellStyle name="Normal 4 5 4 7 6" xfId="33787"/>
    <cellStyle name="Normal 4 5 4 8" xfId="17162"/>
    <cellStyle name="Normal 4 5 4 8 2" xfId="17163"/>
    <cellStyle name="Normal 4 5 4 8 2 2" xfId="33793"/>
    <cellStyle name="Normal 4 5 4 8 3" xfId="17164"/>
    <cellStyle name="Normal 4 5 4 8 3 2" xfId="33794"/>
    <cellStyle name="Normal 4 5 4 8 4" xfId="17165"/>
    <cellStyle name="Normal 4 5 4 8 4 2" xfId="33795"/>
    <cellStyle name="Normal 4 5 4 8 5" xfId="17166"/>
    <cellStyle name="Normal 4 5 4 8 5 2" xfId="33796"/>
    <cellStyle name="Normal 4 5 4 8 6" xfId="33792"/>
    <cellStyle name="Normal 4 5 4 9" xfId="17167"/>
    <cellStyle name="Normal 4 5 4 9 2" xfId="17168"/>
    <cellStyle name="Normal 4 5 4 9 2 2" xfId="33798"/>
    <cellStyle name="Normal 4 5 4 9 3" xfId="17169"/>
    <cellStyle name="Normal 4 5 4 9 3 2" xfId="33799"/>
    <cellStyle name="Normal 4 5 4 9 4" xfId="17170"/>
    <cellStyle name="Normal 4 5 4 9 4 2" xfId="33800"/>
    <cellStyle name="Normal 4 5 4 9 5" xfId="17171"/>
    <cellStyle name="Normal 4 5 4 9 5 2" xfId="33801"/>
    <cellStyle name="Normal 4 5 4 9 6" xfId="33797"/>
    <cellStyle name="Normal 4 5 5" xfId="17172"/>
    <cellStyle name="Normal 4 5 5 10" xfId="17173"/>
    <cellStyle name="Normal 4 5 5 11" xfId="17174"/>
    <cellStyle name="Normal 4 5 5 12" xfId="17175"/>
    <cellStyle name="Normal 4 5 5 13" xfId="17176"/>
    <cellStyle name="Normal 4 5 5 14" xfId="17177"/>
    <cellStyle name="Normal 4 5 5 15" xfId="17178"/>
    <cellStyle name="Normal 4 5 5 16" xfId="17179"/>
    <cellStyle name="Normal 4 5 5 2" xfId="17180"/>
    <cellStyle name="Normal 4 5 5 3" xfId="17181"/>
    <cellStyle name="Normal 4 5 5 4" xfId="17182"/>
    <cellStyle name="Normal 4 5 5 5" xfId="17183"/>
    <cellStyle name="Normal 4 5 5 6" xfId="17184"/>
    <cellStyle name="Normal 4 5 5 7" xfId="17185"/>
    <cellStyle name="Normal 4 5 5 8" xfId="17186"/>
    <cellStyle name="Normal 4 5 5 9" xfId="17187"/>
    <cellStyle name="Normal 4 5 6" xfId="17188"/>
    <cellStyle name="Normal 4 5 6 10" xfId="17189"/>
    <cellStyle name="Normal 4 5 6 11" xfId="17190"/>
    <cellStyle name="Normal 4 5 6 12" xfId="17191"/>
    <cellStyle name="Normal 4 5 6 13" xfId="17192"/>
    <cellStyle name="Normal 4 5 6 14" xfId="17193"/>
    <cellStyle name="Normal 4 5 6 15" xfId="17194"/>
    <cellStyle name="Normal 4 5 6 16" xfId="17195"/>
    <cellStyle name="Normal 4 5 6 2" xfId="17196"/>
    <cellStyle name="Normal 4 5 6 3" xfId="17197"/>
    <cellStyle name="Normal 4 5 6 4" xfId="17198"/>
    <cellStyle name="Normal 4 5 6 5" xfId="17199"/>
    <cellStyle name="Normal 4 5 6 6" xfId="17200"/>
    <cellStyle name="Normal 4 5 6 7" xfId="17201"/>
    <cellStyle name="Normal 4 5 6 8" xfId="17202"/>
    <cellStyle name="Normal 4 5 6 9" xfId="17203"/>
    <cellStyle name="Normal 4 5 7" xfId="17204"/>
    <cellStyle name="Normal 4 5 7 10" xfId="17205"/>
    <cellStyle name="Normal 4 5 7 10 2" xfId="17206"/>
    <cellStyle name="Normal 4 5 7 10 2 2" xfId="33804"/>
    <cellStyle name="Normal 4 5 7 10 3" xfId="17207"/>
    <cellStyle name="Normal 4 5 7 10 3 2" xfId="33805"/>
    <cellStyle name="Normal 4 5 7 10 4" xfId="17208"/>
    <cellStyle name="Normal 4 5 7 10 4 2" xfId="33806"/>
    <cellStyle name="Normal 4 5 7 10 5" xfId="17209"/>
    <cellStyle name="Normal 4 5 7 10 5 2" xfId="33807"/>
    <cellStyle name="Normal 4 5 7 10 6" xfId="33803"/>
    <cellStyle name="Normal 4 5 7 11" xfId="17210"/>
    <cellStyle name="Normal 4 5 7 11 2" xfId="17211"/>
    <cellStyle name="Normal 4 5 7 11 2 2" xfId="33809"/>
    <cellStyle name="Normal 4 5 7 11 3" xfId="17212"/>
    <cellStyle name="Normal 4 5 7 11 3 2" xfId="33810"/>
    <cellStyle name="Normal 4 5 7 11 4" xfId="17213"/>
    <cellStyle name="Normal 4 5 7 11 4 2" xfId="33811"/>
    <cellStyle name="Normal 4 5 7 11 5" xfId="17214"/>
    <cellStyle name="Normal 4 5 7 11 5 2" xfId="33812"/>
    <cellStyle name="Normal 4 5 7 11 6" xfId="33808"/>
    <cellStyle name="Normal 4 5 7 12" xfId="17215"/>
    <cellStyle name="Normal 4 5 7 12 2" xfId="17216"/>
    <cellStyle name="Normal 4 5 7 12 2 2" xfId="33814"/>
    <cellStyle name="Normal 4 5 7 12 3" xfId="17217"/>
    <cellStyle name="Normal 4 5 7 12 3 2" xfId="33815"/>
    <cellStyle name="Normal 4 5 7 12 4" xfId="17218"/>
    <cellStyle name="Normal 4 5 7 12 4 2" xfId="33816"/>
    <cellStyle name="Normal 4 5 7 12 5" xfId="17219"/>
    <cellStyle name="Normal 4 5 7 12 5 2" xfId="33817"/>
    <cellStyle name="Normal 4 5 7 12 6" xfId="33813"/>
    <cellStyle name="Normal 4 5 7 13" xfId="17220"/>
    <cellStyle name="Normal 4 5 7 13 2" xfId="17221"/>
    <cellStyle name="Normal 4 5 7 13 2 2" xfId="33819"/>
    <cellStyle name="Normal 4 5 7 13 3" xfId="17222"/>
    <cellStyle name="Normal 4 5 7 13 3 2" xfId="33820"/>
    <cellStyle name="Normal 4 5 7 13 4" xfId="17223"/>
    <cellStyle name="Normal 4 5 7 13 4 2" xfId="33821"/>
    <cellStyle name="Normal 4 5 7 13 5" xfId="17224"/>
    <cellStyle name="Normal 4 5 7 13 5 2" xfId="33822"/>
    <cellStyle name="Normal 4 5 7 13 6" xfId="33818"/>
    <cellStyle name="Normal 4 5 7 14" xfId="17225"/>
    <cellStyle name="Normal 4 5 7 14 2" xfId="17226"/>
    <cellStyle name="Normal 4 5 7 14 2 2" xfId="33824"/>
    <cellStyle name="Normal 4 5 7 14 3" xfId="17227"/>
    <cellStyle name="Normal 4 5 7 14 3 2" xfId="33825"/>
    <cellStyle name="Normal 4 5 7 14 4" xfId="17228"/>
    <cellStyle name="Normal 4 5 7 14 4 2" xfId="33826"/>
    <cellStyle name="Normal 4 5 7 14 5" xfId="17229"/>
    <cellStyle name="Normal 4 5 7 14 5 2" xfId="33827"/>
    <cellStyle name="Normal 4 5 7 14 6" xfId="33823"/>
    <cellStyle name="Normal 4 5 7 15" xfId="17230"/>
    <cellStyle name="Normal 4 5 7 15 2" xfId="17231"/>
    <cellStyle name="Normal 4 5 7 15 2 2" xfId="33829"/>
    <cellStyle name="Normal 4 5 7 15 3" xfId="17232"/>
    <cellStyle name="Normal 4 5 7 15 3 2" xfId="33830"/>
    <cellStyle name="Normal 4 5 7 15 4" xfId="17233"/>
    <cellStyle name="Normal 4 5 7 15 4 2" xfId="33831"/>
    <cellStyle name="Normal 4 5 7 15 5" xfId="17234"/>
    <cellStyle name="Normal 4 5 7 15 5 2" xfId="33832"/>
    <cellStyle name="Normal 4 5 7 15 6" xfId="33828"/>
    <cellStyle name="Normal 4 5 7 16" xfId="17235"/>
    <cellStyle name="Normal 4 5 7 16 2" xfId="17236"/>
    <cellStyle name="Normal 4 5 7 16 2 2" xfId="33834"/>
    <cellStyle name="Normal 4 5 7 16 3" xfId="17237"/>
    <cellStyle name="Normal 4 5 7 16 3 2" xfId="33835"/>
    <cellStyle name="Normal 4 5 7 16 4" xfId="17238"/>
    <cellStyle name="Normal 4 5 7 16 4 2" xfId="33836"/>
    <cellStyle name="Normal 4 5 7 16 5" xfId="17239"/>
    <cellStyle name="Normal 4 5 7 16 5 2" xfId="33837"/>
    <cellStyle name="Normal 4 5 7 16 6" xfId="33833"/>
    <cellStyle name="Normal 4 5 7 17" xfId="17240"/>
    <cellStyle name="Normal 4 5 7 17 2" xfId="33838"/>
    <cellStyle name="Normal 4 5 7 18" xfId="17241"/>
    <cellStyle name="Normal 4 5 7 18 2" xfId="33839"/>
    <cellStyle name="Normal 4 5 7 19" xfId="17242"/>
    <cellStyle name="Normal 4 5 7 19 2" xfId="33840"/>
    <cellStyle name="Normal 4 5 7 2" xfId="17243"/>
    <cellStyle name="Normal 4 5 7 20" xfId="17244"/>
    <cellStyle name="Normal 4 5 7 20 2" xfId="33841"/>
    <cellStyle name="Normal 4 5 7 21" xfId="33802"/>
    <cellStyle name="Normal 4 5 7 3" xfId="17245"/>
    <cellStyle name="Normal 4 5 7 3 2" xfId="17246"/>
    <cellStyle name="Normal 4 5 7 3 2 2" xfId="33843"/>
    <cellStyle name="Normal 4 5 7 3 3" xfId="17247"/>
    <cellStyle name="Normal 4 5 7 3 3 2" xfId="33844"/>
    <cellStyle name="Normal 4 5 7 3 4" xfId="17248"/>
    <cellStyle name="Normal 4 5 7 3 4 2" xfId="33845"/>
    <cellStyle name="Normal 4 5 7 3 5" xfId="17249"/>
    <cellStyle name="Normal 4 5 7 3 5 2" xfId="33846"/>
    <cellStyle name="Normal 4 5 7 3 6" xfId="33842"/>
    <cellStyle name="Normal 4 5 7 4" xfId="17250"/>
    <cellStyle name="Normal 4 5 7 4 2" xfId="17251"/>
    <cellStyle name="Normal 4 5 7 4 2 2" xfId="33848"/>
    <cellStyle name="Normal 4 5 7 4 3" xfId="17252"/>
    <cellStyle name="Normal 4 5 7 4 3 2" xfId="33849"/>
    <cellStyle name="Normal 4 5 7 4 4" xfId="17253"/>
    <cellStyle name="Normal 4 5 7 4 4 2" xfId="33850"/>
    <cellStyle name="Normal 4 5 7 4 5" xfId="17254"/>
    <cellStyle name="Normal 4 5 7 4 5 2" xfId="33851"/>
    <cellStyle name="Normal 4 5 7 4 6" xfId="33847"/>
    <cellStyle name="Normal 4 5 7 5" xfId="17255"/>
    <cellStyle name="Normal 4 5 7 5 2" xfId="17256"/>
    <cellStyle name="Normal 4 5 7 5 2 2" xfId="33853"/>
    <cellStyle name="Normal 4 5 7 5 3" xfId="17257"/>
    <cellStyle name="Normal 4 5 7 5 3 2" xfId="33854"/>
    <cellStyle name="Normal 4 5 7 5 4" xfId="17258"/>
    <cellStyle name="Normal 4 5 7 5 4 2" xfId="33855"/>
    <cellStyle name="Normal 4 5 7 5 5" xfId="17259"/>
    <cellStyle name="Normal 4 5 7 5 5 2" xfId="33856"/>
    <cellStyle name="Normal 4 5 7 5 6" xfId="33852"/>
    <cellStyle name="Normal 4 5 7 6" xfId="17260"/>
    <cellStyle name="Normal 4 5 7 6 2" xfId="17261"/>
    <cellStyle name="Normal 4 5 7 6 2 2" xfId="33858"/>
    <cellStyle name="Normal 4 5 7 6 3" xfId="17262"/>
    <cellStyle name="Normal 4 5 7 6 3 2" xfId="33859"/>
    <cellStyle name="Normal 4 5 7 6 4" xfId="17263"/>
    <cellStyle name="Normal 4 5 7 6 4 2" xfId="33860"/>
    <cellStyle name="Normal 4 5 7 6 5" xfId="17264"/>
    <cellStyle name="Normal 4 5 7 6 5 2" xfId="33861"/>
    <cellStyle name="Normal 4 5 7 6 6" xfId="33857"/>
    <cellStyle name="Normal 4 5 7 7" xfId="17265"/>
    <cellStyle name="Normal 4 5 7 7 2" xfId="17266"/>
    <cellStyle name="Normal 4 5 7 7 2 2" xfId="33863"/>
    <cellStyle name="Normal 4 5 7 7 3" xfId="17267"/>
    <cellStyle name="Normal 4 5 7 7 3 2" xfId="33864"/>
    <cellStyle name="Normal 4 5 7 7 4" xfId="17268"/>
    <cellStyle name="Normal 4 5 7 7 4 2" xfId="33865"/>
    <cellStyle name="Normal 4 5 7 7 5" xfId="17269"/>
    <cellStyle name="Normal 4 5 7 7 5 2" xfId="33866"/>
    <cellStyle name="Normal 4 5 7 7 6" xfId="33862"/>
    <cellStyle name="Normal 4 5 7 8" xfId="17270"/>
    <cellStyle name="Normal 4 5 7 8 2" xfId="17271"/>
    <cellStyle name="Normal 4 5 7 8 2 2" xfId="33868"/>
    <cellStyle name="Normal 4 5 7 8 3" xfId="17272"/>
    <cellStyle name="Normal 4 5 7 8 3 2" xfId="33869"/>
    <cellStyle name="Normal 4 5 7 8 4" xfId="17273"/>
    <cellStyle name="Normal 4 5 7 8 4 2" xfId="33870"/>
    <cellStyle name="Normal 4 5 7 8 5" xfId="17274"/>
    <cellStyle name="Normal 4 5 7 8 5 2" xfId="33871"/>
    <cellStyle name="Normal 4 5 7 8 6" xfId="33867"/>
    <cellStyle name="Normal 4 5 7 9" xfId="17275"/>
    <cellStyle name="Normal 4 5 7 9 2" xfId="17276"/>
    <cellStyle name="Normal 4 5 7 9 2 2" xfId="33873"/>
    <cellStyle name="Normal 4 5 7 9 3" xfId="17277"/>
    <cellStyle name="Normal 4 5 7 9 3 2" xfId="33874"/>
    <cellStyle name="Normal 4 5 7 9 4" xfId="17278"/>
    <cellStyle name="Normal 4 5 7 9 4 2" xfId="33875"/>
    <cellStyle name="Normal 4 5 7 9 5" xfId="17279"/>
    <cellStyle name="Normal 4 5 7 9 5 2" xfId="33876"/>
    <cellStyle name="Normal 4 5 7 9 6" xfId="33872"/>
    <cellStyle name="Normal 4 5 8" xfId="17280"/>
    <cellStyle name="Normal 4 5 8 2" xfId="17281"/>
    <cellStyle name="Normal 4 5 8 3" xfId="17282"/>
    <cellStyle name="Normal 4 5 8 3 2" xfId="33878"/>
    <cellStyle name="Normal 4 5 8 4" xfId="17283"/>
    <cellStyle name="Normal 4 5 8 4 2" xfId="33879"/>
    <cellStyle name="Normal 4 5 8 5" xfId="17284"/>
    <cellStyle name="Normal 4 5 8 5 2" xfId="33880"/>
    <cellStyle name="Normal 4 5 8 6" xfId="17285"/>
    <cellStyle name="Normal 4 5 8 6 2" xfId="33881"/>
    <cellStyle name="Normal 4 5 8 7" xfId="33877"/>
    <cellStyle name="Normal 4 5 9" xfId="17286"/>
    <cellStyle name="Normal 4 5 9 2" xfId="17287"/>
    <cellStyle name="Normal 4 5 9 3" xfId="17288"/>
    <cellStyle name="Normal 4 5 9 3 2" xfId="33883"/>
    <cellStyle name="Normal 4 5 9 4" xfId="17289"/>
    <cellStyle name="Normal 4 5 9 4 2" xfId="33884"/>
    <cellStyle name="Normal 4 5 9 5" xfId="17290"/>
    <cellStyle name="Normal 4 5 9 5 2" xfId="33885"/>
    <cellStyle name="Normal 4 5 9 6" xfId="17291"/>
    <cellStyle name="Normal 4 5 9 6 2" xfId="33886"/>
    <cellStyle name="Normal 4 5 9 7" xfId="33882"/>
    <cellStyle name="Normal 4 6" xfId="17292"/>
    <cellStyle name="Normal 4 6 10" xfId="17293"/>
    <cellStyle name="Normal 4 6 10 2" xfId="17294"/>
    <cellStyle name="Normal 4 6 10 2 2" xfId="33888"/>
    <cellStyle name="Normal 4 6 10 3" xfId="17295"/>
    <cellStyle name="Normal 4 6 10 3 2" xfId="33889"/>
    <cellStyle name="Normal 4 6 10 4" xfId="17296"/>
    <cellStyle name="Normal 4 6 10 4 2" xfId="33890"/>
    <cellStyle name="Normal 4 6 10 5" xfId="17297"/>
    <cellStyle name="Normal 4 6 10 5 2" xfId="33891"/>
    <cellStyle name="Normal 4 6 10 6" xfId="33887"/>
    <cellStyle name="Normal 4 6 11" xfId="17298"/>
    <cellStyle name="Normal 4 6 11 2" xfId="17299"/>
    <cellStyle name="Normal 4 6 11 2 2" xfId="33893"/>
    <cellStyle name="Normal 4 6 11 3" xfId="17300"/>
    <cellStyle name="Normal 4 6 11 3 2" xfId="33894"/>
    <cellStyle name="Normal 4 6 11 4" xfId="17301"/>
    <cellStyle name="Normal 4 6 11 4 2" xfId="33895"/>
    <cellStyle name="Normal 4 6 11 5" xfId="17302"/>
    <cellStyle name="Normal 4 6 11 5 2" xfId="33896"/>
    <cellStyle name="Normal 4 6 11 6" xfId="33892"/>
    <cellStyle name="Normal 4 6 12" xfId="17303"/>
    <cellStyle name="Normal 4 6 12 2" xfId="17304"/>
    <cellStyle name="Normal 4 6 12 2 2" xfId="33898"/>
    <cellStyle name="Normal 4 6 12 3" xfId="17305"/>
    <cellStyle name="Normal 4 6 12 3 2" xfId="33899"/>
    <cellStyle name="Normal 4 6 12 4" xfId="17306"/>
    <cellStyle name="Normal 4 6 12 4 2" xfId="33900"/>
    <cellStyle name="Normal 4 6 12 5" xfId="17307"/>
    <cellStyle name="Normal 4 6 12 5 2" xfId="33901"/>
    <cellStyle name="Normal 4 6 12 6" xfId="33897"/>
    <cellStyle name="Normal 4 6 13" xfId="17308"/>
    <cellStyle name="Normal 4 6 13 2" xfId="17309"/>
    <cellStyle name="Normal 4 6 13 2 2" xfId="33903"/>
    <cellStyle name="Normal 4 6 13 3" xfId="17310"/>
    <cellStyle name="Normal 4 6 13 3 2" xfId="33904"/>
    <cellStyle name="Normal 4 6 13 4" xfId="17311"/>
    <cellStyle name="Normal 4 6 13 4 2" xfId="33905"/>
    <cellStyle name="Normal 4 6 13 5" xfId="17312"/>
    <cellStyle name="Normal 4 6 13 5 2" xfId="33906"/>
    <cellStyle name="Normal 4 6 13 6" xfId="33902"/>
    <cellStyle name="Normal 4 6 14" xfId="17313"/>
    <cellStyle name="Normal 4 6 14 2" xfId="17314"/>
    <cellStyle name="Normal 4 6 14 2 2" xfId="33908"/>
    <cellStyle name="Normal 4 6 14 3" xfId="17315"/>
    <cellStyle name="Normal 4 6 14 3 2" xfId="33909"/>
    <cellStyle name="Normal 4 6 14 4" xfId="17316"/>
    <cellStyle name="Normal 4 6 14 4 2" xfId="33910"/>
    <cellStyle name="Normal 4 6 14 5" xfId="17317"/>
    <cellStyle name="Normal 4 6 14 5 2" xfId="33911"/>
    <cellStyle name="Normal 4 6 14 6" xfId="33907"/>
    <cellStyle name="Normal 4 6 15" xfId="17318"/>
    <cellStyle name="Normal 4 6 15 2" xfId="17319"/>
    <cellStyle name="Normal 4 6 15 2 2" xfId="33913"/>
    <cellStyle name="Normal 4 6 15 3" xfId="17320"/>
    <cellStyle name="Normal 4 6 15 3 2" xfId="33914"/>
    <cellStyle name="Normal 4 6 15 4" xfId="17321"/>
    <cellStyle name="Normal 4 6 15 4 2" xfId="33915"/>
    <cellStyle name="Normal 4 6 15 5" xfId="17322"/>
    <cellStyle name="Normal 4 6 15 5 2" xfId="33916"/>
    <cellStyle name="Normal 4 6 15 6" xfId="33912"/>
    <cellStyle name="Normal 4 6 16" xfId="17323"/>
    <cellStyle name="Normal 4 6 16 2" xfId="17324"/>
    <cellStyle name="Normal 4 6 16 2 2" xfId="33918"/>
    <cellStyle name="Normal 4 6 16 3" xfId="17325"/>
    <cellStyle name="Normal 4 6 16 3 2" xfId="33919"/>
    <cellStyle name="Normal 4 6 16 4" xfId="17326"/>
    <cellStyle name="Normal 4 6 16 4 2" xfId="33920"/>
    <cellStyle name="Normal 4 6 16 5" xfId="17327"/>
    <cellStyle name="Normal 4 6 16 5 2" xfId="33921"/>
    <cellStyle name="Normal 4 6 16 6" xfId="33917"/>
    <cellStyle name="Normal 4 6 17" xfId="17328"/>
    <cellStyle name="Normal 4 6 17 2" xfId="17329"/>
    <cellStyle name="Normal 4 6 17 2 2" xfId="33923"/>
    <cellStyle name="Normal 4 6 17 3" xfId="17330"/>
    <cellStyle name="Normal 4 6 17 3 2" xfId="33924"/>
    <cellStyle name="Normal 4 6 17 4" xfId="17331"/>
    <cellStyle name="Normal 4 6 17 4 2" xfId="33925"/>
    <cellStyle name="Normal 4 6 17 5" xfId="17332"/>
    <cellStyle name="Normal 4 6 17 5 2" xfId="33926"/>
    <cellStyle name="Normal 4 6 17 6" xfId="33922"/>
    <cellStyle name="Normal 4 6 18" xfId="17333"/>
    <cellStyle name="Normal 4 6 18 2" xfId="17334"/>
    <cellStyle name="Normal 4 6 18 2 2" xfId="33928"/>
    <cellStyle name="Normal 4 6 18 3" xfId="17335"/>
    <cellStyle name="Normal 4 6 18 3 2" xfId="33929"/>
    <cellStyle name="Normal 4 6 18 4" xfId="17336"/>
    <cellStyle name="Normal 4 6 18 4 2" xfId="33930"/>
    <cellStyle name="Normal 4 6 18 5" xfId="17337"/>
    <cellStyle name="Normal 4 6 18 5 2" xfId="33931"/>
    <cellStyle name="Normal 4 6 18 6" xfId="33927"/>
    <cellStyle name="Normal 4 6 19" xfId="17338"/>
    <cellStyle name="Normal 4 6 19 2" xfId="17339"/>
    <cellStyle name="Normal 4 6 19 2 2" xfId="33933"/>
    <cellStyle name="Normal 4 6 19 3" xfId="17340"/>
    <cellStyle name="Normal 4 6 19 3 2" xfId="33934"/>
    <cellStyle name="Normal 4 6 19 4" xfId="17341"/>
    <cellStyle name="Normal 4 6 19 4 2" xfId="33935"/>
    <cellStyle name="Normal 4 6 19 5" xfId="17342"/>
    <cellStyle name="Normal 4 6 19 5 2" xfId="33936"/>
    <cellStyle name="Normal 4 6 19 6" xfId="33932"/>
    <cellStyle name="Normal 4 6 2" xfId="17343"/>
    <cellStyle name="Normal 4 6 2 10" xfId="17344"/>
    <cellStyle name="Normal 4 6 2 11" xfId="17345"/>
    <cellStyle name="Normal 4 6 2 12" xfId="17346"/>
    <cellStyle name="Normal 4 6 2 13" xfId="17347"/>
    <cellStyle name="Normal 4 6 2 14" xfId="17348"/>
    <cellStyle name="Normal 4 6 2 15" xfId="17349"/>
    <cellStyle name="Normal 4 6 2 16" xfId="17350"/>
    <cellStyle name="Normal 4 6 2 17" xfId="17351"/>
    <cellStyle name="Normal 4 6 2 18" xfId="17352"/>
    <cellStyle name="Normal 4 6 2 19" xfId="17353"/>
    <cellStyle name="Normal 4 6 2 2" xfId="17354"/>
    <cellStyle name="Normal 4 6 2 2 2" xfId="17355"/>
    <cellStyle name="Normal 4 6 2 2 3" xfId="17356"/>
    <cellStyle name="Normal 4 6 2 2 4" xfId="17357"/>
    <cellStyle name="Normal 4 6 2 2 5" xfId="17358"/>
    <cellStyle name="Normal 4 6 2 2 6" xfId="17359"/>
    <cellStyle name="Normal 4 6 2 2 7" xfId="17360"/>
    <cellStyle name="Normal 4 6 2 20" xfId="17361"/>
    <cellStyle name="Normal 4 6 2 21" xfId="17362"/>
    <cellStyle name="Normal 4 6 2 22" xfId="33937"/>
    <cellStyle name="Normal 4 6 2 3" xfId="17363"/>
    <cellStyle name="Normal 4 6 2 4" xfId="17364"/>
    <cellStyle name="Normal 4 6 2 5" xfId="17365"/>
    <cellStyle name="Normal 4 6 2 6" xfId="17366"/>
    <cellStyle name="Normal 4 6 2 7" xfId="17367"/>
    <cellStyle name="Normal 4 6 2 8" xfId="17368"/>
    <cellStyle name="Normal 4 6 2 9" xfId="17369"/>
    <cellStyle name="Normal 4 6 20" xfId="17370"/>
    <cellStyle name="Normal 4 6 20 2" xfId="17371"/>
    <cellStyle name="Normal 4 6 20 2 2" xfId="33939"/>
    <cellStyle name="Normal 4 6 20 3" xfId="17372"/>
    <cellStyle name="Normal 4 6 20 3 2" xfId="33940"/>
    <cellStyle name="Normal 4 6 20 4" xfId="17373"/>
    <cellStyle name="Normal 4 6 20 4 2" xfId="33941"/>
    <cellStyle name="Normal 4 6 20 5" xfId="17374"/>
    <cellStyle name="Normal 4 6 20 5 2" xfId="33942"/>
    <cellStyle name="Normal 4 6 20 6" xfId="33938"/>
    <cellStyle name="Normal 4 6 21" xfId="17375"/>
    <cellStyle name="Normal 4 6 21 2" xfId="33943"/>
    <cellStyle name="Normal 4 6 22" xfId="17376"/>
    <cellStyle name="Normal 4 6 22 2" xfId="33944"/>
    <cellStyle name="Normal 4 6 23" xfId="17377"/>
    <cellStyle name="Normal 4 6 23 2" xfId="33945"/>
    <cellStyle name="Normal 4 6 24" xfId="17378"/>
    <cellStyle name="Normal 4 6 24 2" xfId="33946"/>
    <cellStyle name="Normal 4 6 25" xfId="17379"/>
    <cellStyle name="Normal 4 6 25 2" xfId="33947"/>
    <cellStyle name="Normal 4 6 26" xfId="40731"/>
    <cellStyle name="Normal 4 6 3" xfId="17380"/>
    <cellStyle name="Normal 4 6 3 10" xfId="17381"/>
    <cellStyle name="Normal 4 6 3 11" xfId="17382"/>
    <cellStyle name="Normal 4 6 3 12" xfId="17383"/>
    <cellStyle name="Normal 4 6 3 13" xfId="17384"/>
    <cellStyle name="Normal 4 6 3 14" xfId="17385"/>
    <cellStyle name="Normal 4 6 3 15" xfId="17386"/>
    <cellStyle name="Normal 4 6 3 16" xfId="17387"/>
    <cellStyle name="Normal 4 6 3 2" xfId="17388"/>
    <cellStyle name="Normal 4 6 3 3" xfId="17389"/>
    <cellStyle name="Normal 4 6 3 4" xfId="17390"/>
    <cellStyle name="Normal 4 6 3 5" xfId="17391"/>
    <cellStyle name="Normal 4 6 3 6" xfId="17392"/>
    <cellStyle name="Normal 4 6 3 7" xfId="17393"/>
    <cellStyle name="Normal 4 6 3 8" xfId="17394"/>
    <cellStyle name="Normal 4 6 3 9" xfId="17395"/>
    <cellStyle name="Normal 4 6 4" xfId="17396"/>
    <cellStyle name="Normal 4 6 4 10" xfId="17397"/>
    <cellStyle name="Normal 4 6 4 10 2" xfId="17398"/>
    <cellStyle name="Normal 4 6 4 10 2 2" xfId="33950"/>
    <cellStyle name="Normal 4 6 4 10 3" xfId="17399"/>
    <cellStyle name="Normal 4 6 4 10 3 2" xfId="33951"/>
    <cellStyle name="Normal 4 6 4 10 4" xfId="17400"/>
    <cellStyle name="Normal 4 6 4 10 4 2" xfId="33952"/>
    <cellStyle name="Normal 4 6 4 10 5" xfId="17401"/>
    <cellStyle name="Normal 4 6 4 10 5 2" xfId="33953"/>
    <cellStyle name="Normal 4 6 4 10 6" xfId="33949"/>
    <cellStyle name="Normal 4 6 4 11" xfId="17402"/>
    <cellStyle name="Normal 4 6 4 11 2" xfId="17403"/>
    <cellStyle name="Normal 4 6 4 11 2 2" xfId="33955"/>
    <cellStyle name="Normal 4 6 4 11 3" xfId="17404"/>
    <cellStyle name="Normal 4 6 4 11 3 2" xfId="33956"/>
    <cellStyle name="Normal 4 6 4 11 4" xfId="17405"/>
    <cellStyle name="Normal 4 6 4 11 4 2" xfId="33957"/>
    <cellStyle name="Normal 4 6 4 11 5" xfId="17406"/>
    <cellStyle name="Normal 4 6 4 11 5 2" xfId="33958"/>
    <cellStyle name="Normal 4 6 4 11 6" xfId="33954"/>
    <cellStyle name="Normal 4 6 4 12" xfId="17407"/>
    <cellStyle name="Normal 4 6 4 12 2" xfId="17408"/>
    <cellStyle name="Normal 4 6 4 12 2 2" xfId="33960"/>
    <cellStyle name="Normal 4 6 4 12 3" xfId="17409"/>
    <cellStyle name="Normal 4 6 4 12 3 2" xfId="33961"/>
    <cellStyle name="Normal 4 6 4 12 4" xfId="17410"/>
    <cellStyle name="Normal 4 6 4 12 4 2" xfId="33962"/>
    <cellStyle name="Normal 4 6 4 12 5" xfId="17411"/>
    <cellStyle name="Normal 4 6 4 12 5 2" xfId="33963"/>
    <cellStyle name="Normal 4 6 4 12 6" xfId="33959"/>
    <cellStyle name="Normal 4 6 4 13" xfId="17412"/>
    <cellStyle name="Normal 4 6 4 13 2" xfId="17413"/>
    <cellStyle name="Normal 4 6 4 13 2 2" xfId="33965"/>
    <cellStyle name="Normal 4 6 4 13 3" xfId="17414"/>
    <cellStyle name="Normal 4 6 4 13 3 2" xfId="33966"/>
    <cellStyle name="Normal 4 6 4 13 4" xfId="17415"/>
    <cellStyle name="Normal 4 6 4 13 4 2" xfId="33967"/>
    <cellStyle name="Normal 4 6 4 13 5" xfId="17416"/>
    <cellStyle name="Normal 4 6 4 13 5 2" xfId="33968"/>
    <cellStyle name="Normal 4 6 4 13 6" xfId="33964"/>
    <cellStyle name="Normal 4 6 4 14" xfId="17417"/>
    <cellStyle name="Normal 4 6 4 14 2" xfId="17418"/>
    <cellStyle name="Normal 4 6 4 14 2 2" xfId="33970"/>
    <cellStyle name="Normal 4 6 4 14 3" xfId="17419"/>
    <cellStyle name="Normal 4 6 4 14 3 2" xfId="33971"/>
    <cellStyle name="Normal 4 6 4 14 4" xfId="17420"/>
    <cellStyle name="Normal 4 6 4 14 4 2" xfId="33972"/>
    <cellStyle name="Normal 4 6 4 14 5" xfId="17421"/>
    <cellStyle name="Normal 4 6 4 14 5 2" xfId="33973"/>
    <cellStyle name="Normal 4 6 4 14 6" xfId="33969"/>
    <cellStyle name="Normal 4 6 4 15" xfId="17422"/>
    <cellStyle name="Normal 4 6 4 15 2" xfId="17423"/>
    <cellStyle name="Normal 4 6 4 15 2 2" xfId="33975"/>
    <cellStyle name="Normal 4 6 4 15 3" xfId="17424"/>
    <cellStyle name="Normal 4 6 4 15 3 2" xfId="33976"/>
    <cellStyle name="Normal 4 6 4 15 4" xfId="17425"/>
    <cellStyle name="Normal 4 6 4 15 4 2" xfId="33977"/>
    <cellStyle name="Normal 4 6 4 15 5" xfId="17426"/>
    <cellStyle name="Normal 4 6 4 15 5 2" xfId="33978"/>
    <cellStyle name="Normal 4 6 4 15 6" xfId="33974"/>
    <cellStyle name="Normal 4 6 4 16" xfId="17427"/>
    <cellStyle name="Normal 4 6 4 16 2" xfId="17428"/>
    <cellStyle name="Normal 4 6 4 16 2 2" xfId="33980"/>
    <cellStyle name="Normal 4 6 4 16 3" xfId="17429"/>
    <cellStyle name="Normal 4 6 4 16 3 2" xfId="33981"/>
    <cellStyle name="Normal 4 6 4 16 4" xfId="17430"/>
    <cellStyle name="Normal 4 6 4 16 4 2" xfId="33982"/>
    <cellStyle name="Normal 4 6 4 16 5" xfId="17431"/>
    <cellStyle name="Normal 4 6 4 16 5 2" xfId="33983"/>
    <cellStyle name="Normal 4 6 4 16 6" xfId="33979"/>
    <cellStyle name="Normal 4 6 4 17" xfId="17432"/>
    <cellStyle name="Normal 4 6 4 17 2" xfId="33984"/>
    <cellStyle name="Normal 4 6 4 18" xfId="17433"/>
    <cellStyle name="Normal 4 6 4 18 2" xfId="33985"/>
    <cellStyle name="Normal 4 6 4 19" xfId="17434"/>
    <cellStyle name="Normal 4 6 4 19 2" xfId="33986"/>
    <cellStyle name="Normal 4 6 4 2" xfId="17435"/>
    <cellStyle name="Normal 4 6 4 20" xfId="17436"/>
    <cellStyle name="Normal 4 6 4 20 2" xfId="33987"/>
    <cellStyle name="Normal 4 6 4 21" xfId="33948"/>
    <cellStyle name="Normal 4 6 4 3" xfId="17437"/>
    <cellStyle name="Normal 4 6 4 3 2" xfId="17438"/>
    <cellStyle name="Normal 4 6 4 3 2 2" xfId="33989"/>
    <cellStyle name="Normal 4 6 4 3 3" xfId="17439"/>
    <cellStyle name="Normal 4 6 4 3 3 2" xfId="33990"/>
    <cellStyle name="Normal 4 6 4 3 4" xfId="17440"/>
    <cellStyle name="Normal 4 6 4 3 4 2" xfId="33991"/>
    <cellStyle name="Normal 4 6 4 3 5" xfId="17441"/>
    <cellStyle name="Normal 4 6 4 3 5 2" xfId="33992"/>
    <cellStyle name="Normal 4 6 4 3 6" xfId="33988"/>
    <cellStyle name="Normal 4 6 4 4" xfId="17442"/>
    <cellStyle name="Normal 4 6 4 4 2" xfId="17443"/>
    <cellStyle name="Normal 4 6 4 4 2 2" xfId="33994"/>
    <cellStyle name="Normal 4 6 4 4 3" xfId="17444"/>
    <cellStyle name="Normal 4 6 4 4 3 2" xfId="33995"/>
    <cellStyle name="Normal 4 6 4 4 4" xfId="17445"/>
    <cellStyle name="Normal 4 6 4 4 4 2" xfId="33996"/>
    <cellStyle name="Normal 4 6 4 4 5" xfId="17446"/>
    <cellStyle name="Normal 4 6 4 4 5 2" xfId="33997"/>
    <cellStyle name="Normal 4 6 4 4 6" xfId="33993"/>
    <cellStyle name="Normal 4 6 4 5" xfId="17447"/>
    <cellStyle name="Normal 4 6 4 5 2" xfId="17448"/>
    <cellStyle name="Normal 4 6 4 5 2 2" xfId="33999"/>
    <cellStyle name="Normal 4 6 4 5 3" xfId="17449"/>
    <cellStyle name="Normal 4 6 4 5 3 2" xfId="34000"/>
    <cellStyle name="Normal 4 6 4 5 4" xfId="17450"/>
    <cellStyle name="Normal 4 6 4 5 4 2" xfId="34001"/>
    <cellStyle name="Normal 4 6 4 5 5" xfId="17451"/>
    <cellStyle name="Normal 4 6 4 5 5 2" xfId="34002"/>
    <cellStyle name="Normal 4 6 4 5 6" xfId="33998"/>
    <cellStyle name="Normal 4 6 4 6" xfId="17452"/>
    <cellStyle name="Normal 4 6 4 6 2" xfId="17453"/>
    <cellStyle name="Normal 4 6 4 6 2 2" xfId="34004"/>
    <cellStyle name="Normal 4 6 4 6 3" xfId="17454"/>
    <cellStyle name="Normal 4 6 4 6 3 2" xfId="34005"/>
    <cellStyle name="Normal 4 6 4 6 4" xfId="17455"/>
    <cellStyle name="Normal 4 6 4 6 4 2" xfId="34006"/>
    <cellStyle name="Normal 4 6 4 6 5" xfId="17456"/>
    <cellStyle name="Normal 4 6 4 6 5 2" xfId="34007"/>
    <cellStyle name="Normal 4 6 4 6 6" xfId="34003"/>
    <cellStyle name="Normal 4 6 4 7" xfId="17457"/>
    <cellStyle name="Normal 4 6 4 7 2" xfId="17458"/>
    <cellStyle name="Normal 4 6 4 7 2 2" xfId="34009"/>
    <cellStyle name="Normal 4 6 4 7 3" xfId="17459"/>
    <cellStyle name="Normal 4 6 4 7 3 2" xfId="34010"/>
    <cellStyle name="Normal 4 6 4 7 4" xfId="17460"/>
    <cellStyle name="Normal 4 6 4 7 4 2" xfId="34011"/>
    <cellStyle name="Normal 4 6 4 7 5" xfId="17461"/>
    <cellStyle name="Normal 4 6 4 7 5 2" xfId="34012"/>
    <cellStyle name="Normal 4 6 4 7 6" xfId="34008"/>
    <cellStyle name="Normal 4 6 4 8" xfId="17462"/>
    <cellStyle name="Normal 4 6 4 8 2" xfId="17463"/>
    <cellStyle name="Normal 4 6 4 8 2 2" xfId="34014"/>
    <cellStyle name="Normal 4 6 4 8 3" xfId="17464"/>
    <cellStyle name="Normal 4 6 4 8 3 2" xfId="34015"/>
    <cellStyle name="Normal 4 6 4 8 4" xfId="17465"/>
    <cellStyle name="Normal 4 6 4 8 4 2" xfId="34016"/>
    <cellStyle name="Normal 4 6 4 8 5" xfId="17466"/>
    <cellStyle name="Normal 4 6 4 8 5 2" xfId="34017"/>
    <cellStyle name="Normal 4 6 4 8 6" xfId="34013"/>
    <cellStyle name="Normal 4 6 4 9" xfId="17467"/>
    <cellStyle name="Normal 4 6 4 9 2" xfId="17468"/>
    <cellStyle name="Normal 4 6 4 9 2 2" xfId="34019"/>
    <cellStyle name="Normal 4 6 4 9 3" xfId="17469"/>
    <cellStyle name="Normal 4 6 4 9 3 2" xfId="34020"/>
    <cellStyle name="Normal 4 6 4 9 4" xfId="17470"/>
    <cellStyle name="Normal 4 6 4 9 4 2" xfId="34021"/>
    <cellStyle name="Normal 4 6 4 9 5" xfId="17471"/>
    <cellStyle name="Normal 4 6 4 9 5 2" xfId="34022"/>
    <cellStyle name="Normal 4 6 4 9 6" xfId="34018"/>
    <cellStyle name="Normal 4 6 5" xfId="17472"/>
    <cellStyle name="Normal 4 6 5 2" xfId="17473"/>
    <cellStyle name="Normal 4 6 5 3" xfId="17474"/>
    <cellStyle name="Normal 4 6 5 3 2" xfId="34024"/>
    <cellStyle name="Normal 4 6 5 4" xfId="17475"/>
    <cellStyle name="Normal 4 6 5 4 2" xfId="34025"/>
    <cellStyle name="Normal 4 6 5 5" xfId="17476"/>
    <cellStyle name="Normal 4 6 5 5 2" xfId="34026"/>
    <cellStyle name="Normal 4 6 5 6" xfId="17477"/>
    <cellStyle name="Normal 4 6 5 6 2" xfId="34027"/>
    <cellStyle name="Normal 4 6 5 7" xfId="34023"/>
    <cellStyle name="Normal 4 6 6" xfId="17478"/>
    <cellStyle name="Normal 4 6 6 2" xfId="17479"/>
    <cellStyle name="Normal 4 6 6 3" xfId="17480"/>
    <cellStyle name="Normal 4 6 6 3 2" xfId="34029"/>
    <cellStyle name="Normal 4 6 6 4" xfId="17481"/>
    <cellStyle name="Normal 4 6 6 4 2" xfId="34030"/>
    <cellStyle name="Normal 4 6 6 5" xfId="17482"/>
    <cellStyle name="Normal 4 6 6 5 2" xfId="34031"/>
    <cellStyle name="Normal 4 6 6 6" xfId="17483"/>
    <cellStyle name="Normal 4 6 6 6 2" xfId="34032"/>
    <cellStyle name="Normal 4 6 6 7" xfId="34028"/>
    <cellStyle name="Normal 4 6 7" xfId="17484"/>
    <cellStyle name="Normal 4 6 7 2" xfId="17485"/>
    <cellStyle name="Normal 4 6 7 2 2" xfId="34034"/>
    <cellStyle name="Normal 4 6 7 3" xfId="17486"/>
    <cellStyle name="Normal 4 6 7 3 2" xfId="34035"/>
    <cellStyle name="Normal 4 6 7 4" xfId="17487"/>
    <cellStyle name="Normal 4 6 7 4 2" xfId="34036"/>
    <cellStyle name="Normal 4 6 7 5" xfId="17488"/>
    <cellStyle name="Normal 4 6 7 5 2" xfId="34037"/>
    <cellStyle name="Normal 4 6 7 6" xfId="34033"/>
    <cellStyle name="Normal 4 6 8" xfId="17489"/>
    <cellStyle name="Normal 4 6 8 2" xfId="17490"/>
    <cellStyle name="Normal 4 6 8 2 2" xfId="34039"/>
    <cellStyle name="Normal 4 6 8 3" xfId="17491"/>
    <cellStyle name="Normal 4 6 8 3 2" xfId="34040"/>
    <cellStyle name="Normal 4 6 8 4" xfId="17492"/>
    <cellStyle name="Normal 4 6 8 4 2" xfId="34041"/>
    <cellStyle name="Normal 4 6 8 5" xfId="17493"/>
    <cellStyle name="Normal 4 6 8 5 2" xfId="34042"/>
    <cellStyle name="Normal 4 6 8 6" xfId="34038"/>
    <cellStyle name="Normal 4 6 9" xfId="17494"/>
    <cellStyle name="Normal 4 6 9 2" xfId="17495"/>
    <cellStyle name="Normal 4 6 9 2 2" xfId="34044"/>
    <cellStyle name="Normal 4 6 9 3" xfId="17496"/>
    <cellStyle name="Normal 4 6 9 3 2" xfId="34045"/>
    <cellStyle name="Normal 4 6 9 4" xfId="17497"/>
    <cellStyle name="Normal 4 6 9 4 2" xfId="34046"/>
    <cellStyle name="Normal 4 6 9 5" xfId="17498"/>
    <cellStyle name="Normal 4 6 9 5 2" xfId="34047"/>
    <cellStyle name="Normal 4 6 9 6" xfId="34043"/>
    <cellStyle name="Normal 4 7" xfId="17499"/>
    <cellStyle name="Normal 4 7 10" xfId="17500"/>
    <cellStyle name="Normal 4 7 10 2" xfId="17501"/>
    <cellStyle name="Normal 4 7 10 2 2" xfId="34049"/>
    <cellStyle name="Normal 4 7 10 3" xfId="17502"/>
    <cellStyle name="Normal 4 7 10 3 2" xfId="34050"/>
    <cellStyle name="Normal 4 7 10 4" xfId="17503"/>
    <cellStyle name="Normal 4 7 10 4 2" xfId="34051"/>
    <cellStyle name="Normal 4 7 10 5" xfId="17504"/>
    <cellStyle name="Normal 4 7 10 5 2" xfId="34052"/>
    <cellStyle name="Normal 4 7 10 6" xfId="34048"/>
    <cellStyle name="Normal 4 7 11" xfId="17505"/>
    <cellStyle name="Normal 4 7 11 2" xfId="17506"/>
    <cellStyle name="Normal 4 7 11 2 2" xfId="34054"/>
    <cellStyle name="Normal 4 7 11 3" xfId="17507"/>
    <cellStyle name="Normal 4 7 11 3 2" xfId="34055"/>
    <cellStyle name="Normal 4 7 11 4" xfId="17508"/>
    <cellStyle name="Normal 4 7 11 4 2" xfId="34056"/>
    <cellStyle name="Normal 4 7 11 5" xfId="17509"/>
    <cellStyle name="Normal 4 7 11 5 2" xfId="34057"/>
    <cellStyle name="Normal 4 7 11 6" xfId="34053"/>
    <cellStyle name="Normal 4 7 12" xfId="17510"/>
    <cellStyle name="Normal 4 7 12 2" xfId="17511"/>
    <cellStyle name="Normal 4 7 12 2 2" xfId="34059"/>
    <cellStyle name="Normal 4 7 12 3" xfId="17512"/>
    <cellStyle name="Normal 4 7 12 3 2" xfId="34060"/>
    <cellStyle name="Normal 4 7 12 4" xfId="17513"/>
    <cellStyle name="Normal 4 7 12 4 2" xfId="34061"/>
    <cellStyle name="Normal 4 7 12 5" xfId="17514"/>
    <cellStyle name="Normal 4 7 12 5 2" xfId="34062"/>
    <cellStyle name="Normal 4 7 12 6" xfId="34058"/>
    <cellStyle name="Normal 4 7 13" xfId="17515"/>
    <cellStyle name="Normal 4 7 13 2" xfId="17516"/>
    <cellStyle name="Normal 4 7 13 2 2" xfId="34064"/>
    <cellStyle name="Normal 4 7 13 3" xfId="17517"/>
    <cellStyle name="Normal 4 7 13 3 2" xfId="34065"/>
    <cellStyle name="Normal 4 7 13 4" xfId="17518"/>
    <cellStyle name="Normal 4 7 13 4 2" xfId="34066"/>
    <cellStyle name="Normal 4 7 13 5" xfId="17519"/>
    <cellStyle name="Normal 4 7 13 5 2" xfId="34067"/>
    <cellStyle name="Normal 4 7 13 6" xfId="34063"/>
    <cellStyle name="Normal 4 7 14" xfId="17520"/>
    <cellStyle name="Normal 4 7 14 2" xfId="17521"/>
    <cellStyle name="Normal 4 7 14 2 2" xfId="34069"/>
    <cellStyle name="Normal 4 7 14 3" xfId="17522"/>
    <cellStyle name="Normal 4 7 14 3 2" xfId="34070"/>
    <cellStyle name="Normal 4 7 14 4" xfId="17523"/>
    <cellStyle name="Normal 4 7 14 4 2" xfId="34071"/>
    <cellStyle name="Normal 4 7 14 5" xfId="17524"/>
    <cellStyle name="Normal 4 7 14 5 2" xfId="34072"/>
    <cellStyle name="Normal 4 7 14 6" xfId="34068"/>
    <cellStyle name="Normal 4 7 15" xfId="17525"/>
    <cellStyle name="Normal 4 7 15 2" xfId="17526"/>
    <cellStyle name="Normal 4 7 15 2 2" xfId="34074"/>
    <cellStyle name="Normal 4 7 15 3" xfId="17527"/>
    <cellStyle name="Normal 4 7 15 3 2" xfId="34075"/>
    <cellStyle name="Normal 4 7 15 4" xfId="17528"/>
    <cellStyle name="Normal 4 7 15 4 2" xfId="34076"/>
    <cellStyle name="Normal 4 7 15 5" xfId="17529"/>
    <cellStyle name="Normal 4 7 15 5 2" xfId="34077"/>
    <cellStyle name="Normal 4 7 15 6" xfId="34073"/>
    <cellStyle name="Normal 4 7 16" xfId="17530"/>
    <cellStyle name="Normal 4 7 16 2" xfId="17531"/>
    <cellStyle name="Normal 4 7 16 2 2" xfId="34079"/>
    <cellStyle name="Normal 4 7 16 3" xfId="17532"/>
    <cellStyle name="Normal 4 7 16 3 2" xfId="34080"/>
    <cellStyle name="Normal 4 7 16 4" xfId="17533"/>
    <cellStyle name="Normal 4 7 16 4 2" xfId="34081"/>
    <cellStyle name="Normal 4 7 16 5" xfId="17534"/>
    <cellStyle name="Normal 4 7 16 5 2" xfId="34082"/>
    <cellStyle name="Normal 4 7 16 6" xfId="34078"/>
    <cellStyle name="Normal 4 7 17" xfId="17535"/>
    <cellStyle name="Normal 4 7 17 2" xfId="17536"/>
    <cellStyle name="Normal 4 7 17 2 2" xfId="34084"/>
    <cellStyle name="Normal 4 7 17 3" xfId="17537"/>
    <cellStyle name="Normal 4 7 17 3 2" xfId="34085"/>
    <cellStyle name="Normal 4 7 17 4" xfId="17538"/>
    <cellStyle name="Normal 4 7 17 4 2" xfId="34086"/>
    <cellStyle name="Normal 4 7 17 5" xfId="17539"/>
    <cellStyle name="Normal 4 7 17 5 2" xfId="34087"/>
    <cellStyle name="Normal 4 7 17 6" xfId="34083"/>
    <cellStyle name="Normal 4 7 18" xfId="17540"/>
    <cellStyle name="Normal 4 7 18 2" xfId="17541"/>
    <cellStyle name="Normal 4 7 18 2 2" xfId="34089"/>
    <cellStyle name="Normal 4 7 18 3" xfId="17542"/>
    <cellStyle name="Normal 4 7 18 3 2" xfId="34090"/>
    <cellStyle name="Normal 4 7 18 4" xfId="17543"/>
    <cellStyle name="Normal 4 7 18 4 2" xfId="34091"/>
    <cellStyle name="Normal 4 7 18 5" xfId="17544"/>
    <cellStyle name="Normal 4 7 18 5 2" xfId="34092"/>
    <cellStyle name="Normal 4 7 18 6" xfId="34088"/>
    <cellStyle name="Normal 4 7 19" xfId="17545"/>
    <cellStyle name="Normal 4 7 19 2" xfId="17546"/>
    <cellStyle name="Normal 4 7 19 2 2" xfId="34094"/>
    <cellStyle name="Normal 4 7 19 3" xfId="17547"/>
    <cellStyle name="Normal 4 7 19 3 2" xfId="34095"/>
    <cellStyle name="Normal 4 7 19 4" xfId="17548"/>
    <cellStyle name="Normal 4 7 19 4 2" xfId="34096"/>
    <cellStyle name="Normal 4 7 19 5" xfId="17549"/>
    <cellStyle name="Normal 4 7 19 5 2" xfId="34097"/>
    <cellStyle name="Normal 4 7 19 6" xfId="34093"/>
    <cellStyle name="Normal 4 7 2" xfId="17550"/>
    <cellStyle name="Normal 4 7 2 10" xfId="17551"/>
    <cellStyle name="Normal 4 7 2 11" xfId="17552"/>
    <cellStyle name="Normal 4 7 2 12" xfId="17553"/>
    <cellStyle name="Normal 4 7 2 13" xfId="17554"/>
    <cellStyle name="Normal 4 7 2 14" xfId="17555"/>
    <cellStyle name="Normal 4 7 2 15" xfId="17556"/>
    <cellStyle name="Normal 4 7 2 16" xfId="17557"/>
    <cellStyle name="Normal 4 7 2 17" xfId="17558"/>
    <cellStyle name="Normal 4 7 2 18" xfId="17559"/>
    <cellStyle name="Normal 4 7 2 19" xfId="17560"/>
    <cellStyle name="Normal 4 7 2 2" xfId="17561"/>
    <cellStyle name="Normal 4 7 2 2 2" xfId="17562"/>
    <cellStyle name="Normal 4 7 2 2 3" xfId="17563"/>
    <cellStyle name="Normal 4 7 2 2 4" xfId="17564"/>
    <cellStyle name="Normal 4 7 2 2 5" xfId="17565"/>
    <cellStyle name="Normal 4 7 2 2 6" xfId="17566"/>
    <cellStyle name="Normal 4 7 2 2 7" xfId="17567"/>
    <cellStyle name="Normal 4 7 2 20" xfId="17568"/>
    <cellStyle name="Normal 4 7 2 21" xfId="17569"/>
    <cellStyle name="Normal 4 7 2 22" xfId="34098"/>
    <cellStyle name="Normal 4 7 2 3" xfId="17570"/>
    <cellStyle name="Normal 4 7 2 4" xfId="17571"/>
    <cellStyle name="Normal 4 7 2 5" xfId="17572"/>
    <cellStyle name="Normal 4 7 2 6" xfId="17573"/>
    <cellStyle name="Normal 4 7 2 7" xfId="17574"/>
    <cellStyle name="Normal 4 7 2 8" xfId="17575"/>
    <cellStyle name="Normal 4 7 2 9" xfId="17576"/>
    <cellStyle name="Normal 4 7 20" xfId="17577"/>
    <cellStyle name="Normal 4 7 20 2" xfId="17578"/>
    <cellStyle name="Normal 4 7 20 2 2" xfId="34100"/>
    <cellStyle name="Normal 4 7 20 3" xfId="17579"/>
    <cellStyle name="Normal 4 7 20 3 2" xfId="34101"/>
    <cellStyle name="Normal 4 7 20 4" xfId="17580"/>
    <cellStyle name="Normal 4 7 20 4 2" xfId="34102"/>
    <cellStyle name="Normal 4 7 20 5" xfId="17581"/>
    <cellStyle name="Normal 4 7 20 5 2" xfId="34103"/>
    <cellStyle name="Normal 4 7 20 6" xfId="34099"/>
    <cellStyle name="Normal 4 7 21" xfId="17582"/>
    <cellStyle name="Normal 4 7 21 2" xfId="34104"/>
    <cellStyle name="Normal 4 7 22" xfId="17583"/>
    <cellStyle name="Normal 4 7 22 2" xfId="34105"/>
    <cellStyle name="Normal 4 7 23" xfId="17584"/>
    <cellStyle name="Normal 4 7 23 2" xfId="34106"/>
    <cellStyle name="Normal 4 7 24" xfId="17585"/>
    <cellStyle name="Normal 4 7 24 2" xfId="34107"/>
    <cellStyle name="Normal 4 7 25" xfId="17586"/>
    <cellStyle name="Normal 4 7 25 2" xfId="34108"/>
    <cellStyle name="Normal 4 7 26" xfId="40732"/>
    <cellStyle name="Normal 4 7 3" xfId="17587"/>
    <cellStyle name="Normal 4 7 3 10" xfId="17588"/>
    <cellStyle name="Normal 4 7 3 11" xfId="17589"/>
    <cellStyle name="Normal 4 7 3 12" xfId="17590"/>
    <cellStyle name="Normal 4 7 3 13" xfId="17591"/>
    <cellStyle name="Normal 4 7 3 14" xfId="17592"/>
    <cellStyle name="Normal 4 7 3 15" xfId="17593"/>
    <cellStyle name="Normal 4 7 3 16" xfId="17594"/>
    <cellStyle name="Normal 4 7 3 2" xfId="17595"/>
    <cellStyle name="Normal 4 7 3 3" xfId="17596"/>
    <cellStyle name="Normal 4 7 3 4" xfId="17597"/>
    <cellStyle name="Normal 4 7 3 5" xfId="17598"/>
    <cellStyle name="Normal 4 7 3 6" xfId="17599"/>
    <cellStyle name="Normal 4 7 3 7" xfId="17600"/>
    <cellStyle name="Normal 4 7 3 8" xfId="17601"/>
    <cellStyle name="Normal 4 7 3 9" xfId="17602"/>
    <cellStyle name="Normal 4 7 4" xfId="17603"/>
    <cellStyle name="Normal 4 7 4 10" xfId="17604"/>
    <cellStyle name="Normal 4 7 4 10 2" xfId="17605"/>
    <cellStyle name="Normal 4 7 4 10 2 2" xfId="34111"/>
    <cellStyle name="Normal 4 7 4 10 3" xfId="17606"/>
    <cellStyle name="Normal 4 7 4 10 3 2" xfId="34112"/>
    <cellStyle name="Normal 4 7 4 10 4" xfId="17607"/>
    <cellStyle name="Normal 4 7 4 10 4 2" xfId="34113"/>
    <cellStyle name="Normal 4 7 4 10 5" xfId="17608"/>
    <cellStyle name="Normal 4 7 4 10 5 2" xfId="34114"/>
    <cellStyle name="Normal 4 7 4 10 6" xfId="34110"/>
    <cellStyle name="Normal 4 7 4 11" xfId="17609"/>
    <cellStyle name="Normal 4 7 4 11 2" xfId="17610"/>
    <cellStyle name="Normal 4 7 4 11 2 2" xfId="34116"/>
    <cellStyle name="Normal 4 7 4 11 3" xfId="17611"/>
    <cellStyle name="Normal 4 7 4 11 3 2" xfId="34117"/>
    <cellStyle name="Normal 4 7 4 11 4" xfId="17612"/>
    <cellStyle name="Normal 4 7 4 11 4 2" xfId="34118"/>
    <cellStyle name="Normal 4 7 4 11 5" xfId="17613"/>
    <cellStyle name="Normal 4 7 4 11 5 2" xfId="34119"/>
    <cellStyle name="Normal 4 7 4 11 6" xfId="34115"/>
    <cellStyle name="Normal 4 7 4 12" xfId="17614"/>
    <cellStyle name="Normal 4 7 4 12 2" xfId="17615"/>
    <cellStyle name="Normal 4 7 4 12 2 2" xfId="34121"/>
    <cellStyle name="Normal 4 7 4 12 3" xfId="17616"/>
    <cellStyle name="Normal 4 7 4 12 3 2" xfId="34122"/>
    <cellStyle name="Normal 4 7 4 12 4" xfId="17617"/>
    <cellStyle name="Normal 4 7 4 12 4 2" xfId="34123"/>
    <cellStyle name="Normal 4 7 4 12 5" xfId="17618"/>
    <cellStyle name="Normal 4 7 4 12 5 2" xfId="34124"/>
    <cellStyle name="Normal 4 7 4 12 6" xfId="34120"/>
    <cellStyle name="Normal 4 7 4 13" xfId="17619"/>
    <cellStyle name="Normal 4 7 4 13 2" xfId="17620"/>
    <cellStyle name="Normal 4 7 4 13 2 2" xfId="34126"/>
    <cellStyle name="Normal 4 7 4 13 3" xfId="17621"/>
    <cellStyle name="Normal 4 7 4 13 3 2" xfId="34127"/>
    <cellStyle name="Normal 4 7 4 13 4" xfId="17622"/>
    <cellStyle name="Normal 4 7 4 13 4 2" xfId="34128"/>
    <cellStyle name="Normal 4 7 4 13 5" xfId="17623"/>
    <cellStyle name="Normal 4 7 4 13 5 2" xfId="34129"/>
    <cellStyle name="Normal 4 7 4 13 6" xfId="34125"/>
    <cellStyle name="Normal 4 7 4 14" xfId="17624"/>
    <cellStyle name="Normal 4 7 4 14 2" xfId="17625"/>
    <cellStyle name="Normal 4 7 4 14 2 2" xfId="34131"/>
    <cellStyle name="Normal 4 7 4 14 3" xfId="17626"/>
    <cellStyle name="Normal 4 7 4 14 3 2" xfId="34132"/>
    <cellStyle name="Normal 4 7 4 14 4" xfId="17627"/>
    <cellStyle name="Normal 4 7 4 14 4 2" xfId="34133"/>
    <cellStyle name="Normal 4 7 4 14 5" xfId="17628"/>
    <cellStyle name="Normal 4 7 4 14 5 2" xfId="34134"/>
    <cellStyle name="Normal 4 7 4 14 6" xfId="34130"/>
    <cellStyle name="Normal 4 7 4 15" xfId="17629"/>
    <cellStyle name="Normal 4 7 4 15 2" xfId="17630"/>
    <cellStyle name="Normal 4 7 4 15 2 2" xfId="34136"/>
    <cellStyle name="Normal 4 7 4 15 3" xfId="17631"/>
    <cellStyle name="Normal 4 7 4 15 3 2" xfId="34137"/>
    <cellStyle name="Normal 4 7 4 15 4" xfId="17632"/>
    <cellStyle name="Normal 4 7 4 15 4 2" xfId="34138"/>
    <cellStyle name="Normal 4 7 4 15 5" xfId="17633"/>
    <cellStyle name="Normal 4 7 4 15 5 2" xfId="34139"/>
    <cellStyle name="Normal 4 7 4 15 6" xfId="34135"/>
    <cellStyle name="Normal 4 7 4 16" xfId="17634"/>
    <cellStyle name="Normal 4 7 4 16 2" xfId="17635"/>
    <cellStyle name="Normal 4 7 4 16 2 2" xfId="34141"/>
    <cellStyle name="Normal 4 7 4 16 3" xfId="17636"/>
    <cellStyle name="Normal 4 7 4 16 3 2" xfId="34142"/>
    <cellStyle name="Normal 4 7 4 16 4" xfId="17637"/>
    <cellStyle name="Normal 4 7 4 16 4 2" xfId="34143"/>
    <cellStyle name="Normal 4 7 4 16 5" xfId="17638"/>
    <cellStyle name="Normal 4 7 4 16 5 2" xfId="34144"/>
    <cellStyle name="Normal 4 7 4 16 6" xfId="34140"/>
    <cellStyle name="Normal 4 7 4 17" xfId="17639"/>
    <cellStyle name="Normal 4 7 4 17 2" xfId="34145"/>
    <cellStyle name="Normal 4 7 4 18" xfId="17640"/>
    <cellStyle name="Normal 4 7 4 18 2" xfId="34146"/>
    <cellStyle name="Normal 4 7 4 19" xfId="17641"/>
    <cellStyle name="Normal 4 7 4 19 2" xfId="34147"/>
    <cellStyle name="Normal 4 7 4 2" xfId="17642"/>
    <cellStyle name="Normal 4 7 4 20" xfId="17643"/>
    <cellStyle name="Normal 4 7 4 20 2" xfId="34148"/>
    <cellStyle name="Normal 4 7 4 21" xfId="34109"/>
    <cellStyle name="Normal 4 7 4 3" xfId="17644"/>
    <cellStyle name="Normal 4 7 4 3 2" xfId="17645"/>
    <cellStyle name="Normal 4 7 4 3 2 2" xfId="34150"/>
    <cellStyle name="Normal 4 7 4 3 3" xfId="17646"/>
    <cellStyle name="Normal 4 7 4 3 3 2" xfId="34151"/>
    <cellStyle name="Normal 4 7 4 3 4" xfId="17647"/>
    <cellStyle name="Normal 4 7 4 3 4 2" xfId="34152"/>
    <cellStyle name="Normal 4 7 4 3 5" xfId="17648"/>
    <cellStyle name="Normal 4 7 4 3 5 2" xfId="34153"/>
    <cellStyle name="Normal 4 7 4 3 6" xfId="34149"/>
    <cellStyle name="Normal 4 7 4 4" xfId="17649"/>
    <cellStyle name="Normal 4 7 4 4 2" xfId="17650"/>
    <cellStyle name="Normal 4 7 4 4 2 2" xfId="34155"/>
    <cellStyle name="Normal 4 7 4 4 3" xfId="17651"/>
    <cellStyle name="Normal 4 7 4 4 3 2" xfId="34156"/>
    <cellStyle name="Normal 4 7 4 4 4" xfId="17652"/>
    <cellStyle name="Normal 4 7 4 4 4 2" xfId="34157"/>
    <cellStyle name="Normal 4 7 4 4 5" xfId="17653"/>
    <cellStyle name="Normal 4 7 4 4 5 2" xfId="34158"/>
    <cellStyle name="Normal 4 7 4 4 6" xfId="34154"/>
    <cellStyle name="Normal 4 7 4 5" xfId="17654"/>
    <cellStyle name="Normal 4 7 4 5 2" xfId="17655"/>
    <cellStyle name="Normal 4 7 4 5 2 2" xfId="34160"/>
    <cellStyle name="Normal 4 7 4 5 3" xfId="17656"/>
    <cellStyle name="Normal 4 7 4 5 3 2" xfId="34161"/>
    <cellStyle name="Normal 4 7 4 5 4" xfId="17657"/>
    <cellStyle name="Normal 4 7 4 5 4 2" xfId="34162"/>
    <cellStyle name="Normal 4 7 4 5 5" xfId="17658"/>
    <cellStyle name="Normal 4 7 4 5 5 2" xfId="34163"/>
    <cellStyle name="Normal 4 7 4 5 6" xfId="34159"/>
    <cellStyle name="Normal 4 7 4 6" xfId="17659"/>
    <cellStyle name="Normal 4 7 4 6 2" xfId="17660"/>
    <cellStyle name="Normal 4 7 4 6 2 2" xfId="34165"/>
    <cellStyle name="Normal 4 7 4 6 3" xfId="17661"/>
    <cellStyle name="Normal 4 7 4 6 3 2" xfId="34166"/>
    <cellStyle name="Normal 4 7 4 6 4" xfId="17662"/>
    <cellStyle name="Normal 4 7 4 6 4 2" xfId="34167"/>
    <cellStyle name="Normal 4 7 4 6 5" xfId="17663"/>
    <cellStyle name="Normal 4 7 4 6 5 2" xfId="34168"/>
    <cellStyle name="Normal 4 7 4 6 6" xfId="34164"/>
    <cellStyle name="Normal 4 7 4 7" xfId="17664"/>
    <cellStyle name="Normal 4 7 4 7 2" xfId="17665"/>
    <cellStyle name="Normal 4 7 4 7 2 2" xfId="34170"/>
    <cellStyle name="Normal 4 7 4 7 3" xfId="17666"/>
    <cellStyle name="Normal 4 7 4 7 3 2" xfId="34171"/>
    <cellStyle name="Normal 4 7 4 7 4" xfId="17667"/>
    <cellStyle name="Normal 4 7 4 7 4 2" xfId="34172"/>
    <cellStyle name="Normal 4 7 4 7 5" xfId="17668"/>
    <cellStyle name="Normal 4 7 4 7 5 2" xfId="34173"/>
    <cellStyle name="Normal 4 7 4 7 6" xfId="34169"/>
    <cellStyle name="Normal 4 7 4 8" xfId="17669"/>
    <cellStyle name="Normal 4 7 4 8 2" xfId="17670"/>
    <cellStyle name="Normal 4 7 4 8 2 2" xfId="34175"/>
    <cellStyle name="Normal 4 7 4 8 3" xfId="17671"/>
    <cellStyle name="Normal 4 7 4 8 3 2" xfId="34176"/>
    <cellStyle name="Normal 4 7 4 8 4" xfId="17672"/>
    <cellStyle name="Normal 4 7 4 8 4 2" xfId="34177"/>
    <cellStyle name="Normal 4 7 4 8 5" xfId="17673"/>
    <cellStyle name="Normal 4 7 4 8 5 2" xfId="34178"/>
    <cellStyle name="Normal 4 7 4 8 6" xfId="34174"/>
    <cellStyle name="Normal 4 7 4 9" xfId="17674"/>
    <cellStyle name="Normal 4 7 4 9 2" xfId="17675"/>
    <cellStyle name="Normal 4 7 4 9 2 2" xfId="34180"/>
    <cellStyle name="Normal 4 7 4 9 3" xfId="17676"/>
    <cellStyle name="Normal 4 7 4 9 3 2" xfId="34181"/>
    <cellStyle name="Normal 4 7 4 9 4" xfId="17677"/>
    <cellStyle name="Normal 4 7 4 9 4 2" xfId="34182"/>
    <cellStyle name="Normal 4 7 4 9 5" xfId="17678"/>
    <cellStyle name="Normal 4 7 4 9 5 2" xfId="34183"/>
    <cellStyle name="Normal 4 7 4 9 6" xfId="34179"/>
    <cellStyle name="Normal 4 7 5" xfId="17679"/>
    <cellStyle name="Normal 4 7 5 2" xfId="17680"/>
    <cellStyle name="Normal 4 7 5 3" xfId="17681"/>
    <cellStyle name="Normal 4 7 5 3 2" xfId="34185"/>
    <cellStyle name="Normal 4 7 5 4" xfId="17682"/>
    <cellStyle name="Normal 4 7 5 4 2" xfId="34186"/>
    <cellStyle name="Normal 4 7 5 5" xfId="17683"/>
    <cellStyle name="Normal 4 7 5 5 2" xfId="34187"/>
    <cellStyle name="Normal 4 7 5 6" xfId="17684"/>
    <cellStyle name="Normal 4 7 5 6 2" xfId="34188"/>
    <cellStyle name="Normal 4 7 5 7" xfId="34184"/>
    <cellStyle name="Normal 4 7 6" xfId="17685"/>
    <cellStyle name="Normal 4 7 6 2" xfId="17686"/>
    <cellStyle name="Normal 4 7 6 3" xfId="17687"/>
    <cellStyle name="Normal 4 7 6 3 2" xfId="34190"/>
    <cellStyle name="Normal 4 7 6 4" xfId="17688"/>
    <cellStyle name="Normal 4 7 6 4 2" xfId="34191"/>
    <cellStyle name="Normal 4 7 6 5" xfId="17689"/>
    <cellStyle name="Normal 4 7 6 5 2" xfId="34192"/>
    <cellStyle name="Normal 4 7 6 6" xfId="17690"/>
    <cellStyle name="Normal 4 7 6 6 2" xfId="34193"/>
    <cellStyle name="Normal 4 7 6 7" xfId="34189"/>
    <cellStyle name="Normal 4 7 7" xfId="17691"/>
    <cellStyle name="Normal 4 7 7 2" xfId="17692"/>
    <cellStyle name="Normal 4 7 7 2 2" xfId="34195"/>
    <cellStyle name="Normal 4 7 7 3" xfId="17693"/>
    <cellStyle name="Normal 4 7 7 3 2" xfId="34196"/>
    <cellStyle name="Normal 4 7 7 4" xfId="17694"/>
    <cellStyle name="Normal 4 7 7 4 2" xfId="34197"/>
    <cellStyle name="Normal 4 7 7 5" xfId="17695"/>
    <cellStyle name="Normal 4 7 7 5 2" xfId="34198"/>
    <cellStyle name="Normal 4 7 7 6" xfId="34194"/>
    <cellStyle name="Normal 4 7 8" xfId="17696"/>
    <cellStyle name="Normal 4 7 8 2" xfId="17697"/>
    <cellStyle name="Normal 4 7 8 2 2" xfId="34200"/>
    <cellStyle name="Normal 4 7 8 3" xfId="17698"/>
    <cellStyle name="Normal 4 7 8 3 2" xfId="34201"/>
    <cellStyle name="Normal 4 7 8 4" xfId="17699"/>
    <cellStyle name="Normal 4 7 8 4 2" xfId="34202"/>
    <cellStyle name="Normal 4 7 8 5" xfId="17700"/>
    <cellStyle name="Normal 4 7 8 5 2" xfId="34203"/>
    <cellStyle name="Normal 4 7 8 6" xfId="34199"/>
    <cellStyle name="Normal 4 7 9" xfId="17701"/>
    <cellStyle name="Normal 4 7 9 2" xfId="17702"/>
    <cellStyle name="Normal 4 7 9 2 2" xfId="34205"/>
    <cellStyle name="Normal 4 7 9 3" xfId="17703"/>
    <cellStyle name="Normal 4 7 9 3 2" xfId="34206"/>
    <cellStyle name="Normal 4 7 9 4" xfId="17704"/>
    <cellStyle name="Normal 4 7 9 4 2" xfId="34207"/>
    <cellStyle name="Normal 4 7 9 5" xfId="17705"/>
    <cellStyle name="Normal 4 7 9 5 2" xfId="34208"/>
    <cellStyle name="Normal 4 7 9 6" xfId="34204"/>
    <cellStyle name="Normal 4 8" xfId="17706"/>
    <cellStyle name="Normal 4 8 10" xfId="17707"/>
    <cellStyle name="Normal 4 8 10 2" xfId="17708"/>
    <cellStyle name="Normal 4 8 10 2 2" xfId="34210"/>
    <cellStyle name="Normal 4 8 10 3" xfId="17709"/>
    <cellStyle name="Normal 4 8 10 3 2" xfId="34211"/>
    <cellStyle name="Normal 4 8 10 4" xfId="17710"/>
    <cellStyle name="Normal 4 8 10 4 2" xfId="34212"/>
    <cellStyle name="Normal 4 8 10 5" xfId="17711"/>
    <cellStyle name="Normal 4 8 10 5 2" xfId="34213"/>
    <cellStyle name="Normal 4 8 10 6" xfId="34209"/>
    <cellStyle name="Normal 4 8 11" xfId="17712"/>
    <cellStyle name="Normal 4 8 11 2" xfId="17713"/>
    <cellStyle name="Normal 4 8 11 2 2" xfId="34215"/>
    <cellStyle name="Normal 4 8 11 3" xfId="17714"/>
    <cellStyle name="Normal 4 8 11 3 2" xfId="34216"/>
    <cellStyle name="Normal 4 8 11 4" xfId="17715"/>
    <cellStyle name="Normal 4 8 11 4 2" xfId="34217"/>
    <cellStyle name="Normal 4 8 11 5" xfId="17716"/>
    <cellStyle name="Normal 4 8 11 5 2" xfId="34218"/>
    <cellStyle name="Normal 4 8 11 6" xfId="34214"/>
    <cellStyle name="Normal 4 8 12" xfId="17717"/>
    <cellStyle name="Normal 4 8 12 2" xfId="17718"/>
    <cellStyle name="Normal 4 8 12 2 2" xfId="34220"/>
    <cellStyle name="Normal 4 8 12 3" xfId="17719"/>
    <cellStyle name="Normal 4 8 12 3 2" xfId="34221"/>
    <cellStyle name="Normal 4 8 12 4" xfId="17720"/>
    <cellStyle name="Normal 4 8 12 4 2" xfId="34222"/>
    <cellStyle name="Normal 4 8 12 5" xfId="17721"/>
    <cellStyle name="Normal 4 8 12 5 2" xfId="34223"/>
    <cellStyle name="Normal 4 8 12 6" xfId="34219"/>
    <cellStyle name="Normal 4 8 13" xfId="17722"/>
    <cellStyle name="Normal 4 8 13 2" xfId="17723"/>
    <cellStyle name="Normal 4 8 13 2 2" xfId="34225"/>
    <cellStyle name="Normal 4 8 13 3" xfId="17724"/>
    <cellStyle name="Normal 4 8 13 3 2" xfId="34226"/>
    <cellStyle name="Normal 4 8 13 4" xfId="17725"/>
    <cellStyle name="Normal 4 8 13 4 2" xfId="34227"/>
    <cellStyle name="Normal 4 8 13 5" xfId="17726"/>
    <cellStyle name="Normal 4 8 13 5 2" xfId="34228"/>
    <cellStyle name="Normal 4 8 13 6" xfId="34224"/>
    <cellStyle name="Normal 4 8 14" xfId="17727"/>
    <cellStyle name="Normal 4 8 14 2" xfId="17728"/>
    <cellStyle name="Normal 4 8 14 2 2" xfId="34230"/>
    <cellStyle name="Normal 4 8 14 3" xfId="17729"/>
    <cellStyle name="Normal 4 8 14 3 2" xfId="34231"/>
    <cellStyle name="Normal 4 8 14 4" xfId="17730"/>
    <cellStyle name="Normal 4 8 14 4 2" xfId="34232"/>
    <cellStyle name="Normal 4 8 14 5" xfId="17731"/>
    <cellStyle name="Normal 4 8 14 5 2" xfId="34233"/>
    <cellStyle name="Normal 4 8 14 6" xfId="34229"/>
    <cellStyle name="Normal 4 8 15" xfId="17732"/>
    <cellStyle name="Normal 4 8 15 2" xfId="17733"/>
    <cellStyle name="Normal 4 8 15 2 2" xfId="34235"/>
    <cellStyle name="Normal 4 8 15 3" xfId="17734"/>
    <cellStyle name="Normal 4 8 15 3 2" xfId="34236"/>
    <cellStyle name="Normal 4 8 15 4" xfId="17735"/>
    <cellStyle name="Normal 4 8 15 4 2" xfId="34237"/>
    <cellStyle name="Normal 4 8 15 5" xfId="17736"/>
    <cellStyle name="Normal 4 8 15 5 2" xfId="34238"/>
    <cellStyle name="Normal 4 8 15 6" xfId="34234"/>
    <cellStyle name="Normal 4 8 16" xfId="17737"/>
    <cellStyle name="Normal 4 8 16 2" xfId="17738"/>
    <cellStyle name="Normal 4 8 16 2 2" xfId="34240"/>
    <cellStyle name="Normal 4 8 16 3" xfId="17739"/>
    <cellStyle name="Normal 4 8 16 3 2" xfId="34241"/>
    <cellStyle name="Normal 4 8 16 4" xfId="17740"/>
    <cellStyle name="Normal 4 8 16 4 2" xfId="34242"/>
    <cellStyle name="Normal 4 8 16 5" xfId="17741"/>
    <cellStyle name="Normal 4 8 16 5 2" xfId="34243"/>
    <cellStyle name="Normal 4 8 16 6" xfId="34239"/>
    <cellStyle name="Normal 4 8 17" xfId="17742"/>
    <cellStyle name="Normal 4 8 17 2" xfId="17743"/>
    <cellStyle name="Normal 4 8 17 2 2" xfId="34245"/>
    <cellStyle name="Normal 4 8 17 3" xfId="17744"/>
    <cellStyle name="Normal 4 8 17 3 2" xfId="34246"/>
    <cellStyle name="Normal 4 8 17 4" xfId="17745"/>
    <cellStyle name="Normal 4 8 17 4 2" xfId="34247"/>
    <cellStyle name="Normal 4 8 17 5" xfId="17746"/>
    <cellStyle name="Normal 4 8 17 5 2" xfId="34248"/>
    <cellStyle name="Normal 4 8 17 6" xfId="34244"/>
    <cellStyle name="Normal 4 8 18" xfId="17747"/>
    <cellStyle name="Normal 4 8 18 2" xfId="17748"/>
    <cellStyle name="Normal 4 8 18 2 2" xfId="34250"/>
    <cellStyle name="Normal 4 8 18 3" xfId="17749"/>
    <cellStyle name="Normal 4 8 18 3 2" xfId="34251"/>
    <cellStyle name="Normal 4 8 18 4" xfId="17750"/>
    <cellStyle name="Normal 4 8 18 4 2" xfId="34252"/>
    <cellStyle name="Normal 4 8 18 5" xfId="17751"/>
    <cellStyle name="Normal 4 8 18 5 2" xfId="34253"/>
    <cellStyle name="Normal 4 8 18 6" xfId="34249"/>
    <cellStyle name="Normal 4 8 19" xfId="17752"/>
    <cellStyle name="Normal 4 8 19 2" xfId="17753"/>
    <cellStyle name="Normal 4 8 19 2 2" xfId="34255"/>
    <cellStyle name="Normal 4 8 19 3" xfId="17754"/>
    <cellStyle name="Normal 4 8 19 3 2" xfId="34256"/>
    <cellStyle name="Normal 4 8 19 4" xfId="17755"/>
    <cellStyle name="Normal 4 8 19 4 2" xfId="34257"/>
    <cellStyle name="Normal 4 8 19 5" xfId="17756"/>
    <cellStyle name="Normal 4 8 19 5 2" xfId="34258"/>
    <cellStyle name="Normal 4 8 19 6" xfId="34254"/>
    <cellStyle name="Normal 4 8 2" xfId="17757"/>
    <cellStyle name="Normal 4 8 2 10" xfId="17758"/>
    <cellStyle name="Normal 4 8 2 11" xfId="17759"/>
    <cellStyle name="Normal 4 8 2 12" xfId="17760"/>
    <cellStyle name="Normal 4 8 2 13" xfId="17761"/>
    <cellStyle name="Normal 4 8 2 14" xfId="17762"/>
    <cellStyle name="Normal 4 8 2 15" xfId="17763"/>
    <cellStyle name="Normal 4 8 2 16" xfId="17764"/>
    <cellStyle name="Normal 4 8 2 17" xfId="17765"/>
    <cellStyle name="Normal 4 8 2 18" xfId="17766"/>
    <cellStyle name="Normal 4 8 2 19" xfId="17767"/>
    <cellStyle name="Normal 4 8 2 2" xfId="17768"/>
    <cellStyle name="Normal 4 8 2 2 2" xfId="17769"/>
    <cellStyle name="Normal 4 8 2 2 3" xfId="17770"/>
    <cellStyle name="Normal 4 8 2 2 4" xfId="17771"/>
    <cellStyle name="Normal 4 8 2 2 5" xfId="17772"/>
    <cellStyle name="Normal 4 8 2 2 6" xfId="17773"/>
    <cellStyle name="Normal 4 8 2 2 7" xfId="17774"/>
    <cellStyle name="Normal 4 8 2 20" xfId="17775"/>
    <cellStyle name="Normal 4 8 2 21" xfId="17776"/>
    <cellStyle name="Normal 4 8 2 22" xfId="34259"/>
    <cellStyle name="Normal 4 8 2 3" xfId="17777"/>
    <cellStyle name="Normal 4 8 2 4" xfId="17778"/>
    <cellStyle name="Normal 4 8 2 5" xfId="17779"/>
    <cellStyle name="Normal 4 8 2 6" xfId="17780"/>
    <cellStyle name="Normal 4 8 2 7" xfId="17781"/>
    <cellStyle name="Normal 4 8 2 8" xfId="17782"/>
    <cellStyle name="Normal 4 8 2 9" xfId="17783"/>
    <cellStyle name="Normal 4 8 20" xfId="17784"/>
    <cellStyle name="Normal 4 8 20 2" xfId="17785"/>
    <cellStyle name="Normal 4 8 20 2 2" xfId="34261"/>
    <cellStyle name="Normal 4 8 20 3" xfId="17786"/>
    <cellStyle name="Normal 4 8 20 3 2" xfId="34262"/>
    <cellStyle name="Normal 4 8 20 4" xfId="17787"/>
    <cellStyle name="Normal 4 8 20 4 2" xfId="34263"/>
    <cellStyle name="Normal 4 8 20 5" xfId="17788"/>
    <cellStyle name="Normal 4 8 20 5 2" xfId="34264"/>
    <cellStyle name="Normal 4 8 20 6" xfId="34260"/>
    <cellStyle name="Normal 4 8 21" xfId="17789"/>
    <cellStyle name="Normal 4 8 21 2" xfId="34265"/>
    <cellStyle name="Normal 4 8 22" xfId="17790"/>
    <cellStyle name="Normal 4 8 22 2" xfId="34266"/>
    <cellStyle name="Normal 4 8 23" xfId="17791"/>
    <cellStyle name="Normal 4 8 23 2" xfId="34267"/>
    <cellStyle name="Normal 4 8 24" xfId="17792"/>
    <cellStyle name="Normal 4 8 24 2" xfId="34268"/>
    <cellStyle name="Normal 4 8 25" xfId="17793"/>
    <cellStyle name="Normal 4 8 25 2" xfId="34269"/>
    <cellStyle name="Normal 4 8 26" xfId="40733"/>
    <cellStyle name="Normal 4 8 3" xfId="17794"/>
    <cellStyle name="Normal 4 8 3 10" xfId="17795"/>
    <cellStyle name="Normal 4 8 3 11" xfId="17796"/>
    <cellStyle name="Normal 4 8 3 12" xfId="17797"/>
    <cellStyle name="Normal 4 8 3 13" xfId="17798"/>
    <cellStyle name="Normal 4 8 3 14" xfId="17799"/>
    <cellStyle name="Normal 4 8 3 15" xfId="17800"/>
    <cellStyle name="Normal 4 8 3 16" xfId="17801"/>
    <cellStyle name="Normal 4 8 3 2" xfId="17802"/>
    <cellStyle name="Normal 4 8 3 3" xfId="17803"/>
    <cellStyle name="Normal 4 8 3 4" xfId="17804"/>
    <cellStyle name="Normal 4 8 3 5" xfId="17805"/>
    <cellStyle name="Normal 4 8 3 6" xfId="17806"/>
    <cellStyle name="Normal 4 8 3 7" xfId="17807"/>
    <cellStyle name="Normal 4 8 3 8" xfId="17808"/>
    <cellStyle name="Normal 4 8 3 9" xfId="17809"/>
    <cellStyle name="Normal 4 8 4" xfId="17810"/>
    <cellStyle name="Normal 4 8 4 10" xfId="17811"/>
    <cellStyle name="Normal 4 8 4 10 2" xfId="17812"/>
    <cellStyle name="Normal 4 8 4 10 2 2" xfId="34272"/>
    <cellStyle name="Normal 4 8 4 10 3" xfId="17813"/>
    <cellStyle name="Normal 4 8 4 10 3 2" xfId="34273"/>
    <cellStyle name="Normal 4 8 4 10 4" xfId="17814"/>
    <cellStyle name="Normal 4 8 4 10 4 2" xfId="34274"/>
    <cellStyle name="Normal 4 8 4 10 5" xfId="17815"/>
    <cellStyle name="Normal 4 8 4 10 5 2" xfId="34275"/>
    <cellStyle name="Normal 4 8 4 10 6" xfId="34271"/>
    <cellStyle name="Normal 4 8 4 11" xfId="17816"/>
    <cellStyle name="Normal 4 8 4 11 2" xfId="17817"/>
    <cellStyle name="Normal 4 8 4 11 2 2" xfId="34277"/>
    <cellStyle name="Normal 4 8 4 11 3" xfId="17818"/>
    <cellStyle name="Normal 4 8 4 11 3 2" xfId="34278"/>
    <cellStyle name="Normal 4 8 4 11 4" xfId="17819"/>
    <cellStyle name="Normal 4 8 4 11 4 2" xfId="34279"/>
    <cellStyle name="Normal 4 8 4 11 5" xfId="17820"/>
    <cellStyle name="Normal 4 8 4 11 5 2" xfId="34280"/>
    <cellStyle name="Normal 4 8 4 11 6" xfId="34276"/>
    <cellStyle name="Normal 4 8 4 12" xfId="17821"/>
    <cellStyle name="Normal 4 8 4 12 2" xfId="17822"/>
    <cellStyle name="Normal 4 8 4 12 2 2" xfId="34282"/>
    <cellStyle name="Normal 4 8 4 12 3" xfId="17823"/>
    <cellStyle name="Normal 4 8 4 12 3 2" xfId="34283"/>
    <cellStyle name="Normal 4 8 4 12 4" xfId="17824"/>
    <cellStyle name="Normal 4 8 4 12 4 2" xfId="34284"/>
    <cellStyle name="Normal 4 8 4 12 5" xfId="17825"/>
    <cellStyle name="Normal 4 8 4 12 5 2" xfId="34285"/>
    <cellStyle name="Normal 4 8 4 12 6" xfId="34281"/>
    <cellStyle name="Normal 4 8 4 13" xfId="17826"/>
    <cellStyle name="Normal 4 8 4 13 2" xfId="17827"/>
    <cellStyle name="Normal 4 8 4 13 2 2" xfId="34287"/>
    <cellStyle name="Normal 4 8 4 13 3" xfId="17828"/>
    <cellStyle name="Normal 4 8 4 13 3 2" xfId="34288"/>
    <cellStyle name="Normal 4 8 4 13 4" xfId="17829"/>
    <cellStyle name="Normal 4 8 4 13 4 2" xfId="34289"/>
    <cellStyle name="Normal 4 8 4 13 5" xfId="17830"/>
    <cellStyle name="Normal 4 8 4 13 5 2" xfId="34290"/>
    <cellStyle name="Normal 4 8 4 13 6" xfId="34286"/>
    <cellStyle name="Normal 4 8 4 14" xfId="17831"/>
    <cellStyle name="Normal 4 8 4 14 2" xfId="17832"/>
    <cellStyle name="Normal 4 8 4 14 2 2" xfId="34292"/>
    <cellStyle name="Normal 4 8 4 14 3" xfId="17833"/>
    <cellStyle name="Normal 4 8 4 14 3 2" xfId="34293"/>
    <cellStyle name="Normal 4 8 4 14 4" xfId="17834"/>
    <cellStyle name="Normal 4 8 4 14 4 2" xfId="34294"/>
    <cellStyle name="Normal 4 8 4 14 5" xfId="17835"/>
    <cellStyle name="Normal 4 8 4 14 5 2" xfId="34295"/>
    <cellStyle name="Normal 4 8 4 14 6" xfId="34291"/>
    <cellStyle name="Normal 4 8 4 15" xfId="17836"/>
    <cellStyle name="Normal 4 8 4 15 2" xfId="17837"/>
    <cellStyle name="Normal 4 8 4 15 2 2" xfId="34297"/>
    <cellStyle name="Normal 4 8 4 15 3" xfId="17838"/>
    <cellStyle name="Normal 4 8 4 15 3 2" xfId="34298"/>
    <cellStyle name="Normal 4 8 4 15 4" xfId="17839"/>
    <cellStyle name="Normal 4 8 4 15 4 2" xfId="34299"/>
    <cellStyle name="Normal 4 8 4 15 5" xfId="17840"/>
    <cellStyle name="Normal 4 8 4 15 5 2" xfId="34300"/>
    <cellStyle name="Normal 4 8 4 15 6" xfId="34296"/>
    <cellStyle name="Normal 4 8 4 16" xfId="17841"/>
    <cellStyle name="Normal 4 8 4 16 2" xfId="17842"/>
    <cellStyle name="Normal 4 8 4 16 2 2" xfId="34302"/>
    <cellStyle name="Normal 4 8 4 16 3" xfId="17843"/>
    <cellStyle name="Normal 4 8 4 16 3 2" xfId="34303"/>
    <cellStyle name="Normal 4 8 4 16 4" xfId="17844"/>
    <cellStyle name="Normal 4 8 4 16 4 2" xfId="34304"/>
    <cellStyle name="Normal 4 8 4 16 5" xfId="17845"/>
    <cellStyle name="Normal 4 8 4 16 5 2" xfId="34305"/>
    <cellStyle name="Normal 4 8 4 16 6" xfId="34301"/>
    <cellStyle name="Normal 4 8 4 17" xfId="17846"/>
    <cellStyle name="Normal 4 8 4 17 2" xfId="34306"/>
    <cellStyle name="Normal 4 8 4 18" xfId="17847"/>
    <cellStyle name="Normal 4 8 4 18 2" xfId="34307"/>
    <cellStyle name="Normal 4 8 4 19" xfId="17848"/>
    <cellStyle name="Normal 4 8 4 19 2" xfId="34308"/>
    <cellStyle name="Normal 4 8 4 2" xfId="17849"/>
    <cellStyle name="Normal 4 8 4 20" xfId="17850"/>
    <cellStyle name="Normal 4 8 4 20 2" xfId="34309"/>
    <cellStyle name="Normal 4 8 4 21" xfId="34270"/>
    <cellStyle name="Normal 4 8 4 3" xfId="17851"/>
    <cellStyle name="Normal 4 8 4 3 2" xfId="17852"/>
    <cellStyle name="Normal 4 8 4 3 2 2" xfId="34311"/>
    <cellStyle name="Normal 4 8 4 3 3" xfId="17853"/>
    <cellStyle name="Normal 4 8 4 3 3 2" xfId="34312"/>
    <cellStyle name="Normal 4 8 4 3 4" xfId="17854"/>
    <cellStyle name="Normal 4 8 4 3 4 2" xfId="34313"/>
    <cellStyle name="Normal 4 8 4 3 5" xfId="17855"/>
    <cellStyle name="Normal 4 8 4 3 5 2" xfId="34314"/>
    <cellStyle name="Normal 4 8 4 3 6" xfId="34310"/>
    <cellStyle name="Normal 4 8 4 4" xfId="17856"/>
    <cellStyle name="Normal 4 8 4 4 2" xfId="17857"/>
    <cellStyle name="Normal 4 8 4 4 2 2" xfId="34316"/>
    <cellStyle name="Normal 4 8 4 4 3" xfId="17858"/>
    <cellStyle name="Normal 4 8 4 4 3 2" xfId="34317"/>
    <cellStyle name="Normal 4 8 4 4 4" xfId="17859"/>
    <cellStyle name="Normal 4 8 4 4 4 2" xfId="34318"/>
    <cellStyle name="Normal 4 8 4 4 5" xfId="17860"/>
    <cellStyle name="Normal 4 8 4 4 5 2" xfId="34319"/>
    <cellStyle name="Normal 4 8 4 4 6" xfId="34315"/>
    <cellStyle name="Normal 4 8 4 5" xfId="17861"/>
    <cellStyle name="Normal 4 8 4 5 2" xfId="17862"/>
    <cellStyle name="Normal 4 8 4 5 2 2" xfId="34321"/>
    <cellStyle name="Normal 4 8 4 5 3" xfId="17863"/>
    <cellStyle name="Normal 4 8 4 5 3 2" xfId="34322"/>
    <cellStyle name="Normal 4 8 4 5 4" xfId="17864"/>
    <cellStyle name="Normal 4 8 4 5 4 2" xfId="34323"/>
    <cellStyle name="Normal 4 8 4 5 5" xfId="17865"/>
    <cellStyle name="Normal 4 8 4 5 5 2" xfId="34324"/>
    <cellStyle name="Normal 4 8 4 5 6" xfId="34320"/>
    <cellStyle name="Normal 4 8 4 6" xfId="17866"/>
    <cellStyle name="Normal 4 8 4 6 2" xfId="17867"/>
    <cellStyle name="Normal 4 8 4 6 2 2" xfId="34326"/>
    <cellStyle name="Normal 4 8 4 6 3" xfId="17868"/>
    <cellStyle name="Normal 4 8 4 6 3 2" xfId="34327"/>
    <cellStyle name="Normal 4 8 4 6 4" xfId="17869"/>
    <cellStyle name="Normal 4 8 4 6 4 2" xfId="34328"/>
    <cellStyle name="Normal 4 8 4 6 5" xfId="17870"/>
    <cellStyle name="Normal 4 8 4 6 5 2" xfId="34329"/>
    <cellStyle name="Normal 4 8 4 6 6" xfId="34325"/>
    <cellStyle name="Normal 4 8 4 7" xfId="17871"/>
    <cellStyle name="Normal 4 8 4 7 2" xfId="17872"/>
    <cellStyle name="Normal 4 8 4 7 2 2" xfId="34331"/>
    <cellStyle name="Normal 4 8 4 7 3" xfId="17873"/>
    <cellStyle name="Normal 4 8 4 7 3 2" xfId="34332"/>
    <cellStyle name="Normal 4 8 4 7 4" xfId="17874"/>
    <cellStyle name="Normal 4 8 4 7 4 2" xfId="34333"/>
    <cellStyle name="Normal 4 8 4 7 5" xfId="17875"/>
    <cellStyle name="Normal 4 8 4 7 5 2" xfId="34334"/>
    <cellStyle name="Normal 4 8 4 7 6" xfId="34330"/>
    <cellStyle name="Normal 4 8 4 8" xfId="17876"/>
    <cellStyle name="Normal 4 8 4 8 2" xfId="17877"/>
    <cellStyle name="Normal 4 8 4 8 2 2" xfId="34336"/>
    <cellStyle name="Normal 4 8 4 8 3" xfId="17878"/>
    <cellStyle name="Normal 4 8 4 8 3 2" xfId="34337"/>
    <cellStyle name="Normal 4 8 4 8 4" xfId="17879"/>
    <cellStyle name="Normal 4 8 4 8 4 2" xfId="34338"/>
    <cellStyle name="Normal 4 8 4 8 5" xfId="17880"/>
    <cellStyle name="Normal 4 8 4 8 5 2" xfId="34339"/>
    <cellStyle name="Normal 4 8 4 8 6" xfId="34335"/>
    <cellStyle name="Normal 4 8 4 9" xfId="17881"/>
    <cellStyle name="Normal 4 8 4 9 2" xfId="17882"/>
    <cellStyle name="Normal 4 8 4 9 2 2" xfId="34341"/>
    <cellStyle name="Normal 4 8 4 9 3" xfId="17883"/>
    <cellStyle name="Normal 4 8 4 9 3 2" xfId="34342"/>
    <cellStyle name="Normal 4 8 4 9 4" xfId="17884"/>
    <cellStyle name="Normal 4 8 4 9 4 2" xfId="34343"/>
    <cellStyle name="Normal 4 8 4 9 5" xfId="17885"/>
    <cellStyle name="Normal 4 8 4 9 5 2" xfId="34344"/>
    <cellStyle name="Normal 4 8 4 9 6" xfId="34340"/>
    <cellStyle name="Normal 4 8 5" xfId="17886"/>
    <cellStyle name="Normal 4 8 5 2" xfId="17887"/>
    <cellStyle name="Normal 4 8 5 3" xfId="17888"/>
    <cellStyle name="Normal 4 8 5 3 2" xfId="34346"/>
    <cellStyle name="Normal 4 8 5 4" xfId="17889"/>
    <cellStyle name="Normal 4 8 5 4 2" xfId="34347"/>
    <cellStyle name="Normal 4 8 5 5" xfId="17890"/>
    <cellStyle name="Normal 4 8 5 5 2" xfId="34348"/>
    <cellStyle name="Normal 4 8 5 6" xfId="17891"/>
    <cellStyle name="Normal 4 8 5 6 2" xfId="34349"/>
    <cellStyle name="Normal 4 8 5 7" xfId="34345"/>
    <cellStyle name="Normal 4 8 6" xfId="17892"/>
    <cellStyle name="Normal 4 8 6 2" xfId="17893"/>
    <cellStyle name="Normal 4 8 6 3" xfId="17894"/>
    <cellStyle name="Normal 4 8 6 3 2" xfId="34351"/>
    <cellStyle name="Normal 4 8 6 4" xfId="17895"/>
    <cellStyle name="Normal 4 8 6 4 2" xfId="34352"/>
    <cellStyle name="Normal 4 8 6 5" xfId="17896"/>
    <cellStyle name="Normal 4 8 6 5 2" xfId="34353"/>
    <cellStyle name="Normal 4 8 6 6" xfId="17897"/>
    <cellStyle name="Normal 4 8 6 6 2" xfId="34354"/>
    <cellStyle name="Normal 4 8 6 7" xfId="34350"/>
    <cellStyle name="Normal 4 8 7" xfId="17898"/>
    <cellStyle name="Normal 4 8 7 2" xfId="17899"/>
    <cellStyle name="Normal 4 8 7 2 2" xfId="34356"/>
    <cellStyle name="Normal 4 8 7 3" xfId="17900"/>
    <cellStyle name="Normal 4 8 7 3 2" xfId="34357"/>
    <cellStyle name="Normal 4 8 7 4" xfId="17901"/>
    <cellStyle name="Normal 4 8 7 4 2" xfId="34358"/>
    <cellStyle name="Normal 4 8 7 5" xfId="17902"/>
    <cellStyle name="Normal 4 8 7 5 2" xfId="34359"/>
    <cellStyle name="Normal 4 8 7 6" xfId="34355"/>
    <cellStyle name="Normal 4 8 8" xfId="17903"/>
    <cellStyle name="Normal 4 8 8 2" xfId="17904"/>
    <cellStyle name="Normal 4 8 8 2 2" xfId="34361"/>
    <cellStyle name="Normal 4 8 8 3" xfId="17905"/>
    <cellStyle name="Normal 4 8 8 3 2" xfId="34362"/>
    <cellStyle name="Normal 4 8 8 4" xfId="17906"/>
    <cellStyle name="Normal 4 8 8 4 2" xfId="34363"/>
    <cellStyle name="Normal 4 8 8 5" xfId="17907"/>
    <cellStyle name="Normal 4 8 8 5 2" xfId="34364"/>
    <cellStyle name="Normal 4 8 8 6" xfId="34360"/>
    <cellStyle name="Normal 4 8 9" xfId="17908"/>
    <cellStyle name="Normal 4 8 9 2" xfId="17909"/>
    <cellStyle name="Normal 4 8 9 2 2" xfId="34366"/>
    <cellStyle name="Normal 4 8 9 3" xfId="17910"/>
    <cellStyle name="Normal 4 8 9 3 2" xfId="34367"/>
    <cellStyle name="Normal 4 8 9 4" xfId="17911"/>
    <cellStyle name="Normal 4 8 9 4 2" xfId="34368"/>
    <cellStyle name="Normal 4 8 9 5" xfId="17912"/>
    <cellStyle name="Normal 4 8 9 5 2" xfId="34369"/>
    <cellStyle name="Normal 4 8 9 6" xfId="34365"/>
    <cellStyle name="Normal 4 9" xfId="17913"/>
    <cellStyle name="Normal 4 9 2" xfId="17914"/>
    <cellStyle name="Normal 4 9 2 2" xfId="17915"/>
    <cellStyle name="Normal 4 9 2 3" xfId="17916"/>
    <cellStyle name="Normal 4 9 2 4" xfId="17917"/>
    <cellStyle name="Normal 4 9 2 5" xfId="17918"/>
    <cellStyle name="Normal 4 9 2 6" xfId="17919"/>
    <cellStyle name="Normal 4 9 2 7" xfId="17920"/>
    <cellStyle name="Normal 4 9 3" xfId="17921"/>
    <cellStyle name="Normal 4 9 4" xfId="17922"/>
    <cellStyle name="Normal 4 9 5" xfId="17923"/>
    <cellStyle name="Normal 4 9 6" xfId="17924"/>
    <cellStyle name="Normal 4 9 7" xfId="17925"/>
    <cellStyle name="Normal 4 9 8" xfId="17926"/>
    <cellStyle name="Normal 4 9 9" xfId="40734"/>
    <cellStyle name="Normal 40" xfId="25"/>
    <cellStyle name="Normal 41" xfId="41080"/>
    <cellStyle name="Normal 42" xfId="41081"/>
    <cellStyle name="Normal 43" xfId="41085"/>
    <cellStyle name="Normal 44" xfId="41088"/>
    <cellStyle name="Normal 45" xfId="41137"/>
    <cellStyle name="Normal 46" xfId="41138"/>
    <cellStyle name="Normal 5" xfId="19"/>
    <cellStyle name="Normal 5 10" xfId="17928"/>
    <cellStyle name="Normal 5 10 2" xfId="40736"/>
    <cellStyle name="Normal 5 11" xfId="17929"/>
    <cellStyle name="Normal 5 11 2" xfId="40737"/>
    <cellStyle name="Normal 5 12" xfId="17930"/>
    <cellStyle name="Normal 5 12 2" xfId="40738"/>
    <cellStyle name="Normal 5 13" xfId="17931"/>
    <cellStyle name="Normal 5 13 2" xfId="40739"/>
    <cellStyle name="Normal 5 14" xfId="17932"/>
    <cellStyle name="Normal 5 14 2" xfId="40740"/>
    <cellStyle name="Normal 5 15" xfId="17933"/>
    <cellStyle name="Normal 5 15 2" xfId="40741"/>
    <cellStyle name="Normal 5 16" xfId="17934"/>
    <cellStyle name="Normal 5 16 2" xfId="40742"/>
    <cellStyle name="Normal 5 17" xfId="17935"/>
    <cellStyle name="Normal 5 17 2" xfId="40743"/>
    <cellStyle name="Normal 5 18" xfId="17936"/>
    <cellStyle name="Normal 5 18 2" xfId="40744"/>
    <cellStyle name="Normal 5 19" xfId="17937"/>
    <cellStyle name="Normal 5 19 10" xfId="17938"/>
    <cellStyle name="Normal 5 19 10 2" xfId="17939"/>
    <cellStyle name="Normal 5 19 10 2 2" xfId="34371"/>
    <cellStyle name="Normal 5 19 10 3" xfId="17940"/>
    <cellStyle name="Normal 5 19 10 3 2" xfId="34372"/>
    <cellStyle name="Normal 5 19 10 4" xfId="17941"/>
    <cellStyle name="Normal 5 19 10 4 2" xfId="34373"/>
    <cellStyle name="Normal 5 19 10 5" xfId="17942"/>
    <cellStyle name="Normal 5 19 10 5 2" xfId="34374"/>
    <cellStyle name="Normal 5 19 10 6" xfId="34370"/>
    <cellStyle name="Normal 5 19 11" xfId="17943"/>
    <cellStyle name="Normal 5 19 11 2" xfId="17944"/>
    <cellStyle name="Normal 5 19 11 2 2" xfId="34376"/>
    <cellStyle name="Normal 5 19 11 3" xfId="17945"/>
    <cellStyle name="Normal 5 19 11 3 2" xfId="34377"/>
    <cellStyle name="Normal 5 19 11 4" xfId="17946"/>
    <cellStyle name="Normal 5 19 11 4 2" xfId="34378"/>
    <cellStyle name="Normal 5 19 11 5" xfId="17947"/>
    <cellStyle name="Normal 5 19 11 5 2" xfId="34379"/>
    <cellStyle name="Normal 5 19 11 6" xfId="34375"/>
    <cellStyle name="Normal 5 19 12" xfId="17948"/>
    <cellStyle name="Normal 5 19 12 2" xfId="17949"/>
    <cellStyle name="Normal 5 19 12 2 2" xfId="34381"/>
    <cellStyle name="Normal 5 19 12 3" xfId="17950"/>
    <cellStyle name="Normal 5 19 12 3 2" xfId="34382"/>
    <cellStyle name="Normal 5 19 12 4" xfId="17951"/>
    <cellStyle name="Normal 5 19 12 4 2" xfId="34383"/>
    <cellStyle name="Normal 5 19 12 5" xfId="17952"/>
    <cellStyle name="Normal 5 19 12 5 2" xfId="34384"/>
    <cellStyle name="Normal 5 19 12 6" xfId="34380"/>
    <cellStyle name="Normal 5 19 13" xfId="17953"/>
    <cellStyle name="Normal 5 19 13 2" xfId="17954"/>
    <cellStyle name="Normal 5 19 13 2 2" xfId="34386"/>
    <cellStyle name="Normal 5 19 13 3" xfId="17955"/>
    <cellStyle name="Normal 5 19 13 3 2" xfId="34387"/>
    <cellStyle name="Normal 5 19 13 4" xfId="17956"/>
    <cellStyle name="Normal 5 19 13 4 2" xfId="34388"/>
    <cellStyle name="Normal 5 19 13 5" xfId="17957"/>
    <cellStyle name="Normal 5 19 13 5 2" xfId="34389"/>
    <cellStyle name="Normal 5 19 13 6" xfId="34385"/>
    <cellStyle name="Normal 5 19 14" xfId="17958"/>
    <cellStyle name="Normal 5 19 14 2" xfId="17959"/>
    <cellStyle name="Normal 5 19 14 2 2" xfId="34391"/>
    <cellStyle name="Normal 5 19 14 3" xfId="17960"/>
    <cellStyle name="Normal 5 19 14 3 2" xfId="34392"/>
    <cellStyle name="Normal 5 19 14 4" xfId="17961"/>
    <cellStyle name="Normal 5 19 14 4 2" xfId="34393"/>
    <cellStyle name="Normal 5 19 14 5" xfId="17962"/>
    <cellStyle name="Normal 5 19 14 5 2" xfId="34394"/>
    <cellStyle name="Normal 5 19 14 6" xfId="34390"/>
    <cellStyle name="Normal 5 19 15" xfId="17963"/>
    <cellStyle name="Normal 5 19 15 2" xfId="17964"/>
    <cellStyle name="Normal 5 19 15 2 2" xfId="34396"/>
    <cellStyle name="Normal 5 19 15 3" xfId="17965"/>
    <cellStyle name="Normal 5 19 15 3 2" xfId="34397"/>
    <cellStyle name="Normal 5 19 15 4" xfId="17966"/>
    <cellStyle name="Normal 5 19 15 4 2" xfId="34398"/>
    <cellStyle name="Normal 5 19 15 5" xfId="17967"/>
    <cellStyle name="Normal 5 19 15 5 2" xfId="34399"/>
    <cellStyle name="Normal 5 19 15 6" xfId="34395"/>
    <cellStyle name="Normal 5 19 16" xfId="17968"/>
    <cellStyle name="Normal 5 19 16 2" xfId="17969"/>
    <cellStyle name="Normal 5 19 16 2 2" xfId="34401"/>
    <cellStyle name="Normal 5 19 16 3" xfId="17970"/>
    <cellStyle name="Normal 5 19 16 3 2" xfId="34402"/>
    <cellStyle name="Normal 5 19 16 4" xfId="17971"/>
    <cellStyle name="Normal 5 19 16 4 2" xfId="34403"/>
    <cellStyle name="Normal 5 19 16 5" xfId="17972"/>
    <cellStyle name="Normal 5 19 16 5 2" xfId="34404"/>
    <cellStyle name="Normal 5 19 16 6" xfId="34400"/>
    <cellStyle name="Normal 5 19 17" xfId="17973"/>
    <cellStyle name="Normal 5 19 17 2" xfId="34405"/>
    <cellStyle name="Normal 5 19 18" xfId="17974"/>
    <cellStyle name="Normal 5 19 18 2" xfId="34406"/>
    <cellStyle name="Normal 5 19 19" xfId="17975"/>
    <cellStyle name="Normal 5 19 19 2" xfId="34407"/>
    <cellStyle name="Normal 5 19 2" xfId="17976"/>
    <cellStyle name="Normal 5 19 2 2" xfId="17977"/>
    <cellStyle name="Normal 5 19 2 3" xfId="17978"/>
    <cellStyle name="Normal 5 19 2 3 2" xfId="34409"/>
    <cellStyle name="Normal 5 19 2 4" xfId="17979"/>
    <cellStyle name="Normal 5 19 2 4 2" xfId="34410"/>
    <cellStyle name="Normal 5 19 2 5" xfId="17980"/>
    <cellStyle name="Normal 5 19 2 5 2" xfId="34411"/>
    <cellStyle name="Normal 5 19 2 6" xfId="17981"/>
    <cellStyle name="Normal 5 19 2 6 2" xfId="34412"/>
    <cellStyle name="Normal 5 19 2 7" xfId="34408"/>
    <cellStyle name="Normal 5 19 20" xfId="17982"/>
    <cellStyle name="Normal 5 19 20 2" xfId="34413"/>
    <cellStyle name="Normal 5 19 21" xfId="17983"/>
    <cellStyle name="Normal 5 19 21 2" xfId="34414"/>
    <cellStyle name="Normal 5 19 3" xfId="17984"/>
    <cellStyle name="Normal 5 19 3 2" xfId="17985"/>
    <cellStyle name="Normal 5 19 3 2 2" xfId="17986"/>
    <cellStyle name="Normal 5 19 3 2 2 2" xfId="34417"/>
    <cellStyle name="Normal 5 19 3 2 3" xfId="17987"/>
    <cellStyle name="Normal 5 19 3 2 3 2" xfId="34418"/>
    <cellStyle name="Normal 5 19 3 2 4" xfId="17988"/>
    <cellStyle name="Normal 5 19 3 2 4 2" xfId="34419"/>
    <cellStyle name="Normal 5 19 3 2 5" xfId="17989"/>
    <cellStyle name="Normal 5 19 3 2 5 2" xfId="34420"/>
    <cellStyle name="Normal 5 19 3 2 6" xfId="34416"/>
    <cellStyle name="Normal 5 19 3 3" xfId="17990"/>
    <cellStyle name="Normal 5 19 3 3 2" xfId="34421"/>
    <cellStyle name="Normal 5 19 3 4" xfId="17991"/>
    <cellStyle name="Normal 5 19 3 4 2" xfId="34422"/>
    <cellStyle name="Normal 5 19 3 5" xfId="17992"/>
    <cellStyle name="Normal 5 19 3 5 2" xfId="34423"/>
    <cellStyle name="Normal 5 19 3 6" xfId="17993"/>
    <cellStyle name="Normal 5 19 3 6 2" xfId="34424"/>
    <cellStyle name="Normal 5 19 3 7" xfId="34415"/>
    <cellStyle name="Normal 5 19 4" xfId="17994"/>
    <cellStyle name="Normal 5 19 4 2" xfId="17995"/>
    <cellStyle name="Normal 5 19 4 2 2" xfId="17996"/>
    <cellStyle name="Normal 5 19 4 2 2 2" xfId="34427"/>
    <cellStyle name="Normal 5 19 4 2 3" xfId="17997"/>
    <cellStyle name="Normal 5 19 4 2 3 2" xfId="34428"/>
    <cellStyle name="Normal 5 19 4 2 4" xfId="17998"/>
    <cellStyle name="Normal 5 19 4 2 4 2" xfId="34429"/>
    <cellStyle name="Normal 5 19 4 2 5" xfId="17999"/>
    <cellStyle name="Normal 5 19 4 2 5 2" xfId="34430"/>
    <cellStyle name="Normal 5 19 4 2 6" xfId="34426"/>
    <cellStyle name="Normal 5 19 4 3" xfId="18000"/>
    <cellStyle name="Normal 5 19 4 3 2" xfId="34431"/>
    <cellStyle name="Normal 5 19 4 4" xfId="18001"/>
    <cellStyle name="Normal 5 19 4 4 2" xfId="34432"/>
    <cellStyle name="Normal 5 19 4 5" xfId="18002"/>
    <cellStyle name="Normal 5 19 4 5 2" xfId="34433"/>
    <cellStyle name="Normal 5 19 4 6" xfId="18003"/>
    <cellStyle name="Normal 5 19 4 6 2" xfId="34434"/>
    <cellStyle name="Normal 5 19 4 7" xfId="34425"/>
    <cellStyle name="Normal 5 19 5" xfId="18004"/>
    <cellStyle name="Normal 5 19 5 2" xfId="18005"/>
    <cellStyle name="Normal 5 19 5 2 2" xfId="18006"/>
    <cellStyle name="Normal 5 19 5 2 2 2" xfId="34436"/>
    <cellStyle name="Normal 5 19 5 2 3" xfId="18007"/>
    <cellStyle name="Normal 5 19 5 2 3 2" xfId="34437"/>
    <cellStyle name="Normal 5 19 5 2 4" xfId="18008"/>
    <cellStyle name="Normal 5 19 5 2 4 2" xfId="34438"/>
    <cellStyle name="Normal 5 19 5 2 5" xfId="18009"/>
    <cellStyle name="Normal 5 19 5 2 5 2" xfId="34439"/>
    <cellStyle name="Normal 5 19 5 2 6" xfId="34435"/>
    <cellStyle name="Normal 5 19 6" xfId="18010"/>
    <cellStyle name="Normal 5 19 6 2" xfId="18011"/>
    <cellStyle name="Normal 5 19 6 2 2" xfId="34441"/>
    <cellStyle name="Normal 5 19 6 3" xfId="18012"/>
    <cellStyle name="Normal 5 19 6 3 2" xfId="34442"/>
    <cellStyle name="Normal 5 19 6 4" xfId="18013"/>
    <cellStyle name="Normal 5 19 6 4 2" xfId="34443"/>
    <cellStyle name="Normal 5 19 6 5" xfId="18014"/>
    <cellStyle name="Normal 5 19 6 5 2" xfId="34444"/>
    <cellStyle name="Normal 5 19 6 6" xfId="34440"/>
    <cellStyle name="Normal 5 19 7" xfId="18015"/>
    <cellStyle name="Normal 5 19 7 2" xfId="18016"/>
    <cellStyle name="Normal 5 19 7 2 2" xfId="34446"/>
    <cellStyle name="Normal 5 19 7 3" xfId="18017"/>
    <cellStyle name="Normal 5 19 7 3 2" xfId="34447"/>
    <cellStyle name="Normal 5 19 7 4" xfId="18018"/>
    <cellStyle name="Normal 5 19 7 4 2" xfId="34448"/>
    <cellStyle name="Normal 5 19 7 5" xfId="18019"/>
    <cellStyle name="Normal 5 19 7 5 2" xfId="34449"/>
    <cellStyle name="Normal 5 19 7 6" xfId="34445"/>
    <cellStyle name="Normal 5 19 8" xfId="18020"/>
    <cellStyle name="Normal 5 19 8 2" xfId="18021"/>
    <cellStyle name="Normal 5 19 8 2 2" xfId="34451"/>
    <cellStyle name="Normal 5 19 8 3" xfId="18022"/>
    <cellStyle name="Normal 5 19 8 3 2" xfId="34452"/>
    <cellStyle name="Normal 5 19 8 4" xfId="18023"/>
    <cellStyle name="Normal 5 19 8 4 2" xfId="34453"/>
    <cellStyle name="Normal 5 19 8 5" xfId="18024"/>
    <cellStyle name="Normal 5 19 8 5 2" xfId="34454"/>
    <cellStyle name="Normal 5 19 8 6" xfId="34450"/>
    <cellStyle name="Normal 5 19 9" xfId="18025"/>
    <cellStyle name="Normal 5 19 9 2" xfId="18026"/>
    <cellStyle name="Normal 5 19 9 2 2" xfId="34456"/>
    <cellStyle name="Normal 5 19 9 3" xfId="18027"/>
    <cellStyle name="Normal 5 19 9 3 2" xfId="34457"/>
    <cellStyle name="Normal 5 19 9 4" xfId="18028"/>
    <cellStyle name="Normal 5 19 9 4 2" xfId="34458"/>
    <cellStyle name="Normal 5 19 9 5" xfId="18029"/>
    <cellStyle name="Normal 5 19 9 5 2" xfId="34459"/>
    <cellStyle name="Normal 5 19 9 6" xfId="34455"/>
    <cellStyle name="Normal 5 2" xfId="18030"/>
    <cellStyle name="Normal 5 2 10" xfId="18031"/>
    <cellStyle name="Normal 5 2 10 2" xfId="18032"/>
    <cellStyle name="Normal 5 2 10 3" xfId="18033"/>
    <cellStyle name="Normal 5 2 10 3 2" xfId="34461"/>
    <cellStyle name="Normal 5 2 10 4" xfId="18034"/>
    <cellStyle name="Normal 5 2 10 4 2" xfId="34462"/>
    <cellStyle name="Normal 5 2 10 5" xfId="18035"/>
    <cellStyle name="Normal 5 2 10 5 2" xfId="34463"/>
    <cellStyle name="Normal 5 2 10 6" xfId="18036"/>
    <cellStyle name="Normal 5 2 10 6 2" xfId="34464"/>
    <cellStyle name="Normal 5 2 10 7" xfId="34460"/>
    <cellStyle name="Normal 5 2 11" xfId="18037"/>
    <cellStyle name="Normal 5 2 11 2" xfId="18038"/>
    <cellStyle name="Normal 5 2 11 2 2" xfId="34466"/>
    <cellStyle name="Normal 5 2 11 3" xfId="18039"/>
    <cellStyle name="Normal 5 2 11 3 2" xfId="34467"/>
    <cellStyle name="Normal 5 2 11 4" xfId="18040"/>
    <cellStyle name="Normal 5 2 11 4 2" xfId="34468"/>
    <cellStyle name="Normal 5 2 11 5" xfId="18041"/>
    <cellStyle name="Normal 5 2 11 5 2" xfId="34469"/>
    <cellStyle name="Normal 5 2 11 6" xfId="34465"/>
    <cellStyle name="Normal 5 2 12" xfId="18042"/>
    <cellStyle name="Normal 5 2 12 2" xfId="18043"/>
    <cellStyle name="Normal 5 2 12 2 2" xfId="34471"/>
    <cellStyle name="Normal 5 2 12 3" xfId="18044"/>
    <cellStyle name="Normal 5 2 12 3 2" xfId="34472"/>
    <cellStyle name="Normal 5 2 12 4" xfId="18045"/>
    <cellStyle name="Normal 5 2 12 4 2" xfId="34473"/>
    <cellStyle name="Normal 5 2 12 5" xfId="18046"/>
    <cellStyle name="Normal 5 2 12 5 2" xfId="34474"/>
    <cellStyle name="Normal 5 2 12 6" xfId="34470"/>
    <cellStyle name="Normal 5 2 13" xfId="18047"/>
    <cellStyle name="Normal 5 2 13 2" xfId="18048"/>
    <cellStyle name="Normal 5 2 13 2 2" xfId="34476"/>
    <cellStyle name="Normal 5 2 13 3" xfId="18049"/>
    <cellStyle name="Normal 5 2 13 3 2" xfId="34477"/>
    <cellStyle name="Normal 5 2 13 4" xfId="18050"/>
    <cellStyle name="Normal 5 2 13 4 2" xfId="34478"/>
    <cellStyle name="Normal 5 2 13 5" xfId="18051"/>
    <cellStyle name="Normal 5 2 13 5 2" xfId="34479"/>
    <cellStyle name="Normal 5 2 13 6" xfId="34475"/>
    <cellStyle name="Normal 5 2 14" xfId="18052"/>
    <cellStyle name="Normal 5 2 14 2" xfId="18053"/>
    <cellStyle name="Normal 5 2 14 2 2" xfId="34481"/>
    <cellStyle name="Normal 5 2 14 3" xfId="18054"/>
    <cellStyle name="Normal 5 2 14 3 2" xfId="34482"/>
    <cellStyle name="Normal 5 2 14 4" xfId="18055"/>
    <cellStyle name="Normal 5 2 14 4 2" xfId="34483"/>
    <cellStyle name="Normal 5 2 14 5" xfId="18056"/>
    <cellStyle name="Normal 5 2 14 5 2" xfId="34484"/>
    <cellStyle name="Normal 5 2 14 6" xfId="34480"/>
    <cellStyle name="Normal 5 2 15" xfId="18057"/>
    <cellStyle name="Normal 5 2 15 2" xfId="18058"/>
    <cellStyle name="Normal 5 2 15 2 2" xfId="34486"/>
    <cellStyle name="Normal 5 2 15 3" xfId="18059"/>
    <cellStyle name="Normal 5 2 15 3 2" xfId="34487"/>
    <cellStyle name="Normal 5 2 15 4" xfId="18060"/>
    <cellStyle name="Normal 5 2 15 4 2" xfId="34488"/>
    <cellStyle name="Normal 5 2 15 5" xfId="18061"/>
    <cellStyle name="Normal 5 2 15 5 2" xfId="34489"/>
    <cellStyle name="Normal 5 2 15 6" xfId="34485"/>
    <cellStyle name="Normal 5 2 16" xfId="18062"/>
    <cellStyle name="Normal 5 2 16 2" xfId="18063"/>
    <cellStyle name="Normal 5 2 16 2 2" xfId="34491"/>
    <cellStyle name="Normal 5 2 16 3" xfId="18064"/>
    <cellStyle name="Normal 5 2 16 3 2" xfId="34492"/>
    <cellStyle name="Normal 5 2 16 4" xfId="18065"/>
    <cellStyle name="Normal 5 2 16 4 2" xfId="34493"/>
    <cellStyle name="Normal 5 2 16 5" xfId="18066"/>
    <cellStyle name="Normal 5 2 16 5 2" xfId="34494"/>
    <cellStyle name="Normal 5 2 16 6" xfId="34490"/>
    <cellStyle name="Normal 5 2 17" xfId="18067"/>
    <cellStyle name="Normal 5 2 17 2" xfId="18068"/>
    <cellStyle name="Normal 5 2 17 2 2" xfId="34496"/>
    <cellStyle name="Normal 5 2 17 3" xfId="18069"/>
    <cellStyle name="Normal 5 2 17 3 2" xfId="34497"/>
    <cellStyle name="Normal 5 2 17 4" xfId="18070"/>
    <cellStyle name="Normal 5 2 17 4 2" xfId="34498"/>
    <cellStyle name="Normal 5 2 17 5" xfId="18071"/>
    <cellStyle name="Normal 5 2 17 5 2" xfId="34499"/>
    <cellStyle name="Normal 5 2 17 6" xfId="34495"/>
    <cellStyle name="Normal 5 2 18" xfId="18072"/>
    <cellStyle name="Normal 5 2 18 2" xfId="18073"/>
    <cellStyle name="Normal 5 2 18 2 2" xfId="34501"/>
    <cellStyle name="Normal 5 2 18 3" xfId="18074"/>
    <cellStyle name="Normal 5 2 18 3 2" xfId="34502"/>
    <cellStyle name="Normal 5 2 18 4" xfId="18075"/>
    <cellStyle name="Normal 5 2 18 4 2" xfId="34503"/>
    <cellStyle name="Normal 5 2 18 5" xfId="18076"/>
    <cellStyle name="Normal 5 2 18 5 2" xfId="34504"/>
    <cellStyle name="Normal 5 2 18 6" xfId="34500"/>
    <cellStyle name="Normal 5 2 19" xfId="18077"/>
    <cellStyle name="Normal 5 2 19 2" xfId="18078"/>
    <cellStyle name="Normal 5 2 19 2 2" xfId="34506"/>
    <cellStyle name="Normal 5 2 19 3" xfId="18079"/>
    <cellStyle name="Normal 5 2 19 3 2" xfId="34507"/>
    <cellStyle name="Normal 5 2 19 4" xfId="18080"/>
    <cellStyle name="Normal 5 2 19 4 2" xfId="34508"/>
    <cellStyle name="Normal 5 2 19 5" xfId="18081"/>
    <cellStyle name="Normal 5 2 19 5 2" xfId="34509"/>
    <cellStyle name="Normal 5 2 19 6" xfId="34505"/>
    <cellStyle name="Normal 5 2 2" xfId="18082"/>
    <cellStyle name="Normal 5 2 2 10" xfId="18083"/>
    <cellStyle name="Normal 5 2 2 10 2" xfId="18084"/>
    <cellStyle name="Normal 5 2 2 10 2 2" xfId="34512"/>
    <cellStyle name="Normal 5 2 2 10 3" xfId="18085"/>
    <cellStyle name="Normal 5 2 2 10 3 2" xfId="34513"/>
    <cellStyle name="Normal 5 2 2 10 4" xfId="18086"/>
    <cellStyle name="Normal 5 2 2 10 4 2" xfId="34514"/>
    <cellStyle name="Normal 5 2 2 10 5" xfId="18087"/>
    <cellStyle name="Normal 5 2 2 10 5 2" xfId="34515"/>
    <cellStyle name="Normal 5 2 2 10 6" xfId="34511"/>
    <cellStyle name="Normal 5 2 2 11" xfId="18088"/>
    <cellStyle name="Normal 5 2 2 11 2" xfId="18089"/>
    <cellStyle name="Normal 5 2 2 11 2 2" xfId="34517"/>
    <cellStyle name="Normal 5 2 2 11 3" xfId="18090"/>
    <cellStyle name="Normal 5 2 2 11 3 2" xfId="34518"/>
    <cellStyle name="Normal 5 2 2 11 4" xfId="18091"/>
    <cellStyle name="Normal 5 2 2 11 4 2" xfId="34519"/>
    <cellStyle name="Normal 5 2 2 11 5" xfId="18092"/>
    <cellStyle name="Normal 5 2 2 11 5 2" xfId="34520"/>
    <cellStyle name="Normal 5 2 2 11 6" xfId="34516"/>
    <cellStyle name="Normal 5 2 2 12" xfId="18093"/>
    <cellStyle name="Normal 5 2 2 12 2" xfId="18094"/>
    <cellStyle name="Normal 5 2 2 12 2 2" xfId="34522"/>
    <cellStyle name="Normal 5 2 2 12 3" xfId="18095"/>
    <cellStyle name="Normal 5 2 2 12 3 2" xfId="34523"/>
    <cellStyle name="Normal 5 2 2 12 4" xfId="18096"/>
    <cellStyle name="Normal 5 2 2 12 4 2" xfId="34524"/>
    <cellStyle name="Normal 5 2 2 12 5" xfId="18097"/>
    <cellStyle name="Normal 5 2 2 12 5 2" xfId="34525"/>
    <cellStyle name="Normal 5 2 2 12 6" xfId="34521"/>
    <cellStyle name="Normal 5 2 2 13" xfId="18098"/>
    <cellStyle name="Normal 5 2 2 13 2" xfId="18099"/>
    <cellStyle name="Normal 5 2 2 13 2 2" xfId="34527"/>
    <cellStyle name="Normal 5 2 2 13 3" xfId="18100"/>
    <cellStyle name="Normal 5 2 2 13 3 2" xfId="34528"/>
    <cellStyle name="Normal 5 2 2 13 4" xfId="18101"/>
    <cellStyle name="Normal 5 2 2 13 4 2" xfId="34529"/>
    <cellStyle name="Normal 5 2 2 13 5" xfId="18102"/>
    <cellStyle name="Normal 5 2 2 13 5 2" xfId="34530"/>
    <cellStyle name="Normal 5 2 2 13 6" xfId="34526"/>
    <cellStyle name="Normal 5 2 2 14" xfId="18103"/>
    <cellStyle name="Normal 5 2 2 14 2" xfId="18104"/>
    <cellStyle name="Normal 5 2 2 14 2 2" xfId="34532"/>
    <cellStyle name="Normal 5 2 2 14 3" xfId="18105"/>
    <cellStyle name="Normal 5 2 2 14 3 2" xfId="34533"/>
    <cellStyle name="Normal 5 2 2 14 4" xfId="18106"/>
    <cellStyle name="Normal 5 2 2 14 4 2" xfId="34534"/>
    <cellStyle name="Normal 5 2 2 14 5" xfId="18107"/>
    <cellStyle name="Normal 5 2 2 14 5 2" xfId="34535"/>
    <cellStyle name="Normal 5 2 2 14 6" xfId="34531"/>
    <cellStyle name="Normal 5 2 2 15" xfId="18108"/>
    <cellStyle name="Normal 5 2 2 15 2" xfId="18109"/>
    <cellStyle name="Normal 5 2 2 15 2 2" xfId="34537"/>
    <cellStyle name="Normal 5 2 2 15 3" xfId="18110"/>
    <cellStyle name="Normal 5 2 2 15 3 2" xfId="34538"/>
    <cellStyle name="Normal 5 2 2 15 4" xfId="18111"/>
    <cellStyle name="Normal 5 2 2 15 4 2" xfId="34539"/>
    <cellStyle name="Normal 5 2 2 15 5" xfId="18112"/>
    <cellStyle name="Normal 5 2 2 15 5 2" xfId="34540"/>
    <cellStyle name="Normal 5 2 2 15 6" xfId="34536"/>
    <cellStyle name="Normal 5 2 2 16" xfId="18113"/>
    <cellStyle name="Normal 5 2 2 16 2" xfId="18114"/>
    <cellStyle name="Normal 5 2 2 16 2 2" xfId="34542"/>
    <cellStyle name="Normal 5 2 2 16 3" xfId="18115"/>
    <cellStyle name="Normal 5 2 2 16 3 2" xfId="34543"/>
    <cellStyle name="Normal 5 2 2 16 4" xfId="18116"/>
    <cellStyle name="Normal 5 2 2 16 4 2" xfId="34544"/>
    <cellStyle name="Normal 5 2 2 16 5" xfId="18117"/>
    <cellStyle name="Normal 5 2 2 16 5 2" xfId="34545"/>
    <cellStyle name="Normal 5 2 2 16 6" xfId="34541"/>
    <cellStyle name="Normal 5 2 2 17" xfId="18118"/>
    <cellStyle name="Normal 5 2 2 17 2" xfId="18119"/>
    <cellStyle name="Normal 5 2 2 17 2 2" xfId="34547"/>
    <cellStyle name="Normal 5 2 2 17 3" xfId="18120"/>
    <cellStyle name="Normal 5 2 2 17 3 2" xfId="34548"/>
    <cellStyle name="Normal 5 2 2 17 4" xfId="18121"/>
    <cellStyle name="Normal 5 2 2 17 4 2" xfId="34549"/>
    <cellStyle name="Normal 5 2 2 17 5" xfId="18122"/>
    <cellStyle name="Normal 5 2 2 17 5 2" xfId="34550"/>
    <cellStyle name="Normal 5 2 2 17 6" xfId="34546"/>
    <cellStyle name="Normal 5 2 2 18" xfId="18123"/>
    <cellStyle name="Normal 5 2 2 18 2" xfId="18124"/>
    <cellStyle name="Normal 5 2 2 18 2 2" xfId="34552"/>
    <cellStyle name="Normal 5 2 2 18 3" xfId="18125"/>
    <cellStyle name="Normal 5 2 2 18 3 2" xfId="34553"/>
    <cellStyle name="Normal 5 2 2 18 4" xfId="18126"/>
    <cellStyle name="Normal 5 2 2 18 4 2" xfId="34554"/>
    <cellStyle name="Normal 5 2 2 18 5" xfId="18127"/>
    <cellStyle name="Normal 5 2 2 18 5 2" xfId="34555"/>
    <cellStyle name="Normal 5 2 2 18 6" xfId="34551"/>
    <cellStyle name="Normal 5 2 2 19" xfId="18128"/>
    <cellStyle name="Normal 5 2 2 19 2" xfId="18129"/>
    <cellStyle name="Normal 5 2 2 19 2 2" xfId="34557"/>
    <cellStyle name="Normal 5 2 2 19 3" xfId="18130"/>
    <cellStyle name="Normal 5 2 2 19 3 2" xfId="34558"/>
    <cellStyle name="Normal 5 2 2 19 4" xfId="18131"/>
    <cellStyle name="Normal 5 2 2 19 4 2" xfId="34559"/>
    <cellStyle name="Normal 5 2 2 19 5" xfId="18132"/>
    <cellStyle name="Normal 5 2 2 19 5 2" xfId="34560"/>
    <cellStyle name="Normal 5 2 2 19 6" xfId="34556"/>
    <cellStyle name="Normal 5 2 2 2" xfId="18133"/>
    <cellStyle name="Normal 5 2 2 2 10" xfId="18134"/>
    <cellStyle name="Normal 5 2 2 2 10 2" xfId="18135"/>
    <cellStyle name="Normal 5 2 2 2 10 2 2" xfId="34563"/>
    <cellStyle name="Normal 5 2 2 2 10 3" xfId="18136"/>
    <cellStyle name="Normal 5 2 2 2 10 3 2" xfId="34564"/>
    <cellStyle name="Normal 5 2 2 2 10 4" xfId="18137"/>
    <cellStyle name="Normal 5 2 2 2 10 4 2" xfId="34565"/>
    <cellStyle name="Normal 5 2 2 2 10 5" xfId="18138"/>
    <cellStyle name="Normal 5 2 2 2 10 5 2" xfId="34566"/>
    <cellStyle name="Normal 5 2 2 2 10 6" xfId="34562"/>
    <cellStyle name="Normal 5 2 2 2 11" xfId="18139"/>
    <cellStyle name="Normal 5 2 2 2 11 2" xfId="18140"/>
    <cellStyle name="Normal 5 2 2 2 11 2 2" xfId="34568"/>
    <cellStyle name="Normal 5 2 2 2 11 3" xfId="18141"/>
    <cellStyle name="Normal 5 2 2 2 11 3 2" xfId="34569"/>
    <cellStyle name="Normal 5 2 2 2 11 4" xfId="18142"/>
    <cellStyle name="Normal 5 2 2 2 11 4 2" xfId="34570"/>
    <cellStyle name="Normal 5 2 2 2 11 5" xfId="18143"/>
    <cellStyle name="Normal 5 2 2 2 11 5 2" xfId="34571"/>
    <cellStyle name="Normal 5 2 2 2 11 6" xfId="34567"/>
    <cellStyle name="Normal 5 2 2 2 12" xfId="18144"/>
    <cellStyle name="Normal 5 2 2 2 12 2" xfId="18145"/>
    <cellStyle name="Normal 5 2 2 2 12 2 2" xfId="34573"/>
    <cellStyle name="Normal 5 2 2 2 12 3" xfId="18146"/>
    <cellStyle name="Normal 5 2 2 2 12 3 2" xfId="34574"/>
    <cellStyle name="Normal 5 2 2 2 12 4" xfId="18147"/>
    <cellStyle name="Normal 5 2 2 2 12 4 2" xfId="34575"/>
    <cellStyle name="Normal 5 2 2 2 12 5" xfId="18148"/>
    <cellStyle name="Normal 5 2 2 2 12 5 2" xfId="34576"/>
    <cellStyle name="Normal 5 2 2 2 12 6" xfId="34572"/>
    <cellStyle name="Normal 5 2 2 2 13" xfId="18149"/>
    <cellStyle name="Normal 5 2 2 2 13 2" xfId="18150"/>
    <cellStyle name="Normal 5 2 2 2 13 2 2" xfId="34578"/>
    <cellStyle name="Normal 5 2 2 2 13 3" xfId="18151"/>
    <cellStyle name="Normal 5 2 2 2 13 3 2" xfId="34579"/>
    <cellStyle name="Normal 5 2 2 2 13 4" xfId="18152"/>
    <cellStyle name="Normal 5 2 2 2 13 4 2" xfId="34580"/>
    <cellStyle name="Normal 5 2 2 2 13 5" xfId="18153"/>
    <cellStyle name="Normal 5 2 2 2 13 5 2" xfId="34581"/>
    <cellStyle name="Normal 5 2 2 2 13 6" xfId="34577"/>
    <cellStyle name="Normal 5 2 2 2 14" xfId="18154"/>
    <cellStyle name="Normal 5 2 2 2 14 2" xfId="18155"/>
    <cellStyle name="Normal 5 2 2 2 14 2 2" xfId="34583"/>
    <cellStyle name="Normal 5 2 2 2 14 3" xfId="18156"/>
    <cellStyle name="Normal 5 2 2 2 14 3 2" xfId="34584"/>
    <cellStyle name="Normal 5 2 2 2 14 4" xfId="18157"/>
    <cellStyle name="Normal 5 2 2 2 14 4 2" xfId="34585"/>
    <cellStyle name="Normal 5 2 2 2 14 5" xfId="18158"/>
    <cellStyle name="Normal 5 2 2 2 14 5 2" xfId="34586"/>
    <cellStyle name="Normal 5 2 2 2 14 6" xfId="34582"/>
    <cellStyle name="Normal 5 2 2 2 15" xfId="18159"/>
    <cellStyle name="Normal 5 2 2 2 15 2" xfId="18160"/>
    <cellStyle name="Normal 5 2 2 2 15 2 2" xfId="34588"/>
    <cellStyle name="Normal 5 2 2 2 15 3" xfId="18161"/>
    <cellStyle name="Normal 5 2 2 2 15 3 2" xfId="34589"/>
    <cellStyle name="Normal 5 2 2 2 15 4" xfId="18162"/>
    <cellStyle name="Normal 5 2 2 2 15 4 2" xfId="34590"/>
    <cellStyle name="Normal 5 2 2 2 15 5" xfId="18163"/>
    <cellStyle name="Normal 5 2 2 2 15 5 2" xfId="34591"/>
    <cellStyle name="Normal 5 2 2 2 15 6" xfId="34587"/>
    <cellStyle name="Normal 5 2 2 2 16" xfId="18164"/>
    <cellStyle name="Normal 5 2 2 2 16 2" xfId="18165"/>
    <cellStyle name="Normal 5 2 2 2 16 2 2" xfId="34593"/>
    <cellStyle name="Normal 5 2 2 2 16 3" xfId="18166"/>
    <cellStyle name="Normal 5 2 2 2 16 3 2" xfId="34594"/>
    <cellStyle name="Normal 5 2 2 2 16 4" xfId="18167"/>
    <cellStyle name="Normal 5 2 2 2 16 4 2" xfId="34595"/>
    <cellStyle name="Normal 5 2 2 2 16 5" xfId="18168"/>
    <cellStyle name="Normal 5 2 2 2 16 5 2" xfId="34596"/>
    <cellStyle name="Normal 5 2 2 2 16 6" xfId="34592"/>
    <cellStyle name="Normal 5 2 2 2 17" xfId="18169"/>
    <cellStyle name="Normal 5 2 2 2 17 2" xfId="34597"/>
    <cellStyle name="Normal 5 2 2 2 18" xfId="18170"/>
    <cellStyle name="Normal 5 2 2 2 18 2" xfId="34598"/>
    <cellStyle name="Normal 5 2 2 2 19" xfId="18171"/>
    <cellStyle name="Normal 5 2 2 2 19 2" xfId="34599"/>
    <cellStyle name="Normal 5 2 2 2 2" xfId="18172"/>
    <cellStyle name="Normal 5 2 2 2 2 10" xfId="18173"/>
    <cellStyle name="Normal 5 2 2 2 2 10 2" xfId="34601"/>
    <cellStyle name="Normal 5 2 2 2 2 11" xfId="18174"/>
    <cellStyle name="Normal 5 2 2 2 2 11 2" xfId="34602"/>
    <cellStyle name="Normal 5 2 2 2 2 12" xfId="34600"/>
    <cellStyle name="Normal 5 2 2 2 2 2" xfId="18175"/>
    <cellStyle name="Normal 5 2 2 2 2 2 2" xfId="18176"/>
    <cellStyle name="Normal 5 2 2 2 2 2 2 2" xfId="34604"/>
    <cellStyle name="Normal 5 2 2 2 2 2 3" xfId="18177"/>
    <cellStyle name="Normal 5 2 2 2 2 2 3 2" xfId="34605"/>
    <cellStyle name="Normal 5 2 2 2 2 2 4" xfId="18178"/>
    <cellStyle name="Normal 5 2 2 2 2 2 4 2" xfId="34606"/>
    <cellStyle name="Normal 5 2 2 2 2 2 5" xfId="18179"/>
    <cellStyle name="Normal 5 2 2 2 2 2 5 2" xfId="34607"/>
    <cellStyle name="Normal 5 2 2 2 2 2 6" xfId="34603"/>
    <cellStyle name="Normal 5 2 2 2 2 3" xfId="18180"/>
    <cellStyle name="Normal 5 2 2 2 2 3 2" xfId="18181"/>
    <cellStyle name="Normal 5 2 2 2 2 3 2 2" xfId="34609"/>
    <cellStyle name="Normal 5 2 2 2 2 3 3" xfId="18182"/>
    <cellStyle name="Normal 5 2 2 2 2 3 3 2" xfId="34610"/>
    <cellStyle name="Normal 5 2 2 2 2 3 4" xfId="18183"/>
    <cellStyle name="Normal 5 2 2 2 2 3 4 2" xfId="34611"/>
    <cellStyle name="Normal 5 2 2 2 2 3 5" xfId="18184"/>
    <cellStyle name="Normal 5 2 2 2 2 3 5 2" xfId="34612"/>
    <cellStyle name="Normal 5 2 2 2 2 3 6" xfId="34608"/>
    <cellStyle name="Normal 5 2 2 2 2 4" xfId="18185"/>
    <cellStyle name="Normal 5 2 2 2 2 4 2" xfId="18186"/>
    <cellStyle name="Normal 5 2 2 2 2 4 2 2" xfId="34614"/>
    <cellStyle name="Normal 5 2 2 2 2 4 3" xfId="18187"/>
    <cellStyle name="Normal 5 2 2 2 2 4 3 2" xfId="34615"/>
    <cellStyle name="Normal 5 2 2 2 2 4 4" xfId="18188"/>
    <cellStyle name="Normal 5 2 2 2 2 4 4 2" xfId="34616"/>
    <cellStyle name="Normal 5 2 2 2 2 4 5" xfId="18189"/>
    <cellStyle name="Normal 5 2 2 2 2 4 5 2" xfId="34617"/>
    <cellStyle name="Normal 5 2 2 2 2 4 6" xfId="34613"/>
    <cellStyle name="Normal 5 2 2 2 2 5" xfId="18190"/>
    <cellStyle name="Normal 5 2 2 2 2 5 2" xfId="18191"/>
    <cellStyle name="Normal 5 2 2 2 2 5 2 2" xfId="34619"/>
    <cellStyle name="Normal 5 2 2 2 2 5 3" xfId="18192"/>
    <cellStyle name="Normal 5 2 2 2 2 5 3 2" xfId="34620"/>
    <cellStyle name="Normal 5 2 2 2 2 5 4" xfId="18193"/>
    <cellStyle name="Normal 5 2 2 2 2 5 4 2" xfId="34621"/>
    <cellStyle name="Normal 5 2 2 2 2 5 5" xfId="18194"/>
    <cellStyle name="Normal 5 2 2 2 2 5 5 2" xfId="34622"/>
    <cellStyle name="Normal 5 2 2 2 2 5 6" xfId="34618"/>
    <cellStyle name="Normal 5 2 2 2 2 6" xfId="18195"/>
    <cellStyle name="Normal 5 2 2 2 2 6 2" xfId="18196"/>
    <cellStyle name="Normal 5 2 2 2 2 6 2 2" xfId="34624"/>
    <cellStyle name="Normal 5 2 2 2 2 6 3" xfId="18197"/>
    <cellStyle name="Normal 5 2 2 2 2 6 3 2" xfId="34625"/>
    <cellStyle name="Normal 5 2 2 2 2 6 4" xfId="18198"/>
    <cellStyle name="Normal 5 2 2 2 2 6 4 2" xfId="34626"/>
    <cellStyle name="Normal 5 2 2 2 2 6 5" xfId="18199"/>
    <cellStyle name="Normal 5 2 2 2 2 6 5 2" xfId="34627"/>
    <cellStyle name="Normal 5 2 2 2 2 6 6" xfId="34623"/>
    <cellStyle name="Normal 5 2 2 2 2 7" xfId="18200"/>
    <cellStyle name="Normal 5 2 2 2 2 7 2" xfId="18201"/>
    <cellStyle name="Normal 5 2 2 2 2 7 2 2" xfId="34629"/>
    <cellStyle name="Normal 5 2 2 2 2 7 3" xfId="18202"/>
    <cellStyle name="Normal 5 2 2 2 2 7 3 2" xfId="34630"/>
    <cellStyle name="Normal 5 2 2 2 2 7 4" xfId="18203"/>
    <cellStyle name="Normal 5 2 2 2 2 7 4 2" xfId="34631"/>
    <cellStyle name="Normal 5 2 2 2 2 7 5" xfId="18204"/>
    <cellStyle name="Normal 5 2 2 2 2 7 5 2" xfId="34632"/>
    <cellStyle name="Normal 5 2 2 2 2 7 6" xfId="34628"/>
    <cellStyle name="Normal 5 2 2 2 2 8" xfId="18205"/>
    <cellStyle name="Normal 5 2 2 2 2 8 2" xfId="34633"/>
    <cellStyle name="Normal 5 2 2 2 2 9" xfId="18206"/>
    <cellStyle name="Normal 5 2 2 2 2 9 2" xfId="34634"/>
    <cellStyle name="Normal 5 2 2 2 20" xfId="18207"/>
    <cellStyle name="Normal 5 2 2 2 20 2" xfId="34635"/>
    <cellStyle name="Normal 5 2 2 2 21" xfId="34561"/>
    <cellStyle name="Normal 5 2 2 2 3" xfId="18208"/>
    <cellStyle name="Normal 5 2 2 2 3 2" xfId="18209"/>
    <cellStyle name="Normal 5 2 2 2 3 2 2" xfId="18210"/>
    <cellStyle name="Normal 5 2 2 2 3 2 2 2" xfId="34638"/>
    <cellStyle name="Normal 5 2 2 2 3 2 3" xfId="18211"/>
    <cellStyle name="Normal 5 2 2 2 3 2 3 2" xfId="34639"/>
    <cellStyle name="Normal 5 2 2 2 3 2 4" xfId="18212"/>
    <cellStyle name="Normal 5 2 2 2 3 2 4 2" xfId="34640"/>
    <cellStyle name="Normal 5 2 2 2 3 2 5" xfId="18213"/>
    <cellStyle name="Normal 5 2 2 2 3 2 5 2" xfId="34641"/>
    <cellStyle name="Normal 5 2 2 2 3 2 6" xfId="34637"/>
    <cellStyle name="Normal 5 2 2 2 3 3" xfId="18214"/>
    <cellStyle name="Normal 5 2 2 2 3 3 2" xfId="34642"/>
    <cellStyle name="Normal 5 2 2 2 3 4" xfId="18215"/>
    <cellStyle name="Normal 5 2 2 2 3 4 2" xfId="34643"/>
    <cellStyle name="Normal 5 2 2 2 3 5" xfId="18216"/>
    <cellStyle name="Normal 5 2 2 2 3 5 2" xfId="34644"/>
    <cellStyle name="Normal 5 2 2 2 3 6" xfId="18217"/>
    <cellStyle name="Normal 5 2 2 2 3 6 2" xfId="34645"/>
    <cellStyle name="Normal 5 2 2 2 3 7" xfId="34636"/>
    <cellStyle name="Normal 5 2 2 2 4" xfId="18218"/>
    <cellStyle name="Normal 5 2 2 2 4 2" xfId="18219"/>
    <cellStyle name="Normal 5 2 2 2 4 2 2" xfId="18220"/>
    <cellStyle name="Normal 5 2 2 2 4 2 2 2" xfId="34648"/>
    <cellStyle name="Normal 5 2 2 2 4 2 3" xfId="18221"/>
    <cellStyle name="Normal 5 2 2 2 4 2 3 2" xfId="34649"/>
    <cellStyle name="Normal 5 2 2 2 4 2 4" xfId="18222"/>
    <cellStyle name="Normal 5 2 2 2 4 2 4 2" xfId="34650"/>
    <cellStyle name="Normal 5 2 2 2 4 2 5" xfId="18223"/>
    <cellStyle name="Normal 5 2 2 2 4 2 5 2" xfId="34651"/>
    <cellStyle name="Normal 5 2 2 2 4 2 6" xfId="34647"/>
    <cellStyle name="Normal 5 2 2 2 4 3" xfId="18224"/>
    <cellStyle name="Normal 5 2 2 2 4 3 2" xfId="34652"/>
    <cellStyle name="Normal 5 2 2 2 4 4" xfId="18225"/>
    <cellStyle name="Normal 5 2 2 2 4 4 2" xfId="34653"/>
    <cellStyle name="Normal 5 2 2 2 4 5" xfId="18226"/>
    <cellStyle name="Normal 5 2 2 2 4 5 2" xfId="34654"/>
    <cellStyle name="Normal 5 2 2 2 4 6" xfId="18227"/>
    <cellStyle name="Normal 5 2 2 2 4 6 2" xfId="34655"/>
    <cellStyle name="Normal 5 2 2 2 4 7" xfId="34646"/>
    <cellStyle name="Normal 5 2 2 2 5" xfId="18228"/>
    <cellStyle name="Normal 5 2 2 2 5 2" xfId="18229"/>
    <cellStyle name="Normal 5 2 2 2 5 2 2" xfId="34657"/>
    <cellStyle name="Normal 5 2 2 2 5 3" xfId="18230"/>
    <cellStyle name="Normal 5 2 2 2 5 3 2" xfId="34658"/>
    <cellStyle name="Normal 5 2 2 2 5 4" xfId="18231"/>
    <cellStyle name="Normal 5 2 2 2 5 4 2" xfId="34659"/>
    <cellStyle name="Normal 5 2 2 2 5 5" xfId="18232"/>
    <cellStyle name="Normal 5 2 2 2 5 5 2" xfId="34660"/>
    <cellStyle name="Normal 5 2 2 2 5 6" xfId="34656"/>
    <cellStyle name="Normal 5 2 2 2 6" xfId="18233"/>
    <cellStyle name="Normal 5 2 2 2 6 2" xfId="18234"/>
    <cellStyle name="Normal 5 2 2 2 6 2 2" xfId="34662"/>
    <cellStyle name="Normal 5 2 2 2 6 3" xfId="18235"/>
    <cellStyle name="Normal 5 2 2 2 6 3 2" xfId="34663"/>
    <cellStyle name="Normal 5 2 2 2 6 4" xfId="18236"/>
    <cellStyle name="Normal 5 2 2 2 6 4 2" xfId="34664"/>
    <cellStyle name="Normal 5 2 2 2 6 5" xfId="18237"/>
    <cellStyle name="Normal 5 2 2 2 6 5 2" xfId="34665"/>
    <cellStyle name="Normal 5 2 2 2 6 6" xfId="34661"/>
    <cellStyle name="Normal 5 2 2 2 7" xfId="18238"/>
    <cellStyle name="Normal 5 2 2 2 7 2" xfId="18239"/>
    <cellStyle name="Normal 5 2 2 2 7 2 2" xfId="34667"/>
    <cellStyle name="Normal 5 2 2 2 7 3" xfId="18240"/>
    <cellStyle name="Normal 5 2 2 2 7 3 2" xfId="34668"/>
    <cellStyle name="Normal 5 2 2 2 7 4" xfId="18241"/>
    <cellStyle name="Normal 5 2 2 2 7 4 2" xfId="34669"/>
    <cellStyle name="Normal 5 2 2 2 7 5" xfId="18242"/>
    <cellStyle name="Normal 5 2 2 2 7 5 2" xfId="34670"/>
    <cellStyle name="Normal 5 2 2 2 7 6" xfId="34666"/>
    <cellStyle name="Normal 5 2 2 2 8" xfId="18243"/>
    <cellStyle name="Normal 5 2 2 2 8 2" xfId="18244"/>
    <cellStyle name="Normal 5 2 2 2 8 2 2" xfId="34672"/>
    <cellStyle name="Normal 5 2 2 2 8 3" xfId="18245"/>
    <cellStyle name="Normal 5 2 2 2 8 3 2" xfId="34673"/>
    <cellStyle name="Normal 5 2 2 2 8 4" xfId="18246"/>
    <cellStyle name="Normal 5 2 2 2 8 4 2" xfId="34674"/>
    <cellStyle name="Normal 5 2 2 2 8 5" xfId="18247"/>
    <cellStyle name="Normal 5 2 2 2 8 5 2" xfId="34675"/>
    <cellStyle name="Normal 5 2 2 2 8 6" xfId="34671"/>
    <cellStyle name="Normal 5 2 2 2 9" xfId="18248"/>
    <cellStyle name="Normal 5 2 2 2 9 2" xfId="18249"/>
    <cellStyle name="Normal 5 2 2 2 9 2 2" xfId="34677"/>
    <cellStyle name="Normal 5 2 2 2 9 3" xfId="18250"/>
    <cellStyle name="Normal 5 2 2 2 9 3 2" xfId="34678"/>
    <cellStyle name="Normal 5 2 2 2 9 4" xfId="18251"/>
    <cellStyle name="Normal 5 2 2 2 9 4 2" xfId="34679"/>
    <cellStyle name="Normal 5 2 2 2 9 5" xfId="18252"/>
    <cellStyle name="Normal 5 2 2 2 9 5 2" xfId="34680"/>
    <cellStyle name="Normal 5 2 2 2 9 6" xfId="34676"/>
    <cellStyle name="Normal 5 2 2 20" xfId="18253"/>
    <cellStyle name="Normal 5 2 2 20 2" xfId="34681"/>
    <cellStyle name="Normal 5 2 2 21" xfId="18254"/>
    <cellStyle name="Normal 5 2 2 21 2" xfId="34682"/>
    <cellStyle name="Normal 5 2 2 22" xfId="18255"/>
    <cellStyle name="Normal 5 2 2 22 2" xfId="34683"/>
    <cellStyle name="Normal 5 2 2 23" xfId="18256"/>
    <cellStyle name="Normal 5 2 2 23 2" xfId="34684"/>
    <cellStyle name="Normal 5 2 2 24" xfId="40745"/>
    <cellStyle name="Normal 5 2 2 25" xfId="34510"/>
    <cellStyle name="Normal 5 2 2 3" xfId="18257"/>
    <cellStyle name="Normal 5 2 2 3 10" xfId="18258"/>
    <cellStyle name="Normal 5 2 2 3 10 2" xfId="18259"/>
    <cellStyle name="Normal 5 2 2 3 10 2 2" xfId="34687"/>
    <cellStyle name="Normal 5 2 2 3 10 3" xfId="18260"/>
    <cellStyle name="Normal 5 2 2 3 10 3 2" xfId="34688"/>
    <cellStyle name="Normal 5 2 2 3 10 4" xfId="18261"/>
    <cellStyle name="Normal 5 2 2 3 10 4 2" xfId="34689"/>
    <cellStyle name="Normal 5 2 2 3 10 5" xfId="18262"/>
    <cellStyle name="Normal 5 2 2 3 10 5 2" xfId="34690"/>
    <cellStyle name="Normal 5 2 2 3 10 6" xfId="34686"/>
    <cellStyle name="Normal 5 2 2 3 11" xfId="18263"/>
    <cellStyle name="Normal 5 2 2 3 11 2" xfId="18264"/>
    <cellStyle name="Normal 5 2 2 3 11 2 2" xfId="34692"/>
    <cellStyle name="Normal 5 2 2 3 11 3" xfId="18265"/>
    <cellStyle name="Normal 5 2 2 3 11 3 2" xfId="34693"/>
    <cellStyle name="Normal 5 2 2 3 11 4" xfId="18266"/>
    <cellStyle name="Normal 5 2 2 3 11 4 2" xfId="34694"/>
    <cellStyle name="Normal 5 2 2 3 11 5" xfId="18267"/>
    <cellStyle name="Normal 5 2 2 3 11 5 2" xfId="34695"/>
    <cellStyle name="Normal 5 2 2 3 11 6" xfId="34691"/>
    <cellStyle name="Normal 5 2 2 3 12" xfId="18268"/>
    <cellStyle name="Normal 5 2 2 3 12 2" xfId="18269"/>
    <cellStyle name="Normal 5 2 2 3 12 2 2" xfId="34697"/>
    <cellStyle name="Normal 5 2 2 3 12 3" xfId="18270"/>
    <cellStyle name="Normal 5 2 2 3 12 3 2" xfId="34698"/>
    <cellStyle name="Normal 5 2 2 3 12 4" xfId="18271"/>
    <cellStyle name="Normal 5 2 2 3 12 4 2" xfId="34699"/>
    <cellStyle name="Normal 5 2 2 3 12 5" xfId="18272"/>
    <cellStyle name="Normal 5 2 2 3 12 5 2" xfId="34700"/>
    <cellStyle name="Normal 5 2 2 3 12 6" xfId="34696"/>
    <cellStyle name="Normal 5 2 2 3 13" xfId="18273"/>
    <cellStyle name="Normal 5 2 2 3 13 2" xfId="18274"/>
    <cellStyle name="Normal 5 2 2 3 13 2 2" xfId="34702"/>
    <cellStyle name="Normal 5 2 2 3 13 3" xfId="18275"/>
    <cellStyle name="Normal 5 2 2 3 13 3 2" xfId="34703"/>
    <cellStyle name="Normal 5 2 2 3 13 4" xfId="18276"/>
    <cellStyle name="Normal 5 2 2 3 13 4 2" xfId="34704"/>
    <cellStyle name="Normal 5 2 2 3 13 5" xfId="18277"/>
    <cellStyle name="Normal 5 2 2 3 13 5 2" xfId="34705"/>
    <cellStyle name="Normal 5 2 2 3 13 6" xfId="34701"/>
    <cellStyle name="Normal 5 2 2 3 14" xfId="18278"/>
    <cellStyle name="Normal 5 2 2 3 14 2" xfId="18279"/>
    <cellStyle name="Normal 5 2 2 3 14 2 2" xfId="34707"/>
    <cellStyle name="Normal 5 2 2 3 14 3" xfId="18280"/>
    <cellStyle name="Normal 5 2 2 3 14 3 2" xfId="34708"/>
    <cellStyle name="Normal 5 2 2 3 14 4" xfId="18281"/>
    <cellStyle name="Normal 5 2 2 3 14 4 2" xfId="34709"/>
    <cellStyle name="Normal 5 2 2 3 14 5" xfId="18282"/>
    <cellStyle name="Normal 5 2 2 3 14 5 2" xfId="34710"/>
    <cellStyle name="Normal 5 2 2 3 14 6" xfId="34706"/>
    <cellStyle name="Normal 5 2 2 3 15" xfId="18283"/>
    <cellStyle name="Normal 5 2 2 3 15 2" xfId="18284"/>
    <cellStyle name="Normal 5 2 2 3 15 2 2" xfId="34712"/>
    <cellStyle name="Normal 5 2 2 3 15 3" xfId="18285"/>
    <cellStyle name="Normal 5 2 2 3 15 3 2" xfId="34713"/>
    <cellStyle name="Normal 5 2 2 3 15 4" xfId="18286"/>
    <cellStyle name="Normal 5 2 2 3 15 4 2" xfId="34714"/>
    <cellStyle name="Normal 5 2 2 3 15 5" xfId="18287"/>
    <cellStyle name="Normal 5 2 2 3 15 5 2" xfId="34715"/>
    <cellStyle name="Normal 5 2 2 3 15 6" xfId="34711"/>
    <cellStyle name="Normal 5 2 2 3 16" xfId="18288"/>
    <cellStyle name="Normal 5 2 2 3 16 2" xfId="18289"/>
    <cellStyle name="Normal 5 2 2 3 16 2 2" xfId="34717"/>
    <cellStyle name="Normal 5 2 2 3 16 3" xfId="18290"/>
    <cellStyle name="Normal 5 2 2 3 16 3 2" xfId="34718"/>
    <cellStyle name="Normal 5 2 2 3 16 4" xfId="18291"/>
    <cellStyle name="Normal 5 2 2 3 16 4 2" xfId="34719"/>
    <cellStyle name="Normal 5 2 2 3 16 5" xfId="18292"/>
    <cellStyle name="Normal 5 2 2 3 16 5 2" xfId="34720"/>
    <cellStyle name="Normal 5 2 2 3 16 6" xfId="34716"/>
    <cellStyle name="Normal 5 2 2 3 17" xfId="18293"/>
    <cellStyle name="Normal 5 2 2 3 17 2" xfId="34721"/>
    <cellStyle name="Normal 5 2 2 3 18" xfId="18294"/>
    <cellStyle name="Normal 5 2 2 3 18 2" xfId="34722"/>
    <cellStyle name="Normal 5 2 2 3 19" xfId="18295"/>
    <cellStyle name="Normal 5 2 2 3 19 2" xfId="34723"/>
    <cellStyle name="Normal 5 2 2 3 2" xfId="18296"/>
    <cellStyle name="Normal 5 2 2 3 2 10" xfId="18297"/>
    <cellStyle name="Normal 5 2 2 3 2 10 2" xfId="34725"/>
    <cellStyle name="Normal 5 2 2 3 2 11" xfId="18298"/>
    <cellStyle name="Normal 5 2 2 3 2 11 2" xfId="34726"/>
    <cellStyle name="Normal 5 2 2 3 2 12" xfId="34724"/>
    <cellStyle name="Normal 5 2 2 3 2 2" xfId="18299"/>
    <cellStyle name="Normal 5 2 2 3 2 2 2" xfId="18300"/>
    <cellStyle name="Normal 5 2 2 3 2 2 2 2" xfId="34728"/>
    <cellStyle name="Normal 5 2 2 3 2 2 3" xfId="18301"/>
    <cellStyle name="Normal 5 2 2 3 2 2 3 2" xfId="34729"/>
    <cellStyle name="Normal 5 2 2 3 2 2 4" xfId="18302"/>
    <cellStyle name="Normal 5 2 2 3 2 2 4 2" xfId="34730"/>
    <cellStyle name="Normal 5 2 2 3 2 2 5" xfId="18303"/>
    <cellStyle name="Normal 5 2 2 3 2 2 5 2" xfId="34731"/>
    <cellStyle name="Normal 5 2 2 3 2 2 6" xfId="34727"/>
    <cellStyle name="Normal 5 2 2 3 2 3" xfId="18304"/>
    <cellStyle name="Normal 5 2 2 3 2 3 2" xfId="18305"/>
    <cellStyle name="Normal 5 2 2 3 2 3 2 2" xfId="34733"/>
    <cellStyle name="Normal 5 2 2 3 2 3 3" xfId="18306"/>
    <cellStyle name="Normal 5 2 2 3 2 3 3 2" xfId="34734"/>
    <cellStyle name="Normal 5 2 2 3 2 3 4" xfId="18307"/>
    <cellStyle name="Normal 5 2 2 3 2 3 4 2" xfId="34735"/>
    <cellStyle name="Normal 5 2 2 3 2 3 5" xfId="18308"/>
    <cellStyle name="Normal 5 2 2 3 2 3 5 2" xfId="34736"/>
    <cellStyle name="Normal 5 2 2 3 2 3 6" xfId="34732"/>
    <cellStyle name="Normal 5 2 2 3 2 4" xfId="18309"/>
    <cellStyle name="Normal 5 2 2 3 2 4 2" xfId="18310"/>
    <cellStyle name="Normal 5 2 2 3 2 4 2 2" xfId="34738"/>
    <cellStyle name="Normal 5 2 2 3 2 4 3" xfId="18311"/>
    <cellStyle name="Normal 5 2 2 3 2 4 3 2" xfId="34739"/>
    <cellStyle name="Normal 5 2 2 3 2 4 4" xfId="18312"/>
    <cellStyle name="Normal 5 2 2 3 2 4 4 2" xfId="34740"/>
    <cellStyle name="Normal 5 2 2 3 2 4 5" xfId="18313"/>
    <cellStyle name="Normal 5 2 2 3 2 4 5 2" xfId="34741"/>
    <cellStyle name="Normal 5 2 2 3 2 4 6" xfId="34737"/>
    <cellStyle name="Normal 5 2 2 3 2 5" xfId="18314"/>
    <cellStyle name="Normal 5 2 2 3 2 5 2" xfId="18315"/>
    <cellStyle name="Normal 5 2 2 3 2 5 2 2" xfId="34743"/>
    <cellStyle name="Normal 5 2 2 3 2 5 3" xfId="18316"/>
    <cellStyle name="Normal 5 2 2 3 2 5 3 2" xfId="34744"/>
    <cellStyle name="Normal 5 2 2 3 2 5 4" xfId="18317"/>
    <cellStyle name="Normal 5 2 2 3 2 5 4 2" xfId="34745"/>
    <cellStyle name="Normal 5 2 2 3 2 5 5" xfId="18318"/>
    <cellStyle name="Normal 5 2 2 3 2 5 5 2" xfId="34746"/>
    <cellStyle name="Normal 5 2 2 3 2 5 6" xfId="34742"/>
    <cellStyle name="Normal 5 2 2 3 2 6" xfId="18319"/>
    <cellStyle name="Normal 5 2 2 3 2 6 2" xfId="18320"/>
    <cellStyle name="Normal 5 2 2 3 2 6 2 2" xfId="34748"/>
    <cellStyle name="Normal 5 2 2 3 2 6 3" xfId="18321"/>
    <cellStyle name="Normal 5 2 2 3 2 6 3 2" xfId="34749"/>
    <cellStyle name="Normal 5 2 2 3 2 6 4" xfId="18322"/>
    <cellStyle name="Normal 5 2 2 3 2 6 4 2" xfId="34750"/>
    <cellStyle name="Normal 5 2 2 3 2 6 5" xfId="18323"/>
    <cellStyle name="Normal 5 2 2 3 2 6 5 2" xfId="34751"/>
    <cellStyle name="Normal 5 2 2 3 2 6 6" xfId="34747"/>
    <cellStyle name="Normal 5 2 2 3 2 7" xfId="18324"/>
    <cellStyle name="Normal 5 2 2 3 2 7 2" xfId="18325"/>
    <cellStyle name="Normal 5 2 2 3 2 7 2 2" xfId="34753"/>
    <cellStyle name="Normal 5 2 2 3 2 7 3" xfId="18326"/>
    <cellStyle name="Normal 5 2 2 3 2 7 3 2" xfId="34754"/>
    <cellStyle name="Normal 5 2 2 3 2 7 4" xfId="18327"/>
    <cellStyle name="Normal 5 2 2 3 2 7 4 2" xfId="34755"/>
    <cellStyle name="Normal 5 2 2 3 2 7 5" xfId="18328"/>
    <cellStyle name="Normal 5 2 2 3 2 7 5 2" xfId="34756"/>
    <cellStyle name="Normal 5 2 2 3 2 7 6" xfId="34752"/>
    <cellStyle name="Normal 5 2 2 3 2 8" xfId="18329"/>
    <cellStyle name="Normal 5 2 2 3 2 8 2" xfId="34757"/>
    <cellStyle name="Normal 5 2 2 3 2 9" xfId="18330"/>
    <cellStyle name="Normal 5 2 2 3 2 9 2" xfId="34758"/>
    <cellStyle name="Normal 5 2 2 3 20" xfId="18331"/>
    <cellStyle name="Normal 5 2 2 3 20 2" xfId="34759"/>
    <cellStyle name="Normal 5 2 2 3 21" xfId="34685"/>
    <cellStyle name="Normal 5 2 2 3 3" xfId="18332"/>
    <cellStyle name="Normal 5 2 2 3 3 2" xfId="18333"/>
    <cellStyle name="Normal 5 2 2 3 3 2 2" xfId="18334"/>
    <cellStyle name="Normal 5 2 2 3 3 2 2 2" xfId="34762"/>
    <cellStyle name="Normal 5 2 2 3 3 2 3" xfId="18335"/>
    <cellStyle name="Normal 5 2 2 3 3 2 3 2" xfId="34763"/>
    <cellStyle name="Normal 5 2 2 3 3 2 4" xfId="18336"/>
    <cellStyle name="Normal 5 2 2 3 3 2 4 2" xfId="34764"/>
    <cellStyle name="Normal 5 2 2 3 3 2 5" xfId="18337"/>
    <cellStyle name="Normal 5 2 2 3 3 2 5 2" xfId="34765"/>
    <cellStyle name="Normal 5 2 2 3 3 2 6" xfId="34761"/>
    <cellStyle name="Normal 5 2 2 3 3 3" xfId="18338"/>
    <cellStyle name="Normal 5 2 2 3 3 3 2" xfId="34766"/>
    <cellStyle name="Normal 5 2 2 3 3 4" xfId="18339"/>
    <cellStyle name="Normal 5 2 2 3 3 4 2" xfId="34767"/>
    <cellStyle name="Normal 5 2 2 3 3 5" xfId="18340"/>
    <cellStyle name="Normal 5 2 2 3 3 5 2" xfId="34768"/>
    <cellStyle name="Normal 5 2 2 3 3 6" xfId="18341"/>
    <cellStyle name="Normal 5 2 2 3 3 6 2" xfId="34769"/>
    <cellStyle name="Normal 5 2 2 3 3 7" xfId="34760"/>
    <cellStyle name="Normal 5 2 2 3 4" xfId="18342"/>
    <cellStyle name="Normal 5 2 2 3 4 2" xfId="18343"/>
    <cellStyle name="Normal 5 2 2 3 4 2 2" xfId="18344"/>
    <cellStyle name="Normal 5 2 2 3 4 2 2 2" xfId="34772"/>
    <cellStyle name="Normal 5 2 2 3 4 2 3" xfId="18345"/>
    <cellStyle name="Normal 5 2 2 3 4 2 3 2" xfId="34773"/>
    <cellStyle name="Normal 5 2 2 3 4 2 4" xfId="18346"/>
    <cellStyle name="Normal 5 2 2 3 4 2 4 2" xfId="34774"/>
    <cellStyle name="Normal 5 2 2 3 4 2 5" xfId="18347"/>
    <cellStyle name="Normal 5 2 2 3 4 2 5 2" xfId="34775"/>
    <cellStyle name="Normal 5 2 2 3 4 2 6" xfId="34771"/>
    <cellStyle name="Normal 5 2 2 3 4 3" xfId="18348"/>
    <cellStyle name="Normal 5 2 2 3 4 3 2" xfId="34776"/>
    <cellStyle name="Normal 5 2 2 3 4 4" xfId="18349"/>
    <cellStyle name="Normal 5 2 2 3 4 4 2" xfId="34777"/>
    <cellStyle name="Normal 5 2 2 3 4 5" xfId="18350"/>
    <cellStyle name="Normal 5 2 2 3 4 5 2" xfId="34778"/>
    <cellStyle name="Normal 5 2 2 3 4 6" xfId="18351"/>
    <cellStyle name="Normal 5 2 2 3 4 6 2" xfId="34779"/>
    <cellStyle name="Normal 5 2 2 3 4 7" xfId="34770"/>
    <cellStyle name="Normal 5 2 2 3 5" xfId="18352"/>
    <cellStyle name="Normal 5 2 2 3 5 2" xfId="18353"/>
    <cellStyle name="Normal 5 2 2 3 5 2 2" xfId="34781"/>
    <cellStyle name="Normal 5 2 2 3 5 3" xfId="18354"/>
    <cellStyle name="Normal 5 2 2 3 5 3 2" xfId="34782"/>
    <cellStyle name="Normal 5 2 2 3 5 4" xfId="18355"/>
    <cellStyle name="Normal 5 2 2 3 5 4 2" xfId="34783"/>
    <cellStyle name="Normal 5 2 2 3 5 5" xfId="18356"/>
    <cellStyle name="Normal 5 2 2 3 5 5 2" xfId="34784"/>
    <cellStyle name="Normal 5 2 2 3 5 6" xfId="34780"/>
    <cellStyle name="Normal 5 2 2 3 6" xfId="18357"/>
    <cellStyle name="Normal 5 2 2 3 6 2" xfId="18358"/>
    <cellStyle name="Normal 5 2 2 3 6 2 2" xfId="34786"/>
    <cellStyle name="Normal 5 2 2 3 6 3" xfId="18359"/>
    <cellStyle name="Normal 5 2 2 3 6 3 2" xfId="34787"/>
    <cellStyle name="Normal 5 2 2 3 6 4" xfId="18360"/>
    <cellStyle name="Normal 5 2 2 3 6 4 2" xfId="34788"/>
    <cellStyle name="Normal 5 2 2 3 6 5" xfId="18361"/>
    <cellStyle name="Normal 5 2 2 3 6 5 2" xfId="34789"/>
    <cellStyle name="Normal 5 2 2 3 6 6" xfId="34785"/>
    <cellStyle name="Normal 5 2 2 3 7" xfId="18362"/>
    <cellStyle name="Normal 5 2 2 3 7 2" xfId="18363"/>
    <cellStyle name="Normal 5 2 2 3 7 2 2" xfId="34791"/>
    <cellStyle name="Normal 5 2 2 3 7 3" xfId="18364"/>
    <cellStyle name="Normal 5 2 2 3 7 3 2" xfId="34792"/>
    <cellStyle name="Normal 5 2 2 3 7 4" xfId="18365"/>
    <cellStyle name="Normal 5 2 2 3 7 4 2" xfId="34793"/>
    <cellStyle name="Normal 5 2 2 3 7 5" xfId="18366"/>
    <cellStyle name="Normal 5 2 2 3 7 5 2" xfId="34794"/>
    <cellStyle name="Normal 5 2 2 3 7 6" xfId="34790"/>
    <cellStyle name="Normal 5 2 2 3 8" xfId="18367"/>
    <cellStyle name="Normal 5 2 2 3 8 2" xfId="18368"/>
    <cellStyle name="Normal 5 2 2 3 8 2 2" xfId="34796"/>
    <cellStyle name="Normal 5 2 2 3 8 3" xfId="18369"/>
    <cellStyle name="Normal 5 2 2 3 8 3 2" xfId="34797"/>
    <cellStyle name="Normal 5 2 2 3 8 4" xfId="18370"/>
    <cellStyle name="Normal 5 2 2 3 8 4 2" xfId="34798"/>
    <cellStyle name="Normal 5 2 2 3 8 5" xfId="18371"/>
    <cellStyle name="Normal 5 2 2 3 8 5 2" xfId="34799"/>
    <cellStyle name="Normal 5 2 2 3 8 6" xfId="34795"/>
    <cellStyle name="Normal 5 2 2 3 9" xfId="18372"/>
    <cellStyle name="Normal 5 2 2 3 9 2" xfId="18373"/>
    <cellStyle name="Normal 5 2 2 3 9 2 2" xfId="34801"/>
    <cellStyle name="Normal 5 2 2 3 9 3" xfId="18374"/>
    <cellStyle name="Normal 5 2 2 3 9 3 2" xfId="34802"/>
    <cellStyle name="Normal 5 2 2 3 9 4" xfId="18375"/>
    <cellStyle name="Normal 5 2 2 3 9 4 2" xfId="34803"/>
    <cellStyle name="Normal 5 2 2 3 9 5" xfId="18376"/>
    <cellStyle name="Normal 5 2 2 3 9 5 2" xfId="34804"/>
    <cellStyle name="Normal 5 2 2 3 9 6" xfId="34800"/>
    <cellStyle name="Normal 5 2 2 4" xfId="18377"/>
    <cellStyle name="Normal 5 2 2 4 10" xfId="18378"/>
    <cellStyle name="Normal 5 2 2 4 10 2" xfId="18379"/>
    <cellStyle name="Normal 5 2 2 4 10 2 2" xfId="34807"/>
    <cellStyle name="Normal 5 2 2 4 10 3" xfId="18380"/>
    <cellStyle name="Normal 5 2 2 4 10 3 2" xfId="34808"/>
    <cellStyle name="Normal 5 2 2 4 10 4" xfId="18381"/>
    <cellStyle name="Normal 5 2 2 4 10 4 2" xfId="34809"/>
    <cellStyle name="Normal 5 2 2 4 10 5" xfId="18382"/>
    <cellStyle name="Normal 5 2 2 4 10 5 2" xfId="34810"/>
    <cellStyle name="Normal 5 2 2 4 10 6" xfId="34806"/>
    <cellStyle name="Normal 5 2 2 4 11" xfId="18383"/>
    <cellStyle name="Normal 5 2 2 4 11 2" xfId="18384"/>
    <cellStyle name="Normal 5 2 2 4 11 2 2" xfId="34812"/>
    <cellStyle name="Normal 5 2 2 4 11 3" xfId="18385"/>
    <cellStyle name="Normal 5 2 2 4 11 3 2" xfId="34813"/>
    <cellStyle name="Normal 5 2 2 4 11 4" xfId="18386"/>
    <cellStyle name="Normal 5 2 2 4 11 4 2" xfId="34814"/>
    <cellStyle name="Normal 5 2 2 4 11 5" xfId="18387"/>
    <cellStyle name="Normal 5 2 2 4 11 5 2" xfId="34815"/>
    <cellStyle name="Normal 5 2 2 4 11 6" xfId="34811"/>
    <cellStyle name="Normal 5 2 2 4 12" xfId="18388"/>
    <cellStyle name="Normal 5 2 2 4 12 2" xfId="18389"/>
    <cellStyle name="Normal 5 2 2 4 12 2 2" xfId="34817"/>
    <cellStyle name="Normal 5 2 2 4 12 3" xfId="18390"/>
    <cellStyle name="Normal 5 2 2 4 12 3 2" xfId="34818"/>
    <cellStyle name="Normal 5 2 2 4 12 4" xfId="18391"/>
    <cellStyle name="Normal 5 2 2 4 12 4 2" xfId="34819"/>
    <cellStyle name="Normal 5 2 2 4 12 5" xfId="18392"/>
    <cellStyle name="Normal 5 2 2 4 12 5 2" xfId="34820"/>
    <cellStyle name="Normal 5 2 2 4 12 6" xfId="34816"/>
    <cellStyle name="Normal 5 2 2 4 13" xfId="18393"/>
    <cellStyle name="Normal 5 2 2 4 13 2" xfId="18394"/>
    <cellStyle name="Normal 5 2 2 4 13 2 2" xfId="34822"/>
    <cellStyle name="Normal 5 2 2 4 13 3" xfId="18395"/>
    <cellStyle name="Normal 5 2 2 4 13 3 2" xfId="34823"/>
    <cellStyle name="Normal 5 2 2 4 13 4" xfId="18396"/>
    <cellStyle name="Normal 5 2 2 4 13 4 2" xfId="34824"/>
    <cellStyle name="Normal 5 2 2 4 13 5" xfId="18397"/>
    <cellStyle name="Normal 5 2 2 4 13 5 2" xfId="34825"/>
    <cellStyle name="Normal 5 2 2 4 13 6" xfId="34821"/>
    <cellStyle name="Normal 5 2 2 4 14" xfId="18398"/>
    <cellStyle name="Normal 5 2 2 4 14 2" xfId="18399"/>
    <cellStyle name="Normal 5 2 2 4 14 2 2" xfId="34827"/>
    <cellStyle name="Normal 5 2 2 4 14 3" xfId="18400"/>
    <cellStyle name="Normal 5 2 2 4 14 3 2" xfId="34828"/>
    <cellStyle name="Normal 5 2 2 4 14 4" xfId="18401"/>
    <cellStyle name="Normal 5 2 2 4 14 4 2" xfId="34829"/>
    <cellStyle name="Normal 5 2 2 4 14 5" xfId="18402"/>
    <cellStyle name="Normal 5 2 2 4 14 5 2" xfId="34830"/>
    <cellStyle name="Normal 5 2 2 4 14 6" xfId="34826"/>
    <cellStyle name="Normal 5 2 2 4 15" xfId="18403"/>
    <cellStyle name="Normal 5 2 2 4 15 2" xfId="18404"/>
    <cellStyle name="Normal 5 2 2 4 15 2 2" xfId="34832"/>
    <cellStyle name="Normal 5 2 2 4 15 3" xfId="18405"/>
    <cellStyle name="Normal 5 2 2 4 15 3 2" xfId="34833"/>
    <cellStyle name="Normal 5 2 2 4 15 4" xfId="18406"/>
    <cellStyle name="Normal 5 2 2 4 15 4 2" xfId="34834"/>
    <cellStyle name="Normal 5 2 2 4 15 5" xfId="18407"/>
    <cellStyle name="Normal 5 2 2 4 15 5 2" xfId="34835"/>
    <cellStyle name="Normal 5 2 2 4 15 6" xfId="34831"/>
    <cellStyle name="Normal 5 2 2 4 16" xfId="18408"/>
    <cellStyle name="Normal 5 2 2 4 16 2" xfId="18409"/>
    <cellStyle name="Normal 5 2 2 4 16 2 2" xfId="34837"/>
    <cellStyle name="Normal 5 2 2 4 16 3" xfId="18410"/>
    <cellStyle name="Normal 5 2 2 4 16 3 2" xfId="34838"/>
    <cellStyle name="Normal 5 2 2 4 16 4" xfId="18411"/>
    <cellStyle name="Normal 5 2 2 4 16 4 2" xfId="34839"/>
    <cellStyle name="Normal 5 2 2 4 16 5" xfId="18412"/>
    <cellStyle name="Normal 5 2 2 4 16 5 2" xfId="34840"/>
    <cellStyle name="Normal 5 2 2 4 16 6" xfId="34836"/>
    <cellStyle name="Normal 5 2 2 4 17" xfId="18413"/>
    <cellStyle name="Normal 5 2 2 4 17 2" xfId="34841"/>
    <cellStyle name="Normal 5 2 2 4 18" xfId="18414"/>
    <cellStyle name="Normal 5 2 2 4 18 2" xfId="34842"/>
    <cellStyle name="Normal 5 2 2 4 19" xfId="18415"/>
    <cellStyle name="Normal 5 2 2 4 19 2" xfId="34843"/>
    <cellStyle name="Normal 5 2 2 4 2" xfId="18416"/>
    <cellStyle name="Normal 5 2 2 4 2 10" xfId="18417"/>
    <cellStyle name="Normal 5 2 2 4 2 10 2" xfId="34845"/>
    <cellStyle name="Normal 5 2 2 4 2 11" xfId="18418"/>
    <cellStyle name="Normal 5 2 2 4 2 11 2" xfId="34846"/>
    <cellStyle name="Normal 5 2 2 4 2 12" xfId="34844"/>
    <cellStyle name="Normal 5 2 2 4 2 2" xfId="18419"/>
    <cellStyle name="Normal 5 2 2 4 2 2 2" xfId="18420"/>
    <cellStyle name="Normal 5 2 2 4 2 2 2 2" xfId="34848"/>
    <cellStyle name="Normal 5 2 2 4 2 2 3" xfId="18421"/>
    <cellStyle name="Normal 5 2 2 4 2 2 3 2" xfId="34849"/>
    <cellStyle name="Normal 5 2 2 4 2 2 4" xfId="18422"/>
    <cellStyle name="Normal 5 2 2 4 2 2 4 2" xfId="34850"/>
    <cellStyle name="Normal 5 2 2 4 2 2 5" xfId="18423"/>
    <cellStyle name="Normal 5 2 2 4 2 2 5 2" xfId="34851"/>
    <cellStyle name="Normal 5 2 2 4 2 2 6" xfId="34847"/>
    <cellStyle name="Normal 5 2 2 4 2 3" xfId="18424"/>
    <cellStyle name="Normal 5 2 2 4 2 3 2" xfId="18425"/>
    <cellStyle name="Normal 5 2 2 4 2 3 2 2" xfId="34853"/>
    <cellStyle name="Normal 5 2 2 4 2 3 3" xfId="18426"/>
    <cellStyle name="Normal 5 2 2 4 2 3 3 2" xfId="34854"/>
    <cellStyle name="Normal 5 2 2 4 2 3 4" xfId="18427"/>
    <cellStyle name="Normal 5 2 2 4 2 3 4 2" xfId="34855"/>
    <cellStyle name="Normal 5 2 2 4 2 3 5" xfId="18428"/>
    <cellStyle name="Normal 5 2 2 4 2 3 5 2" xfId="34856"/>
    <cellStyle name="Normal 5 2 2 4 2 3 6" xfId="34852"/>
    <cellStyle name="Normal 5 2 2 4 2 4" xfId="18429"/>
    <cellStyle name="Normal 5 2 2 4 2 4 2" xfId="18430"/>
    <cellStyle name="Normal 5 2 2 4 2 4 2 2" xfId="34858"/>
    <cellStyle name="Normal 5 2 2 4 2 4 3" xfId="18431"/>
    <cellStyle name="Normal 5 2 2 4 2 4 3 2" xfId="34859"/>
    <cellStyle name="Normal 5 2 2 4 2 4 4" xfId="18432"/>
    <cellStyle name="Normal 5 2 2 4 2 4 4 2" xfId="34860"/>
    <cellStyle name="Normal 5 2 2 4 2 4 5" xfId="18433"/>
    <cellStyle name="Normal 5 2 2 4 2 4 5 2" xfId="34861"/>
    <cellStyle name="Normal 5 2 2 4 2 4 6" xfId="34857"/>
    <cellStyle name="Normal 5 2 2 4 2 5" xfId="18434"/>
    <cellStyle name="Normal 5 2 2 4 2 5 2" xfId="18435"/>
    <cellStyle name="Normal 5 2 2 4 2 5 2 2" xfId="34863"/>
    <cellStyle name="Normal 5 2 2 4 2 5 3" xfId="18436"/>
    <cellStyle name="Normal 5 2 2 4 2 5 3 2" xfId="34864"/>
    <cellStyle name="Normal 5 2 2 4 2 5 4" xfId="18437"/>
    <cellStyle name="Normal 5 2 2 4 2 5 4 2" xfId="34865"/>
    <cellStyle name="Normal 5 2 2 4 2 5 5" xfId="18438"/>
    <cellStyle name="Normal 5 2 2 4 2 5 5 2" xfId="34866"/>
    <cellStyle name="Normal 5 2 2 4 2 5 6" xfId="34862"/>
    <cellStyle name="Normal 5 2 2 4 2 6" xfId="18439"/>
    <cellStyle name="Normal 5 2 2 4 2 6 2" xfId="18440"/>
    <cellStyle name="Normal 5 2 2 4 2 6 2 2" xfId="34868"/>
    <cellStyle name="Normal 5 2 2 4 2 6 3" xfId="18441"/>
    <cellStyle name="Normal 5 2 2 4 2 6 3 2" xfId="34869"/>
    <cellStyle name="Normal 5 2 2 4 2 6 4" xfId="18442"/>
    <cellStyle name="Normal 5 2 2 4 2 6 4 2" xfId="34870"/>
    <cellStyle name="Normal 5 2 2 4 2 6 5" xfId="18443"/>
    <cellStyle name="Normal 5 2 2 4 2 6 5 2" xfId="34871"/>
    <cellStyle name="Normal 5 2 2 4 2 6 6" xfId="34867"/>
    <cellStyle name="Normal 5 2 2 4 2 7" xfId="18444"/>
    <cellStyle name="Normal 5 2 2 4 2 7 2" xfId="18445"/>
    <cellStyle name="Normal 5 2 2 4 2 7 2 2" xfId="34873"/>
    <cellStyle name="Normal 5 2 2 4 2 7 3" xfId="18446"/>
    <cellStyle name="Normal 5 2 2 4 2 7 3 2" xfId="34874"/>
    <cellStyle name="Normal 5 2 2 4 2 7 4" xfId="18447"/>
    <cellStyle name="Normal 5 2 2 4 2 7 4 2" xfId="34875"/>
    <cellStyle name="Normal 5 2 2 4 2 7 5" xfId="18448"/>
    <cellStyle name="Normal 5 2 2 4 2 7 5 2" xfId="34876"/>
    <cellStyle name="Normal 5 2 2 4 2 7 6" xfId="34872"/>
    <cellStyle name="Normal 5 2 2 4 2 8" xfId="18449"/>
    <cellStyle name="Normal 5 2 2 4 2 8 2" xfId="34877"/>
    <cellStyle name="Normal 5 2 2 4 2 9" xfId="18450"/>
    <cellStyle name="Normal 5 2 2 4 2 9 2" xfId="34878"/>
    <cellStyle name="Normal 5 2 2 4 20" xfId="18451"/>
    <cellStyle name="Normal 5 2 2 4 20 2" xfId="34879"/>
    <cellStyle name="Normal 5 2 2 4 21" xfId="34805"/>
    <cellStyle name="Normal 5 2 2 4 3" xfId="18452"/>
    <cellStyle name="Normal 5 2 2 4 3 2" xfId="18453"/>
    <cellStyle name="Normal 5 2 2 4 3 2 2" xfId="18454"/>
    <cellStyle name="Normal 5 2 2 4 3 2 2 2" xfId="34882"/>
    <cellStyle name="Normal 5 2 2 4 3 2 3" xfId="18455"/>
    <cellStyle name="Normal 5 2 2 4 3 2 3 2" xfId="34883"/>
    <cellStyle name="Normal 5 2 2 4 3 2 4" xfId="18456"/>
    <cellStyle name="Normal 5 2 2 4 3 2 4 2" xfId="34884"/>
    <cellStyle name="Normal 5 2 2 4 3 2 5" xfId="18457"/>
    <cellStyle name="Normal 5 2 2 4 3 2 5 2" xfId="34885"/>
    <cellStyle name="Normal 5 2 2 4 3 2 6" xfId="34881"/>
    <cellStyle name="Normal 5 2 2 4 3 3" xfId="18458"/>
    <cellStyle name="Normal 5 2 2 4 3 3 2" xfId="34886"/>
    <cellStyle name="Normal 5 2 2 4 3 4" xfId="18459"/>
    <cellStyle name="Normal 5 2 2 4 3 4 2" xfId="34887"/>
    <cellStyle name="Normal 5 2 2 4 3 5" xfId="18460"/>
    <cellStyle name="Normal 5 2 2 4 3 5 2" xfId="34888"/>
    <cellStyle name="Normal 5 2 2 4 3 6" xfId="18461"/>
    <cellStyle name="Normal 5 2 2 4 3 6 2" xfId="34889"/>
    <cellStyle name="Normal 5 2 2 4 3 7" xfId="34880"/>
    <cellStyle name="Normal 5 2 2 4 4" xfId="18462"/>
    <cellStyle name="Normal 5 2 2 4 4 2" xfId="18463"/>
    <cellStyle name="Normal 5 2 2 4 4 2 2" xfId="18464"/>
    <cellStyle name="Normal 5 2 2 4 4 2 2 2" xfId="34892"/>
    <cellStyle name="Normal 5 2 2 4 4 2 3" xfId="18465"/>
    <cellStyle name="Normal 5 2 2 4 4 2 3 2" xfId="34893"/>
    <cellStyle name="Normal 5 2 2 4 4 2 4" xfId="18466"/>
    <cellStyle name="Normal 5 2 2 4 4 2 4 2" xfId="34894"/>
    <cellStyle name="Normal 5 2 2 4 4 2 5" xfId="18467"/>
    <cellStyle name="Normal 5 2 2 4 4 2 5 2" xfId="34895"/>
    <cellStyle name="Normal 5 2 2 4 4 2 6" xfId="34891"/>
    <cellStyle name="Normal 5 2 2 4 4 3" xfId="18468"/>
    <cellStyle name="Normal 5 2 2 4 4 3 2" xfId="34896"/>
    <cellStyle name="Normal 5 2 2 4 4 4" xfId="18469"/>
    <cellStyle name="Normal 5 2 2 4 4 4 2" xfId="34897"/>
    <cellStyle name="Normal 5 2 2 4 4 5" xfId="18470"/>
    <cellStyle name="Normal 5 2 2 4 4 5 2" xfId="34898"/>
    <cellStyle name="Normal 5 2 2 4 4 6" xfId="18471"/>
    <cellStyle name="Normal 5 2 2 4 4 6 2" xfId="34899"/>
    <cellStyle name="Normal 5 2 2 4 4 7" xfId="34890"/>
    <cellStyle name="Normal 5 2 2 4 5" xfId="18472"/>
    <cellStyle name="Normal 5 2 2 4 5 2" xfId="18473"/>
    <cellStyle name="Normal 5 2 2 4 5 2 2" xfId="34901"/>
    <cellStyle name="Normal 5 2 2 4 5 3" xfId="18474"/>
    <cellStyle name="Normal 5 2 2 4 5 3 2" xfId="34902"/>
    <cellStyle name="Normal 5 2 2 4 5 4" xfId="18475"/>
    <cellStyle name="Normal 5 2 2 4 5 4 2" xfId="34903"/>
    <cellStyle name="Normal 5 2 2 4 5 5" xfId="18476"/>
    <cellStyle name="Normal 5 2 2 4 5 5 2" xfId="34904"/>
    <cellStyle name="Normal 5 2 2 4 5 6" xfId="34900"/>
    <cellStyle name="Normal 5 2 2 4 6" xfId="18477"/>
    <cellStyle name="Normal 5 2 2 4 6 2" xfId="18478"/>
    <cellStyle name="Normal 5 2 2 4 6 2 2" xfId="34906"/>
    <cellStyle name="Normal 5 2 2 4 6 3" xfId="18479"/>
    <cellStyle name="Normal 5 2 2 4 6 3 2" xfId="34907"/>
    <cellStyle name="Normal 5 2 2 4 6 4" xfId="18480"/>
    <cellStyle name="Normal 5 2 2 4 6 4 2" xfId="34908"/>
    <cellStyle name="Normal 5 2 2 4 6 5" xfId="18481"/>
    <cellStyle name="Normal 5 2 2 4 6 5 2" xfId="34909"/>
    <cellStyle name="Normal 5 2 2 4 6 6" xfId="34905"/>
    <cellStyle name="Normal 5 2 2 4 7" xfId="18482"/>
    <cellStyle name="Normal 5 2 2 4 7 2" xfId="18483"/>
    <cellStyle name="Normal 5 2 2 4 7 2 2" xfId="34911"/>
    <cellStyle name="Normal 5 2 2 4 7 3" xfId="18484"/>
    <cellStyle name="Normal 5 2 2 4 7 3 2" xfId="34912"/>
    <cellStyle name="Normal 5 2 2 4 7 4" xfId="18485"/>
    <cellStyle name="Normal 5 2 2 4 7 4 2" xfId="34913"/>
    <cellStyle name="Normal 5 2 2 4 7 5" xfId="18486"/>
    <cellStyle name="Normal 5 2 2 4 7 5 2" xfId="34914"/>
    <cellStyle name="Normal 5 2 2 4 7 6" xfId="34910"/>
    <cellStyle name="Normal 5 2 2 4 8" xfId="18487"/>
    <cellStyle name="Normal 5 2 2 4 8 2" xfId="18488"/>
    <cellStyle name="Normal 5 2 2 4 8 2 2" xfId="34916"/>
    <cellStyle name="Normal 5 2 2 4 8 3" xfId="18489"/>
    <cellStyle name="Normal 5 2 2 4 8 3 2" xfId="34917"/>
    <cellStyle name="Normal 5 2 2 4 8 4" xfId="18490"/>
    <cellStyle name="Normal 5 2 2 4 8 4 2" xfId="34918"/>
    <cellStyle name="Normal 5 2 2 4 8 5" xfId="18491"/>
    <cellStyle name="Normal 5 2 2 4 8 5 2" xfId="34919"/>
    <cellStyle name="Normal 5 2 2 4 8 6" xfId="34915"/>
    <cellStyle name="Normal 5 2 2 4 9" xfId="18492"/>
    <cellStyle name="Normal 5 2 2 4 9 2" xfId="18493"/>
    <cellStyle name="Normal 5 2 2 4 9 2 2" xfId="34921"/>
    <cellStyle name="Normal 5 2 2 4 9 3" xfId="18494"/>
    <cellStyle name="Normal 5 2 2 4 9 3 2" xfId="34922"/>
    <cellStyle name="Normal 5 2 2 4 9 4" xfId="18495"/>
    <cellStyle name="Normal 5 2 2 4 9 4 2" xfId="34923"/>
    <cellStyle name="Normal 5 2 2 4 9 5" xfId="18496"/>
    <cellStyle name="Normal 5 2 2 4 9 5 2" xfId="34924"/>
    <cellStyle name="Normal 5 2 2 4 9 6" xfId="34920"/>
    <cellStyle name="Normal 5 2 2 5" xfId="18497"/>
    <cellStyle name="Normal 5 2 2 5 10" xfId="18498"/>
    <cellStyle name="Normal 5 2 2 5 10 2" xfId="34926"/>
    <cellStyle name="Normal 5 2 2 5 11" xfId="18499"/>
    <cellStyle name="Normal 5 2 2 5 11 2" xfId="34927"/>
    <cellStyle name="Normal 5 2 2 5 12" xfId="34925"/>
    <cellStyle name="Normal 5 2 2 5 2" xfId="18500"/>
    <cellStyle name="Normal 5 2 2 5 2 2" xfId="18501"/>
    <cellStyle name="Normal 5 2 2 5 2 2 2" xfId="34929"/>
    <cellStyle name="Normal 5 2 2 5 2 3" xfId="18502"/>
    <cellStyle name="Normal 5 2 2 5 2 3 2" xfId="34930"/>
    <cellStyle name="Normal 5 2 2 5 2 4" xfId="18503"/>
    <cellStyle name="Normal 5 2 2 5 2 4 2" xfId="34931"/>
    <cellStyle name="Normal 5 2 2 5 2 5" xfId="18504"/>
    <cellStyle name="Normal 5 2 2 5 2 5 2" xfId="34932"/>
    <cellStyle name="Normal 5 2 2 5 2 6" xfId="34928"/>
    <cellStyle name="Normal 5 2 2 5 3" xfId="18505"/>
    <cellStyle name="Normal 5 2 2 5 3 2" xfId="18506"/>
    <cellStyle name="Normal 5 2 2 5 3 2 2" xfId="34934"/>
    <cellStyle name="Normal 5 2 2 5 3 3" xfId="18507"/>
    <cellStyle name="Normal 5 2 2 5 3 3 2" xfId="34935"/>
    <cellStyle name="Normal 5 2 2 5 3 4" xfId="18508"/>
    <cellStyle name="Normal 5 2 2 5 3 4 2" xfId="34936"/>
    <cellStyle name="Normal 5 2 2 5 3 5" xfId="18509"/>
    <cellStyle name="Normal 5 2 2 5 3 5 2" xfId="34937"/>
    <cellStyle name="Normal 5 2 2 5 3 6" xfId="34933"/>
    <cellStyle name="Normal 5 2 2 5 4" xfId="18510"/>
    <cellStyle name="Normal 5 2 2 5 4 2" xfId="18511"/>
    <cellStyle name="Normal 5 2 2 5 4 2 2" xfId="34939"/>
    <cellStyle name="Normal 5 2 2 5 4 3" xfId="18512"/>
    <cellStyle name="Normal 5 2 2 5 4 3 2" xfId="34940"/>
    <cellStyle name="Normal 5 2 2 5 4 4" xfId="18513"/>
    <cellStyle name="Normal 5 2 2 5 4 4 2" xfId="34941"/>
    <cellStyle name="Normal 5 2 2 5 4 5" xfId="18514"/>
    <cellStyle name="Normal 5 2 2 5 4 5 2" xfId="34942"/>
    <cellStyle name="Normal 5 2 2 5 4 6" xfId="34938"/>
    <cellStyle name="Normal 5 2 2 5 5" xfId="18515"/>
    <cellStyle name="Normal 5 2 2 5 5 2" xfId="18516"/>
    <cellStyle name="Normal 5 2 2 5 5 2 2" xfId="34944"/>
    <cellStyle name="Normal 5 2 2 5 5 3" xfId="18517"/>
    <cellStyle name="Normal 5 2 2 5 5 3 2" xfId="34945"/>
    <cellStyle name="Normal 5 2 2 5 5 4" xfId="18518"/>
    <cellStyle name="Normal 5 2 2 5 5 4 2" xfId="34946"/>
    <cellStyle name="Normal 5 2 2 5 5 5" xfId="18519"/>
    <cellStyle name="Normal 5 2 2 5 5 5 2" xfId="34947"/>
    <cellStyle name="Normal 5 2 2 5 5 6" xfId="34943"/>
    <cellStyle name="Normal 5 2 2 5 6" xfId="18520"/>
    <cellStyle name="Normal 5 2 2 5 6 2" xfId="18521"/>
    <cellStyle name="Normal 5 2 2 5 6 2 2" xfId="34949"/>
    <cellStyle name="Normal 5 2 2 5 6 3" xfId="18522"/>
    <cellStyle name="Normal 5 2 2 5 6 3 2" xfId="34950"/>
    <cellStyle name="Normal 5 2 2 5 6 4" xfId="18523"/>
    <cellStyle name="Normal 5 2 2 5 6 4 2" xfId="34951"/>
    <cellStyle name="Normal 5 2 2 5 6 5" xfId="18524"/>
    <cellStyle name="Normal 5 2 2 5 6 5 2" xfId="34952"/>
    <cellStyle name="Normal 5 2 2 5 6 6" xfId="34948"/>
    <cellStyle name="Normal 5 2 2 5 7" xfId="18525"/>
    <cellStyle name="Normal 5 2 2 5 7 2" xfId="18526"/>
    <cellStyle name="Normal 5 2 2 5 7 2 2" xfId="34954"/>
    <cellStyle name="Normal 5 2 2 5 7 3" xfId="18527"/>
    <cellStyle name="Normal 5 2 2 5 7 3 2" xfId="34955"/>
    <cellStyle name="Normal 5 2 2 5 7 4" xfId="18528"/>
    <cellStyle name="Normal 5 2 2 5 7 4 2" xfId="34956"/>
    <cellStyle name="Normal 5 2 2 5 7 5" xfId="18529"/>
    <cellStyle name="Normal 5 2 2 5 7 5 2" xfId="34957"/>
    <cellStyle name="Normal 5 2 2 5 7 6" xfId="34953"/>
    <cellStyle name="Normal 5 2 2 5 8" xfId="18530"/>
    <cellStyle name="Normal 5 2 2 5 8 2" xfId="34958"/>
    <cellStyle name="Normal 5 2 2 5 9" xfId="18531"/>
    <cellStyle name="Normal 5 2 2 5 9 2" xfId="34959"/>
    <cellStyle name="Normal 5 2 2 6" xfId="18532"/>
    <cellStyle name="Normal 5 2 2 6 2" xfId="18533"/>
    <cellStyle name="Normal 5 2 2 6 2 2" xfId="18534"/>
    <cellStyle name="Normal 5 2 2 6 2 2 2" xfId="34962"/>
    <cellStyle name="Normal 5 2 2 6 2 3" xfId="18535"/>
    <cellStyle name="Normal 5 2 2 6 2 3 2" xfId="34963"/>
    <cellStyle name="Normal 5 2 2 6 2 4" xfId="18536"/>
    <cellStyle name="Normal 5 2 2 6 2 4 2" xfId="34964"/>
    <cellStyle name="Normal 5 2 2 6 2 5" xfId="18537"/>
    <cellStyle name="Normal 5 2 2 6 2 5 2" xfId="34965"/>
    <cellStyle name="Normal 5 2 2 6 2 6" xfId="34961"/>
    <cellStyle name="Normal 5 2 2 6 3" xfId="18538"/>
    <cellStyle name="Normal 5 2 2 6 3 2" xfId="34966"/>
    <cellStyle name="Normal 5 2 2 6 4" xfId="18539"/>
    <cellStyle name="Normal 5 2 2 6 4 2" xfId="34967"/>
    <cellStyle name="Normal 5 2 2 6 5" xfId="18540"/>
    <cellStyle name="Normal 5 2 2 6 5 2" xfId="34968"/>
    <cellStyle name="Normal 5 2 2 6 6" xfId="18541"/>
    <cellStyle name="Normal 5 2 2 6 6 2" xfId="34969"/>
    <cellStyle name="Normal 5 2 2 6 7" xfId="34960"/>
    <cellStyle name="Normal 5 2 2 7" xfId="18542"/>
    <cellStyle name="Normal 5 2 2 7 2" xfId="18543"/>
    <cellStyle name="Normal 5 2 2 7 2 2" xfId="18544"/>
    <cellStyle name="Normal 5 2 2 7 2 2 2" xfId="34972"/>
    <cellStyle name="Normal 5 2 2 7 2 3" xfId="18545"/>
    <cellStyle name="Normal 5 2 2 7 2 3 2" xfId="34973"/>
    <cellStyle name="Normal 5 2 2 7 2 4" xfId="18546"/>
    <cellStyle name="Normal 5 2 2 7 2 4 2" xfId="34974"/>
    <cellStyle name="Normal 5 2 2 7 2 5" xfId="18547"/>
    <cellStyle name="Normal 5 2 2 7 2 5 2" xfId="34975"/>
    <cellStyle name="Normal 5 2 2 7 2 6" xfId="34971"/>
    <cellStyle name="Normal 5 2 2 7 3" xfId="18548"/>
    <cellStyle name="Normal 5 2 2 7 3 2" xfId="34976"/>
    <cellStyle name="Normal 5 2 2 7 4" xfId="18549"/>
    <cellStyle name="Normal 5 2 2 7 4 2" xfId="34977"/>
    <cellStyle name="Normal 5 2 2 7 5" xfId="18550"/>
    <cellStyle name="Normal 5 2 2 7 5 2" xfId="34978"/>
    <cellStyle name="Normal 5 2 2 7 6" xfId="18551"/>
    <cellStyle name="Normal 5 2 2 7 6 2" xfId="34979"/>
    <cellStyle name="Normal 5 2 2 7 7" xfId="34970"/>
    <cellStyle name="Normal 5 2 2 8" xfId="18552"/>
    <cellStyle name="Normal 5 2 2 8 2" xfId="18553"/>
    <cellStyle name="Normal 5 2 2 8 2 2" xfId="34981"/>
    <cellStyle name="Normal 5 2 2 8 3" xfId="18554"/>
    <cellStyle name="Normal 5 2 2 8 3 2" xfId="34982"/>
    <cellStyle name="Normal 5 2 2 8 4" xfId="18555"/>
    <cellStyle name="Normal 5 2 2 8 4 2" xfId="34983"/>
    <cellStyle name="Normal 5 2 2 8 5" xfId="18556"/>
    <cellStyle name="Normal 5 2 2 8 5 2" xfId="34984"/>
    <cellStyle name="Normal 5 2 2 8 6" xfId="34980"/>
    <cellStyle name="Normal 5 2 2 9" xfId="18557"/>
    <cellStyle name="Normal 5 2 2 9 2" xfId="18558"/>
    <cellStyle name="Normal 5 2 2 9 2 2" xfId="34986"/>
    <cellStyle name="Normal 5 2 2 9 3" xfId="18559"/>
    <cellStyle name="Normal 5 2 2 9 3 2" xfId="34987"/>
    <cellStyle name="Normal 5 2 2 9 4" xfId="18560"/>
    <cellStyle name="Normal 5 2 2 9 4 2" xfId="34988"/>
    <cellStyle name="Normal 5 2 2 9 5" xfId="18561"/>
    <cellStyle name="Normal 5 2 2 9 5 2" xfId="34989"/>
    <cellStyle name="Normal 5 2 2 9 6" xfId="34985"/>
    <cellStyle name="Normal 5 2 20" xfId="18562"/>
    <cellStyle name="Normal 5 2 20 2" xfId="18563"/>
    <cellStyle name="Normal 5 2 20 2 2" xfId="34991"/>
    <cellStyle name="Normal 5 2 20 3" xfId="18564"/>
    <cellStyle name="Normal 5 2 20 3 2" xfId="34992"/>
    <cellStyle name="Normal 5 2 20 4" xfId="18565"/>
    <cellStyle name="Normal 5 2 20 4 2" xfId="34993"/>
    <cellStyle name="Normal 5 2 20 5" xfId="18566"/>
    <cellStyle name="Normal 5 2 20 5 2" xfId="34994"/>
    <cellStyle name="Normal 5 2 20 6" xfId="34990"/>
    <cellStyle name="Normal 5 2 21" xfId="18567"/>
    <cellStyle name="Normal 5 2 21 2" xfId="18568"/>
    <cellStyle name="Normal 5 2 21 2 2" xfId="34996"/>
    <cellStyle name="Normal 5 2 21 3" xfId="18569"/>
    <cellStyle name="Normal 5 2 21 3 2" xfId="34997"/>
    <cellStyle name="Normal 5 2 21 4" xfId="18570"/>
    <cellStyle name="Normal 5 2 21 4 2" xfId="34998"/>
    <cellStyle name="Normal 5 2 21 5" xfId="18571"/>
    <cellStyle name="Normal 5 2 21 5 2" xfId="34999"/>
    <cellStyle name="Normal 5 2 21 6" xfId="34995"/>
    <cellStyle name="Normal 5 2 22" xfId="18572"/>
    <cellStyle name="Normal 5 2 22 2" xfId="18573"/>
    <cellStyle name="Normal 5 2 22 2 2" xfId="35001"/>
    <cellStyle name="Normal 5 2 22 3" xfId="18574"/>
    <cellStyle name="Normal 5 2 22 3 2" xfId="35002"/>
    <cellStyle name="Normal 5 2 22 4" xfId="18575"/>
    <cellStyle name="Normal 5 2 22 4 2" xfId="35003"/>
    <cellStyle name="Normal 5 2 22 5" xfId="18576"/>
    <cellStyle name="Normal 5 2 22 5 2" xfId="35004"/>
    <cellStyle name="Normal 5 2 22 6" xfId="35000"/>
    <cellStyle name="Normal 5 2 23" xfId="18577"/>
    <cellStyle name="Normal 5 2 23 2" xfId="18578"/>
    <cellStyle name="Normal 5 2 23 2 2" xfId="35006"/>
    <cellStyle name="Normal 5 2 23 3" xfId="18579"/>
    <cellStyle name="Normal 5 2 23 3 2" xfId="35007"/>
    <cellStyle name="Normal 5 2 23 4" xfId="18580"/>
    <cellStyle name="Normal 5 2 23 4 2" xfId="35008"/>
    <cellStyle name="Normal 5 2 23 5" xfId="18581"/>
    <cellStyle name="Normal 5 2 23 5 2" xfId="35009"/>
    <cellStyle name="Normal 5 2 23 6" xfId="35005"/>
    <cellStyle name="Normal 5 2 24" xfId="18582"/>
    <cellStyle name="Normal 5 2 24 2" xfId="18583"/>
    <cellStyle name="Normal 5 2 24 2 2" xfId="35011"/>
    <cellStyle name="Normal 5 2 24 3" xfId="18584"/>
    <cellStyle name="Normal 5 2 24 3 2" xfId="35012"/>
    <cellStyle name="Normal 5 2 24 4" xfId="18585"/>
    <cellStyle name="Normal 5 2 24 4 2" xfId="35013"/>
    <cellStyle name="Normal 5 2 24 5" xfId="18586"/>
    <cellStyle name="Normal 5 2 24 5 2" xfId="35014"/>
    <cellStyle name="Normal 5 2 24 6" xfId="35010"/>
    <cellStyle name="Normal 5 2 25" xfId="18587"/>
    <cellStyle name="Normal 5 2 25 2" xfId="35015"/>
    <cellStyle name="Normal 5 2 26" xfId="18588"/>
    <cellStyle name="Normal 5 2 26 2" xfId="35016"/>
    <cellStyle name="Normal 5 2 27" xfId="18589"/>
    <cellStyle name="Normal 5 2 27 2" xfId="35017"/>
    <cellStyle name="Normal 5 2 28" xfId="18590"/>
    <cellStyle name="Normal 5 2 28 2" xfId="35018"/>
    <cellStyle name="Normal 5 2 29" xfId="18591"/>
    <cellStyle name="Normal 5 2 29 2" xfId="35019"/>
    <cellStyle name="Normal 5 2 3" xfId="18592"/>
    <cellStyle name="Normal 5 2 3 10" xfId="18593"/>
    <cellStyle name="Normal 5 2 3 10 2" xfId="18594"/>
    <cellStyle name="Normal 5 2 3 10 2 2" xfId="35022"/>
    <cellStyle name="Normal 5 2 3 10 3" xfId="18595"/>
    <cellStyle name="Normal 5 2 3 10 3 2" xfId="35023"/>
    <cellStyle name="Normal 5 2 3 10 4" xfId="18596"/>
    <cellStyle name="Normal 5 2 3 10 4 2" xfId="35024"/>
    <cellStyle name="Normal 5 2 3 10 5" xfId="18597"/>
    <cellStyle name="Normal 5 2 3 10 5 2" xfId="35025"/>
    <cellStyle name="Normal 5 2 3 10 6" xfId="35021"/>
    <cellStyle name="Normal 5 2 3 11" xfId="18598"/>
    <cellStyle name="Normal 5 2 3 11 2" xfId="18599"/>
    <cellStyle name="Normal 5 2 3 11 2 2" xfId="35027"/>
    <cellStyle name="Normal 5 2 3 11 3" xfId="18600"/>
    <cellStyle name="Normal 5 2 3 11 3 2" xfId="35028"/>
    <cellStyle name="Normal 5 2 3 11 4" xfId="18601"/>
    <cellStyle name="Normal 5 2 3 11 4 2" xfId="35029"/>
    <cellStyle name="Normal 5 2 3 11 5" xfId="18602"/>
    <cellStyle name="Normal 5 2 3 11 5 2" xfId="35030"/>
    <cellStyle name="Normal 5 2 3 11 6" xfId="35026"/>
    <cellStyle name="Normal 5 2 3 12" xfId="18603"/>
    <cellStyle name="Normal 5 2 3 12 2" xfId="18604"/>
    <cellStyle name="Normal 5 2 3 12 2 2" xfId="35032"/>
    <cellStyle name="Normal 5 2 3 12 3" xfId="18605"/>
    <cellStyle name="Normal 5 2 3 12 3 2" xfId="35033"/>
    <cellStyle name="Normal 5 2 3 12 4" xfId="18606"/>
    <cellStyle name="Normal 5 2 3 12 4 2" xfId="35034"/>
    <cellStyle name="Normal 5 2 3 12 5" xfId="18607"/>
    <cellStyle name="Normal 5 2 3 12 5 2" xfId="35035"/>
    <cellStyle name="Normal 5 2 3 12 6" xfId="35031"/>
    <cellStyle name="Normal 5 2 3 13" xfId="18608"/>
    <cellStyle name="Normal 5 2 3 13 2" xfId="18609"/>
    <cellStyle name="Normal 5 2 3 13 2 2" xfId="35037"/>
    <cellStyle name="Normal 5 2 3 13 3" xfId="18610"/>
    <cellStyle name="Normal 5 2 3 13 3 2" xfId="35038"/>
    <cellStyle name="Normal 5 2 3 13 4" xfId="18611"/>
    <cellStyle name="Normal 5 2 3 13 4 2" xfId="35039"/>
    <cellStyle name="Normal 5 2 3 13 5" xfId="18612"/>
    <cellStyle name="Normal 5 2 3 13 5 2" xfId="35040"/>
    <cellStyle name="Normal 5 2 3 13 6" xfId="35036"/>
    <cellStyle name="Normal 5 2 3 14" xfId="18613"/>
    <cellStyle name="Normal 5 2 3 14 2" xfId="18614"/>
    <cellStyle name="Normal 5 2 3 14 2 2" xfId="35042"/>
    <cellStyle name="Normal 5 2 3 14 3" xfId="18615"/>
    <cellStyle name="Normal 5 2 3 14 3 2" xfId="35043"/>
    <cellStyle name="Normal 5 2 3 14 4" xfId="18616"/>
    <cellStyle name="Normal 5 2 3 14 4 2" xfId="35044"/>
    <cellStyle name="Normal 5 2 3 14 5" xfId="18617"/>
    <cellStyle name="Normal 5 2 3 14 5 2" xfId="35045"/>
    <cellStyle name="Normal 5 2 3 14 6" xfId="35041"/>
    <cellStyle name="Normal 5 2 3 15" xfId="18618"/>
    <cellStyle name="Normal 5 2 3 15 2" xfId="18619"/>
    <cellStyle name="Normal 5 2 3 15 2 2" xfId="35047"/>
    <cellStyle name="Normal 5 2 3 15 3" xfId="18620"/>
    <cellStyle name="Normal 5 2 3 15 3 2" xfId="35048"/>
    <cellStyle name="Normal 5 2 3 15 4" xfId="18621"/>
    <cellStyle name="Normal 5 2 3 15 4 2" xfId="35049"/>
    <cellStyle name="Normal 5 2 3 15 5" xfId="18622"/>
    <cellStyle name="Normal 5 2 3 15 5 2" xfId="35050"/>
    <cellStyle name="Normal 5 2 3 15 6" xfId="35046"/>
    <cellStyle name="Normal 5 2 3 16" xfId="18623"/>
    <cellStyle name="Normal 5 2 3 16 2" xfId="18624"/>
    <cellStyle name="Normal 5 2 3 16 2 2" xfId="35052"/>
    <cellStyle name="Normal 5 2 3 16 3" xfId="18625"/>
    <cellStyle name="Normal 5 2 3 16 3 2" xfId="35053"/>
    <cellStyle name="Normal 5 2 3 16 4" xfId="18626"/>
    <cellStyle name="Normal 5 2 3 16 4 2" xfId="35054"/>
    <cellStyle name="Normal 5 2 3 16 5" xfId="18627"/>
    <cellStyle name="Normal 5 2 3 16 5 2" xfId="35055"/>
    <cellStyle name="Normal 5 2 3 16 6" xfId="35051"/>
    <cellStyle name="Normal 5 2 3 17" xfId="18628"/>
    <cellStyle name="Normal 5 2 3 17 2" xfId="35056"/>
    <cellStyle name="Normal 5 2 3 18" xfId="18629"/>
    <cellStyle name="Normal 5 2 3 18 2" xfId="35057"/>
    <cellStyle name="Normal 5 2 3 19" xfId="18630"/>
    <cellStyle name="Normal 5 2 3 19 2" xfId="35058"/>
    <cellStyle name="Normal 5 2 3 2" xfId="18631"/>
    <cellStyle name="Normal 5 2 3 2 10" xfId="18632"/>
    <cellStyle name="Normal 5 2 3 2 10 2" xfId="35060"/>
    <cellStyle name="Normal 5 2 3 2 11" xfId="18633"/>
    <cellStyle name="Normal 5 2 3 2 11 2" xfId="35061"/>
    <cellStyle name="Normal 5 2 3 2 12" xfId="35059"/>
    <cellStyle name="Normal 5 2 3 2 2" xfId="18634"/>
    <cellStyle name="Normal 5 2 3 2 2 2" xfId="18635"/>
    <cellStyle name="Normal 5 2 3 2 2 2 2" xfId="35063"/>
    <cellStyle name="Normal 5 2 3 2 2 3" xfId="18636"/>
    <cellStyle name="Normal 5 2 3 2 2 3 2" xfId="35064"/>
    <cellStyle name="Normal 5 2 3 2 2 4" xfId="18637"/>
    <cellStyle name="Normal 5 2 3 2 2 4 2" xfId="35065"/>
    <cellStyle name="Normal 5 2 3 2 2 5" xfId="18638"/>
    <cellStyle name="Normal 5 2 3 2 2 5 2" xfId="35066"/>
    <cellStyle name="Normal 5 2 3 2 2 6" xfId="35062"/>
    <cellStyle name="Normal 5 2 3 2 3" xfId="18639"/>
    <cellStyle name="Normal 5 2 3 2 3 2" xfId="18640"/>
    <cellStyle name="Normal 5 2 3 2 3 2 2" xfId="35068"/>
    <cellStyle name="Normal 5 2 3 2 3 3" xfId="18641"/>
    <cellStyle name="Normal 5 2 3 2 3 3 2" xfId="35069"/>
    <cellStyle name="Normal 5 2 3 2 3 4" xfId="18642"/>
    <cellStyle name="Normal 5 2 3 2 3 4 2" xfId="35070"/>
    <cellStyle name="Normal 5 2 3 2 3 5" xfId="18643"/>
    <cellStyle name="Normal 5 2 3 2 3 5 2" xfId="35071"/>
    <cellStyle name="Normal 5 2 3 2 3 6" xfId="35067"/>
    <cellStyle name="Normal 5 2 3 2 4" xfId="18644"/>
    <cellStyle name="Normal 5 2 3 2 4 2" xfId="18645"/>
    <cellStyle name="Normal 5 2 3 2 4 2 2" xfId="35073"/>
    <cellStyle name="Normal 5 2 3 2 4 3" xfId="18646"/>
    <cellStyle name="Normal 5 2 3 2 4 3 2" xfId="35074"/>
    <cellStyle name="Normal 5 2 3 2 4 4" xfId="18647"/>
    <cellStyle name="Normal 5 2 3 2 4 4 2" xfId="35075"/>
    <cellStyle name="Normal 5 2 3 2 4 5" xfId="18648"/>
    <cellStyle name="Normal 5 2 3 2 4 5 2" xfId="35076"/>
    <cellStyle name="Normal 5 2 3 2 4 6" xfId="35072"/>
    <cellStyle name="Normal 5 2 3 2 5" xfId="18649"/>
    <cellStyle name="Normal 5 2 3 2 5 2" xfId="18650"/>
    <cellStyle name="Normal 5 2 3 2 5 2 2" xfId="35078"/>
    <cellStyle name="Normal 5 2 3 2 5 3" xfId="18651"/>
    <cellStyle name="Normal 5 2 3 2 5 3 2" xfId="35079"/>
    <cellStyle name="Normal 5 2 3 2 5 4" xfId="18652"/>
    <cellStyle name="Normal 5 2 3 2 5 4 2" xfId="35080"/>
    <cellStyle name="Normal 5 2 3 2 5 5" xfId="18653"/>
    <cellStyle name="Normal 5 2 3 2 5 5 2" xfId="35081"/>
    <cellStyle name="Normal 5 2 3 2 5 6" xfId="35077"/>
    <cellStyle name="Normal 5 2 3 2 6" xfId="18654"/>
    <cellStyle name="Normal 5 2 3 2 6 2" xfId="18655"/>
    <cellStyle name="Normal 5 2 3 2 6 2 2" xfId="35083"/>
    <cellStyle name="Normal 5 2 3 2 6 3" xfId="18656"/>
    <cellStyle name="Normal 5 2 3 2 6 3 2" xfId="35084"/>
    <cellStyle name="Normal 5 2 3 2 6 4" xfId="18657"/>
    <cellStyle name="Normal 5 2 3 2 6 4 2" xfId="35085"/>
    <cellStyle name="Normal 5 2 3 2 6 5" xfId="18658"/>
    <cellStyle name="Normal 5 2 3 2 6 5 2" xfId="35086"/>
    <cellStyle name="Normal 5 2 3 2 6 6" xfId="35082"/>
    <cellStyle name="Normal 5 2 3 2 7" xfId="18659"/>
    <cellStyle name="Normal 5 2 3 2 7 2" xfId="18660"/>
    <cellStyle name="Normal 5 2 3 2 7 2 2" xfId="35088"/>
    <cellStyle name="Normal 5 2 3 2 7 3" xfId="18661"/>
    <cellStyle name="Normal 5 2 3 2 7 3 2" xfId="35089"/>
    <cellStyle name="Normal 5 2 3 2 7 4" xfId="18662"/>
    <cellStyle name="Normal 5 2 3 2 7 4 2" xfId="35090"/>
    <cellStyle name="Normal 5 2 3 2 7 5" xfId="18663"/>
    <cellStyle name="Normal 5 2 3 2 7 5 2" xfId="35091"/>
    <cellStyle name="Normal 5 2 3 2 7 6" xfId="35087"/>
    <cellStyle name="Normal 5 2 3 2 8" xfId="18664"/>
    <cellStyle name="Normal 5 2 3 2 8 2" xfId="35092"/>
    <cellStyle name="Normal 5 2 3 2 9" xfId="18665"/>
    <cellStyle name="Normal 5 2 3 2 9 2" xfId="35093"/>
    <cellStyle name="Normal 5 2 3 20" xfId="18666"/>
    <cellStyle name="Normal 5 2 3 20 2" xfId="35094"/>
    <cellStyle name="Normal 5 2 3 21" xfId="40746"/>
    <cellStyle name="Normal 5 2 3 22" xfId="35020"/>
    <cellStyle name="Normal 5 2 3 3" xfId="18667"/>
    <cellStyle name="Normal 5 2 3 3 2" xfId="18668"/>
    <cellStyle name="Normal 5 2 3 3 2 2" xfId="18669"/>
    <cellStyle name="Normal 5 2 3 3 2 2 2" xfId="35097"/>
    <cellStyle name="Normal 5 2 3 3 2 3" xfId="18670"/>
    <cellStyle name="Normal 5 2 3 3 2 3 2" xfId="35098"/>
    <cellStyle name="Normal 5 2 3 3 2 4" xfId="18671"/>
    <cellStyle name="Normal 5 2 3 3 2 4 2" xfId="35099"/>
    <cellStyle name="Normal 5 2 3 3 2 5" xfId="18672"/>
    <cellStyle name="Normal 5 2 3 3 2 5 2" xfId="35100"/>
    <cellStyle name="Normal 5 2 3 3 2 6" xfId="35096"/>
    <cellStyle name="Normal 5 2 3 3 3" xfId="18673"/>
    <cellStyle name="Normal 5 2 3 3 3 2" xfId="35101"/>
    <cellStyle name="Normal 5 2 3 3 4" xfId="18674"/>
    <cellStyle name="Normal 5 2 3 3 4 2" xfId="35102"/>
    <cellStyle name="Normal 5 2 3 3 5" xfId="18675"/>
    <cellStyle name="Normal 5 2 3 3 5 2" xfId="35103"/>
    <cellStyle name="Normal 5 2 3 3 6" xfId="18676"/>
    <cellStyle name="Normal 5 2 3 3 6 2" xfId="35104"/>
    <cellStyle name="Normal 5 2 3 3 7" xfId="35095"/>
    <cellStyle name="Normal 5 2 3 4" xfId="18677"/>
    <cellStyle name="Normal 5 2 3 4 2" xfId="18678"/>
    <cellStyle name="Normal 5 2 3 4 2 2" xfId="18679"/>
    <cellStyle name="Normal 5 2 3 4 2 2 2" xfId="35107"/>
    <cellStyle name="Normal 5 2 3 4 2 3" xfId="18680"/>
    <cellStyle name="Normal 5 2 3 4 2 3 2" xfId="35108"/>
    <cellStyle name="Normal 5 2 3 4 2 4" xfId="18681"/>
    <cellStyle name="Normal 5 2 3 4 2 4 2" xfId="35109"/>
    <cellStyle name="Normal 5 2 3 4 2 5" xfId="18682"/>
    <cellStyle name="Normal 5 2 3 4 2 5 2" xfId="35110"/>
    <cellStyle name="Normal 5 2 3 4 2 6" xfId="35106"/>
    <cellStyle name="Normal 5 2 3 4 3" xfId="18683"/>
    <cellStyle name="Normal 5 2 3 4 3 2" xfId="35111"/>
    <cellStyle name="Normal 5 2 3 4 4" xfId="18684"/>
    <cellStyle name="Normal 5 2 3 4 4 2" xfId="35112"/>
    <cellStyle name="Normal 5 2 3 4 5" xfId="18685"/>
    <cellStyle name="Normal 5 2 3 4 5 2" xfId="35113"/>
    <cellStyle name="Normal 5 2 3 4 6" xfId="18686"/>
    <cellStyle name="Normal 5 2 3 4 6 2" xfId="35114"/>
    <cellStyle name="Normal 5 2 3 4 7" xfId="35105"/>
    <cellStyle name="Normal 5 2 3 5" xfId="18687"/>
    <cellStyle name="Normal 5 2 3 5 2" xfId="18688"/>
    <cellStyle name="Normal 5 2 3 5 2 2" xfId="35116"/>
    <cellStyle name="Normal 5 2 3 5 3" xfId="18689"/>
    <cellStyle name="Normal 5 2 3 5 3 2" xfId="35117"/>
    <cellStyle name="Normal 5 2 3 5 4" xfId="18690"/>
    <cellStyle name="Normal 5 2 3 5 4 2" xfId="35118"/>
    <cellStyle name="Normal 5 2 3 5 5" xfId="18691"/>
    <cellStyle name="Normal 5 2 3 5 5 2" xfId="35119"/>
    <cellStyle name="Normal 5 2 3 5 6" xfId="35115"/>
    <cellStyle name="Normal 5 2 3 6" xfId="18692"/>
    <cellStyle name="Normal 5 2 3 6 2" xfId="18693"/>
    <cellStyle name="Normal 5 2 3 6 2 2" xfId="35121"/>
    <cellStyle name="Normal 5 2 3 6 3" xfId="18694"/>
    <cellStyle name="Normal 5 2 3 6 3 2" xfId="35122"/>
    <cellStyle name="Normal 5 2 3 6 4" xfId="18695"/>
    <cellStyle name="Normal 5 2 3 6 4 2" xfId="35123"/>
    <cellStyle name="Normal 5 2 3 6 5" xfId="18696"/>
    <cellStyle name="Normal 5 2 3 6 5 2" xfId="35124"/>
    <cellStyle name="Normal 5 2 3 6 6" xfId="35120"/>
    <cellStyle name="Normal 5 2 3 7" xfId="18697"/>
    <cellStyle name="Normal 5 2 3 7 2" xfId="18698"/>
    <cellStyle name="Normal 5 2 3 7 2 2" xfId="35126"/>
    <cellStyle name="Normal 5 2 3 7 3" xfId="18699"/>
    <cellStyle name="Normal 5 2 3 7 3 2" xfId="35127"/>
    <cellStyle name="Normal 5 2 3 7 4" xfId="18700"/>
    <cellStyle name="Normal 5 2 3 7 4 2" xfId="35128"/>
    <cellStyle name="Normal 5 2 3 7 5" xfId="18701"/>
    <cellStyle name="Normal 5 2 3 7 5 2" xfId="35129"/>
    <cellStyle name="Normal 5 2 3 7 6" xfId="35125"/>
    <cellStyle name="Normal 5 2 3 8" xfId="18702"/>
    <cellStyle name="Normal 5 2 3 8 2" xfId="18703"/>
    <cellStyle name="Normal 5 2 3 8 2 2" xfId="35131"/>
    <cellStyle name="Normal 5 2 3 8 3" xfId="18704"/>
    <cellStyle name="Normal 5 2 3 8 3 2" xfId="35132"/>
    <cellStyle name="Normal 5 2 3 8 4" xfId="18705"/>
    <cellStyle name="Normal 5 2 3 8 4 2" xfId="35133"/>
    <cellStyle name="Normal 5 2 3 8 5" xfId="18706"/>
    <cellStyle name="Normal 5 2 3 8 5 2" xfId="35134"/>
    <cellStyle name="Normal 5 2 3 8 6" xfId="35130"/>
    <cellStyle name="Normal 5 2 3 9" xfId="18707"/>
    <cellStyle name="Normal 5 2 3 9 2" xfId="18708"/>
    <cellStyle name="Normal 5 2 3 9 2 2" xfId="35136"/>
    <cellStyle name="Normal 5 2 3 9 3" xfId="18709"/>
    <cellStyle name="Normal 5 2 3 9 3 2" xfId="35137"/>
    <cellStyle name="Normal 5 2 3 9 4" xfId="18710"/>
    <cellStyle name="Normal 5 2 3 9 4 2" xfId="35138"/>
    <cellStyle name="Normal 5 2 3 9 5" xfId="18711"/>
    <cellStyle name="Normal 5 2 3 9 5 2" xfId="35139"/>
    <cellStyle name="Normal 5 2 3 9 6" xfId="35135"/>
    <cellStyle name="Normal 5 2 30" xfId="40735"/>
    <cellStyle name="Normal 5 2 4" xfId="18712"/>
    <cellStyle name="Normal 5 2 4 10" xfId="18713"/>
    <cellStyle name="Normal 5 2 4 10 2" xfId="18714"/>
    <cellStyle name="Normal 5 2 4 10 2 2" xfId="35142"/>
    <cellStyle name="Normal 5 2 4 10 3" xfId="18715"/>
    <cellStyle name="Normal 5 2 4 10 3 2" xfId="35143"/>
    <cellStyle name="Normal 5 2 4 10 4" xfId="18716"/>
    <cellStyle name="Normal 5 2 4 10 4 2" xfId="35144"/>
    <cellStyle name="Normal 5 2 4 10 5" xfId="18717"/>
    <cellStyle name="Normal 5 2 4 10 5 2" xfId="35145"/>
    <cellStyle name="Normal 5 2 4 10 6" xfId="35141"/>
    <cellStyle name="Normal 5 2 4 11" xfId="18718"/>
    <cellStyle name="Normal 5 2 4 11 2" xfId="18719"/>
    <cellStyle name="Normal 5 2 4 11 2 2" xfId="35147"/>
    <cellStyle name="Normal 5 2 4 11 3" xfId="18720"/>
    <cellStyle name="Normal 5 2 4 11 3 2" xfId="35148"/>
    <cellStyle name="Normal 5 2 4 11 4" xfId="18721"/>
    <cellStyle name="Normal 5 2 4 11 4 2" xfId="35149"/>
    <cellStyle name="Normal 5 2 4 11 5" xfId="18722"/>
    <cellStyle name="Normal 5 2 4 11 5 2" xfId="35150"/>
    <cellStyle name="Normal 5 2 4 11 6" xfId="35146"/>
    <cellStyle name="Normal 5 2 4 12" xfId="18723"/>
    <cellStyle name="Normal 5 2 4 12 2" xfId="18724"/>
    <cellStyle name="Normal 5 2 4 12 2 2" xfId="35152"/>
    <cellStyle name="Normal 5 2 4 12 3" xfId="18725"/>
    <cellStyle name="Normal 5 2 4 12 3 2" xfId="35153"/>
    <cellStyle name="Normal 5 2 4 12 4" xfId="18726"/>
    <cellStyle name="Normal 5 2 4 12 4 2" xfId="35154"/>
    <cellStyle name="Normal 5 2 4 12 5" xfId="18727"/>
    <cellStyle name="Normal 5 2 4 12 5 2" xfId="35155"/>
    <cellStyle name="Normal 5 2 4 12 6" xfId="35151"/>
    <cellStyle name="Normal 5 2 4 13" xfId="18728"/>
    <cellStyle name="Normal 5 2 4 13 2" xfId="18729"/>
    <cellStyle name="Normal 5 2 4 13 2 2" xfId="35157"/>
    <cellStyle name="Normal 5 2 4 13 3" xfId="18730"/>
    <cellStyle name="Normal 5 2 4 13 3 2" xfId="35158"/>
    <cellStyle name="Normal 5 2 4 13 4" xfId="18731"/>
    <cellStyle name="Normal 5 2 4 13 4 2" xfId="35159"/>
    <cellStyle name="Normal 5 2 4 13 5" xfId="18732"/>
    <cellStyle name="Normal 5 2 4 13 5 2" xfId="35160"/>
    <cellStyle name="Normal 5 2 4 13 6" xfId="35156"/>
    <cellStyle name="Normal 5 2 4 14" xfId="18733"/>
    <cellStyle name="Normal 5 2 4 14 2" xfId="18734"/>
    <cellStyle name="Normal 5 2 4 14 2 2" xfId="35162"/>
    <cellStyle name="Normal 5 2 4 14 3" xfId="18735"/>
    <cellStyle name="Normal 5 2 4 14 3 2" xfId="35163"/>
    <cellStyle name="Normal 5 2 4 14 4" xfId="18736"/>
    <cellStyle name="Normal 5 2 4 14 4 2" xfId="35164"/>
    <cellStyle name="Normal 5 2 4 14 5" xfId="18737"/>
    <cellStyle name="Normal 5 2 4 14 5 2" xfId="35165"/>
    <cellStyle name="Normal 5 2 4 14 6" xfId="35161"/>
    <cellStyle name="Normal 5 2 4 15" xfId="18738"/>
    <cellStyle name="Normal 5 2 4 15 2" xfId="18739"/>
    <cellStyle name="Normal 5 2 4 15 2 2" xfId="35167"/>
    <cellStyle name="Normal 5 2 4 15 3" xfId="18740"/>
    <cellStyle name="Normal 5 2 4 15 3 2" xfId="35168"/>
    <cellStyle name="Normal 5 2 4 15 4" xfId="18741"/>
    <cellStyle name="Normal 5 2 4 15 4 2" xfId="35169"/>
    <cellStyle name="Normal 5 2 4 15 5" xfId="18742"/>
    <cellStyle name="Normal 5 2 4 15 5 2" xfId="35170"/>
    <cellStyle name="Normal 5 2 4 15 6" xfId="35166"/>
    <cellStyle name="Normal 5 2 4 16" xfId="18743"/>
    <cellStyle name="Normal 5 2 4 16 2" xfId="18744"/>
    <cellStyle name="Normal 5 2 4 16 2 2" xfId="35172"/>
    <cellStyle name="Normal 5 2 4 16 3" xfId="18745"/>
    <cellStyle name="Normal 5 2 4 16 3 2" xfId="35173"/>
    <cellStyle name="Normal 5 2 4 16 4" xfId="18746"/>
    <cellStyle name="Normal 5 2 4 16 4 2" xfId="35174"/>
    <cellStyle name="Normal 5 2 4 16 5" xfId="18747"/>
    <cellStyle name="Normal 5 2 4 16 5 2" xfId="35175"/>
    <cellStyle name="Normal 5 2 4 16 6" xfId="35171"/>
    <cellStyle name="Normal 5 2 4 17" xfId="18748"/>
    <cellStyle name="Normal 5 2 4 17 2" xfId="35176"/>
    <cellStyle name="Normal 5 2 4 18" xfId="18749"/>
    <cellStyle name="Normal 5 2 4 18 2" xfId="35177"/>
    <cellStyle name="Normal 5 2 4 19" xfId="18750"/>
    <cellStyle name="Normal 5 2 4 19 2" xfId="35178"/>
    <cellStyle name="Normal 5 2 4 2" xfId="18751"/>
    <cellStyle name="Normal 5 2 4 2 10" xfId="18752"/>
    <cellStyle name="Normal 5 2 4 2 10 2" xfId="35180"/>
    <cellStyle name="Normal 5 2 4 2 11" xfId="18753"/>
    <cellStyle name="Normal 5 2 4 2 11 2" xfId="35181"/>
    <cellStyle name="Normal 5 2 4 2 12" xfId="35179"/>
    <cellStyle name="Normal 5 2 4 2 2" xfId="18754"/>
    <cellStyle name="Normal 5 2 4 2 2 2" xfId="18755"/>
    <cellStyle name="Normal 5 2 4 2 2 2 2" xfId="35183"/>
    <cellStyle name="Normal 5 2 4 2 2 3" xfId="18756"/>
    <cellStyle name="Normal 5 2 4 2 2 3 2" xfId="35184"/>
    <cellStyle name="Normal 5 2 4 2 2 4" xfId="18757"/>
    <cellStyle name="Normal 5 2 4 2 2 4 2" xfId="35185"/>
    <cellStyle name="Normal 5 2 4 2 2 5" xfId="18758"/>
    <cellStyle name="Normal 5 2 4 2 2 5 2" xfId="35186"/>
    <cellStyle name="Normal 5 2 4 2 2 6" xfId="35182"/>
    <cellStyle name="Normal 5 2 4 2 3" xfId="18759"/>
    <cellStyle name="Normal 5 2 4 2 3 2" xfId="18760"/>
    <cellStyle name="Normal 5 2 4 2 3 2 2" xfId="35188"/>
    <cellStyle name="Normal 5 2 4 2 3 3" xfId="18761"/>
    <cellStyle name="Normal 5 2 4 2 3 3 2" xfId="35189"/>
    <cellStyle name="Normal 5 2 4 2 3 4" xfId="18762"/>
    <cellStyle name="Normal 5 2 4 2 3 4 2" xfId="35190"/>
    <cellStyle name="Normal 5 2 4 2 3 5" xfId="18763"/>
    <cellStyle name="Normal 5 2 4 2 3 5 2" xfId="35191"/>
    <cellStyle name="Normal 5 2 4 2 3 6" xfId="35187"/>
    <cellStyle name="Normal 5 2 4 2 4" xfId="18764"/>
    <cellStyle name="Normal 5 2 4 2 4 2" xfId="18765"/>
    <cellStyle name="Normal 5 2 4 2 4 2 2" xfId="35193"/>
    <cellStyle name="Normal 5 2 4 2 4 3" xfId="18766"/>
    <cellStyle name="Normal 5 2 4 2 4 3 2" xfId="35194"/>
    <cellStyle name="Normal 5 2 4 2 4 4" xfId="18767"/>
    <cellStyle name="Normal 5 2 4 2 4 4 2" xfId="35195"/>
    <cellStyle name="Normal 5 2 4 2 4 5" xfId="18768"/>
    <cellStyle name="Normal 5 2 4 2 4 5 2" xfId="35196"/>
    <cellStyle name="Normal 5 2 4 2 4 6" xfId="35192"/>
    <cellStyle name="Normal 5 2 4 2 5" xfId="18769"/>
    <cellStyle name="Normal 5 2 4 2 5 2" xfId="18770"/>
    <cellStyle name="Normal 5 2 4 2 5 2 2" xfId="35198"/>
    <cellStyle name="Normal 5 2 4 2 5 3" xfId="18771"/>
    <cellStyle name="Normal 5 2 4 2 5 3 2" xfId="35199"/>
    <cellStyle name="Normal 5 2 4 2 5 4" xfId="18772"/>
    <cellStyle name="Normal 5 2 4 2 5 4 2" xfId="35200"/>
    <cellStyle name="Normal 5 2 4 2 5 5" xfId="18773"/>
    <cellStyle name="Normal 5 2 4 2 5 5 2" xfId="35201"/>
    <cellStyle name="Normal 5 2 4 2 5 6" xfId="35197"/>
    <cellStyle name="Normal 5 2 4 2 6" xfId="18774"/>
    <cellStyle name="Normal 5 2 4 2 6 2" xfId="18775"/>
    <cellStyle name="Normal 5 2 4 2 6 2 2" xfId="35203"/>
    <cellStyle name="Normal 5 2 4 2 6 3" xfId="18776"/>
    <cellStyle name="Normal 5 2 4 2 6 3 2" xfId="35204"/>
    <cellStyle name="Normal 5 2 4 2 6 4" xfId="18777"/>
    <cellStyle name="Normal 5 2 4 2 6 4 2" xfId="35205"/>
    <cellStyle name="Normal 5 2 4 2 6 5" xfId="18778"/>
    <cellStyle name="Normal 5 2 4 2 6 5 2" xfId="35206"/>
    <cellStyle name="Normal 5 2 4 2 6 6" xfId="35202"/>
    <cellStyle name="Normal 5 2 4 2 7" xfId="18779"/>
    <cellStyle name="Normal 5 2 4 2 7 2" xfId="18780"/>
    <cellStyle name="Normal 5 2 4 2 7 2 2" xfId="35208"/>
    <cellStyle name="Normal 5 2 4 2 7 3" xfId="18781"/>
    <cellStyle name="Normal 5 2 4 2 7 3 2" xfId="35209"/>
    <cellStyle name="Normal 5 2 4 2 7 4" xfId="18782"/>
    <cellStyle name="Normal 5 2 4 2 7 4 2" xfId="35210"/>
    <cellStyle name="Normal 5 2 4 2 7 5" xfId="18783"/>
    <cellStyle name="Normal 5 2 4 2 7 5 2" xfId="35211"/>
    <cellStyle name="Normal 5 2 4 2 7 6" xfId="35207"/>
    <cellStyle name="Normal 5 2 4 2 8" xfId="18784"/>
    <cellStyle name="Normal 5 2 4 2 8 2" xfId="35212"/>
    <cellStyle name="Normal 5 2 4 2 9" xfId="18785"/>
    <cellStyle name="Normal 5 2 4 2 9 2" xfId="35213"/>
    <cellStyle name="Normal 5 2 4 20" xfId="18786"/>
    <cellStyle name="Normal 5 2 4 20 2" xfId="35214"/>
    <cellStyle name="Normal 5 2 4 21" xfId="40747"/>
    <cellStyle name="Normal 5 2 4 22" xfId="35140"/>
    <cellStyle name="Normal 5 2 4 3" xfId="18787"/>
    <cellStyle name="Normal 5 2 4 3 2" xfId="18788"/>
    <cellStyle name="Normal 5 2 4 3 2 2" xfId="18789"/>
    <cellStyle name="Normal 5 2 4 3 2 2 2" xfId="35217"/>
    <cellStyle name="Normal 5 2 4 3 2 3" xfId="18790"/>
    <cellStyle name="Normal 5 2 4 3 2 3 2" xfId="35218"/>
    <cellStyle name="Normal 5 2 4 3 2 4" xfId="18791"/>
    <cellStyle name="Normal 5 2 4 3 2 4 2" xfId="35219"/>
    <cellStyle name="Normal 5 2 4 3 2 5" xfId="18792"/>
    <cellStyle name="Normal 5 2 4 3 2 5 2" xfId="35220"/>
    <cellStyle name="Normal 5 2 4 3 2 6" xfId="35216"/>
    <cellStyle name="Normal 5 2 4 3 3" xfId="18793"/>
    <cellStyle name="Normal 5 2 4 3 3 2" xfId="35221"/>
    <cellStyle name="Normal 5 2 4 3 4" xfId="18794"/>
    <cellStyle name="Normal 5 2 4 3 4 2" xfId="35222"/>
    <cellStyle name="Normal 5 2 4 3 5" xfId="18795"/>
    <cellStyle name="Normal 5 2 4 3 5 2" xfId="35223"/>
    <cellStyle name="Normal 5 2 4 3 6" xfId="18796"/>
    <cellStyle name="Normal 5 2 4 3 6 2" xfId="35224"/>
    <cellStyle name="Normal 5 2 4 3 7" xfId="35215"/>
    <cellStyle name="Normal 5 2 4 4" xfId="18797"/>
    <cellStyle name="Normal 5 2 4 4 2" xfId="18798"/>
    <cellStyle name="Normal 5 2 4 4 2 2" xfId="18799"/>
    <cellStyle name="Normal 5 2 4 4 2 2 2" xfId="35227"/>
    <cellStyle name="Normal 5 2 4 4 2 3" xfId="18800"/>
    <cellStyle name="Normal 5 2 4 4 2 3 2" xfId="35228"/>
    <cellStyle name="Normal 5 2 4 4 2 4" xfId="18801"/>
    <cellStyle name="Normal 5 2 4 4 2 4 2" xfId="35229"/>
    <cellStyle name="Normal 5 2 4 4 2 5" xfId="18802"/>
    <cellStyle name="Normal 5 2 4 4 2 5 2" xfId="35230"/>
    <cellStyle name="Normal 5 2 4 4 2 6" xfId="35226"/>
    <cellStyle name="Normal 5 2 4 4 3" xfId="18803"/>
    <cellStyle name="Normal 5 2 4 4 3 2" xfId="35231"/>
    <cellStyle name="Normal 5 2 4 4 4" xfId="18804"/>
    <cellStyle name="Normal 5 2 4 4 4 2" xfId="35232"/>
    <cellStyle name="Normal 5 2 4 4 5" xfId="18805"/>
    <cellStyle name="Normal 5 2 4 4 5 2" xfId="35233"/>
    <cellStyle name="Normal 5 2 4 4 6" xfId="18806"/>
    <cellStyle name="Normal 5 2 4 4 6 2" xfId="35234"/>
    <cellStyle name="Normal 5 2 4 4 7" xfId="35225"/>
    <cellStyle name="Normal 5 2 4 5" xfId="18807"/>
    <cellStyle name="Normal 5 2 4 5 2" xfId="18808"/>
    <cellStyle name="Normal 5 2 4 5 2 2" xfId="35236"/>
    <cellStyle name="Normal 5 2 4 5 3" xfId="18809"/>
    <cellStyle name="Normal 5 2 4 5 3 2" xfId="35237"/>
    <cellStyle name="Normal 5 2 4 5 4" xfId="18810"/>
    <cellStyle name="Normal 5 2 4 5 4 2" xfId="35238"/>
    <cellStyle name="Normal 5 2 4 5 5" xfId="18811"/>
    <cellStyle name="Normal 5 2 4 5 5 2" xfId="35239"/>
    <cellStyle name="Normal 5 2 4 5 6" xfId="35235"/>
    <cellStyle name="Normal 5 2 4 6" xfId="18812"/>
    <cellStyle name="Normal 5 2 4 6 2" xfId="18813"/>
    <cellStyle name="Normal 5 2 4 6 2 2" xfId="35241"/>
    <cellStyle name="Normal 5 2 4 6 3" xfId="18814"/>
    <cellStyle name="Normal 5 2 4 6 3 2" xfId="35242"/>
    <cellStyle name="Normal 5 2 4 6 4" xfId="18815"/>
    <cellStyle name="Normal 5 2 4 6 4 2" xfId="35243"/>
    <cellStyle name="Normal 5 2 4 6 5" xfId="18816"/>
    <cellStyle name="Normal 5 2 4 6 5 2" xfId="35244"/>
    <cellStyle name="Normal 5 2 4 6 6" xfId="35240"/>
    <cellStyle name="Normal 5 2 4 7" xfId="18817"/>
    <cellStyle name="Normal 5 2 4 7 2" xfId="18818"/>
    <cellStyle name="Normal 5 2 4 7 2 2" xfId="35246"/>
    <cellStyle name="Normal 5 2 4 7 3" xfId="18819"/>
    <cellStyle name="Normal 5 2 4 7 3 2" xfId="35247"/>
    <cellStyle name="Normal 5 2 4 7 4" xfId="18820"/>
    <cellStyle name="Normal 5 2 4 7 4 2" xfId="35248"/>
    <cellStyle name="Normal 5 2 4 7 5" xfId="18821"/>
    <cellStyle name="Normal 5 2 4 7 5 2" xfId="35249"/>
    <cellStyle name="Normal 5 2 4 7 6" xfId="35245"/>
    <cellStyle name="Normal 5 2 4 8" xfId="18822"/>
    <cellStyle name="Normal 5 2 4 8 2" xfId="18823"/>
    <cellStyle name="Normal 5 2 4 8 2 2" xfId="35251"/>
    <cellStyle name="Normal 5 2 4 8 3" xfId="18824"/>
    <cellStyle name="Normal 5 2 4 8 3 2" xfId="35252"/>
    <cellStyle name="Normal 5 2 4 8 4" xfId="18825"/>
    <cellStyle name="Normal 5 2 4 8 4 2" xfId="35253"/>
    <cellStyle name="Normal 5 2 4 8 5" xfId="18826"/>
    <cellStyle name="Normal 5 2 4 8 5 2" xfId="35254"/>
    <cellStyle name="Normal 5 2 4 8 6" xfId="35250"/>
    <cellStyle name="Normal 5 2 4 9" xfId="18827"/>
    <cellStyle name="Normal 5 2 4 9 2" xfId="18828"/>
    <cellStyle name="Normal 5 2 4 9 2 2" xfId="35256"/>
    <cellStyle name="Normal 5 2 4 9 3" xfId="18829"/>
    <cellStyle name="Normal 5 2 4 9 3 2" xfId="35257"/>
    <cellStyle name="Normal 5 2 4 9 4" xfId="18830"/>
    <cellStyle name="Normal 5 2 4 9 4 2" xfId="35258"/>
    <cellStyle name="Normal 5 2 4 9 5" xfId="18831"/>
    <cellStyle name="Normal 5 2 4 9 5 2" xfId="35259"/>
    <cellStyle name="Normal 5 2 4 9 6" xfId="35255"/>
    <cellStyle name="Normal 5 2 5" xfId="18832"/>
    <cellStyle name="Normal 5 2 5 10" xfId="18833"/>
    <cellStyle name="Normal 5 2 5 10 2" xfId="18834"/>
    <cellStyle name="Normal 5 2 5 10 2 2" xfId="35262"/>
    <cellStyle name="Normal 5 2 5 10 3" xfId="18835"/>
    <cellStyle name="Normal 5 2 5 10 3 2" xfId="35263"/>
    <cellStyle name="Normal 5 2 5 10 4" xfId="18836"/>
    <cellStyle name="Normal 5 2 5 10 4 2" xfId="35264"/>
    <cellStyle name="Normal 5 2 5 10 5" xfId="18837"/>
    <cellStyle name="Normal 5 2 5 10 5 2" xfId="35265"/>
    <cellStyle name="Normal 5 2 5 10 6" xfId="35261"/>
    <cellStyle name="Normal 5 2 5 11" xfId="18838"/>
    <cellStyle name="Normal 5 2 5 11 2" xfId="18839"/>
    <cellStyle name="Normal 5 2 5 11 2 2" xfId="35267"/>
    <cellStyle name="Normal 5 2 5 11 3" xfId="18840"/>
    <cellStyle name="Normal 5 2 5 11 3 2" xfId="35268"/>
    <cellStyle name="Normal 5 2 5 11 4" xfId="18841"/>
    <cellStyle name="Normal 5 2 5 11 4 2" xfId="35269"/>
    <cellStyle name="Normal 5 2 5 11 5" xfId="18842"/>
    <cellStyle name="Normal 5 2 5 11 5 2" xfId="35270"/>
    <cellStyle name="Normal 5 2 5 11 6" xfId="35266"/>
    <cellStyle name="Normal 5 2 5 12" xfId="18843"/>
    <cellStyle name="Normal 5 2 5 12 2" xfId="18844"/>
    <cellStyle name="Normal 5 2 5 12 2 2" xfId="35272"/>
    <cellStyle name="Normal 5 2 5 12 3" xfId="18845"/>
    <cellStyle name="Normal 5 2 5 12 3 2" xfId="35273"/>
    <cellStyle name="Normal 5 2 5 12 4" xfId="18846"/>
    <cellStyle name="Normal 5 2 5 12 4 2" xfId="35274"/>
    <cellStyle name="Normal 5 2 5 12 5" xfId="18847"/>
    <cellStyle name="Normal 5 2 5 12 5 2" xfId="35275"/>
    <cellStyle name="Normal 5 2 5 12 6" xfId="35271"/>
    <cellStyle name="Normal 5 2 5 13" xfId="18848"/>
    <cellStyle name="Normal 5 2 5 13 2" xfId="18849"/>
    <cellStyle name="Normal 5 2 5 13 2 2" xfId="35277"/>
    <cellStyle name="Normal 5 2 5 13 3" xfId="18850"/>
    <cellStyle name="Normal 5 2 5 13 3 2" xfId="35278"/>
    <cellStyle name="Normal 5 2 5 13 4" xfId="18851"/>
    <cellStyle name="Normal 5 2 5 13 4 2" xfId="35279"/>
    <cellStyle name="Normal 5 2 5 13 5" xfId="18852"/>
    <cellStyle name="Normal 5 2 5 13 5 2" xfId="35280"/>
    <cellStyle name="Normal 5 2 5 13 6" xfId="35276"/>
    <cellStyle name="Normal 5 2 5 14" xfId="18853"/>
    <cellStyle name="Normal 5 2 5 14 2" xfId="18854"/>
    <cellStyle name="Normal 5 2 5 14 2 2" xfId="35282"/>
    <cellStyle name="Normal 5 2 5 14 3" xfId="18855"/>
    <cellStyle name="Normal 5 2 5 14 3 2" xfId="35283"/>
    <cellStyle name="Normal 5 2 5 14 4" xfId="18856"/>
    <cellStyle name="Normal 5 2 5 14 4 2" xfId="35284"/>
    <cellStyle name="Normal 5 2 5 14 5" xfId="18857"/>
    <cellStyle name="Normal 5 2 5 14 5 2" xfId="35285"/>
    <cellStyle name="Normal 5 2 5 14 6" xfId="35281"/>
    <cellStyle name="Normal 5 2 5 15" xfId="18858"/>
    <cellStyle name="Normal 5 2 5 15 2" xfId="18859"/>
    <cellStyle name="Normal 5 2 5 15 2 2" xfId="35287"/>
    <cellStyle name="Normal 5 2 5 15 3" xfId="18860"/>
    <cellStyle name="Normal 5 2 5 15 3 2" xfId="35288"/>
    <cellStyle name="Normal 5 2 5 15 4" xfId="18861"/>
    <cellStyle name="Normal 5 2 5 15 4 2" xfId="35289"/>
    <cellStyle name="Normal 5 2 5 15 5" xfId="18862"/>
    <cellStyle name="Normal 5 2 5 15 5 2" xfId="35290"/>
    <cellStyle name="Normal 5 2 5 15 6" xfId="35286"/>
    <cellStyle name="Normal 5 2 5 16" xfId="18863"/>
    <cellStyle name="Normal 5 2 5 16 2" xfId="18864"/>
    <cellStyle name="Normal 5 2 5 16 2 2" xfId="35292"/>
    <cellStyle name="Normal 5 2 5 16 3" xfId="18865"/>
    <cellStyle name="Normal 5 2 5 16 3 2" xfId="35293"/>
    <cellStyle name="Normal 5 2 5 16 4" xfId="18866"/>
    <cellStyle name="Normal 5 2 5 16 4 2" xfId="35294"/>
    <cellStyle name="Normal 5 2 5 16 5" xfId="18867"/>
    <cellStyle name="Normal 5 2 5 16 5 2" xfId="35295"/>
    <cellStyle name="Normal 5 2 5 16 6" xfId="35291"/>
    <cellStyle name="Normal 5 2 5 17" xfId="18868"/>
    <cellStyle name="Normal 5 2 5 17 2" xfId="35296"/>
    <cellStyle name="Normal 5 2 5 18" xfId="18869"/>
    <cellStyle name="Normal 5 2 5 18 2" xfId="35297"/>
    <cellStyle name="Normal 5 2 5 19" xfId="18870"/>
    <cellStyle name="Normal 5 2 5 19 2" xfId="35298"/>
    <cellStyle name="Normal 5 2 5 2" xfId="18871"/>
    <cellStyle name="Normal 5 2 5 2 10" xfId="18872"/>
    <cellStyle name="Normal 5 2 5 2 10 2" xfId="35300"/>
    <cellStyle name="Normal 5 2 5 2 11" xfId="18873"/>
    <cellStyle name="Normal 5 2 5 2 11 2" xfId="35301"/>
    <cellStyle name="Normal 5 2 5 2 12" xfId="35299"/>
    <cellStyle name="Normal 5 2 5 2 2" xfId="18874"/>
    <cellStyle name="Normal 5 2 5 2 2 2" xfId="18875"/>
    <cellStyle name="Normal 5 2 5 2 2 2 2" xfId="35303"/>
    <cellStyle name="Normal 5 2 5 2 2 3" xfId="18876"/>
    <cellStyle name="Normal 5 2 5 2 2 3 2" xfId="35304"/>
    <cellStyle name="Normal 5 2 5 2 2 4" xfId="18877"/>
    <cellStyle name="Normal 5 2 5 2 2 4 2" xfId="35305"/>
    <cellStyle name="Normal 5 2 5 2 2 5" xfId="18878"/>
    <cellStyle name="Normal 5 2 5 2 2 5 2" xfId="35306"/>
    <cellStyle name="Normal 5 2 5 2 2 6" xfId="35302"/>
    <cellStyle name="Normal 5 2 5 2 3" xfId="18879"/>
    <cellStyle name="Normal 5 2 5 2 3 2" xfId="18880"/>
    <cellStyle name="Normal 5 2 5 2 3 2 2" xfId="35308"/>
    <cellStyle name="Normal 5 2 5 2 3 3" xfId="18881"/>
    <cellStyle name="Normal 5 2 5 2 3 3 2" xfId="35309"/>
    <cellStyle name="Normal 5 2 5 2 3 4" xfId="18882"/>
    <cellStyle name="Normal 5 2 5 2 3 4 2" xfId="35310"/>
    <cellStyle name="Normal 5 2 5 2 3 5" xfId="18883"/>
    <cellStyle name="Normal 5 2 5 2 3 5 2" xfId="35311"/>
    <cellStyle name="Normal 5 2 5 2 3 6" xfId="35307"/>
    <cellStyle name="Normal 5 2 5 2 4" xfId="18884"/>
    <cellStyle name="Normal 5 2 5 2 4 2" xfId="18885"/>
    <cellStyle name="Normal 5 2 5 2 4 2 2" xfId="35313"/>
    <cellStyle name="Normal 5 2 5 2 4 3" xfId="18886"/>
    <cellStyle name="Normal 5 2 5 2 4 3 2" xfId="35314"/>
    <cellStyle name="Normal 5 2 5 2 4 4" xfId="18887"/>
    <cellStyle name="Normal 5 2 5 2 4 4 2" xfId="35315"/>
    <cellStyle name="Normal 5 2 5 2 4 5" xfId="18888"/>
    <cellStyle name="Normal 5 2 5 2 4 5 2" xfId="35316"/>
    <cellStyle name="Normal 5 2 5 2 4 6" xfId="35312"/>
    <cellStyle name="Normal 5 2 5 2 5" xfId="18889"/>
    <cellStyle name="Normal 5 2 5 2 5 2" xfId="18890"/>
    <cellStyle name="Normal 5 2 5 2 5 2 2" xfId="35318"/>
    <cellStyle name="Normal 5 2 5 2 5 3" xfId="18891"/>
    <cellStyle name="Normal 5 2 5 2 5 3 2" xfId="35319"/>
    <cellStyle name="Normal 5 2 5 2 5 4" xfId="18892"/>
    <cellStyle name="Normal 5 2 5 2 5 4 2" xfId="35320"/>
    <cellStyle name="Normal 5 2 5 2 5 5" xfId="18893"/>
    <cellStyle name="Normal 5 2 5 2 5 5 2" xfId="35321"/>
    <cellStyle name="Normal 5 2 5 2 5 6" xfId="35317"/>
    <cellStyle name="Normal 5 2 5 2 6" xfId="18894"/>
    <cellStyle name="Normal 5 2 5 2 6 2" xfId="18895"/>
    <cellStyle name="Normal 5 2 5 2 6 2 2" xfId="35323"/>
    <cellStyle name="Normal 5 2 5 2 6 3" xfId="18896"/>
    <cellStyle name="Normal 5 2 5 2 6 3 2" xfId="35324"/>
    <cellStyle name="Normal 5 2 5 2 6 4" xfId="18897"/>
    <cellStyle name="Normal 5 2 5 2 6 4 2" xfId="35325"/>
    <cellStyle name="Normal 5 2 5 2 6 5" xfId="18898"/>
    <cellStyle name="Normal 5 2 5 2 6 5 2" xfId="35326"/>
    <cellStyle name="Normal 5 2 5 2 6 6" xfId="35322"/>
    <cellStyle name="Normal 5 2 5 2 7" xfId="18899"/>
    <cellStyle name="Normal 5 2 5 2 7 2" xfId="18900"/>
    <cellStyle name="Normal 5 2 5 2 7 2 2" xfId="35328"/>
    <cellStyle name="Normal 5 2 5 2 7 3" xfId="18901"/>
    <cellStyle name="Normal 5 2 5 2 7 3 2" xfId="35329"/>
    <cellStyle name="Normal 5 2 5 2 7 4" xfId="18902"/>
    <cellStyle name="Normal 5 2 5 2 7 4 2" xfId="35330"/>
    <cellStyle name="Normal 5 2 5 2 7 5" xfId="18903"/>
    <cellStyle name="Normal 5 2 5 2 7 5 2" xfId="35331"/>
    <cellStyle name="Normal 5 2 5 2 7 6" xfId="35327"/>
    <cellStyle name="Normal 5 2 5 2 8" xfId="18904"/>
    <cellStyle name="Normal 5 2 5 2 8 2" xfId="35332"/>
    <cellStyle name="Normal 5 2 5 2 9" xfId="18905"/>
    <cellStyle name="Normal 5 2 5 2 9 2" xfId="35333"/>
    <cellStyle name="Normal 5 2 5 20" xfId="18906"/>
    <cellStyle name="Normal 5 2 5 20 2" xfId="35334"/>
    <cellStyle name="Normal 5 2 5 21" xfId="35260"/>
    <cellStyle name="Normal 5 2 5 3" xfId="18907"/>
    <cellStyle name="Normal 5 2 5 3 2" xfId="18908"/>
    <cellStyle name="Normal 5 2 5 3 2 2" xfId="18909"/>
    <cellStyle name="Normal 5 2 5 3 2 2 2" xfId="35337"/>
    <cellStyle name="Normal 5 2 5 3 2 3" xfId="18910"/>
    <cellStyle name="Normal 5 2 5 3 2 3 2" xfId="35338"/>
    <cellStyle name="Normal 5 2 5 3 2 4" xfId="18911"/>
    <cellStyle name="Normal 5 2 5 3 2 4 2" xfId="35339"/>
    <cellStyle name="Normal 5 2 5 3 2 5" xfId="18912"/>
    <cellStyle name="Normal 5 2 5 3 2 5 2" xfId="35340"/>
    <cellStyle name="Normal 5 2 5 3 2 6" xfId="35336"/>
    <cellStyle name="Normal 5 2 5 3 3" xfId="18913"/>
    <cellStyle name="Normal 5 2 5 3 3 2" xfId="35341"/>
    <cellStyle name="Normal 5 2 5 3 4" xfId="18914"/>
    <cellStyle name="Normal 5 2 5 3 4 2" xfId="35342"/>
    <cellStyle name="Normal 5 2 5 3 5" xfId="18915"/>
    <cellStyle name="Normal 5 2 5 3 5 2" xfId="35343"/>
    <cellStyle name="Normal 5 2 5 3 6" xfId="18916"/>
    <cellStyle name="Normal 5 2 5 3 6 2" xfId="35344"/>
    <cellStyle name="Normal 5 2 5 3 7" xfId="35335"/>
    <cellStyle name="Normal 5 2 5 4" xfId="18917"/>
    <cellStyle name="Normal 5 2 5 4 2" xfId="18918"/>
    <cellStyle name="Normal 5 2 5 4 2 2" xfId="18919"/>
    <cellStyle name="Normal 5 2 5 4 2 2 2" xfId="35347"/>
    <cellStyle name="Normal 5 2 5 4 2 3" xfId="18920"/>
    <cellStyle name="Normal 5 2 5 4 2 3 2" xfId="35348"/>
    <cellStyle name="Normal 5 2 5 4 2 4" xfId="18921"/>
    <cellStyle name="Normal 5 2 5 4 2 4 2" xfId="35349"/>
    <cellStyle name="Normal 5 2 5 4 2 5" xfId="18922"/>
    <cellStyle name="Normal 5 2 5 4 2 5 2" xfId="35350"/>
    <cellStyle name="Normal 5 2 5 4 2 6" xfId="35346"/>
    <cellStyle name="Normal 5 2 5 4 3" xfId="18923"/>
    <cellStyle name="Normal 5 2 5 4 3 2" xfId="35351"/>
    <cellStyle name="Normal 5 2 5 4 4" xfId="18924"/>
    <cellStyle name="Normal 5 2 5 4 4 2" xfId="35352"/>
    <cellStyle name="Normal 5 2 5 4 5" xfId="18925"/>
    <cellStyle name="Normal 5 2 5 4 5 2" xfId="35353"/>
    <cellStyle name="Normal 5 2 5 4 6" xfId="18926"/>
    <cellStyle name="Normal 5 2 5 4 6 2" xfId="35354"/>
    <cellStyle name="Normal 5 2 5 4 7" xfId="35345"/>
    <cellStyle name="Normal 5 2 5 5" xfId="18927"/>
    <cellStyle name="Normal 5 2 5 5 2" xfId="18928"/>
    <cellStyle name="Normal 5 2 5 5 2 2" xfId="35356"/>
    <cellStyle name="Normal 5 2 5 5 3" xfId="18929"/>
    <cellStyle name="Normal 5 2 5 5 3 2" xfId="35357"/>
    <cellStyle name="Normal 5 2 5 5 4" xfId="18930"/>
    <cellStyle name="Normal 5 2 5 5 4 2" xfId="35358"/>
    <cellStyle name="Normal 5 2 5 5 5" xfId="18931"/>
    <cellStyle name="Normal 5 2 5 5 5 2" xfId="35359"/>
    <cellStyle name="Normal 5 2 5 5 6" xfId="35355"/>
    <cellStyle name="Normal 5 2 5 6" xfId="18932"/>
    <cellStyle name="Normal 5 2 5 6 2" xfId="18933"/>
    <cellStyle name="Normal 5 2 5 6 2 2" xfId="35361"/>
    <cellStyle name="Normal 5 2 5 6 3" xfId="18934"/>
    <cellStyle name="Normal 5 2 5 6 3 2" xfId="35362"/>
    <cellStyle name="Normal 5 2 5 6 4" xfId="18935"/>
    <cellStyle name="Normal 5 2 5 6 4 2" xfId="35363"/>
    <cellStyle name="Normal 5 2 5 6 5" xfId="18936"/>
    <cellStyle name="Normal 5 2 5 6 5 2" xfId="35364"/>
    <cellStyle name="Normal 5 2 5 6 6" xfId="35360"/>
    <cellStyle name="Normal 5 2 5 7" xfId="18937"/>
    <cellStyle name="Normal 5 2 5 7 2" xfId="18938"/>
    <cellStyle name="Normal 5 2 5 7 2 2" xfId="35366"/>
    <cellStyle name="Normal 5 2 5 7 3" xfId="18939"/>
    <cellStyle name="Normal 5 2 5 7 3 2" xfId="35367"/>
    <cellStyle name="Normal 5 2 5 7 4" xfId="18940"/>
    <cellStyle name="Normal 5 2 5 7 4 2" xfId="35368"/>
    <cellStyle name="Normal 5 2 5 7 5" xfId="18941"/>
    <cellStyle name="Normal 5 2 5 7 5 2" xfId="35369"/>
    <cellStyle name="Normal 5 2 5 7 6" xfId="35365"/>
    <cellStyle name="Normal 5 2 5 8" xfId="18942"/>
    <cellStyle name="Normal 5 2 5 8 2" xfId="18943"/>
    <cellStyle name="Normal 5 2 5 8 2 2" xfId="35371"/>
    <cellStyle name="Normal 5 2 5 8 3" xfId="18944"/>
    <cellStyle name="Normal 5 2 5 8 3 2" xfId="35372"/>
    <cellStyle name="Normal 5 2 5 8 4" xfId="18945"/>
    <cellStyle name="Normal 5 2 5 8 4 2" xfId="35373"/>
    <cellStyle name="Normal 5 2 5 8 5" xfId="18946"/>
    <cellStyle name="Normal 5 2 5 8 5 2" xfId="35374"/>
    <cellStyle name="Normal 5 2 5 8 6" xfId="35370"/>
    <cellStyle name="Normal 5 2 5 9" xfId="18947"/>
    <cellStyle name="Normal 5 2 5 9 2" xfId="18948"/>
    <cellStyle name="Normal 5 2 5 9 2 2" xfId="35376"/>
    <cellStyle name="Normal 5 2 5 9 3" xfId="18949"/>
    <cellStyle name="Normal 5 2 5 9 3 2" xfId="35377"/>
    <cellStyle name="Normal 5 2 5 9 4" xfId="18950"/>
    <cellStyle name="Normal 5 2 5 9 4 2" xfId="35378"/>
    <cellStyle name="Normal 5 2 5 9 5" xfId="18951"/>
    <cellStyle name="Normal 5 2 5 9 5 2" xfId="35379"/>
    <cellStyle name="Normal 5 2 5 9 6" xfId="35375"/>
    <cellStyle name="Normal 5 2 6" xfId="18952"/>
    <cellStyle name="Normal 5 2 7" xfId="18953"/>
    <cellStyle name="Normal 5 2 8" xfId="18954"/>
    <cellStyle name="Normal 5 2 8 10" xfId="18955"/>
    <cellStyle name="Normal 5 2 8 10 2" xfId="18956"/>
    <cellStyle name="Normal 5 2 8 10 2 2" xfId="35382"/>
    <cellStyle name="Normal 5 2 8 10 3" xfId="18957"/>
    <cellStyle name="Normal 5 2 8 10 3 2" xfId="35383"/>
    <cellStyle name="Normal 5 2 8 10 4" xfId="18958"/>
    <cellStyle name="Normal 5 2 8 10 4 2" xfId="35384"/>
    <cellStyle name="Normal 5 2 8 10 5" xfId="18959"/>
    <cellStyle name="Normal 5 2 8 10 5 2" xfId="35385"/>
    <cellStyle name="Normal 5 2 8 10 6" xfId="35381"/>
    <cellStyle name="Normal 5 2 8 11" xfId="18960"/>
    <cellStyle name="Normal 5 2 8 11 2" xfId="18961"/>
    <cellStyle name="Normal 5 2 8 11 2 2" xfId="35387"/>
    <cellStyle name="Normal 5 2 8 11 3" xfId="18962"/>
    <cellStyle name="Normal 5 2 8 11 3 2" xfId="35388"/>
    <cellStyle name="Normal 5 2 8 11 4" xfId="18963"/>
    <cellStyle name="Normal 5 2 8 11 4 2" xfId="35389"/>
    <cellStyle name="Normal 5 2 8 11 5" xfId="18964"/>
    <cellStyle name="Normal 5 2 8 11 5 2" xfId="35390"/>
    <cellStyle name="Normal 5 2 8 11 6" xfId="35386"/>
    <cellStyle name="Normal 5 2 8 12" xfId="18965"/>
    <cellStyle name="Normal 5 2 8 12 2" xfId="18966"/>
    <cellStyle name="Normal 5 2 8 12 2 2" xfId="35392"/>
    <cellStyle name="Normal 5 2 8 12 3" xfId="18967"/>
    <cellStyle name="Normal 5 2 8 12 3 2" xfId="35393"/>
    <cellStyle name="Normal 5 2 8 12 4" xfId="18968"/>
    <cellStyle name="Normal 5 2 8 12 4 2" xfId="35394"/>
    <cellStyle name="Normal 5 2 8 12 5" xfId="18969"/>
    <cellStyle name="Normal 5 2 8 12 5 2" xfId="35395"/>
    <cellStyle name="Normal 5 2 8 12 6" xfId="35391"/>
    <cellStyle name="Normal 5 2 8 13" xfId="18970"/>
    <cellStyle name="Normal 5 2 8 13 2" xfId="18971"/>
    <cellStyle name="Normal 5 2 8 13 2 2" xfId="35397"/>
    <cellStyle name="Normal 5 2 8 13 3" xfId="18972"/>
    <cellStyle name="Normal 5 2 8 13 3 2" xfId="35398"/>
    <cellStyle name="Normal 5 2 8 13 4" xfId="18973"/>
    <cellStyle name="Normal 5 2 8 13 4 2" xfId="35399"/>
    <cellStyle name="Normal 5 2 8 13 5" xfId="18974"/>
    <cellStyle name="Normal 5 2 8 13 5 2" xfId="35400"/>
    <cellStyle name="Normal 5 2 8 13 6" xfId="35396"/>
    <cellStyle name="Normal 5 2 8 14" xfId="18975"/>
    <cellStyle name="Normal 5 2 8 14 2" xfId="18976"/>
    <cellStyle name="Normal 5 2 8 14 2 2" xfId="35402"/>
    <cellStyle name="Normal 5 2 8 14 3" xfId="18977"/>
    <cellStyle name="Normal 5 2 8 14 3 2" xfId="35403"/>
    <cellStyle name="Normal 5 2 8 14 4" xfId="18978"/>
    <cellStyle name="Normal 5 2 8 14 4 2" xfId="35404"/>
    <cellStyle name="Normal 5 2 8 14 5" xfId="18979"/>
    <cellStyle name="Normal 5 2 8 14 5 2" xfId="35405"/>
    <cellStyle name="Normal 5 2 8 14 6" xfId="35401"/>
    <cellStyle name="Normal 5 2 8 15" xfId="18980"/>
    <cellStyle name="Normal 5 2 8 15 2" xfId="18981"/>
    <cellStyle name="Normal 5 2 8 15 2 2" xfId="35407"/>
    <cellStyle name="Normal 5 2 8 15 3" xfId="18982"/>
    <cellStyle name="Normal 5 2 8 15 3 2" xfId="35408"/>
    <cellStyle name="Normal 5 2 8 15 4" xfId="18983"/>
    <cellStyle name="Normal 5 2 8 15 4 2" xfId="35409"/>
    <cellStyle name="Normal 5 2 8 15 5" xfId="18984"/>
    <cellStyle name="Normal 5 2 8 15 5 2" xfId="35410"/>
    <cellStyle name="Normal 5 2 8 15 6" xfId="35406"/>
    <cellStyle name="Normal 5 2 8 16" xfId="18985"/>
    <cellStyle name="Normal 5 2 8 16 2" xfId="18986"/>
    <cellStyle name="Normal 5 2 8 16 2 2" xfId="35412"/>
    <cellStyle name="Normal 5 2 8 16 3" xfId="18987"/>
    <cellStyle name="Normal 5 2 8 16 3 2" xfId="35413"/>
    <cellStyle name="Normal 5 2 8 16 4" xfId="18988"/>
    <cellStyle name="Normal 5 2 8 16 4 2" xfId="35414"/>
    <cellStyle name="Normal 5 2 8 16 5" xfId="18989"/>
    <cellStyle name="Normal 5 2 8 16 5 2" xfId="35415"/>
    <cellStyle name="Normal 5 2 8 16 6" xfId="35411"/>
    <cellStyle name="Normal 5 2 8 17" xfId="18990"/>
    <cellStyle name="Normal 5 2 8 17 2" xfId="35416"/>
    <cellStyle name="Normal 5 2 8 18" xfId="18991"/>
    <cellStyle name="Normal 5 2 8 18 2" xfId="35417"/>
    <cellStyle name="Normal 5 2 8 19" xfId="18992"/>
    <cellStyle name="Normal 5 2 8 19 2" xfId="35418"/>
    <cellStyle name="Normal 5 2 8 2" xfId="18993"/>
    <cellStyle name="Normal 5 2 8 20" xfId="18994"/>
    <cellStyle name="Normal 5 2 8 20 2" xfId="35419"/>
    <cellStyle name="Normal 5 2 8 21" xfId="35380"/>
    <cellStyle name="Normal 5 2 8 3" xfId="18995"/>
    <cellStyle name="Normal 5 2 8 3 2" xfId="18996"/>
    <cellStyle name="Normal 5 2 8 3 2 2" xfId="35421"/>
    <cellStyle name="Normal 5 2 8 3 3" xfId="18997"/>
    <cellStyle name="Normal 5 2 8 3 3 2" xfId="35422"/>
    <cellStyle name="Normal 5 2 8 3 4" xfId="18998"/>
    <cellStyle name="Normal 5 2 8 3 4 2" xfId="35423"/>
    <cellStyle name="Normal 5 2 8 3 5" xfId="18999"/>
    <cellStyle name="Normal 5 2 8 3 5 2" xfId="35424"/>
    <cellStyle name="Normal 5 2 8 3 6" xfId="35420"/>
    <cellStyle name="Normal 5 2 8 4" xfId="19000"/>
    <cellStyle name="Normal 5 2 8 4 2" xfId="19001"/>
    <cellStyle name="Normal 5 2 8 4 2 2" xfId="35426"/>
    <cellStyle name="Normal 5 2 8 4 3" xfId="19002"/>
    <cellStyle name="Normal 5 2 8 4 3 2" xfId="35427"/>
    <cellStyle name="Normal 5 2 8 4 4" xfId="19003"/>
    <cellStyle name="Normal 5 2 8 4 4 2" xfId="35428"/>
    <cellStyle name="Normal 5 2 8 4 5" xfId="19004"/>
    <cellStyle name="Normal 5 2 8 4 5 2" xfId="35429"/>
    <cellStyle name="Normal 5 2 8 4 6" xfId="35425"/>
    <cellStyle name="Normal 5 2 8 5" xfId="19005"/>
    <cellStyle name="Normal 5 2 8 5 2" xfId="19006"/>
    <cellStyle name="Normal 5 2 8 5 2 2" xfId="35431"/>
    <cellStyle name="Normal 5 2 8 5 3" xfId="19007"/>
    <cellStyle name="Normal 5 2 8 5 3 2" xfId="35432"/>
    <cellStyle name="Normal 5 2 8 5 4" xfId="19008"/>
    <cellStyle name="Normal 5 2 8 5 4 2" xfId="35433"/>
    <cellStyle name="Normal 5 2 8 5 5" xfId="19009"/>
    <cellStyle name="Normal 5 2 8 5 5 2" xfId="35434"/>
    <cellStyle name="Normal 5 2 8 5 6" xfId="35430"/>
    <cellStyle name="Normal 5 2 8 6" xfId="19010"/>
    <cellStyle name="Normal 5 2 8 6 2" xfId="19011"/>
    <cellStyle name="Normal 5 2 8 6 2 2" xfId="35436"/>
    <cellStyle name="Normal 5 2 8 6 3" xfId="19012"/>
    <cellStyle name="Normal 5 2 8 6 3 2" xfId="35437"/>
    <cellStyle name="Normal 5 2 8 6 4" xfId="19013"/>
    <cellStyle name="Normal 5 2 8 6 4 2" xfId="35438"/>
    <cellStyle name="Normal 5 2 8 6 5" xfId="19014"/>
    <cellStyle name="Normal 5 2 8 6 5 2" xfId="35439"/>
    <cellStyle name="Normal 5 2 8 6 6" xfId="35435"/>
    <cellStyle name="Normal 5 2 8 7" xfId="19015"/>
    <cellStyle name="Normal 5 2 8 7 2" xfId="19016"/>
    <cellStyle name="Normal 5 2 8 7 2 2" xfId="35441"/>
    <cellStyle name="Normal 5 2 8 7 3" xfId="19017"/>
    <cellStyle name="Normal 5 2 8 7 3 2" xfId="35442"/>
    <cellStyle name="Normal 5 2 8 7 4" xfId="19018"/>
    <cellStyle name="Normal 5 2 8 7 4 2" xfId="35443"/>
    <cellStyle name="Normal 5 2 8 7 5" xfId="19019"/>
    <cellStyle name="Normal 5 2 8 7 5 2" xfId="35444"/>
    <cellStyle name="Normal 5 2 8 7 6" xfId="35440"/>
    <cellStyle name="Normal 5 2 8 8" xfId="19020"/>
    <cellStyle name="Normal 5 2 8 8 2" xfId="19021"/>
    <cellStyle name="Normal 5 2 8 8 2 2" xfId="35446"/>
    <cellStyle name="Normal 5 2 8 8 3" xfId="19022"/>
    <cellStyle name="Normal 5 2 8 8 3 2" xfId="35447"/>
    <cellStyle name="Normal 5 2 8 8 4" xfId="19023"/>
    <cellStyle name="Normal 5 2 8 8 4 2" xfId="35448"/>
    <cellStyle name="Normal 5 2 8 8 5" xfId="19024"/>
    <cellStyle name="Normal 5 2 8 8 5 2" xfId="35449"/>
    <cellStyle name="Normal 5 2 8 8 6" xfId="35445"/>
    <cellStyle name="Normal 5 2 8 9" xfId="19025"/>
    <cellStyle name="Normal 5 2 8 9 2" xfId="19026"/>
    <cellStyle name="Normal 5 2 8 9 2 2" xfId="35451"/>
    <cellStyle name="Normal 5 2 8 9 3" xfId="19027"/>
    <cellStyle name="Normal 5 2 8 9 3 2" xfId="35452"/>
    <cellStyle name="Normal 5 2 8 9 4" xfId="19028"/>
    <cellStyle name="Normal 5 2 8 9 4 2" xfId="35453"/>
    <cellStyle name="Normal 5 2 8 9 5" xfId="19029"/>
    <cellStyle name="Normal 5 2 8 9 5 2" xfId="35454"/>
    <cellStyle name="Normal 5 2 8 9 6" xfId="35450"/>
    <cellStyle name="Normal 5 2 9" xfId="19030"/>
    <cellStyle name="Normal 5 2 9 2" xfId="19031"/>
    <cellStyle name="Normal 5 2 9 3" xfId="19032"/>
    <cellStyle name="Normal 5 2 9 3 2" xfId="35456"/>
    <cellStyle name="Normal 5 2 9 4" xfId="19033"/>
    <cellStyle name="Normal 5 2 9 4 2" xfId="35457"/>
    <cellStyle name="Normal 5 2 9 5" xfId="19034"/>
    <cellStyle name="Normal 5 2 9 5 2" xfId="35458"/>
    <cellStyle name="Normal 5 2 9 6" xfId="19035"/>
    <cellStyle name="Normal 5 2 9 6 2" xfId="35459"/>
    <cellStyle name="Normal 5 2 9 7" xfId="35455"/>
    <cellStyle name="Normal 5 20" xfId="19036"/>
    <cellStyle name="Normal 5 20 10" xfId="19037"/>
    <cellStyle name="Normal 5 20 10 2" xfId="35460"/>
    <cellStyle name="Normal 5 20 2" xfId="19038"/>
    <cellStyle name="Normal 5 20 2 2" xfId="19039"/>
    <cellStyle name="Normal 5 20 2 2 2" xfId="35462"/>
    <cellStyle name="Normal 5 20 2 3" xfId="19040"/>
    <cellStyle name="Normal 5 20 2 3 2" xfId="35463"/>
    <cellStyle name="Normal 5 20 2 4" xfId="19041"/>
    <cellStyle name="Normal 5 20 2 4 2" xfId="35464"/>
    <cellStyle name="Normal 5 20 2 5" xfId="19042"/>
    <cellStyle name="Normal 5 20 2 5 2" xfId="35465"/>
    <cellStyle name="Normal 5 20 2 6" xfId="35461"/>
    <cellStyle name="Normal 5 20 3" xfId="19043"/>
    <cellStyle name="Normal 5 20 3 2" xfId="19044"/>
    <cellStyle name="Normal 5 20 3 2 2" xfId="35467"/>
    <cellStyle name="Normal 5 20 3 3" xfId="19045"/>
    <cellStyle name="Normal 5 20 3 3 2" xfId="35468"/>
    <cellStyle name="Normal 5 20 3 4" xfId="19046"/>
    <cellStyle name="Normal 5 20 3 4 2" xfId="35469"/>
    <cellStyle name="Normal 5 20 3 5" xfId="19047"/>
    <cellStyle name="Normal 5 20 3 5 2" xfId="35470"/>
    <cellStyle name="Normal 5 20 3 6" xfId="35466"/>
    <cellStyle name="Normal 5 20 4" xfId="19048"/>
    <cellStyle name="Normal 5 20 4 2" xfId="19049"/>
    <cellStyle name="Normal 5 20 4 2 2" xfId="35472"/>
    <cellStyle name="Normal 5 20 4 3" xfId="19050"/>
    <cellStyle name="Normal 5 20 4 3 2" xfId="35473"/>
    <cellStyle name="Normal 5 20 4 4" xfId="19051"/>
    <cellStyle name="Normal 5 20 4 4 2" xfId="35474"/>
    <cellStyle name="Normal 5 20 4 5" xfId="19052"/>
    <cellStyle name="Normal 5 20 4 5 2" xfId="35475"/>
    <cellStyle name="Normal 5 20 4 6" xfId="35471"/>
    <cellStyle name="Normal 5 20 5" xfId="19053"/>
    <cellStyle name="Normal 5 20 5 2" xfId="19054"/>
    <cellStyle name="Normal 5 20 5 2 2" xfId="35477"/>
    <cellStyle name="Normal 5 20 5 3" xfId="19055"/>
    <cellStyle name="Normal 5 20 5 3 2" xfId="35478"/>
    <cellStyle name="Normal 5 20 5 4" xfId="19056"/>
    <cellStyle name="Normal 5 20 5 4 2" xfId="35479"/>
    <cellStyle name="Normal 5 20 5 5" xfId="19057"/>
    <cellStyle name="Normal 5 20 5 5 2" xfId="35480"/>
    <cellStyle name="Normal 5 20 5 6" xfId="35476"/>
    <cellStyle name="Normal 5 20 6" xfId="19058"/>
    <cellStyle name="Normal 5 20 6 2" xfId="35481"/>
    <cellStyle name="Normal 5 20 7" xfId="19059"/>
    <cellStyle name="Normal 5 20 7 2" xfId="35482"/>
    <cellStyle name="Normal 5 20 8" xfId="19060"/>
    <cellStyle name="Normal 5 20 8 2" xfId="35483"/>
    <cellStyle name="Normal 5 20 9" xfId="19061"/>
    <cellStyle name="Normal 5 20 9 2" xfId="35484"/>
    <cellStyle name="Normal 5 21" xfId="19062"/>
    <cellStyle name="Normal 5 21 10" xfId="19063"/>
    <cellStyle name="Normal 5 21 10 2" xfId="35485"/>
    <cellStyle name="Normal 5 21 11" xfId="41036"/>
    <cellStyle name="Normal 5 21 2" xfId="19064"/>
    <cellStyle name="Normal 5 21 2 2" xfId="19065"/>
    <cellStyle name="Normal 5 21 2 2 2" xfId="35487"/>
    <cellStyle name="Normal 5 21 2 3" xfId="19066"/>
    <cellStyle name="Normal 5 21 2 3 2" xfId="35488"/>
    <cellStyle name="Normal 5 21 2 4" xfId="19067"/>
    <cellStyle name="Normal 5 21 2 4 2" xfId="35489"/>
    <cellStyle name="Normal 5 21 2 5" xfId="19068"/>
    <cellStyle name="Normal 5 21 2 5 2" xfId="35490"/>
    <cellStyle name="Normal 5 21 2 6" xfId="35486"/>
    <cellStyle name="Normal 5 21 3" xfId="19069"/>
    <cellStyle name="Normal 5 21 3 2" xfId="19070"/>
    <cellStyle name="Normal 5 21 3 2 2" xfId="35492"/>
    <cellStyle name="Normal 5 21 3 3" xfId="19071"/>
    <cellStyle name="Normal 5 21 3 3 2" xfId="35493"/>
    <cellStyle name="Normal 5 21 3 4" xfId="19072"/>
    <cellStyle name="Normal 5 21 3 4 2" xfId="35494"/>
    <cellStyle name="Normal 5 21 3 5" xfId="19073"/>
    <cellStyle name="Normal 5 21 3 5 2" xfId="35495"/>
    <cellStyle name="Normal 5 21 3 6" xfId="35491"/>
    <cellStyle name="Normal 5 21 4" xfId="19074"/>
    <cellStyle name="Normal 5 21 4 2" xfId="19075"/>
    <cellStyle name="Normal 5 21 4 2 2" xfId="35497"/>
    <cellStyle name="Normal 5 21 4 3" xfId="19076"/>
    <cellStyle name="Normal 5 21 4 3 2" xfId="35498"/>
    <cellStyle name="Normal 5 21 4 4" xfId="19077"/>
    <cellStyle name="Normal 5 21 4 4 2" xfId="35499"/>
    <cellStyle name="Normal 5 21 4 5" xfId="19078"/>
    <cellStyle name="Normal 5 21 4 5 2" xfId="35500"/>
    <cellStyle name="Normal 5 21 4 6" xfId="35496"/>
    <cellStyle name="Normal 5 21 5" xfId="19079"/>
    <cellStyle name="Normal 5 21 5 2" xfId="19080"/>
    <cellStyle name="Normal 5 21 5 2 2" xfId="35502"/>
    <cellStyle name="Normal 5 21 5 3" xfId="19081"/>
    <cellStyle name="Normal 5 21 5 3 2" xfId="35503"/>
    <cellStyle name="Normal 5 21 5 4" xfId="19082"/>
    <cellStyle name="Normal 5 21 5 4 2" xfId="35504"/>
    <cellStyle name="Normal 5 21 5 5" xfId="19083"/>
    <cellStyle name="Normal 5 21 5 5 2" xfId="35505"/>
    <cellStyle name="Normal 5 21 5 6" xfId="35501"/>
    <cellStyle name="Normal 5 21 6" xfId="19084"/>
    <cellStyle name="Normal 5 21 6 2" xfId="35506"/>
    <cellStyle name="Normal 5 21 7" xfId="19085"/>
    <cellStyle name="Normal 5 21 7 2" xfId="35507"/>
    <cellStyle name="Normal 5 21 8" xfId="19086"/>
    <cellStyle name="Normal 5 21 8 2" xfId="35508"/>
    <cellStyle name="Normal 5 21 9" xfId="19087"/>
    <cellStyle name="Normal 5 21 9 2" xfId="35509"/>
    <cellStyle name="Normal 5 22" xfId="19088"/>
    <cellStyle name="Normal 5 22 10" xfId="19089"/>
    <cellStyle name="Normal 5 22 10 2" xfId="35510"/>
    <cellStyle name="Normal 5 22 11" xfId="41031"/>
    <cellStyle name="Normal 5 22 2" xfId="19090"/>
    <cellStyle name="Normal 5 22 2 2" xfId="19091"/>
    <cellStyle name="Normal 5 22 2 2 2" xfId="35512"/>
    <cellStyle name="Normal 5 22 2 3" xfId="19092"/>
    <cellStyle name="Normal 5 22 2 3 2" xfId="35513"/>
    <cellStyle name="Normal 5 22 2 4" xfId="19093"/>
    <cellStyle name="Normal 5 22 2 4 2" xfId="35514"/>
    <cellStyle name="Normal 5 22 2 5" xfId="19094"/>
    <cellStyle name="Normal 5 22 2 5 2" xfId="35515"/>
    <cellStyle name="Normal 5 22 2 6" xfId="35511"/>
    <cellStyle name="Normal 5 22 3" xfId="19095"/>
    <cellStyle name="Normal 5 22 3 2" xfId="19096"/>
    <cellStyle name="Normal 5 22 3 2 2" xfId="35517"/>
    <cellStyle name="Normal 5 22 3 3" xfId="19097"/>
    <cellStyle name="Normal 5 22 3 3 2" xfId="35518"/>
    <cellStyle name="Normal 5 22 3 4" xfId="19098"/>
    <cellStyle name="Normal 5 22 3 4 2" xfId="35519"/>
    <cellStyle name="Normal 5 22 3 5" xfId="19099"/>
    <cellStyle name="Normal 5 22 3 5 2" xfId="35520"/>
    <cellStyle name="Normal 5 22 3 6" xfId="35516"/>
    <cellStyle name="Normal 5 22 4" xfId="19100"/>
    <cellStyle name="Normal 5 22 4 2" xfId="19101"/>
    <cellStyle name="Normal 5 22 4 2 2" xfId="35522"/>
    <cellStyle name="Normal 5 22 4 3" xfId="19102"/>
    <cellStyle name="Normal 5 22 4 3 2" xfId="35523"/>
    <cellStyle name="Normal 5 22 4 4" xfId="19103"/>
    <cellStyle name="Normal 5 22 4 4 2" xfId="35524"/>
    <cellStyle name="Normal 5 22 4 5" xfId="19104"/>
    <cellStyle name="Normal 5 22 4 5 2" xfId="35525"/>
    <cellStyle name="Normal 5 22 4 6" xfId="35521"/>
    <cellStyle name="Normal 5 22 5" xfId="19105"/>
    <cellStyle name="Normal 5 22 5 2" xfId="19106"/>
    <cellStyle name="Normal 5 22 5 2 2" xfId="35527"/>
    <cellStyle name="Normal 5 22 5 3" xfId="19107"/>
    <cellStyle name="Normal 5 22 5 3 2" xfId="35528"/>
    <cellStyle name="Normal 5 22 5 4" xfId="19108"/>
    <cellStyle name="Normal 5 22 5 4 2" xfId="35529"/>
    <cellStyle name="Normal 5 22 5 5" xfId="19109"/>
    <cellStyle name="Normal 5 22 5 5 2" xfId="35530"/>
    <cellStyle name="Normal 5 22 5 6" xfId="35526"/>
    <cellStyle name="Normal 5 22 6" xfId="19110"/>
    <cellStyle name="Normal 5 22 6 2" xfId="35531"/>
    <cellStyle name="Normal 5 22 7" xfId="19111"/>
    <cellStyle name="Normal 5 22 7 2" xfId="35532"/>
    <cellStyle name="Normal 5 22 8" xfId="19112"/>
    <cellStyle name="Normal 5 22 8 2" xfId="35533"/>
    <cellStyle name="Normal 5 22 9" xfId="19113"/>
    <cellStyle name="Normal 5 22 9 2" xfId="35534"/>
    <cellStyle name="Normal 5 23" xfId="19114"/>
    <cellStyle name="Normal 5 23 2" xfId="19115"/>
    <cellStyle name="Normal 5 23 2 2" xfId="19116"/>
    <cellStyle name="Normal 5 23 2 2 2" xfId="35536"/>
    <cellStyle name="Normal 5 23 2 3" xfId="19117"/>
    <cellStyle name="Normal 5 23 2 3 2" xfId="35537"/>
    <cellStyle name="Normal 5 23 2 4" xfId="19118"/>
    <cellStyle name="Normal 5 23 2 4 2" xfId="35538"/>
    <cellStyle name="Normal 5 23 2 5" xfId="19119"/>
    <cellStyle name="Normal 5 23 2 5 2" xfId="35539"/>
    <cellStyle name="Normal 5 23 2 6" xfId="35535"/>
    <cellStyle name="Normal 5 23 3" xfId="19120"/>
    <cellStyle name="Normal 5 23 3 2" xfId="35540"/>
    <cellStyle name="Normal 5 23 4" xfId="19121"/>
    <cellStyle name="Normal 5 23 4 2" xfId="35541"/>
    <cellStyle name="Normal 5 23 5" xfId="19122"/>
    <cellStyle name="Normal 5 23 5 2" xfId="35542"/>
    <cellStyle name="Normal 5 23 6" xfId="19123"/>
    <cellStyle name="Normal 5 23 6 2" xfId="35543"/>
    <cellStyle name="Normal 5 23 7" xfId="19124"/>
    <cellStyle name="Normal 5 23 7 2" xfId="35544"/>
    <cellStyle name="Normal 5 23 8" xfId="41055"/>
    <cellStyle name="Normal 5 24" xfId="19125"/>
    <cellStyle name="Normal 5 24 2" xfId="19126"/>
    <cellStyle name="Normal 5 24 2 2" xfId="19127"/>
    <cellStyle name="Normal 5 24 2 2 2" xfId="35546"/>
    <cellStyle name="Normal 5 24 2 3" xfId="19128"/>
    <cellStyle name="Normal 5 24 2 3 2" xfId="35547"/>
    <cellStyle name="Normal 5 24 2 4" xfId="19129"/>
    <cellStyle name="Normal 5 24 2 4 2" xfId="35548"/>
    <cellStyle name="Normal 5 24 2 5" xfId="19130"/>
    <cellStyle name="Normal 5 24 2 5 2" xfId="35549"/>
    <cellStyle name="Normal 5 24 2 6" xfId="35545"/>
    <cellStyle name="Normal 5 24 3" xfId="19131"/>
    <cellStyle name="Normal 5 24 3 2" xfId="35550"/>
    <cellStyle name="Normal 5 24 4" xfId="19132"/>
    <cellStyle name="Normal 5 24 4 2" xfId="35551"/>
    <cellStyle name="Normal 5 24 5" xfId="19133"/>
    <cellStyle name="Normal 5 24 5 2" xfId="35552"/>
    <cellStyle name="Normal 5 24 6" xfId="19134"/>
    <cellStyle name="Normal 5 24 6 2" xfId="35553"/>
    <cellStyle name="Normal 5 24 7" xfId="19135"/>
    <cellStyle name="Normal 5 24 7 2" xfId="35554"/>
    <cellStyle name="Normal 5 25" xfId="19136"/>
    <cellStyle name="Normal 5 25 2" xfId="19137"/>
    <cellStyle name="Normal 5 25 2 2" xfId="19138"/>
    <cellStyle name="Normal 5 25 2 2 2" xfId="35556"/>
    <cellStyle name="Normal 5 25 2 3" xfId="19139"/>
    <cellStyle name="Normal 5 25 2 3 2" xfId="35557"/>
    <cellStyle name="Normal 5 25 2 4" xfId="19140"/>
    <cellStyle name="Normal 5 25 2 4 2" xfId="35558"/>
    <cellStyle name="Normal 5 25 2 5" xfId="19141"/>
    <cellStyle name="Normal 5 25 2 5 2" xfId="35559"/>
    <cellStyle name="Normal 5 25 2 6" xfId="35555"/>
    <cellStyle name="Normal 5 25 3" xfId="19142"/>
    <cellStyle name="Normal 5 25 3 2" xfId="35560"/>
    <cellStyle name="Normal 5 25 4" xfId="19143"/>
    <cellStyle name="Normal 5 25 4 2" xfId="35561"/>
    <cellStyle name="Normal 5 25 5" xfId="19144"/>
    <cellStyle name="Normal 5 25 5 2" xfId="35562"/>
    <cellStyle name="Normal 5 25 6" xfId="19145"/>
    <cellStyle name="Normal 5 25 6 2" xfId="35563"/>
    <cellStyle name="Normal 5 25 7" xfId="19146"/>
    <cellStyle name="Normal 5 25 7 2" xfId="35564"/>
    <cellStyle name="Normal 5 26" xfId="19147"/>
    <cellStyle name="Normal 5 26 2" xfId="19148"/>
    <cellStyle name="Normal 5 26 2 2" xfId="35565"/>
    <cellStyle name="Normal 5 26 3" xfId="19149"/>
    <cellStyle name="Normal 5 26 3 2" xfId="35566"/>
    <cellStyle name="Normal 5 26 4" xfId="19150"/>
    <cellStyle name="Normal 5 26 4 2" xfId="35567"/>
    <cellStyle name="Normal 5 26 5" xfId="19151"/>
    <cellStyle name="Normal 5 26 5 2" xfId="35568"/>
    <cellStyle name="Normal 5 26 6" xfId="19152"/>
    <cellStyle name="Normal 5 26 6 2" xfId="35569"/>
    <cellStyle name="Normal 5 26 7" xfId="19153"/>
    <cellStyle name="Normal 5 26 7 2" xfId="35570"/>
    <cellStyle name="Normal 5 27" xfId="19154"/>
    <cellStyle name="Normal 5 27 2" xfId="19155"/>
    <cellStyle name="Normal 5 27 2 2" xfId="35571"/>
    <cellStyle name="Normal 5 27 3" xfId="19156"/>
    <cellStyle name="Normal 5 27 3 2" xfId="35572"/>
    <cellStyle name="Normal 5 27 4" xfId="19157"/>
    <cellStyle name="Normal 5 27 4 2" xfId="35573"/>
    <cellStyle name="Normal 5 27 5" xfId="19158"/>
    <cellStyle name="Normal 5 27 5 2" xfId="35574"/>
    <cellStyle name="Normal 5 27 6" xfId="19159"/>
    <cellStyle name="Normal 5 27 6 2" xfId="35575"/>
    <cellStyle name="Normal 5 27 7" xfId="19160"/>
    <cellStyle name="Normal 5 27 7 2" xfId="35576"/>
    <cellStyle name="Normal 5 28" xfId="19161"/>
    <cellStyle name="Normal 5 28 2" xfId="19162"/>
    <cellStyle name="Normal 5 28 2 2" xfId="35577"/>
    <cellStyle name="Normal 5 28 3" xfId="19163"/>
    <cellStyle name="Normal 5 28 3 2" xfId="35578"/>
    <cellStyle name="Normal 5 28 4" xfId="19164"/>
    <cellStyle name="Normal 5 28 4 2" xfId="35579"/>
    <cellStyle name="Normal 5 28 5" xfId="19165"/>
    <cellStyle name="Normal 5 28 5 2" xfId="35580"/>
    <cellStyle name="Normal 5 28 6" xfId="19166"/>
    <cellStyle name="Normal 5 28 6 2" xfId="35581"/>
    <cellStyle name="Normal 5 28 7" xfId="19167"/>
    <cellStyle name="Normal 5 28 7 2" xfId="35582"/>
    <cellStyle name="Normal 5 29" xfId="19168"/>
    <cellStyle name="Normal 5 29 2" xfId="19169"/>
    <cellStyle name="Normal 5 29 2 2" xfId="35583"/>
    <cellStyle name="Normal 5 29 3" xfId="19170"/>
    <cellStyle name="Normal 5 29 3 2" xfId="35584"/>
    <cellStyle name="Normal 5 29 4" xfId="19171"/>
    <cellStyle name="Normal 5 29 4 2" xfId="35585"/>
    <cellStyle name="Normal 5 29 5" xfId="19172"/>
    <cellStyle name="Normal 5 29 5 2" xfId="35586"/>
    <cellStyle name="Normal 5 29 6" xfId="19173"/>
    <cellStyle name="Normal 5 29 6 2" xfId="35587"/>
    <cellStyle name="Normal 5 29 7" xfId="19174"/>
    <cellStyle name="Normal 5 29 7 2" xfId="35588"/>
    <cellStyle name="Normal 5 3" xfId="19175"/>
    <cellStyle name="Normal 5 3 10" xfId="19176"/>
    <cellStyle name="Normal 5 3 10 2" xfId="19177"/>
    <cellStyle name="Normal 5 3 10 2 2" xfId="35590"/>
    <cellStyle name="Normal 5 3 10 3" xfId="19178"/>
    <cellStyle name="Normal 5 3 10 3 2" xfId="35591"/>
    <cellStyle name="Normal 5 3 10 4" xfId="19179"/>
    <cellStyle name="Normal 5 3 10 4 2" xfId="35592"/>
    <cellStyle name="Normal 5 3 10 5" xfId="19180"/>
    <cellStyle name="Normal 5 3 10 5 2" xfId="35593"/>
    <cellStyle name="Normal 5 3 10 6" xfId="35589"/>
    <cellStyle name="Normal 5 3 11" xfId="19181"/>
    <cellStyle name="Normal 5 3 11 2" xfId="19182"/>
    <cellStyle name="Normal 5 3 11 2 2" xfId="35595"/>
    <cellStyle name="Normal 5 3 11 3" xfId="19183"/>
    <cellStyle name="Normal 5 3 11 3 2" xfId="35596"/>
    <cellStyle name="Normal 5 3 11 4" xfId="19184"/>
    <cellStyle name="Normal 5 3 11 4 2" xfId="35597"/>
    <cellStyle name="Normal 5 3 11 5" xfId="19185"/>
    <cellStyle name="Normal 5 3 11 5 2" xfId="35598"/>
    <cellStyle name="Normal 5 3 11 6" xfId="35594"/>
    <cellStyle name="Normal 5 3 12" xfId="19186"/>
    <cellStyle name="Normal 5 3 12 2" xfId="19187"/>
    <cellStyle name="Normal 5 3 12 2 2" xfId="35600"/>
    <cellStyle name="Normal 5 3 12 3" xfId="19188"/>
    <cellStyle name="Normal 5 3 12 3 2" xfId="35601"/>
    <cellStyle name="Normal 5 3 12 4" xfId="19189"/>
    <cellStyle name="Normal 5 3 12 4 2" xfId="35602"/>
    <cellStyle name="Normal 5 3 12 5" xfId="19190"/>
    <cellStyle name="Normal 5 3 12 5 2" xfId="35603"/>
    <cellStyle name="Normal 5 3 12 6" xfId="35599"/>
    <cellStyle name="Normal 5 3 13" xfId="19191"/>
    <cellStyle name="Normal 5 3 13 2" xfId="19192"/>
    <cellStyle name="Normal 5 3 13 2 2" xfId="35605"/>
    <cellStyle name="Normal 5 3 13 3" xfId="19193"/>
    <cellStyle name="Normal 5 3 13 3 2" xfId="35606"/>
    <cellStyle name="Normal 5 3 13 4" xfId="19194"/>
    <cellStyle name="Normal 5 3 13 4 2" xfId="35607"/>
    <cellStyle name="Normal 5 3 13 5" xfId="19195"/>
    <cellStyle name="Normal 5 3 13 5 2" xfId="35608"/>
    <cellStyle name="Normal 5 3 13 6" xfId="35604"/>
    <cellStyle name="Normal 5 3 14" xfId="19196"/>
    <cellStyle name="Normal 5 3 14 2" xfId="19197"/>
    <cellStyle name="Normal 5 3 14 2 2" xfId="35610"/>
    <cellStyle name="Normal 5 3 14 3" xfId="19198"/>
    <cellStyle name="Normal 5 3 14 3 2" xfId="35611"/>
    <cellStyle name="Normal 5 3 14 4" xfId="19199"/>
    <cellStyle name="Normal 5 3 14 4 2" xfId="35612"/>
    <cellStyle name="Normal 5 3 14 5" xfId="19200"/>
    <cellStyle name="Normal 5 3 14 5 2" xfId="35613"/>
    <cellStyle name="Normal 5 3 14 6" xfId="35609"/>
    <cellStyle name="Normal 5 3 15" xfId="19201"/>
    <cellStyle name="Normal 5 3 15 2" xfId="19202"/>
    <cellStyle name="Normal 5 3 15 2 2" xfId="35615"/>
    <cellStyle name="Normal 5 3 15 3" xfId="19203"/>
    <cellStyle name="Normal 5 3 15 3 2" xfId="35616"/>
    <cellStyle name="Normal 5 3 15 4" xfId="19204"/>
    <cellStyle name="Normal 5 3 15 4 2" xfId="35617"/>
    <cellStyle name="Normal 5 3 15 5" xfId="19205"/>
    <cellStyle name="Normal 5 3 15 5 2" xfId="35618"/>
    <cellStyle name="Normal 5 3 15 6" xfId="35614"/>
    <cellStyle name="Normal 5 3 16" xfId="19206"/>
    <cellStyle name="Normal 5 3 16 2" xfId="19207"/>
    <cellStyle name="Normal 5 3 16 2 2" xfId="35620"/>
    <cellStyle name="Normal 5 3 16 3" xfId="19208"/>
    <cellStyle name="Normal 5 3 16 3 2" xfId="35621"/>
    <cellStyle name="Normal 5 3 16 4" xfId="19209"/>
    <cellStyle name="Normal 5 3 16 4 2" xfId="35622"/>
    <cellStyle name="Normal 5 3 16 5" xfId="19210"/>
    <cellStyle name="Normal 5 3 16 5 2" xfId="35623"/>
    <cellStyle name="Normal 5 3 16 6" xfId="35619"/>
    <cellStyle name="Normal 5 3 17" xfId="19211"/>
    <cellStyle name="Normal 5 3 17 2" xfId="19212"/>
    <cellStyle name="Normal 5 3 17 2 2" xfId="35625"/>
    <cellStyle name="Normal 5 3 17 3" xfId="19213"/>
    <cellStyle name="Normal 5 3 17 3 2" xfId="35626"/>
    <cellStyle name="Normal 5 3 17 4" xfId="19214"/>
    <cellStyle name="Normal 5 3 17 4 2" xfId="35627"/>
    <cellStyle name="Normal 5 3 17 5" xfId="19215"/>
    <cellStyle name="Normal 5 3 17 5 2" xfId="35628"/>
    <cellStyle name="Normal 5 3 17 6" xfId="35624"/>
    <cellStyle name="Normal 5 3 18" xfId="19216"/>
    <cellStyle name="Normal 5 3 18 2" xfId="19217"/>
    <cellStyle name="Normal 5 3 18 2 2" xfId="35630"/>
    <cellStyle name="Normal 5 3 18 3" xfId="19218"/>
    <cellStyle name="Normal 5 3 18 3 2" xfId="35631"/>
    <cellStyle name="Normal 5 3 18 4" xfId="19219"/>
    <cellStyle name="Normal 5 3 18 4 2" xfId="35632"/>
    <cellStyle name="Normal 5 3 18 5" xfId="19220"/>
    <cellStyle name="Normal 5 3 18 5 2" xfId="35633"/>
    <cellStyle name="Normal 5 3 18 6" xfId="35629"/>
    <cellStyle name="Normal 5 3 19" xfId="19221"/>
    <cellStyle name="Normal 5 3 19 2" xfId="19222"/>
    <cellStyle name="Normal 5 3 19 2 2" xfId="35635"/>
    <cellStyle name="Normal 5 3 19 3" xfId="19223"/>
    <cellStyle name="Normal 5 3 19 3 2" xfId="35636"/>
    <cellStyle name="Normal 5 3 19 4" xfId="19224"/>
    <cellStyle name="Normal 5 3 19 4 2" xfId="35637"/>
    <cellStyle name="Normal 5 3 19 5" xfId="19225"/>
    <cellStyle name="Normal 5 3 19 5 2" xfId="35638"/>
    <cellStyle name="Normal 5 3 19 6" xfId="35634"/>
    <cellStyle name="Normal 5 3 2" xfId="19226"/>
    <cellStyle name="Normal 5 3 2 10" xfId="19227"/>
    <cellStyle name="Normal 5 3 2 10 2" xfId="19228"/>
    <cellStyle name="Normal 5 3 2 10 2 2" xfId="35641"/>
    <cellStyle name="Normal 5 3 2 10 3" xfId="19229"/>
    <cellStyle name="Normal 5 3 2 10 3 2" xfId="35642"/>
    <cellStyle name="Normal 5 3 2 10 4" xfId="19230"/>
    <cellStyle name="Normal 5 3 2 10 4 2" xfId="35643"/>
    <cellStyle name="Normal 5 3 2 10 5" xfId="19231"/>
    <cellStyle name="Normal 5 3 2 10 5 2" xfId="35644"/>
    <cellStyle name="Normal 5 3 2 10 6" xfId="35640"/>
    <cellStyle name="Normal 5 3 2 11" xfId="19232"/>
    <cellStyle name="Normal 5 3 2 11 2" xfId="19233"/>
    <cellStyle name="Normal 5 3 2 11 2 2" xfId="35646"/>
    <cellStyle name="Normal 5 3 2 11 3" xfId="19234"/>
    <cellStyle name="Normal 5 3 2 11 3 2" xfId="35647"/>
    <cellStyle name="Normal 5 3 2 11 4" xfId="19235"/>
    <cellStyle name="Normal 5 3 2 11 4 2" xfId="35648"/>
    <cellStyle name="Normal 5 3 2 11 5" xfId="19236"/>
    <cellStyle name="Normal 5 3 2 11 5 2" xfId="35649"/>
    <cellStyle name="Normal 5 3 2 11 6" xfId="35645"/>
    <cellStyle name="Normal 5 3 2 12" xfId="19237"/>
    <cellStyle name="Normal 5 3 2 12 2" xfId="19238"/>
    <cellStyle name="Normal 5 3 2 12 2 2" xfId="35651"/>
    <cellStyle name="Normal 5 3 2 12 3" xfId="19239"/>
    <cellStyle name="Normal 5 3 2 12 3 2" xfId="35652"/>
    <cellStyle name="Normal 5 3 2 12 4" xfId="19240"/>
    <cellStyle name="Normal 5 3 2 12 4 2" xfId="35653"/>
    <cellStyle name="Normal 5 3 2 12 5" xfId="19241"/>
    <cellStyle name="Normal 5 3 2 12 5 2" xfId="35654"/>
    <cellStyle name="Normal 5 3 2 12 6" xfId="35650"/>
    <cellStyle name="Normal 5 3 2 13" xfId="19242"/>
    <cellStyle name="Normal 5 3 2 13 2" xfId="19243"/>
    <cellStyle name="Normal 5 3 2 13 2 2" xfId="35656"/>
    <cellStyle name="Normal 5 3 2 13 3" xfId="19244"/>
    <cellStyle name="Normal 5 3 2 13 3 2" xfId="35657"/>
    <cellStyle name="Normal 5 3 2 13 4" xfId="19245"/>
    <cellStyle name="Normal 5 3 2 13 4 2" xfId="35658"/>
    <cellStyle name="Normal 5 3 2 13 5" xfId="19246"/>
    <cellStyle name="Normal 5 3 2 13 5 2" xfId="35659"/>
    <cellStyle name="Normal 5 3 2 13 6" xfId="35655"/>
    <cellStyle name="Normal 5 3 2 14" xfId="19247"/>
    <cellStyle name="Normal 5 3 2 14 2" xfId="19248"/>
    <cellStyle name="Normal 5 3 2 14 2 2" xfId="35661"/>
    <cellStyle name="Normal 5 3 2 14 3" xfId="19249"/>
    <cellStyle name="Normal 5 3 2 14 3 2" xfId="35662"/>
    <cellStyle name="Normal 5 3 2 14 4" xfId="19250"/>
    <cellStyle name="Normal 5 3 2 14 4 2" xfId="35663"/>
    <cellStyle name="Normal 5 3 2 14 5" xfId="19251"/>
    <cellStyle name="Normal 5 3 2 14 5 2" xfId="35664"/>
    <cellStyle name="Normal 5 3 2 14 6" xfId="35660"/>
    <cellStyle name="Normal 5 3 2 15" xfId="19252"/>
    <cellStyle name="Normal 5 3 2 15 2" xfId="19253"/>
    <cellStyle name="Normal 5 3 2 15 2 2" xfId="35666"/>
    <cellStyle name="Normal 5 3 2 15 3" xfId="19254"/>
    <cellStyle name="Normal 5 3 2 15 3 2" xfId="35667"/>
    <cellStyle name="Normal 5 3 2 15 4" xfId="19255"/>
    <cellStyle name="Normal 5 3 2 15 4 2" xfId="35668"/>
    <cellStyle name="Normal 5 3 2 15 5" xfId="19256"/>
    <cellStyle name="Normal 5 3 2 15 5 2" xfId="35669"/>
    <cellStyle name="Normal 5 3 2 15 6" xfId="35665"/>
    <cellStyle name="Normal 5 3 2 16" xfId="19257"/>
    <cellStyle name="Normal 5 3 2 16 2" xfId="19258"/>
    <cellStyle name="Normal 5 3 2 16 2 2" xfId="35671"/>
    <cellStyle name="Normal 5 3 2 16 3" xfId="19259"/>
    <cellStyle name="Normal 5 3 2 16 3 2" xfId="35672"/>
    <cellStyle name="Normal 5 3 2 16 4" xfId="19260"/>
    <cellStyle name="Normal 5 3 2 16 4 2" xfId="35673"/>
    <cellStyle name="Normal 5 3 2 16 5" xfId="19261"/>
    <cellStyle name="Normal 5 3 2 16 5 2" xfId="35674"/>
    <cellStyle name="Normal 5 3 2 16 6" xfId="35670"/>
    <cellStyle name="Normal 5 3 2 17" xfId="19262"/>
    <cellStyle name="Normal 5 3 2 17 2" xfId="35675"/>
    <cellStyle name="Normal 5 3 2 18" xfId="19263"/>
    <cellStyle name="Normal 5 3 2 18 2" xfId="35676"/>
    <cellStyle name="Normal 5 3 2 19" xfId="19264"/>
    <cellStyle name="Normal 5 3 2 19 2" xfId="35677"/>
    <cellStyle name="Normal 5 3 2 2" xfId="19265"/>
    <cellStyle name="Normal 5 3 2 2 10" xfId="19266"/>
    <cellStyle name="Normal 5 3 2 2 10 2" xfId="35679"/>
    <cellStyle name="Normal 5 3 2 2 11" xfId="19267"/>
    <cellStyle name="Normal 5 3 2 2 11 2" xfId="35680"/>
    <cellStyle name="Normal 5 3 2 2 12" xfId="40750"/>
    <cellStyle name="Normal 5 3 2 2 13" xfId="35678"/>
    <cellStyle name="Normal 5 3 2 2 2" xfId="19268"/>
    <cellStyle name="Normal 5 3 2 2 2 2" xfId="19269"/>
    <cellStyle name="Normal 5 3 2 2 2 2 2" xfId="35682"/>
    <cellStyle name="Normal 5 3 2 2 2 3" xfId="19270"/>
    <cellStyle name="Normal 5 3 2 2 2 3 2" xfId="35683"/>
    <cellStyle name="Normal 5 3 2 2 2 4" xfId="19271"/>
    <cellStyle name="Normal 5 3 2 2 2 4 2" xfId="35684"/>
    <cellStyle name="Normal 5 3 2 2 2 5" xfId="19272"/>
    <cellStyle name="Normal 5 3 2 2 2 5 2" xfId="35685"/>
    <cellStyle name="Normal 5 3 2 2 2 6" xfId="35681"/>
    <cellStyle name="Normal 5 3 2 2 3" xfId="19273"/>
    <cellStyle name="Normal 5 3 2 2 3 2" xfId="19274"/>
    <cellStyle name="Normal 5 3 2 2 3 2 2" xfId="35687"/>
    <cellStyle name="Normal 5 3 2 2 3 3" xfId="19275"/>
    <cellStyle name="Normal 5 3 2 2 3 3 2" xfId="35688"/>
    <cellStyle name="Normal 5 3 2 2 3 4" xfId="19276"/>
    <cellStyle name="Normal 5 3 2 2 3 4 2" xfId="35689"/>
    <cellStyle name="Normal 5 3 2 2 3 5" xfId="19277"/>
    <cellStyle name="Normal 5 3 2 2 3 5 2" xfId="35690"/>
    <cellStyle name="Normal 5 3 2 2 3 6" xfId="35686"/>
    <cellStyle name="Normal 5 3 2 2 4" xfId="19278"/>
    <cellStyle name="Normal 5 3 2 2 4 2" xfId="19279"/>
    <cellStyle name="Normal 5 3 2 2 4 2 2" xfId="35692"/>
    <cellStyle name="Normal 5 3 2 2 4 3" xfId="19280"/>
    <cellStyle name="Normal 5 3 2 2 4 3 2" xfId="35693"/>
    <cellStyle name="Normal 5 3 2 2 4 4" xfId="19281"/>
    <cellStyle name="Normal 5 3 2 2 4 4 2" xfId="35694"/>
    <cellStyle name="Normal 5 3 2 2 4 5" xfId="19282"/>
    <cellStyle name="Normal 5 3 2 2 4 5 2" xfId="35695"/>
    <cellStyle name="Normal 5 3 2 2 4 6" xfId="35691"/>
    <cellStyle name="Normal 5 3 2 2 5" xfId="19283"/>
    <cellStyle name="Normal 5 3 2 2 5 2" xfId="19284"/>
    <cellStyle name="Normal 5 3 2 2 5 2 2" xfId="35697"/>
    <cellStyle name="Normal 5 3 2 2 5 3" xfId="19285"/>
    <cellStyle name="Normal 5 3 2 2 5 3 2" xfId="35698"/>
    <cellStyle name="Normal 5 3 2 2 5 4" xfId="19286"/>
    <cellStyle name="Normal 5 3 2 2 5 4 2" xfId="35699"/>
    <cellStyle name="Normal 5 3 2 2 5 5" xfId="19287"/>
    <cellStyle name="Normal 5 3 2 2 5 5 2" xfId="35700"/>
    <cellStyle name="Normal 5 3 2 2 5 6" xfId="35696"/>
    <cellStyle name="Normal 5 3 2 2 6" xfId="19288"/>
    <cellStyle name="Normal 5 3 2 2 6 2" xfId="19289"/>
    <cellStyle name="Normal 5 3 2 2 6 2 2" xfId="35702"/>
    <cellStyle name="Normal 5 3 2 2 6 3" xfId="19290"/>
    <cellStyle name="Normal 5 3 2 2 6 3 2" xfId="35703"/>
    <cellStyle name="Normal 5 3 2 2 6 4" xfId="19291"/>
    <cellStyle name="Normal 5 3 2 2 6 4 2" xfId="35704"/>
    <cellStyle name="Normal 5 3 2 2 6 5" xfId="19292"/>
    <cellStyle name="Normal 5 3 2 2 6 5 2" xfId="35705"/>
    <cellStyle name="Normal 5 3 2 2 6 6" xfId="35701"/>
    <cellStyle name="Normal 5 3 2 2 7" xfId="19293"/>
    <cellStyle name="Normal 5 3 2 2 7 2" xfId="19294"/>
    <cellStyle name="Normal 5 3 2 2 7 2 2" xfId="35707"/>
    <cellStyle name="Normal 5 3 2 2 7 3" xfId="19295"/>
    <cellStyle name="Normal 5 3 2 2 7 3 2" xfId="35708"/>
    <cellStyle name="Normal 5 3 2 2 7 4" xfId="19296"/>
    <cellStyle name="Normal 5 3 2 2 7 4 2" xfId="35709"/>
    <cellStyle name="Normal 5 3 2 2 7 5" xfId="19297"/>
    <cellStyle name="Normal 5 3 2 2 7 5 2" xfId="35710"/>
    <cellStyle name="Normal 5 3 2 2 7 6" xfId="35706"/>
    <cellStyle name="Normal 5 3 2 2 8" xfId="19298"/>
    <cellStyle name="Normal 5 3 2 2 8 2" xfId="35711"/>
    <cellStyle name="Normal 5 3 2 2 9" xfId="19299"/>
    <cellStyle name="Normal 5 3 2 2 9 2" xfId="35712"/>
    <cellStyle name="Normal 5 3 2 20" xfId="19300"/>
    <cellStyle name="Normal 5 3 2 20 2" xfId="35713"/>
    <cellStyle name="Normal 5 3 2 21" xfId="40749"/>
    <cellStyle name="Normal 5 3 2 22" xfId="35639"/>
    <cellStyle name="Normal 5 3 2 3" xfId="19301"/>
    <cellStyle name="Normal 5 3 2 3 2" xfId="19302"/>
    <cellStyle name="Normal 5 3 2 3 2 2" xfId="19303"/>
    <cellStyle name="Normal 5 3 2 3 2 2 2" xfId="35716"/>
    <cellStyle name="Normal 5 3 2 3 2 3" xfId="19304"/>
    <cellStyle name="Normal 5 3 2 3 2 3 2" xfId="35717"/>
    <cellStyle name="Normal 5 3 2 3 2 4" xfId="19305"/>
    <cellStyle name="Normal 5 3 2 3 2 4 2" xfId="35718"/>
    <cellStyle name="Normal 5 3 2 3 2 5" xfId="19306"/>
    <cellStyle name="Normal 5 3 2 3 2 5 2" xfId="35719"/>
    <cellStyle name="Normal 5 3 2 3 2 6" xfId="35715"/>
    <cellStyle name="Normal 5 3 2 3 3" xfId="19307"/>
    <cellStyle name="Normal 5 3 2 3 3 2" xfId="35720"/>
    <cellStyle name="Normal 5 3 2 3 4" xfId="19308"/>
    <cellStyle name="Normal 5 3 2 3 4 2" xfId="35721"/>
    <cellStyle name="Normal 5 3 2 3 5" xfId="19309"/>
    <cellStyle name="Normal 5 3 2 3 5 2" xfId="35722"/>
    <cellStyle name="Normal 5 3 2 3 6" xfId="19310"/>
    <cellStyle name="Normal 5 3 2 3 6 2" xfId="35723"/>
    <cellStyle name="Normal 5 3 2 3 7" xfId="35714"/>
    <cellStyle name="Normal 5 3 2 4" xfId="19311"/>
    <cellStyle name="Normal 5 3 2 4 2" xfId="19312"/>
    <cellStyle name="Normal 5 3 2 4 2 2" xfId="19313"/>
    <cellStyle name="Normal 5 3 2 4 2 2 2" xfId="35726"/>
    <cellStyle name="Normal 5 3 2 4 2 3" xfId="19314"/>
    <cellStyle name="Normal 5 3 2 4 2 3 2" xfId="35727"/>
    <cellStyle name="Normal 5 3 2 4 2 4" xfId="19315"/>
    <cellStyle name="Normal 5 3 2 4 2 4 2" xfId="35728"/>
    <cellStyle name="Normal 5 3 2 4 2 5" xfId="19316"/>
    <cellStyle name="Normal 5 3 2 4 2 5 2" xfId="35729"/>
    <cellStyle name="Normal 5 3 2 4 2 6" xfId="35725"/>
    <cellStyle name="Normal 5 3 2 4 3" xfId="19317"/>
    <cellStyle name="Normal 5 3 2 4 3 2" xfId="35730"/>
    <cellStyle name="Normal 5 3 2 4 4" xfId="19318"/>
    <cellStyle name="Normal 5 3 2 4 4 2" xfId="35731"/>
    <cellStyle name="Normal 5 3 2 4 5" xfId="19319"/>
    <cellStyle name="Normal 5 3 2 4 5 2" xfId="35732"/>
    <cellStyle name="Normal 5 3 2 4 6" xfId="19320"/>
    <cellStyle name="Normal 5 3 2 4 6 2" xfId="35733"/>
    <cellStyle name="Normal 5 3 2 4 7" xfId="35724"/>
    <cellStyle name="Normal 5 3 2 5" xfId="19321"/>
    <cellStyle name="Normal 5 3 2 5 2" xfId="19322"/>
    <cellStyle name="Normal 5 3 2 5 2 2" xfId="35735"/>
    <cellStyle name="Normal 5 3 2 5 3" xfId="19323"/>
    <cellStyle name="Normal 5 3 2 5 3 2" xfId="35736"/>
    <cellStyle name="Normal 5 3 2 5 4" xfId="19324"/>
    <cellStyle name="Normal 5 3 2 5 4 2" xfId="35737"/>
    <cellStyle name="Normal 5 3 2 5 5" xfId="19325"/>
    <cellStyle name="Normal 5 3 2 5 5 2" xfId="35738"/>
    <cellStyle name="Normal 5 3 2 5 6" xfId="35734"/>
    <cellStyle name="Normal 5 3 2 6" xfId="19326"/>
    <cellStyle name="Normal 5 3 2 6 2" xfId="19327"/>
    <cellStyle name="Normal 5 3 2 6 2 2" xfId="35740"/>
    <cellStyle name="Normal 5 3 2 6 3" xfId="19328"/>
    <cellStyle name="Normal 5 3 2 6 3 2" xfId="35741"/>
    <cellStyle name="Normal 5 3 2 6 4" xfId="19329"/>
    <cellStyle name="Normal 5 3 2 6 4 2" xfId="35742"/>
    <cellStyle name="Normal 5 3 2 6 5" xfId="19330"/>
    <cellStyle name="Normal 5 3 2 6 5 2" xfId="35743"/>
    <cellStyle name="Normal 5 3 2 6 6" xfId="35739"/>
    <cellStyle name="Normal 5 3 2 7" xfId="19331"/>
    <cellStyle name="Normal 5 3 2 7 2" xfId="19332"/>
    <cellStyle name="Normal 5 3 2 7 2 2" xfId="35745"/>
    <cellStyle name="Normal 5 3 2 7 3" xfId="19333"/>
    <cellStyle name="Normal 5 3 2 7 3 2" xfId="35746"/>
    <cellStyle name="Normal 5 3 2 7 4" xfId="19334"/>
    <cellStyle name="Normal 5 3 2 7 4 2" xfId="35747"/>
    <cellStyle name="Normal 5 3 2 7 5" xfId="19335"/>
    <cellStyle name="Normal 5 3 2 7 5 2" xfId="35748"/>
    <cellStyle name="Normal 5 3 2 7 6" xfId="35744"/>
    <cellStyle name="Normal 5 3 2 8" xfId="19336"/>
    <cellStyle name="Normal 5 3 2 8 2" xfId="19337"/>
    <cellStyle name="Normal 5 3 2 8 2 2" xfId="35750"/>
    <cellStyle name="Normal 5 3 2 8 3" xfId="19338"/>
    <cellStyle name="Normal 5 3 2 8 3 2" xfId="35751"/>
    <cellStyle name="Normal 5 3 2 8 4" xfId="19339"/>
    <cellStyle name="Normal 5 3 2 8 4 2" xfId="35752"/>
    <cellStyle name="Normal 5 3 2 8 5" xfId="19340"/>
    <cellStyle name="Normal 5 3 2 8 5 2" xfId="35753"/>
    <cellStyle name="Normal 5 3 2 8 6" xfId="35749"/>
    <cellStyle name="Normal 5 3 2 9" xfId="19341"/>
    <cellStyle name="Normal 5 3 2 9 2" xfId="19342"/>
    <cellStyle name="Normal 5 3 2 9 2 2" xfId="35755"/>
    <cellStyle name="Normal 5 3 2 9 3" xfId="19343"/>
    <cellStyle name="Normal 5 3 2 9 3 2" xfId="35756"/>
    <cellStyle name="Normal 5 3 2 9 4" xfId="19344"/>
    <cellStyle name="Normal 5 3 2 9 4 2" xfId="35757"/>
    <cellStyle name="Normal 5 3 2 9 5" xfId="19345"/>
    <cellStyle name="Normal 5 3 2 9 5 2" xfId="35758"/>
    <cellStyle name="Normal 5 3 2 9 6" xfId="35754"/>
    <cellStyle name="Normal 5 3 20" xfId="19346"/>
    <cellStyle name="Normal 5 3 20 2" xfId="19347"/>
    <cellStyle name="Normal 5 3 20 2 2" xfId="35760"/>
    <cellStyle name="Normal 5 3 20 3" xfId="19348"/>
    <cellStyle name="Normal 5 3 20 3 2" xfId="35761"/>
    <cellStyle name="Normal 5 3 20 4" xfId="19349"/>
    <cellStyle name="Normal 5 3 20 4 2" xfId="35762"/>
    <cellStyle name="Normal 5 3 20 5" xfId="19350"/>
    <cellStyle name="Normal 5 3 20 5 2" xfId="35763"/>
    <cellStyle name="Normal 5 3 20 6" xfId="35759"/>
    <cellStyle name="Normal 5 3 21" xfId="19351"/>
    <cellStyle name="Normal 5 3 21 2" xfId="19352"/>
    <cellStyle name="Normal 5 3 21 2 2" xfId="35765"/>
    <cellStyle name="Normal 5 3 21 3" xfId="19353"/>
    <cellStyle name="Normal 5 3 21 3 2" xfId="35766"/>
    <cellStyle name="Normal 5 3 21 4" xfId="19354"/>
    <cellStyle name="Normal 5 3 21 4 2" xfId="35767"/>
    <cellStyle name="Normal 5 3 21 5" xfId="19355"/>
    <cellStyle name="Normal 5 3 21 5 2" xfId="35768"/>
    <cellStyle name="Normal 5 3 21 6" xfId="35764"/>
    <cellStyle name="Normal 5 3 22" xfId="19356"/>
    <cellStyle name="Normal 5 3 22 2" xfId="19357"/>
    <cellStyle name="Normal 5 3 22 2 2" xfId="35770"/>
    <cellStyle name="Normal 5 3 22 3" xfId="19358"/>
    <cellStyle name="Normal 5 3 22 3 2" xfId="35771"/>
    <cellStyle name="Normal 5 3 22 4" xfId="19359"/>
    <cellStyle name="Normal 5 3 22 4 2" xfId="35772"/>
    <cellStyle name="Normal 5 3 22 5" xfId="19360"/>
    <cellStyle name="Normal 5 3 22 5 2" xfId="35773"/>
    <cellStyle name="Normal 5 3 22 6" xfId="35769"/>
    <cellStyle name="Normal 5 3 23" xfId="19361"/>
    <cellStyle name="Normal 5 3 23 2" xfId="19362"/>
    <cellStyle name="Normal 5 3 23 2 2" xfId="35775"/>
    <cellStyle name="Normal 5 3 23 3" xfId="19363"/>
    <cellStyle name="Normal 5 3 23 3 2" xfId="35776"/>
    <cellStyle name="Normal 5 3 23 4" xfId="19364"/>
    <cellStyle name="Normal 5 3 23 4 2" xfId="35777"/>
    <cellStyle name="Normal 5 3 23 5" xfId="19365"/>
    <cellStyle name="Normal 5 3 23 5 2" xfId="35778"/>
    <cellStyle name="Normal 5 3 23 6" xfId="35774"/>
    <cellStyle name="Normal 5 3 24" xfId="19366"/>
    <cellStyle name="Normal 5 3 24 2" xfId="35779"/>
    <cellStyle name="Normal 5 3 25" xfId="19367"/>
    <cellStyle name="Normal 5 3 25 2" xfId="35780"/>
    <cellStyle name="Normal 5 3 26" xfId="19368"/>
    <cellStyle name="Normal 5 3 26 2" xfId="35781"/>
    <cellStyle name="Normal 5 3 27" xfId="19369"/>
    <cellStyle name="Normal 5 3 27 2" xfId="35782"/>
    <cellStyle name="Normal 5 3 28" xfId="19370"/>
    <cellStyle name="Normal 5 3 28 2" xfId="35783"/>
    <cellStyle name="Normal 5 3 29" xfId="40748"/>
    <cellStyle name="Normal 5 3 3" xfId="19371"/>
    <cellStyle name="Normal 5 3 3 10" xfId="19372"/>
    <cellStyle name="Normal 5 3 3 10 2" xfId="19373"/>
    <cellStyle name="Normal 5 3 3 10 2 2" xfId="35786"/>
    <cellStyle name="Normal 5 3 3 10 3" xfId="19374"/>
    <cellStyle name="Normal 5 3 3 10 3 2" xfId="35787"/>
    <cellStyle name="Normal 5 3 3 10 4" xfId="19375"/>
    <cellStyle name="Normal 5 3 3 10 4 2" xfId="35788"/>
    <cellStyle name="Normal 5 3 3 10 5" xfId="19376"/>
    <cellStyle name="Normal 5 3 3 10 5 2" xfId="35789"/>
    <cellStyle name="Normal 5 3 3 10 6" xfId="35785"/>
    <cellStyle name="Normal 5 3 3 11" xfId="19377"/>
    <cellStyle name="Normal 5 3 3 11 2" xfId="19378"/>
    <cellStyle name="Normal 5 3 3 11 2 2" xfId="35791"/>
    <cellStyle name="Normal 5 3 3 11 3" xfId="19379"/>
    <cellStyle name="Normal 5 3 3 11 3 2" xfId="35792"/>
    <cellStyle name="Normal 5 3 3 11 4" xfId="19380"/>
    <cellStyle name="Normal 5 3 3 11 4 2" xfId="35793"/>
    <cellStyle name="Normal 5 3 3 11 5" xfId="19381"/>
    <cellStyle name="Normal 5 3 3 11 5 2" xfId="35794"/>
    <cellStyle name="Normal 5 3 3 11 6" xfId="35790"/>
    <cellStyle name="Normal 5 3 3 12" xfId="19382"/>
    <cellStyle name="Normal 5 3 3 12 2" xfId="19383"/>
    <cellStyle name="Normal 5 3 3 12 2 2" xfId="35796"/>
    <cellStyle name="Normal 5 3 3 12 3" xfId="19384"/>
    <cellStyle name="Normal 5 3 3 12 3 2" xfId="35797"/>
    <cellStyle name="Normal 5 3 3 12 4" xfId="19385"/>
    <cellStyle name="Normal 5 3 3 12 4 2" xfId="35798"/>
    <cellStyle name="Normal 5 3 3 12 5" xfId="19386"/>
    <cellStyle name="Normal 5 3 3 12 5 2" xfId="35799"/>
    <cellStyle name="Normal 5 3 3 12 6" xfId="35795"/>
    <cellStyle name="Normal 5 3 3 13" xfId="19387"/>
    <cellStyle name="Normal 5 3 3 13 2" xfId="19388"/>
    <cellStyle name="Normal 5 3 3 13 2 2" xfId="35801"/>
    <cellStyle name="Normal 5 3 3 13 3" xfId="19389"/>
    <cellStyle name="Normal 5 3 3 13 3 2" xfId="35802"/>
    <cellStyle name="Normal 5 3 3 13 4" xfId="19390"/>
    <cellStyle name="Normal 5 3 3 13 4 2" xfId="35803"/>
    <cellStyle name="Normal 5 3 3 13 5" xfId="19391"/>
    <cellStyle name="Normal 5 3 3 13 5 2" xfId="35804"/>
    <cellStyle name="Normal 5 3 3 13 6" xfId="35800"/>
    <cellStyle name="Normal 5 3 3 14" xfId="19392"/>
    <cellStyle name="Normal 5 3 3 14 2" xfId="19393"/>
    <cellStyle name="Normal 5 3 3 14 2 2" xfId="35806"/>
    <cellStyle name="Normal 5 3 3 14 3" xfId="19394"/>
    <cellStyle name="Normal 5 3 3 14 3 2" xfId="35807"/>
    <cellStyle name="Normal 5 3 3 14 4" xfId="19395"/>
    <cellStyle name="Normal 5 3 3 14 4 2" xfId="35808"/>
    <cellStyle name="Normal 5 3 3 14 5" xfId="19396"/>
    <cellStyle name="Normal 5 3 3 14 5 2" xfId="35809"/>
    <cellStyle name="Normal 5 3 3 14 6" xfId="35805"/>
    <cellStyle name="Normal 5 3 3 15" xfId="19397"/>
    <cellStyle name="Normal 5 3 3 15 2" xfId="19398"/>
    <cellStyle name="Normal 5 3 3 15 2 2" xfId="35811"/>
    <cellStyle name="Normal 5 3 3 15 3" xfId="19399"/>
    <cellStyle name="Normal 5 3 3 15 3 2" xfId="35812"/>
    <cellStyle name="Normal 5 3 3 15 4" xfId="19400"/>
    <cellStyle name="Normal 5 3 3 15 4 2" xfId="35813"/>
    <cellStyle name="Normal 5 3 3 15 5" xfId="19401"/>
    <cellStyle name="Normal 5 3 3 15 5 2" xfId="35814"/>
    <cellStyle name="Normal 5 3 3 15 6" xfId="35810"/>
    <cellStyle name="Normal 5 3 3 16" xfId="19402"/>
    <cellStyle name="Normal 5 3 3 16 2" xfId="19403"/>
    <cellStyle name="Normal 5 3 3 16 2 2" xfId="35816"/>
    <cellStyle name="Normal 5 3 3 16 3" xfId="19404"/>
    <cellStyle name="Normal 5 3 3 16 3 2" xfId="35817"/>
    <cellStyle name="Normal 5 3 3 16 4" xfId="19405"/>
    <cellStyle name="Normal 5 3 3 16 4 2" xfId="35818"/>
    <cellStyle name="Normal 5 3 3 16 5" xfId="19406"/>
    <cellStyle name="Normal 5 3 3 16 5 2" xfId="35819"/>
    <cellStyle name="Normal 5 3 3 16 6" xfId="35815"/>
    <cellStyle name="Normal 5 3 3 17" xfId="19407"/>
    <cellStyle name="Normal 5 3 3 17 2" xfId="35820"/>
    <cellStyle name="Normal 5 3 3 18" xfId="19408"/>
    <cellStyle name="Normal 5 3 3 18 2" xfId="35821"/>
    <cellStyle name="Normal 5 3 3 19" xfId="19409"/>
    <cellStyle name="Normal 5 3 3 19 2" xfId="35822"/>
    <cellStyle name="Normal 5 3 3 2" xfId="19410"/>
    <cellStyle name="Normal 5 3 3 2 10" xfId="19411"/>
    <cellStyle name="Normal 5 3 3 2 10 2" xfId="35824"/>
    <cellStyle name="Normal 5 3 3 2 11" xfId="19412"/>
    <cellStyle name="Normal 5 3 3 2 11 2" xfId="35825"/>
    <cellStyle name="Normal 5 3 3 2 12" xfId="35823"/>
    <cellStyle name="Normal 5 3 3 2 2" xfId="19413"/>
    <cellStyle name="Normal 5 3 3 2 2 2" xfId="19414"/>
    <cellStyle name="Normal 5 3 3 2 2 2 2" xfId="35827"/>
    <cellStyle name="Normal 5 3 3 2 2 3" xfId="19415"/>
    <cellStyle name="Normal 5 3 3 2 2 3 2" xfId="35828"/>
    <cellStyle name="Normal 5 3 3 2 2 4" xfId="19416"/>
    <cellStyle name="Normal 5 3 3 2 2 4 2" xfId="35829"/>
    <cellStyle name="Normal 5 3 3 2 2 5" xfId="19417"/>
    <cellStyle name="Normal 5 3 3 2 2 5 2" xfId="35830"/>
    <cellStyle name="Normal 5 3 3 2 2 6" xfId="35826"/>
    <cellStyle name="Normal 5 3 3 2 3" xfId="19418"/>
    <cellStyle name="Normal 5 3 3 2 3 2" xfId="19419"/>
    <cellStyle name="Normal 5 3 3 2 3 2 2" xfId="35832"/>
    <cellStyle name="Normal 5 3 3 2 3 3" xfId="19420"/>
    <cellStyle name="Normal 5 3 3 2 3 3 2" xfId="35833"/>
    <cellStyle name="Normal 5 3 3 2 3 4" xfId="19421"/>
    <cellStyle name="Normal 5 3 3 2 3 4 2" xfId="35834"/>
    <cellStyle name="Normal 5 3 3 2 3 5" xfId="19422"/>
    <cellStyle name="Normal 5 3 3 2 3 5 2" xfId="35835"/>
    <cellStyle name="Normal 5 3 3 2 3 6" xfId="35831"/>
    <cellStyle name="Normal 5 3 3 2 4" xfId="19423"/>
    <cellStyle name="Normal 5 3 3 2 4 2" xfId="19424"/>
    <cellStyle name="Normal 5 3 3 2 4 2 2" xfId="35837"/>
    <cellStyle name="Normal 5 3 3 2 4 3" xfId="19425"/>
    <cellStyle name="Normal 5 3 3 2 4 3 2" xfId="35838"/>
    <cellStyle name="Normal 5 3 3 2 4 4" xfId="19426"/>
    <cellStyle name="Normal 5 3 3 2 4 4 2" xfId="35839"/>
    <cellStyle name="Normal 5 3 3 2 4 5" xfId="19427"/>
    <cellStyle name="Normal 5 3 3 2 4 5 2" xfId="35840"/>
    <cellStyle name="Normal 5 3 3 2 4 6" xfId="35836"/>
    <cellStyle name="Normal 5 3 3 2 5" xfId="19428"/>
    <cellStyle name="Normal 5 3 3 2 5 2" xfId="19429"/>
    <cellStyle name="Normal 5 3 3 2 5 2 2" xfId="35842"/>
    <cellStyle name="Normal 5 3 3 2 5 3" xfId="19430"/>
    <cellStyle name="Normal 5 3 3 2 5 3 2" xfId="35843"/>
    <cellStyle name="Normal 5 3 3 2 5 4" xfId="19431"/>
    <cellStyle name="Normal 5 3 3 2 5 4 2" xfId="35844"/>
    <cellStyle name="Normal 5 3 3 2 5 5" xfId="19432"/>
    <cellStyle name="Normal 5 3 3 2 5 5 2" xfId="35845"/>
    <cellStyle name="Normal 5 3 3 2 5 6" xfId="35841"/>
    <cellStyle name="Normal 5 3 3 2 6" xfId="19433"/>
    <cellStyle name="Normal 5 3 3 2 6 2" xfId="19434"/>
    <cellStyle name="Normal 5 3 3 2 6 2 2" xfId="35847"/>
    <cellStyle name="Normal 5 3 3 2 6 3" xfId="19435"/>
    <cellStyle name="Normal 5 3 3 2 6 3 2" xfId="35848"/>
    <cellStyle name="Normal 5 3 3 2 6 4" xfId="19436"/>
    <cellStyle name="Normal 5 3 3 2 6 4 2" xfId="35849"/>
    <cellStyle name="Normal 5 3 3 2 6 5" xfId="19437"/>
    <cellStyle name="Normal 5 3 3 2 6 5 2" xfId="35850"/>
    <cellStyle name="Normal 5 3 3 2 6 6" xfId="35846"/>
    <cellStyle name="Normal 5 3 3 2 7" xfId="19438"/>
    <cellStyle name="Normal 5 3 3 2 7 2" xfId="19439"/>
    <cellStyle name="Normal 5 3 3 2 7 2 2" xfId="35852"/>
    <cellStyle name="Normal 5 3 3 2 7 3" xfId="19440"/>
    <cellStyle name="Normal 5 3 3 2 7 3 2" xfId="35853"/>
    <cellStyle name="Normal 5 3 3 2 7 4" xfId="19441"/>
    <cellStyle name="Normal 5 3 3 2 7 4 2" xfId="35854"/>
    <cellStyle name="Normal 5 3 3 2 7 5" xfId="19442"/>
    <cellStyle name="Normal 5 3 3 2 7 5 2" xfId="35855"/>
    <cellStyle name="Normal 5 3 3 2 7 6" xfId="35851"/>
    <cellStyle name="Normal 5 3 3 2 8" xfId="19443"/>
    <cellStyle name="Normal 5 3 3 2 8 2" xfId="35856"/>
    <cellStyle name="Normal 5 3 3 2 9" xfId="19444"/>
    <cellStyle name="Normal 5 3 3 2 9 2" xfId="35857"/>
    <cellStyle name="Normal 5 3 3 20" xfId="19445"/>
    <cellStyle name="Normal 5 3 3 20 2" xfId="35858"/>
    <cellStyle name="Normal 5 3 3 21" xfId="40751"/>
    <cellStyle name="Normal 5 3 3 22" xfId="35784"/>
    <cellStyle name="Normal 5 3 3 3" xfId="19446"/>
    <cellStyle name="Normal 5 3 3 3 2" xfId="19447"/>
    <cellStyle name="Normal 5 3 3 3 2 2" xfId="19448"/>
    <cellStyle name="Normal 5 3 3 3 2 2 2" xfId="35861"/>
    <cellStyle name="Normal 5 3 3 3 2 3" xfId="19449"/>
    <cellStyle name="Normal 5 3 3 3 2 3 2" xfId="35862"/>
    <cellStyle name="Normal 5 3 3 3 2 4" xfId="19450"/>
    <cellStyle name="Normal 5 3 3 3 2 4 2" xfId="35863"/>
    <cellStyle name="Normal 5 3 3 3 2 5" xfId="19451"/>
    <cellStyle name="Normal 5 3 3 3 2 5 2" xfId="35864"/>
    <cellStyle name="Normal 5 3 3 3 2 6" xfId="35860"/>
    <cellStyle name="Normal 5 3 3 3 3" xfId="19452"/>
    <cellStyle name="Normal 5 3 3 3 3 2" xfId="35865"/>
    <cellStyle name="Normal 5 3 3 3 4" xfId="19453"/>
    <cellStyle name="Normal 5 3 3 3 4 2" xfId="35866"/>
    <cellStyle name="Normal 5 3 3 3 5" xfId="19454"/>
    <cellStyle name="Normal 5 3 3 3 5 2" xfId="35867"/>
    <cellStyle name="Normal 5 3 3 3 6" xfId="19455"/>
    <cellStyle name="Normal 5 3 3 3 6 2" xfId="35868"/>
    <cellStyle name="Normal 5 3 3 3 7" xfId="35859"/>
    <cellStyle name="Normal 5 3 3 4" xfId="19456"/>
    <cellStyle name="Normal 5 3 3 4 2" xfId="19457"/>
    <cellStyle name="Normal 5 3 3 4 2 2" xfId="19458"/>
    <cellStyle name="Normal 5 3 3 4 2 2 2" xfId="35871"/>
    <cellStyle name="Normal 5 3 3 4 2 3" xfId="19459"/>
    <cellStyle name="Normal 5 3 3 4 2 3 2" xfId="35872"/>
    <cellStyle name="Normal 5 3 3 4 2 4" xfId="19460"/>
    <cellStyle name="Normal 5 3 3 4 2 4 2" xfId="35873"/>
    <cellStyle name="Normal 5 3 3 4 2 5" xfId="19461"/>
    <cellStyle name="Normal 5 3 3 4 2 5 2" xfId="35874"/>
    <cellStyle name="Normal 5 3 3 4 2 6" xfId="35870"/>
    <cellStyle name="Normal 5 3 3 4 3" xfId="19462"/>
    <cellStyle name="Normal 5 3 3 4 3 2" xfId="35875"/>
    <cellStyle name="Normal 5 3 3 4 4" xfId="19463"/>
    <cellStyle name="Normal 5 3 3 4 4 2" xfId="35876"/>
    <cellStyle name="Normal 5 3 3 4 5" xfId="19464"/>
    <cellStyle name="Normal 5 3 3 4 5 2" xfId="35877"/>
    <cellStyle name="Normal 5 3 3 4 6" xfId="19465"/>
    <cellStyle name="Normal 5 3 3 4 6 2" xfId="35878"/>
    <cellStyle name="Normal 5 3 3 4 7" xfId="35869"/>
    <cellStyle name="Normal 5 3 3 5" xfId="19466"/>
    <cellStyle name="Normal 5 3 3 5 2" xfId="19467"/>
    <cellStyle name="Normal 5 3 3 5 2 2" xfId="35880"/>
    <cellStyle name="Normal 5 3 3 5 3" xfId="19468"/>
    <cellStyle name="Normal 5 3 3 5 3 2" xfId="35881"/>
    <cellStyle name="Normal 5 3 3 5 4" xfId="19469"/>
    <cellStyle name="Normal 5 3 3 5 4 2" xfId="35882"/>
    <cellStyle name="Normal 5 3 3 5 5" xfId="19470"/>
    <cellStyle name="Normal 5 3 3 5 5 2" xfId="35883"/>
    <cellStyle name="Normal 5 3 3 5 6" xfId="35879"/>
    <cellStyle name="Normal 5 3 3 6" xfId="19471"/>
    <cellStyle name="Normal 5 3 3 6 2" xfId="19472"/>
    <cellStyle name="Normal 5 3 3 6 2 2" xfId="35885"/>
    <cellStyle name="Normal 5 3 3 6 3" xfId="19473"/>
    <cellStyle name="Normal 5 3 3 6 3 2" xfId="35886"/>
    <cellStyle name="Normal 5 3 3 6 4" xfId="19474"/>
    <cellStyle name="Normal 5 3 3 6 4 2" xfId="35887"/>
    <cellStyle name="Normal 5 3 3 6 5" xfId="19475"/>
    <cellStyle name="Normal 5 3 3 6 5 2" xfId="35888"/>
    <cellStyle name="Normal 5 3 3 6 6" xfId="35884"/>
    <cellStyle name="Normal 5 3 3 7" xfId="19476"/>
    <cellStyle name="Normal 5 3 3 7 2" xfId="19477"/>
    <cellStyle name="Normal 5 3 3 7 2 2" xfId="35890"/>
    <cellStyle name="Normal 5 3 3 7 3" xfId="19478"/>
    <cellStyle name="Normal 5 3 3 7 3 2" xfId="35891"/>
    <cellStyle name="Normal 5 3 3 7 4" xfId="19479"/>
    <cellStyle name="Normal 5 3 3 7 4 2" xfId="35892"/>
    <cellStyle name="Normal 5 3 3 7 5" xfId="19480"/>
    <cellStyle name="Normal 5 3 3 7 5 2" xfId="35893"/>
    <cellStyle name="Normal 5 3 3 7 6" xfId="35889"/>
    <cellStyle name="Normal 5 3 3 8" xfId="19481"/>
    <cellStyle name="Normal 5 3 3 8 2" xfId="19482"/>
    <cellStyle name="Normal 5 3 3 8 2 2" xfId="35895"/>
    <cellStyle name="Normal 5 3 3 8 3" xfId="19483"/>
    <cellStyle name="Normal 5 3 3 8 3 2" xfId="35896"/>
    <cellStyle name="Normal 5 3 3 8 4" xfId="19484"/>
    <cellStyle name="Normal 5 3 3 8 4 2" xfId="35897"/>
    <cellStyle name="Normal 5 3 3 8 5" xfId="19485"/>
    <cellStyle name="Normal 5 3 3 8 5 2" xfId="35898"/>
    <cellStyle name="Normal 5 3 3 8 6" xfId="35894"/>
    <cellStyle name="Normal 5 3 3 9" xfId="19486"/>
    <cellStyle name="Normal 5 3 3 9 2" xfId="19487"/>
    <cellStyle name="Normal 5 3 3 9 2 2" xfId="35900"/>
    <cellStyle name="Normal 5 3 3 9 3" xfId="19488"/>
    <cellStyle name="Normal 5 3 3 9 3 2" xfId="35901"/>
    <cellStyle name="Normal 5 3 3 9 4" xfId="19489"/>
    <cellStyle name="Normal 5 3 3 9 4 2" xfId="35902"/>
    <cellStyle name="Normal 5 3 3 9 5" xfId="19490"/>
    <cellStyle name="Normal 5 3 3 9 5 2" xfId="35903"/>
    <cellStyle name="Normal 5 3 3 9 6" xfId="35899"/>
    <cellStyle name="Normal 5 3 4" xfId="19491"/>
    <cellStyle name="Normal 5 3 4 10" xfId="19492"/>
    <cellStyle name="Normal 5 3 4 10 2" xfId="19493"/>
    <cellStyle name="Normal 5 3 4 10 2 2" xfId="35906"/>
    <cellStyle name="Normal 5 3 4 10 3" xfId="19494"/>
    <cellStyle name="Normal 5 3 4 10 3 2" xfId="35907"/>
    <cellStyle name="Normal 5 3 4 10 4" xfId="19495"/>
    <cellStyle name="Normal 5 3 4 10 4 2" xfId="35908"/>
    <cellStyle name="Normal 5 3 4 10 5" xfId="19496"/>
    <cellStyle name="Normal 5 3 4 10 5 2" xfId="35909"/>
    <cellStyle name="Normal 5 3 4 10 6" xfId="35905"/>
    <cellStyle name="Normal 5 3 4 11" xfId="19497"/>
    <cellStyle name="Normal 5 3 4 11 2" xfId="19498"/>
    <cellStyle name="Normal 5 3 4 11 2 2" xfId="35911"/>
    <cellStyle name="Normal 5 3 4 11 3" xfId="19499"/>
    <cellStyle name="Normal 5 3 4 11 3 2" xfId="35912"/>
    <cellStyle name="Normal 5 3 4 11 4" xfId="19500"/>
    <cellStyle name="Normal 5 3 4 11 4 2" xfId="35913"/>
    <cellStyle name="Normal 5 3 4 11 5" xfId="19501"/>
    <cellStyle name="Normal 5 3 4 11 5 2" xfId="35914"/>
    <cellStyle name="Normal 5 3 4 11 6" xfId="35910"/>
    <cellStyle name="Normal 5 3 4 12" xfId="19502"/>
    <cellStyle name="Normal 5 3 4 12 2" xfId="19503"/>
    <cellStyle name="Normal 5 3 4 12 2 2" xfId="35916"/>
    <cellStyle name="Normal 5 3 4 12 3" xfId="19504"/>
    <cellStyle name="Normal 5 3 4 12 3 2" xfId="35917"/>
    <cellStyle name="Normal 5 3 4 12 4" xfId="19505"/>
    <cellStyle name="Normal 5 3 4 12 4 2" xfId="35918"/>
    <cellStyle name="Normal 5 3 4 12 5" xfId="19506"/>
    <cellStyle name="Normal 5 3 4 12 5 2" xfId="35919"/>
    <cellStyle name="Normal 5 3 4 12 6" xfId="35915"/>
    <cellStyle name="Normal 5 3 4 13" xfId="19507"/>
    <cellStyle name="Normal 5 3 4 13 2" xfId="19508"/>
    <cellStyle name="Normal 5 3 4 13 2 2" xfId="35921"/>
    <cellStyle name="Normal 5 3 4 13 3" xfId="19509"/>
    <cellStyle name="Normal 5 3 4 13 3 2" xfId="35922"/>
    <cellStyle name="Normal 5 3 4 13 4" xfId="19510"/>
    <cellStyle name="Normal 5 3 4 13 4 2" xfId="35923"/>
    <cellStyle name="Normal 5 3 4 13 5" xfId="19511"/>
    <cellStyle name="Normal 5 3 4 13 5 2" xfId="35924"/>
    <cellStyle name="Normal 5 3 4 13 6" xfId="35920"/>
    <cellStyle name="Normal 5 3 4 14" xfId="19512"/>
    <cellStyle name="Normal 5 3 4 14 2" xfId="19513"/>
    <cellStyle name="Normal 5 3 4 14 2 2" xfId="35926"/>
    <cellStyle name="Normal 5 3 4 14 3" xfId="19514"/>
    <cellStyle name="Normal 5 3 4 14 3 2" xfId="35927"/>
    <cellStyle name="Normal 5 3 4 14 4" xfId="19515"/>
    <cellStyle name="Normal 5 3 4 14 4 2" xfId="35928"/>
    <cellStyle name="Normal 5 3 4 14 5" xfId="19516"/>
    <cellStyle name="Normal 5 3 4 14 5 2" xfId="35929"/>
    <cellStyle name="Normal 5 3 4 14 6" xfId="35925"/>
    <cellStyle name="Normal 5 3 4 15" xfId="19517"/>
    <cellStyle name="Normal 5 3 4 15 2" xfId="19518"/>
    <cellStyle name="Normal 5 3 4 15 2 2" xfId="35931"/>
    <cellStyle name="Normal 5 3 4 15 3" xfId="19519"/>
    <cellStyle name="Normal 5 3 4 15 3 2" xfId="35932"/>
    <cellStyle name="Normal 5 3 4 15 4" xfId="19520"/>
    <cellStyle name="Normal 5 3 4 15 4 2" xfId="35933"/>
    <cellStyle name="Normal 5 3 4 15 5" xfId="19521"/>
    <cellStyle name="Normal 5 3 4 15 5 2" xfId="35934"/>
    <cellStyle name="Normal 5 3 4 15 6" xfId="35930"/>
    <cellStyle name="Normal 5 3 4 16" xfId="19522"/>
    <cellStyle name="Normal 5 3 4 16 2" xfId="19523"/>
    <cellStyle name="Normal 5 3 4 16 2 2" xfId="35936"/>
    <cellStyle name="Normal 5 3 4 16 3" xfId="19524"/>
    <cellStyle name="Normal 5 3 4 16 3 2" xfId="35937"/>
    <cellStyle name="Normal 5 3 4 16 4" xfId="19525"/>
    <cellStyle name="Normal 5 3 4 16 4 2" xfId="35938"/>
    <cellStyle name="Normal 5 3 4 16 5" xfId="19526"/>
    <cellStyle name="Normal 5 3 4 16 5 2" xfId="35939"/>
    <cellStyle name="Normal 5 3 4 16 6" xfId="35935"/>
    <cellStyle name="Normal 5 3 4 17" xfId="19527"/>
    <cellStyle name="Normal 5 3 4 17 2" xfId="35940"/>
    <cellStyle name="Normal 5 3 4 18" xfId="19528"/>
    <cellStyle name="Normal 5 3 4 18 2" xfId="35941"/>
    <cellStyle name="Normal 5 3 4 19" xfId="19529"/>
    <cellStyle name="Normal 5 3 4 19 2" xfId="35942"/>
    <cellStyle name="Normal 5 3 4 2" xfId="19530"/>
    <cellStyle name="Normal 5 3 4 2 10" xfId="19531"/>
    <cellStyle name="Normal 5 3 4 2 10 2" xfId="35944"/>
    <cellStyle name="Normal 5 3 4 2 11" xfId="19532"/>
    <cellStyle name="Normal 5 3 4 2 11 2" xfId="35945"/>
    <cellStyle name="Normal 5 3 4 2 12" xfId="35943"/>
    <cellStyle name="Normal 5 3 4 2 2" xfId="19533"/>
    <cellStyle name="Normal 5 3 4 2 2 2" xfId="19534"/>
    <cellStyle name="Normal 5 3 4 2 2 2 2" xfId="35947"/>
    <cellStyle name="Normal 5 3 4 2 2 3" xfId="19535"/>
    <cellStyle name="Normal 5 3 4 2 2 3 2" xfId="35948"/>
    <cellStyle name="Normal 5 3 4 2 2 4" xfId="19536"/>
    <cellStyle name="Normal 5 3 4 2 2 4 2" xfId="35949"/>
    <cellStyle name="Normal 5 3 4 2 2 5" xfId="19537"/>
    <cellStyle name="Normal 5 3 4 2 2 5 2" xfId="35950"/>
    <cellStyle name="Normal 5 3 4 2 2 6" xfId="35946"/>
    <cellStyle name="Normal 5 3 4 2 3" xfId="19538"/>
    <cellStyle name="Normal 5 3 4 2 3 2" xfId="19539"/>
    <cellStyle name="Normal 5 3 4 2 3 2 2" xfId="35952"/>
    <cellStyle name="Normal 5 3 4 2 3 3" xfId="19540"/>
    <cellStyle name="Normal 5 3 4 2 3 3 2" xfId="35953"/>
    <cellStyle name="Normal 5 3 4 2 3 4" xfId="19541"/>
    <cellStyle name="Normal 5 3 4 2 3 4 2" xfId="35954"/>
    <cellStyle name="Normal 5 3 4 2 3 5" xfId="19542"/>
    <cellStyle name="Normal 5 3 4 2 3 5 2" xfId="35955"/>
    <cellStyle name="Normal 5 3 4 2 3 6" xfId="35951"/>
    <cellStyle name="Normal 5 3 4 2 4" xfId="19543"/>
    <cellStyle name="Normal 5 3 4 2 4 2" xfId="19544"/>
    <cellStyle name="Normal 5 3 4 2 4 2 2" xfId="35957"/>
    <cellStyle name="Normal 5 3 4 2 4 3" xfId="19545"/>
    <cellStyle name="Normal 5 3 4 2 4 3 2" xfId="35958"/>
    <cellStyle name="Normal 5 3 4 2 4 4" xfId="19546"/>
    <cellStyle name="Normal 5 3 4 2 4 4 2" xfId="35959"/>
    <cellStyle name="Normal 5 3 4 2 4 5" xfId="19547"/>
    <cellStyle name="Normal 5 3 4 2 4 5 2" xfId="35960"/>
    <cellStyle name="Normal 5 3 4 2 4 6" xfId="35956"/>
    <cellStyle name="Normal 5 3 4 2 5" xfId="19548"/>
    <cellStyle name="Normal 5 3 4 2 5 2" xfId="19549"/>
    <cellStyle name="Normal 5 3 4 2 5 2 2" xfId="35962"/>
    <cellStyle name="Normal 5 3 4 2 5 3" xfId="19550"/>
    <cellStyle name="Normal 5 3 4 2 5 3 2" xfId="35963"/>
    <cellStyle name="Normal 5 3 4 2 5 4" xfId="19551"/>
    <cellStyle name="Normal 5 3 4 2 5 4 2" xfId="35964"/>
    <cellStyle name="Normal 5 3 4 2 5 5" xfId="19552"/>
    <cellStyle name="Normal 5 3 4 2 5 5 2" xfId="35965"/>
    <cellStyle name="Normal 5 3 4 2 5 6" xfId="35961"/>
    <cellStyle name="Normal 5 3 4 2 6" xfId="19553"/>
    <cellStyle name="Normal 5 3 4 2 6 2" xfId="19554"/>
    <cellStyle name="Normal 5 3 4 2 6 2 2" xfId="35967"/>
    <cellStyle name="Normal 5 3 4 2 6 3" xfId="19555"/>
    <cellStyle name="Normal 5 3 4 2 6 3 2" xfId="35968"/>
    <cellStyle name="Normal 5 3 4 2 6 4" xfId="19556"/>
    <cellStyle name="Normal 5 3 4 2 6 4 2" xfId="35969"/>
    <cellStyle name="Normal 5 3 4 2 6 5" xfId="19557"/>
    <cellStyle name="Normal 5 3 4 2 6 5 2" xfId="35970"/>
    <cellStyle name="Normal 5 3 4 2 6 6" xfId="35966"/>
    <cellStyle name="Normal 5 3 4 2 7" xfId="19558"/>
    <cellStyle name="Normal 5 3 4 2 7 2" xfId="19559"/>
    <cellStyle name="Normal 5 3 4 2 7 2 2" xfId="35972"/>
    <cellStyle name="Normal 5 3 4 2 7 3" xfId="19560"/>
    <cellStyle name="Normal 5 3 4 2 7 3 2" xfId="35973"/>
    <cellStyle name="Normal 5 3 4 2 7 4" xfId="19561"/>
    <cellStyle name="Normal 5 3 4 2 7 4 2" xfId="35974"/>
    <cellStyle name="Normal 5 3 4 2 7 5" xfId="19562"/>
    <cellStyle name="Normal 5 3 4 2 7 5 2" xfId="35975"/>
    <cellStyle name="Normal 5 3 4 2 7 6" xfId="35971"/>
    <cellStyle name="Normal 5 3 4 2 8" xfId="19563"/>
    <cellStyle name="Normal 5 3 4 2 8 2" xfId="35976"/>
    <cellStyle name="Normal 5 3 4 2 9" xfId="19564"/>
    <cellStyle name="Normal 5 3 4 2 9 2" xfId="35977"/>
    <cellStyle name="Normal 5 3 4 20" xfId="19565"/>
    <cellStyle name="Normal 5 3 4 20 2" xfId="35978"/>
    <cellStyle name="Normal 5 3 4 21" xfId="40752"/>
    <cellStyle name="Normal 5 3 4 22" xfId="35904"/>
    <cellStyle name="Normal 5 3 4 3" xfId="19566"/>
    <cellStyle name="Normal 5 3 4 3 2" xfId="19567"/>
    <cellStyle name="Normal 5 3 4 3 2 2" xfId="19568"/>
    <cellStyle name="Normal 5 3 4 3 2 2 2" xfId="35981"/>
    <cellStyle name="Normal 5 3 4 3 2 3" xfId="19569"/>
    <cellStyle name="Normal 5 3 4 3 2 3 2" xfId="35982"/>
    <cellStyle name="Normal 5 3 4 3 2 4" xfId="19570"/>
    <cellStyle name="Normal 5 3 4 3 2 4 2" xfId="35983"/>
    <cellStyle name="Normal 5 3 4 3 2 5" xfId="19571"/>
    <cellStyle name="Normal 5 3 4 3 2 5 2" xfId="35984"/>
    <cellStyle name="Normal 5 3 4 3 2 6" xfId="35980"/>
    <cellStyle name="Normal 5 3 4 3 3" xfId="19572"/>
    <cellStyle name="Normal 5 3 4 3 3 2" xfId="35985"/>
    <cellStyle name="Normal 5 3 4 3 4" xfId="19573"/>
    <cellStyle name="Normal 5 3 4 3 4 2" xfId="35986"/>
    <cellStyle name="Normal 5 3 4 3 5" xfId="19574"/>
    <cellStyle name="Normal 5 3 4 3 5 2" xfId="35987"/>
    <cellStyle name="Normal 5 3 4 3 6" xfId="19575"/>
    <cellStyle name="Normal 5 3 4 3 6 2" xfId="35988"/>
    <cellStyle name="Normal 5 3 4 3 7" xfId="35979"/>
    <cellStyle name="Normal 5 3 4 4" xfId="19576"/>
    <cellStyle name="Normal 5 3 4 4 2" xfId="19577"/>
    <cellStyle name="Normal 5 3 4 4 2 2" xfId="19578"/>
    <cellStyle name="Normal 5 3 4 4 2 2 2" xfId="35991"/>
    <cellStyle name="Normal 5 3 4 4 2 3" xfId="19579"/>
    <cellStyle name="Normal 5 3 4 4 2 3 2" xfId="35992"/>
    <cellStyle name="Normal 5 3 4 4 2 4" xfId="19580"/>
    <cellStyle name="Normal 5 3 4 4 2 4 2" xfId="35993"/>
    <cellStyle name="Normal 5 3 4 4 2 5" xfId="19581"/>
    <cellStyle name="Normal 5 3 4 4 2 5 2" xfId="35994"/>
    <cellStyle name="Normal 5 3 4 4 2 6" xfId="35990"/>
    <cellStyle name="Normal 5 3 4 4 3" xfId="19582"/>
    <cellStyle name="Normal 5 3 4 4 3 2" xfId="35995"/>
    <cellStyle name="Normal 5 3 4 4 4" xfId="19583"/>
    <cellStyle name="Normal 5 3 4 4 4 2" xfId="35996"/>
    <cellStyle name="Normal 5 3 4 4 5" xfId="19584"/>
    <cellStyle name="Normal 5 3 4 4 5 2" xfId="35997"/>
    <cellStyle name="Normal 5 3 4 4 6" xfId="19585"/>
    <cellStyle name="Normal 5 3 4 4 6 2" xfId="35998"/>
    <cellStyle name="Normal 5 3 4 4 7" xfId="35989"/>
    <cellStyle name="Normal 5 3 4 5" xfId="19586"/>
    <cellStyle name="Normal 5 3 4 5 2" xfId="19587"/>
    <cellStyle name="Normal 5 3 4 5 2 2" xfId="36000"/>
    <cellStyle name="Normal 5 3 4 5 3" xfId="19588"/>
    <cellStyle name="Normal 5 3 4 5 3 2" xfId="36001"/>
    <cellStyle name="Normal 5 3 4 5 4" xfId="19589"/>
    <cellStyle name="Normal 5 3 4 5 4 2" xfId="36002"/>
    <cellStyle name="Normal 5 3 4 5 5" xfId="19590"/>
    <cellStyle name="Normal 5 3 4 5 5 2" xfId="36003"/>
    <cellStyle name="Normal 5 3 4 5 6" xfId="35999"/>
    <cellStyle name="Normal 5 3 4 6" xfId="19591"/>
    <cellStyle name="Normal 5 3 4 6 2" xfId="19592"/>
    <cellStyle name="Normal 5 3 4 6 2 2" xfId="36005"/>
    <cellStyle name="Normal 5 3 4 6 3" xfId="19593"/>
    <cellStyle name="Normal 5 3 4 6 3 2" xfId="36006"/>
    <cellStyle name="Normal 5 3 4 6 4" xfId="19594"/>
    <cellStyle name="Normal 5 3 4 6 4 2" xfId="36007"/>
    <cellStyle name="Normal 5 3 4 6 5" xfId="19595"/>
    <cellStyle name="Normal 5 3 4 6 5 2" xfId="36008"/>
    <cellStyle name="Normal 5 3 4 6 6" xfId="36004"/>
    <cellStyle name="Normal 5 3 4 7" xfId="19596"/>
    <cellStyle name="Normal 5 3 4 7 2" xfId="19597"/>
    <cellStyle name="Normal 5 3 4 7 2 2" xfId="36010"/>
    <cellStyle name="Normal 5 3 4 7 3" xfId="19598"/>
    <cellStyle name="Normal 5 3 4 7 3 2" xfId="36011"/>
    <cellStyle name="Normal 5 3 4 7 4" xfId="19599"/>
    <cellStyle name="Normal 5 3 4 7 4 2" xfId="36012"/>
    <cellStyle name="Normal 5 3 4 7 5" xfId="19600"/>
    <cellStyle name="Normal 5 3 4 7 5 2" xfId="36013"/>
    <cellStyle name="Normal 5 3 4 7 6" xfId="36009"/>
    <cellStyle name="Normal 5 3 4 8" xfId="19601"/>
    <cellStyle name="Normal 5 3 4 8 2" xfId="19602"/>
    <cellStyle name="Normal 5 3 4 8 2 2" xfId="36015"/>
    <cellStyle name="Normal 5 3 4 8 3" xfId="19603"/>
    <cellStyle name="Normal 5 3 4 8 3 2" xfId="36016"/>
    <cellStyle name="Normal 5 3 4 8 4" xfId="19604"/>
    <cellStyle name="Normal 5 3 4 8 4 2" xfId="36017"/>
    <cellStyle name="Normal 5 3 4 8 5" xfId="19605"/>
    <cellStyle name="Normal 5 3 4 8 5 2" xfId="36018"/>
    <cellStyle name="Normal 5 3 4 8 6" xfId="36014"/>
    <cellStyle name="Normal 5 3 4 9" xfId="19606"/>
    <cellStyle name="Normal 5 3 4 9 2" xfId="19607"/>
    <cellStyle name="Normal 5 3 4 9 2 2" xfId="36020"/>
    <cellStyle name="Normal 5 3 4 9 3" xfId="19608"/>
    <cellStyle name="Normal 5 3 4 9 3 2" xfId="36021"/>
    <cellStyle name="Normal 5 3 4 9 4" xfId="19609"/>
    <cellStyle name="Normal 5 3 4 9 4 2" xfId="36022"/>
    <cellStyle name="Normal 5 3 4 9 5" xfId="19610"/>
    <cellStyle name="Normal 5 3 4 9 5 2" xfId="36023"/>
    <cellStyle name="Normal 5 3 4 9 6" xfId="36019"/>
    <cellStyle name="Normal 5 3 5" xfId="19611"/>
    <cellStyle name="Normal 5 3 5 2" xfId="41037"/>
    <cellStyle name="Normal 5 3 6" xfId="19612"/>
    <cellStyle name="Normal 5 3 6 2" xfId="41030"/>
    <cellStyle name="Normal 5 3 7" xfId="19613"/>
    <cellStyle name="Normal 5 3 7 10" xfId="19614"/>
    <cellStyle name="Normal 5 3 7 10 2" xfId="19615"/>
    <cellStyle name="Normal 5 3 7 10 2 2" xfId="36026"/>
    <cellStyle name="Normal 5 3 7 10 3" xfId="19616"/>
    <cellStyle name="Normal 5 3 7 10 3 2" xfId="36027"/>
    <cellStyle name="Normal 5 3 7 10 4" xfId="19617"/>
    <cellStyle name="Normal 5 3 7 10 4 2" xfId="36028"/>
    <cellStyle name="Normal 5 3 7 10 5" xfId="19618"/>
    <cellStyle name="Normal 5 3 7 10 5 2" xfId="36029"/>
    <cellStyle name="Normal 5 3 7 10 6" xfId="36025"/>
    <cellStyle name="Normal 5 3 7 11" xfId="19619"/>
    <cellStyle name="Normal 5 3 7 11 2" xfId="19620"/>
    <cellStyle name="Normal 5 3 7 11 2 2" xfId="36031"/>
    <cellStyle name="Normal 5 3 7 11 3" xfId="19621"/>
    <cellStyle name="Normal 5 3 7 11 3 2" xfId="36032"/>
    <cellStyle name="Normal 5 3 7 11 4" xfId="19622"/>
    <cellStyle name="Normal 5 3 7 11 4 2" xfId="36033"/>
    <cellStyle name="Normal 5 3 7 11 5" xfId="19623"/>
    <cellStyle name="Normal 5 3 7 11 5 2" xfId="36034"/>
    <cellStyle name="Normal 5 3 7 11 6" xfId="36030"/>
    <cellStyle name="Normal 5 3 7 12" xfId="19624"/>
    <cellStyle name="Normal 5 3 7 12 2" xfId="19625"/>
    <cellStyle name="Normal 5 3 7 12 2 2" xfId="36036"/>
    <cellStyle name="Normal 5 3 7 12 3" xfId="19626"/>
    <cellStyle name="Normal 5 3 7 12 3 2" xfId="36037"/>
    <cellStyle name="Normal 5 3 7 12 4" xfId="19627"/>
    <cellStyle name="Normal 5 3 7 12 4 2" xfId="36038"/>
    <cellStyle name="Normal 5 3 7 12 5" xfId="19628"/>
    <cellStyle name="Normal 5 3 7 12 5 2" xfId="36039"/>
    <cellStyle name="Normal 5 3 7 12 6" xfId="36035"/>
    <cellStyle name="Normal 5 3 7 13" xfId="19629"/>
    <cellStyle name="Normal 5 3 7 13 2" xfId="19630"/>
    <cellStyle name="Normal 5 3 7 13 2 2" xfId="36041"/>
    <cellStyle name="Normal 5 3 7 13 3" xfId="19631"/>
    <cellStyle name="Normal 5 3 7 13 3 2" xfId="36042"/>
    <cellStyle name="Normal 5 3 7 13 4" xfId="19632"/>
    <cellStyle name="Normal 5 3 7 13 4 2" xfId="36043"/>
    <cellStyle name="Normal 5 3 7 13 5" xfId="19633"/>
    <cellStyle name="Normal 5 3 7 13 5 2" xfId="36044"/>
    <cellStyle name="Normal 5 3 7 13 6" xfId="36040"/>
    <cellStyle name="Normal 5 3 7 14" xfId="19634"/>
    <cellStyle name="Normal 5 3 7 14 2" xfId="19635"/>
    <cellStyle name="Normal 5 3 7 14 2 2" xfId="36046"/>
    <cellStyle name="Normal 5 3 7 14 3" xfId="19636"/>
    <cellStyle name="Normal 5 3 7 14 3 2" xfId="36047"/>
    <cellStyle name="Normal 5 3 7 14 4" xfId="19637"/>
    <cellStyle name="Normal 5 3 7 14 4 2" xfId="36048"/>
    <cellStyle name="Normal 5 3 7 14 5" xfId="19638"/>
    <cellStyle name="Normal 5 3 7 14 5 2" xfId="36049"/>
    <cellStyle name="Normal 5 3 7 14 6" xfId="36045"/>
    <cellStyle name="Normal 5 3 7 15" xfId="19639"/>
    <cellStyle name="Normal 5 3 7 15 2" xfId="19640"/>
    <cellStyle name="Normal 5 3 7 15 2 2" xfId="36051"/>
    <cellStyle name="Normal 5 3 7 15 3" xfId="19641"/>
    <cellStyle name="Normal 5 3 7 15 3 2" xfId="36052"/>
    <cellStyle name="Normal 5 3 7 15 4" xfId="19642"/>
    <cellStyle name="Normal 5 3 7 15 4 2" xfId="36053"/>
    <cellStyle name="Normal 5 3 7 15 5" xfId="19643"/>
    <cellStyle name="Normal 5 3 7 15 5 2" xfId="36054"/>
    <cellStyle name="Normal 5 3 7 15 6" xfId="36050"/>
    <cellStyle name="Normal 5 3 7 16" xfId="19644"/>
    <cellStyle name="Normal 5 3 7 16 2" xfId="19645"/>
    <cellStyle name="Normal 5 3 7 16 2 2" xfId="36056"/>
    <cellStyle name="Normal 5 3 7 16 3" xfId="19646"/>
    <cellStyle name="Normal 5 3 7 16 3 2" xfId="36057"/>
    <cellStyle name="Normal 5 3 7 16 4" xfId="19647"/>
    <cellStyle name="Normal 5 3 7 16 4 2" xfId="36058"/>
    <cellStyle name="Normal 5 3 7 16 5" xfId="19648"/>
    <cellStyle name="Normal 5 3 7 16 5 2" xfId="36059"/>
    <cellStyle name="Normal 5 3 7 16 6" xfId="36055"/>
    <cellStyle name="Normal 5 3 7 17" xfId="19649"/>
    <cellStyle name="Normal 5 3 7 17 2" xfId="36060"/>
    <cellStyle name="Normal 5 3 7 18" xfId="19650"/>
    <cellStyle name="Normal 5 3 7 18 2" xfId="36061"/>
    <cellStyle name="Normal 5 3 7 19" xfId="19651"/>
    <cellStyle name="Normal 5 3 7 19 2" xfId="36062"/>
    <cellStyle name="Normal 5 3 7 2" xfId="19652"/>
    <cellStyle name="Normal 5 3 7 20" xfId="19653"/>
    <cellStyle name="Normal 5 3 7 20 2" xfId="36063"/>
    <cellStyle name="Normal 5 3 7 21" xfId="36024"/>
    <cellStyle name="Normal 5 3 7 3" xfId="19654"/>
    <cellStyle name="Normal 5 3 7 3 2" xfId="19655"/>
    <cellStyle name="Normal 5 3 7 3 2 2" xfId="36065"/>
    <cellStyle name="Normal 5 3 7 3 3" xfId="19656"/>
    <cellStyle name="Normal 5 3 7 3 3 2" xfId="36066"/>
    <cellStyle name="Normal 5 3 7 3 4" xfId="19657"/>
    <cellStyle name="Normal 5 3 7 3 4 2" xfId="36067"/>
    <cellStyle name="Normal 5 3 7 3 5" xfId="19658"/>
    <cellStyle name="Normal 5 3 7 3 5 2" xfId="36068"/>
    <cellStyle name="Normal 5 3 7 3 6" xfId="36064"/>
    <cellStyle name="Normal 5 3 7 4" xfId="19659"/>
    <cellStyle name="Normal 5 3 7 4 2" xfId="19660"/>
    <cellStyle name="Normal 5 3 7 4 2 2" xfId="36070"/>
    <cellStyle name="Normal 5 3 7 4 3" xfId="19661"/>
    <cellStyle name="Normal 5 3 7 4 3 2" xfId="36071"/>
    <cellStyle name="Normal 5 3 7 4 4" xfId="19662"/>
    <cellStyle name="Normal 5 3 7 4 4 2" xfId="36072"/>
    <cellStyle name="Normal 5 3 7 4 5" xfId="19663"/>
    <cellStyle name="Normal 5 3 7 4 5 2" xfId="36073"/>
    <cellStyle name="Normal 5 3 7 4 6" xfId="36069"/>
    <cellStyle name="Normal 5 3 7 5" xfId="19664"/>
    <cellStyle name="Normal 5 3 7 5 2" xfId="19665"/>
    <cellStyle name="Normal 5 3 7 5 2 2" xfId="36075"/>
    <cellStyle name="Normal 5 3 7 5 3" xfId="19666"/>
    <cellStyle name="Normal 5 3 7 5 3 2" xfId="36076"/>
    <cellStyle name="Normal 5 3 7 5 4" xfId="19667"/>
    <cellStyle name="Normal 5 3 7 5 4 2" xfId="36077"/>
    <cellStyle name="Normal 5 3 7 5 5" xfId="19668"/>
    <cellStyle name="Normal 5 3 7 5 5 2" xfId="36078"/>
    <cellStyle name="Normal 5 3 7 5 6" xfId="36074"/>
    <cellStyle name="Normal 5 3 7 6" xfId="19669"/>
    <cellStyle name="Normal 5 3 7 6 2" xfId="19670"/>
    <cellStyle name="Normal 5 3 7 6 2 2" xfId="36080"/>
    <cellStyle name="Normal 5 3 7 6 3" xfId="19671"/>
    <cellStyle name="Normal 5 3 7 6 3 2" xfId="36081"/>
    <cellStyle name="Normal 5 3 7 6 4" xfId="19672"/>
    <cellStyle name="Normal 5 3 7 6 4 2" xfId="36082"/>
    <cellStyle name="Normal 5 3 7 6 5" xfId="19673"/>
    <cellStyle name="Normal 5 3 7 6 5 2" xfId="36083"/>
    <cellStyle name="Normal 5 3 7 6 6" xfId="36079"/>
    <cellStyle name="Normal 5 3 7 7" xfId="19674"/>
    <cellStyle name="Normal 5 3 7 7 2" xfId="19675"/>
    <cellStyle name="Normal 5 3 7 7 2 2" xfId="36085"/>
    <cellStyle name="Normal 5 3 7 7 3" xfId="19676"/>
    <cellStyle name="Normal 5 3 7 7 3 2" xfId="36086"/>
    <cellStyle name="Normal 5 3 7 7 4" xfId="19677"/>
    <cellStyle name="Normal 5 3 7 7 4 2" xfId="36087"/>
    <cellStyle name="Normal 5 3 7 7 5" xfId="19678"/>
    <cellStyle name="Normal 5 3 7 7 5 2" xfId="36088"/>
    <cellStyle name="Normal 5 3 7 7 6" xfId="36084"/>
    <cellStyle name="Normal 5 3 7 8" xfId="19679"/>
    <cellStyle name="Normal 5 3 7 8 2" xfId="19680"/>
    <cellStyle name="Normal 5 3 7 8 2 2" xfId="36090"/>
    <cellStyle name="Normal 5 3 7 8 3" xfId="19681"/>
    <cellStyle name="Normal 5 3 7 8 3 2" xfId="36091"/>
    <cellStyle name="Normal 5 3 7 8 4" xfId="19682"/>
    <cellStyle name="Normal 5 3 7 8 4 2" xfId="36092"/>
    <cellStyle name="Normal 5 3 7 8 5" xfId="19683"/>
    <cellStyle name="Normal 5 3 7 8 5 2" xfId="36093"/>
    <cellStyle name="Normal 5 3 7 8 6" xfId="36089"/>
    <cellStyle name="Normal 5 3 7 9" xfId="19684"/>
    <cellStyle name="Normal 5 3 7 9 2" xfId="19685"/>
    <cellStyle name="Normal 5 3 7 9 2 2" xfId="36095"/>
    <cellStyle name="Normal 5 3 7 9 3" xfId="19686"/>
    <cellStyle name="Normal 5 3 7 9 3 2" xfId="36096"/>
    <cellStyle name="Normal 5 3 7 9 4" xfId="19687"/>
    <cellStyle name="Normal 5 3 7 9 4 2" xfId="36097"/>
    <cellStyle name="Normal 5 3 7 9 5" xfId="19688"/>
    <cellStyle name="Normal 5 3 7 9 5 2" xfId="36098"/>
    <cellStyle name="Normal 5 3 7 9 6" xfId="36094"/>
    <cellStyle name="Normal 5 3 8" xfId="19689"/>
    <cellStyle name="Normal 5 3 8 2" xfId="19690"/>
    <cellStyle name="Normal 5 3 8 3" xfId="19691"/>
    <cellStyle name="Normal 5 3 8 3 2" xfId="36100"/>
    <cellStyle name="Normal 5 3 8 4" xfId="19692"/>
    <cellStyle name="Normal 5 3 8 4 2" xfId="36101"/>
    <cellStyle name="Normal 5 3 8 5" xfId="19693"/>
    <cellStyle name="Normal 5 3 8 5 2" xfId="36102"/>
    <cellStyle name="Normal 5 3 8 6" xfId="19694"/>
    <cellStyle name="Normal 5 3 8 6 2" xfId="36103"/>
    <cellStyle name="Normal 5 3 8 7" xfId="36099"/>
    <cellStyle name="Normal 5 3 9" xfId="19695"/>
    <cellStyle name="Normal 5 3 9 2" xfId="19696"/>
    <cellStyle name="Normal 5 3 9 3" xfId="19697"/>
    <cellStyle name="Normal 5 3 9 3 2" xfId="36105"/>
    <cellStyle name="Normal 5 3 9 4" xfId="19698"/>
    <cellStyle name="Normal 5 3 9 4 2" xfId="36106"/>
    <cellStyle name="Normal 5 3 9 5" xfId="19699"/>
    <cellStyle name="Normal 5 3 9 5 2" xfId="36107"/>
    <cellStyle name="Normal 5 3 9 6" xfId="19700"/>
    <cellStyle name="Normal 5 3 9 6 2" xfId="36108"/>
    <cellStyle name="Normal 5 3 9 7" xfId="36104"/>
    <cellStyle name="Normal 5 30" xfId="19701"/>
    <cellStyle name="Normal 5 30 2" xfId="19702"/>
    <cellStyle name="Normal 5 30 2 2" xfId="36109"/>
    <cellStyle name="Normal 5 30 3" xfId="19703"/>
    <cellStyle name="Normal 5 30 3 2" xfId="36110"/>
    <cellStyle name="Normal 5 30 4" xfId="19704"/>
    <cellStyle name="Normal 5 30 4 2" xfId="36111"/>
    <cellStyle name="Normal 5 30 5" xfId="19705"/>
    <cellStyle name="Normal 5 30 5 2" xfId="36112"/>
    <cellStyle name="Normal 5 30 6" xfId="19706"/>
    <cellStyle name="Normal 5 30 6 2" xfId="36113"/>
    <cellStyle name="Normal 5 30 7" xfId="19707"/>
    <cellStyle name="Normal 5 30 7 2" xfId="36114"/>
    <cellStyle name="Normal 5 31" xfId="19708"/>
    <cellStyle name="Normal 5 31 2" xfId="19709"/>
    <cellStyle name="Normal 5 31 2 2" xfId="36115"/>
    <cellStyle name="Normal 5 31 3" xfId="19710"/>
    <cellStyle name="Normal 5 31 3 2" xfId="36116"/>
    <cellStyle name="Normal 5 31 4" xfId="19711"/>
    <cellStyle name="Normal 5 31 4 2" xfId="36117"/>
    <cellStyle name="Normal 5 31 5" xfId="19712"/>
    <cellStyle name="Normal 5 31 5 2" xfId="36118"/>
    <cellStyle name="Normal 5 31 6" xfId="19713"/>
    <cellStyle name="Normal 5 31 6 2" xfId="36119"/>
    <cellStyle name="Normal 5 31 7" xfId="19714"/>
    <cellStyle name="Normal 5 31 7 2" xfId="36120"/>
    <cellStyle name="Normal 5 32" xfId="19715"/>
    <cellStyle name="Normal 5 32 2" xfId="19716"/>
    <cellStyle name="Normal 5 32 2 2" xfId="36121"/>
    <cellStyle name="Normal 5 32 3" xfId="19717"/>
    <cellStyle name="Normal 5 32 3 2" xfId="36122"/>
    <cellStyle name="Normal 5 32 4" xfId="19718"/>
    <cellStyle name="Normal 5 32 4 2" xfId="36123"/>
    <cellStyle name="Normal 5 32 5" xfId="19719"/>
    <cellStyle name="Normal 5 32 5 2" xfId="36124"/>
    <cellStyle name="Normal 5 32 6" xfId="19720"/>
    <cellStyle name="Normal 5 32 6 2" xfId="36125"/>
    <cellStyle name="Normal 5 32 7" xfId="19721"/>
    <cellStyle name="Normal 5 32 7 2" xfId="36126"/>
    <cellStyle name="Normal 5 33" xfId="19722"/>
    <cellStyle name="Normal 5 33 2" xfId="19723"/>
    <cellStyle name="Normal 5 33 2 2" xfId="36127"/>
    <cellStyle name="Normal 5 33 3" xfId="19724"/>
    <cellStyle name="Normal 5 33 3 2" xfId="36128"/>
    <cellStyle name="Normal 5 33 4" xfId="19725"/>
    <cellStyle name="Normal 5 33 4 2" xfId="36129"/>
    <cellStyle name="Normal 5 33 5" xfId="19726"/>
    <cellStyle name="Normal 5 33 5 2" xfId="36130"/>
    <cellStyle name="Normal 5 33 6" xfId="19727"/>
    <cellStyle name="Normal 5 33 6 2" xfId="36131"/>
    <cellStyle name="Normal 5 33 7" xfId="19728"/>
    <cellStyle name="Normal 5 33 7 2" xfId="36132"/>
    <cellStyle name="Normal 5 34" xfId="19729"/>
    <cellStyle name="Normal 5 35" xfId="19730"/>
    <cellStyle name="Normal 5 36" xfId="19731"/>
    <cellStyle name="Normal 5 37" xfId="19732"/>
    <cellStyle name="Normal 5 38" xfId="19733"/>
    <cellStyle name="Normal 5 39" xfId="19734"/>
    <cellStyle name="Normal 5 4" xfId="19735"/>
    <cellStyle name="Normal 5 4 10" xfId="19736"/>
    <cellStyle name="Normal 5 4 10 2" xfId="19737"/>
    <cellStyle name="Normal 5 4 10 2 2" xfId="36134"/>
    <cellStyle name="Normal 5 4 10 3" xfId="19738"/>
    <cellStyle name="Normal 5 4 10 3 2" xfId="36135"/>
    <cellStyle name="Normal 5 4 10 4" xfId="19739"/>
    <cellStyle name="Normal 5 4 10 4 2" xfId="36136"/>
    <cellStyle name="Normal 5 4 10 5" xfId="19740"/>
    <cellStyle name="Normal 5 4 10 5 2" xfId="36137"/>
    <cellStyle name="Normal 5 4 10 6" xfId="36133"/>
    <cellStyle name="Normal 5 4 11" xfId="19741"/>
    <cellStyle name="Normal 5 4 11 2" xfId="19742"/>
    <cellStyle name="Normal 5 4 11 2 2" xfId="36139"/>
    <cellStyle name="Normal 5 4 11 3" xfId="19743"/>
    <cellStyle name="Normal 5 4 11 3 2" xfId="36140"/>
    <cellStyle name="Normal 5 4 11 4" xfId="19744"/>
    <cellStyle name="Normal 5 4 11 4 2" xfId="36141"/>
    <cellStyle name="Normal 5 4 11 5" xfId="19745"/>
    <cellStyle name="Normal 5 4 11 5 2" xfId="36142"/>
    <cellStyle name="Normal 5 4 11 6" xfId="36138"/>
    <cellStyle name="Normal 5 4 12" xfId="19746"/>
    <cellStyle name="Normal 5 4 12 2" xfId="19747"/>
    <cellStyle name="Normal 5 4 12 2 2" xfId="36144"/>
    <cellStyle name="Normal 5 4 12 3" xfId="19748"/>
    <cellStyle name="Normal 5 4 12 3 2" xfId="36145"/>
    <cellStyle name="Normal 5 4 12 4" xfId="19749"/>
    <cellStyle name="Normal 5 4 12 4 2" xfId="36146"/>
    <cellStyle name="Normal 5 4 12 5" xfId="19750"/>
    <cellStyle name="Normal 5 4 12 5 2" xfId="36147"/>
    <cellStyle name="Normal 5 4 12 6" xfId="36143"/>
    <cellStyle name="Normal 5 4 13" xfId="19751"/>
    <cellStyle name="Normal 5 4 13 2" xfId="19752"/>
    <cellStyle name="Normal 5 4 13 2 2" xfId="36149"/>
    <cellStyle name="Normal 5 4 13 3" xfId="19753"/>
    <cellStyle name="Normal 5 4 13 3 2" xfId="36150"/>
    <cellStyle name="Normal 5 4 13 4" xfId="19754"/>
    <cellStyle name="Normal 5 4 13 4 2" xfId="36151"/>
    <cellStyle name="Normal 5 4 13 5" xfId="19755"/>
    <cellStyle name="Normal 5 4 13 5 2" xfId="36152"/>
    <cellStyle name="Normal 5 4 13 6" xfId="36148"/>
    <cellStyle name="Normal 5 4 14" xfId="19756"/>
    <cellStyle name="Normal 5 4 14 2" xfId="19757"/>
    <cellStyle name="Normal 5 4 14 2 2" xfId="36154"/>
    <cellStyle name="Normal 5 4 14 3" xfId="19758"/>
    <cellStyle name="Normal 5 4 14 3 2" xfId="36155"/>
    <cellStyle name="Normal 5 4 14 4" xfId="19759"/>
    <cellStyle name="Normal 5 4 14 4 2" xfId="36156"/>
    <cellStyle name="Normal 5 4 14 5" xfId="19760"/>
    <cellStyle name="Normal 5 4 14 5 2" xfId="36157"/>
    <cellStyle name="Normal 5 4 14 6" xfId="36153"/>
    <cellStyle name="Normal 5 4 15" xfId="19761"/>
    <cellStyle name="Normal 5 4 15 2" xfId="19762"/>
    <cellStyle name="Normal 5 4 15 2 2" xfId="36159"/>
    <cellStyle name="Normal 5 4 15 3" xfId="19763"/>
    <cellStyle name="Normal 5 4 15 3 2" xfId="36160"/>
    <cellStyle name="Normal 5 4 15 4" xfId="19764"/>
    <cellStyle name="Normal 5 4 15 4 2" xfId="36161"/>
    <cellStyle name="Normal 5 4 15 5" xfId="19765"/>
    <cellStyle name="Normal 5 4 15 5 2" xfId="36162"/>
    <cellStyle name="Normal 5 4 15 6" xfId="36158"/>
    <cellStyle name="Normal 5 4 16" xfId="19766"/>
    <cellStyle name="Normal 5 4 16 2" xfId="19767"/>
    <cellStyle name="Normal 5 4 16 2 2" xfId="36164"/>
    <cellStyle name="Normal 5 4 16 3" xfId="19768"/>
    <cellStyle name="Normal 5 4 16 3 2" xfId="36165"/>
    <cellStyle name="Normal 5 4 16 4" xfId="19769"/>
    <cellStyle name="Normal 5 4 16 4 2" xfId="36166"/>
    <cellStyle name="Normal 5 4 16 5" xfId="19770"/>
    <cellStyle name="Normal 5 4 16 5 2" xfId="36167"/>
    <cellStyle name="Normal 5 4 16 6" xfId="36163"/>
    <cellStyle name="Normal 5 4 17" xfId="19771"/>
    <cellStyle name="Normal 5 4 17 2" xfId="19772"/>
    <cellStyle name="Normal 5 4 17 2 2" xfId="36169"/>
    <cellStyle name="Normal 5 4 17 3" xfId="19773"/>
    <cellStyle name="Normal 5 4 17 3 2" xfId="36170"/>
    <cellStyle name="Normal 5 4 17 4" xfId="19774"/>
    <cellStyle name="Normal 5 4 17 4 2" xfId="36171"/>
    <cellStyle name="Normal 5 4 17 5" xfId="19775"/>
    <cellStyle name="Normal 5 4 17 5 2" xfId="36172"/>
    <cellStyle name="Normal 5 4 17 6" xfId="36168"/>
    <cellStyle name="Normal 5 4 18" xfId="19776"/>
    <cellStyle name="Normal 5 4 18 2" xfId="19777"/>
    <cellStyle name="Normal 5 4 18 2 2" xfId="36174"/>
    <cellStyle name="Normal 5 4 18 3" xfId="19778"/>
    <cellStyle name="Normal 5 4 18 3 2" xfId="36175"/>
    <cellStyle name="Normal 5 4 18 4" xfId="19779"/>
    <cellStyle name="Normal 5 4 18 4 2" xfId="36176"/>
    <cellStyle name="Normal 5 4 18 5" xfId="19780"/>
    <cellStyle name="Normal 5 4 18 5 2" xfId="36177"/>
    <cellStyle name="Normal 5 4 18 6" xfId="36173"/>
    <cellStyle name="Normal 5 4 19" xfId="19781"/>
    <cellStyle name="Normal 5 4 19 2" xfId="19782"/>
    <cellStyle name="Normal 5 4 19 2 2" xfId="36179"/>
    <cellStyle name="Normal 5 4 19 3" xfId="19783"/>
    <cellStyle name="Normal 5 4 19 3 2" xfId="36180"/>
    <cellStyle name="Normal 5 4 19 4" xfId="19784"/>
    <cellStyle name="Normal 5 4 19 4 2" xfId="36181"/>
    <cellStyle name="Normal 5 4 19 5" xfId="19785"/>
    <cellStyle name="Normal 5 4 19 5 2" xfId="36182"/>
    <cellStyle name="Normal 5 4 19 6" xfId="36178"/>
    <cellStyle name="Normal 5 4 2" xfId="19786"/>
    <cellStyle name="Normal 5 4 2 10" xfId="19787"/>
    <cellStyle name="Normal 5 4 2 11" xfId="19788"/>
    <cellStyle name="Normal 5 4 2 12" xfId="19789"/>
    <cellStyle name="Normal 5 4 2 13" xfId="19790"/>
    <cellStyle name="Normal 5 4 2 14" xfId="19791"/>
    <cellStyle name="Normal 5 4 2 15" xfId="19792"/>
    <cellStyle name="Normal 5 4 2 16" xfId="19793"/>
    <cellStyle name="Normal 5 4 2 17" xfId="19794"/>
    <cellStyle name="Normal 5 4 2 18" xfId="19795"/>
    <cellStyle name="Normal 5 4 2 19" xfId="19796"/>
    <cellStyle name="Normal 5 4 2 2" xfId="19797"/>
    <cellStyle name="Normal 5 4 2 2 2" xfId="19798"/>
    <cellStyle name="Normal 5 4 2 2 3" xfId="19799"/>
    <cellStyle name="Normal 5 4 2 2 4" xfId="19800"/>
    <cellStyle name="Normal 5 4 2 2 5" xfId="19801"/>
    <cellStyle name="Normal 5 4 2 2 6" xfId="19802"/>
    <cellStyle name="Normal 5 4 2 2 7" xfId="19803"/>
    <cellStyle name="Normal 5 4 2 20" xfId="19804"/>
    <cellStyle name="Normal 5 4 2 21" xfId="19805"/>
    <cellStyle name="Normal 5 4 2 22" xfId="40754"/>
    <cellStyle name="Normal 5 4 2 23" xfId="36183"/>
    <cellStyle name="Normal 5 4 2 3" xfId="19806"/>
    <cellStyle name="Normal 5 4 2 4" xfId="19807"/>
    <cellStyle name="Normal 5 4 2 5" xfId="19808"/>
    <cellStyle name="Normal 5 4 2 6" xfId="19809"/>
    <cellStyle name="Normal 5 4 2 7" xfId="19810"/>
    <cellStyle name="Normal 5 4 2 8" xfId="19811"/>
    <cellStyle name="Normal 5 4 2 9" xfId="19812"/>
    <cellStyle name="Normal 5 4 20" xfId="19813"/>
    <cellStyle name="Normal 5 4 20 2" xfId="19814"/>
    <cellStyle name="Normal 5 4 20 2 2" xfId="36185"/>
    <cellStyle name="Normal 5 4 20 3" xfId="19815"/>
    <cellStyle name="Normal 5 4 20 3 2" xfId="36186"/>
    <cellStyle name="Normal 5 4 20 4" xfId="19816"/>
    <cellStyle name="Normal 5 4 20 4 2" xfId="36187"/>
    <cellStyle name="Normal 5 4 20 5" xfId="19817"/>
    <cellStyle name="Normal 5 4 20 5 2" xfId="36188"/>
    <cellStyle name="Normal 5 4 20 6" xfId="36184"/>
    <cellStyle name="Normal 5 4 21" xfId="19818"/>
    <cellStyle name="Normal 5 4 21 2" xfId="36189"/>
    <cellStyle name="Normal 5 4 22" xfId="19819"/>
    <cellStyle name="Normal 5 4 22 2" xfId="36190"/>
    <cellStyle name="Normal 5 4 23" xfId="19820"/>
    <cellStyle name="Normal 5 4 23 2" xfId="36191"/>
    <cellStyle name="Normal 5 4 24" xfId="19821"/>
    <cellStyle name="Normal 5 4 24 2" xfId="36192"/>
    <cellStyle name="Normal 5 4 25" xfId="19822"/>
    <cellStyle name="Normal 5 4 25 2" xfId="36193"/>
    <cellStyle name="Normal 5 4 26" xfId="40753"/>
    <cellStyle name="Normal 5 4 3" xfId="19823"/>
    <cellStyle name="Normal 5 4 3 10" xfId="19824"/>
    <cellStyle name="Normal 5 4 3 11" xfId="19825"/>
    <cellStyle name="Normal 5 4 3 12" xfId="19826"/>
    <cellStyle name="Normal 5 4 3 13" xfId="19827"/>
    <cellStyle name="Normal 5 4 3 14" xfId="19828"/>
    <cellStyle name="Normal 5 4 3 15" xfId="19829"/>
    <cellStyle name="Normal 5 4 3 16" xfId="19830"/>
    <cellStyle name="Normal 5 4 3 17" xfId="40755"/>
    <cellStyle name="Normal 5 4 3 2" xfId="19831"/>
    <cellStyle name="Normal 5 4 3 3" xfId="19832"/>
    <cellStyle name="Normal 5 4 3 4" xfId="19833"/>
    <cellStyle name="Normal 5 4 3 5" xfId="19834"/>
    <cellStyle name="Normal 5 4 3 6" xfId="19835"/>
    <cellStyle name="Normal 5 4 3 7" xfId="19836"/>
    <cellStyle name="Normal 5 4 3 8" xfId="19837"/>
    <cellStyle name="Normal 5 4 3 9" xfId="19838"/>
    <cellStyle name="Normal 5 4 4" xfId="19839"/>
    <cellStyle name="Normal 5 4 4 10" xfId="19840"/>
    <cellStyle name="Normal 5 4 4 10 2" xfId="19841"/>
    <cellStyle name="Normal 5 4 4 10 2 2" xfId="36196"/>
    <cellStyle name="Normal 5 4 4 10 3" xfId="19842"/>
    <cellStyle name="Normal 5 4 4 10 3 2" xfId="36197"/>
    <cellStyle name="Normal 5 4 4 10 4" xfId="19843"/>
    <cellStyle name="Normal 5 4 4 10 4 2" xfId="36198"/>
    <cellStyle name="Normal 5 4 4 10 5" xfId="19844"/>
    <cellStyle name="Normal 5 4 4 10 5 2" xfId="36199"/>
    <cellStyle name="Normal 5 4 4 10 6" xfId="36195"/>
    <cellStyle name="Normal 5 4 4 11" xfId="19845"/>
    <cellStyle name="Normal 5 4 4 11 2" xfId="19846"/>
    <cellStyle name="Normal 5 4 4 11 2 2" xfId="36201"/>
    <cellStyle name="Normal 5 4 4 11 3" xfId="19847"/>
    <cellStyle name="Normal 5 4 4 11 3 2" xfId="36202"/>
    <cellStyle name="Normal 5 4 4 11 4" xfId="19848"/>
    <cellStyle name="Normal 5 4 4 11 4 2" xfId="36203"/>
    <cellStyle name="Normal 5 4 4 11 5" xfId="19849"/>
    <cellStyle name="Normal 5 4 4 11 5 2" xfId="36204"/>
    <cellStyle name="Normal 5 4 4 11 6" xfId="36200"/>
    <cellStyle name="Normal 5 4 4 12" xfId="19850"/>
    <cellStyle name="Normal 5 4 4 12 2" xfId="19851"/>
    <cellStyle name="Normal 5 4 4 12 2 2" xfId="36206"/>
    <cellStyle name="Normal 5 4 4 12 3" xfId="19852"/>
    <cellStyle name="Normal 5 4 4 12 3 2" xfId="36207"/>
    <cellStyle name="Normal 5 4 4 12 4" xfId="19853"/>
    <cellStyle name="Normal 5 4 4 12 4 2" xfId="36208"/>
    <cellStyle name="Normal 5 4 4 12 5" xfId="19854"/>
    <cellStyle name="Normal 5 4 4 12 5 2" xfId="36209"/>
    <cellStyle name="Normal 5 4 4 12 6" xfId="36205"/>
    <cellStyle name="Normal 5 4 4 13" xfId="19855"/>
    <cellStyle name="Normal 5 4 4 13 2" xfId="19856"/>
    <cellStyle name="Normal 5 4 4 13 2 2" xfId="36211"/>
    <cellStyle name="Normal 5 4 4 13 3" xfId="19857"/>
    <cellStyle name="Normal 5 4 4 13 3 2" xfId="36212"/>
    <cellStyle name="Normal 5 4 4 13 4" xfId="19858"/>
    <cellStyle name="Normal 5 4 4 13 4 2" xfId="36213"/>
    <cellStyle name="Normal 5 4 4 13 5" xfId="19859"/>
    <cellStyle name="Normal 5 4 4 13 5 2" xfId="36214"/>
    <cellStyle name="Normal 5 4 4 13 6" xfId="36210"/>
    <cellStyle name="Normal 5 4 4 14" xfId="19860"/>
    <cellStyle name="Normal 5 4 4 14 2" xfId="19861"/>
    <cellStyle name="Normal 5 4 4 14 2 2" xfId="36216"/>
    <cellStyle name="Normal 5 4 4 14 3" xfId="19862"/>
    <cellStyle name="Normal 5 4 4 14 3 2" xfId="36217"/>
    <cellStyle name="Normal 5 4 4 14 4" xfId="19863"/>
    <cellStyle name="Normal 5 4 4 14 4 2" xfId="36218"/>
    <cellStyle name="Normal 5 4 4 14 5" xfId="19864"/>
    <cellStyle name="Normal 5 4 4 14 5 2" xfId="36219"/>
    <cellStyle name="Normal 5 4 4 14 6" xfId="36215"/>
    <cellStyle name="Normal 5 4 4 15" xfId="19865"/>
    <cellStyle name="Normal 5 4 4 15 2" xfId="19866"/>
    <cellStyle name="Normal 5 4 4 15 2 2" xfId="36221"/>
    <cellStyle name="Normal 5 4 4 15 3" xfId="19867"/>
    <cellStyle name="Normal 5 4 4 15 3 2" xfId="36222"/>
    <cellStyle name="Normal 5 4 4 15 4" xfId="19868"/>
    <cellStyle name="Normal 5 4 4 15 4 2" xfId="36223"/>
    <cellStyle name="Normal 5 4 4 15 5" xfId="19869"/>
    <cellStyle name="Normal 5 4 4 15 5 2" xfId="36224"/>
    <cellStyle name="Normal 5 4 4 15 6" xfId="36220"/>
    <cellStyle name="Normal 5 4 4 16" xfId="19870"/>
    <cellStyle name="Normal 5 4 4 16 2" xfId="19871"/>
    <cellStyle name="Normal 5 4 4 16 2 2" xfId="36226"/>
    <cellStyle name="Normal 5 4 4 16 3" xfId="19872"/>
    <cellStyle name="Normal 5 4 4 16 3 2" xfId="36227"/>
    <cellStyle name="Normal 5 4 4 16 4" xfId="19873"/>
    <cellStyle name="Normal 5 4 4 16 4 2" xfId="36228"/>
    <cellStyle name="Normal 5 4 4 16 5" xfId="19874"/>
    <cellStyle name="Normal 5 4 4 16 5 2" xfId="36229"/>
    <cellStyle name="Normal 5 4 4 16 6" xfId="36225"/>
    <cellStyle name="Normal 5 4 4 17" xfId="19875"/>
    <cellStyle name="Normal 5 4 4 17 2" xfId="36230"/>
    <cellStyle name="Normal 5 4 4 18" xfId="19876"/>
    <cellStyle name="Normal 5 4 4 18 2" xfId="36231"/>
    <cellStyle name="Normal 5 4 4 19" xfId="19877"/>
    <cellStyle name="Normal 5 4 4 19 2" xfId="36232"/>
    <cellStyle name="Normal 5 4 4 2" xfId="19878"/>
    <cellStyle name="Normal 5 4 4 20" xfId="19879"/>
    <cellStyle name="Normal 5 4 4 20 2" xfId="36233"/>
    <cellStyle name="Normal 5 4 4 21" xfId="40756"/>
    <cellStyle name="Normal 5 4 4 22" xfId="36194"/>
    <cellStyle name="Normal 5 4 4 3" xfId="19880"/>
    <cellStyle name="Normal 5 4 4 3 2" xfId="19881"/>
    <cellStyle name="Normal 5 4 4 3 2 2" xfId="36235"/>
    <cellStyle name="Normal 5 4 4 3 3" xfId="19882"/>
    <cellStyle name="Normal 5 4 4 3 3 2" xfId="36236"/>
    <cellStyle name="Normal 5 4 4 3 4" xfId="19883"/>
    <cellStyle name="Normal 5 4 4 3 4 2" xfId="36237"/>
    <cellStyle name="Normal 5 4 4 3 5" xfId="19884"/>
    <cellStyle name="Normal 5 4 4 3 5 2" xfId="36238"/>
    <cellStyle name="Normal 5 4 4 3 6" xfId="36234"/>
    <cellStyle name="Normal 5 4 4 4" xfId="19885"/>
    <cellStyle name="Normal 5 4 4 4 2" xfId="19886"/>
    <cellStyle name="Normal 5 4 4 4 2 2" xfId="36240"/>
    <cellStyle name="Normal 5 4 4 4 3" xfId="19887"/>
    <cellStyle name="Normal 5 4 4 4 3 2" xfId="36241"/>
    <cellStyle name="Normal 5 4 4 4 4" xfId="19888"/>
    <cellStyle name="Normal 5 4 4 4 4 2" xfId="36242"/>
    <cellStyle name="Normal 5 4 4 4 5" xfId="19889"/>
    <cellStyle name="Normal 5 4 4 4 5 2" xfId="36243"/>
    <cellStyle name="Normal 5 4 4 4 6" xfId="36239"/>
    <cellStyle name="Normal 5 4 4 5" xfId="19890"/>
    <cellStyle name="Normal 5 4 4 5 2" xfId="19891"/>
    <cellStyle name="Normal 5 4 4 5 2 2" xfId="36245"/>
    <cellStyle name="Normal 5 4 4 5 3" xfId="19892"/>
    <cellStyle name="Normal 5 4 4 5 3 2" xfId="36246"/>
    <cellStyle name="Normal 5 4 4 5 4" xfId="19893"/>
    <cellStyle name="Normal 5 4 4 5 4 2" xfId="36247"/>
    <cellStyle name="Normal 5 4 4 5 5" xfId="19894"/>
    <cellStyle name="Normal 5 4 4 5 5 2" xfId="36248"/>
    <cellStyle name="Normal 5 4 4 5 6" xfId="36244"/>
    <cellStyle name="Normal 5 4 4 6" xfId="19895"/>
    <cellStyle name="Normal 5 4 4 6 2" xfId="19896"/>
    <cellStyle name="Normal 5 4 4 6 2 2" xfId="36250"/>
    <cellStyle name="Normal 5 4 4 6 3" xfId="19897"/>
    <cellStyle name="Normal 5 4 4 6 3 2" xfId="36251"/>
    <cellStyle name="Normal 5 4 4 6 4" xfId="19898"/>
    <cellStyle name="Normal 5 4 4 6 4 2" xfId="36252"/>
    <cellStyle name="Normal 5 4 4 6 5" xfId="19899"/>
    <cellStyle name="Normal 5 4 4 6 5 2" xfId="36253"/>
    <cellStyle name="Normal 5 4 4 6 6" xfId="36249"/>
    <cellStyle name="Normal 5 4 4 7" xfId="19900"/>
    <cellStyle name="Normal 5 4 4 7 2" xfId="19901"/>
    <cellStyle name="Normal 5 4 4 7 2 2" xfId="36255"/>
    <cellStyle name="Normal 5 4 4 7 3" xfId="19902"/>
    <cellStyle name="Normal 5 4 4 7 3 2" xfId="36256"/>
    <cellStyle name="Normal 5 4 4 7 4" xfId="19903"/>
    <cellStyle name="Normal 5 4 4 7 4 2" xfId="36257"/>
    <cellStyle name="Normal 5 4 4 7 5" xfId="19904"/>
    <cellStyle name="Normal 5 4 4 7 5 2" xfId="36258"/>
    <cellStyle name="Normal 5 4 4 7 6" xfId="36254"/>
    <cellStyle name="Normal 5 4 4 8" xfId="19905"/>
    <cellStyle name="Normal 5 4 4 8 2" xfId="19906"/>
    <cellStyle name="Normal 5 4 4 8 2 2" xfId="36260"/>
    <cellStyle name="Normal 5 4 4 8 3" xfId="19907"/>
    <cellStyle name="Normal 5 4 4 8 3 2" xfId="36261"/>
    <cellStyle name="Normal 5 4 4 8 4" xfId="19908"/>
    <cellStyle name="Normal 5 4 4 8 4 2" xfId="36262"/>
    <cellStyle name="Normal 5 4 4 8 5" xfId="19909"/>
    <cellStyle name="Normal 5 4 4 8 5 2" xfId="36263"/>
    <cellStyle name="Normal 5 4 4 8 6" xfId="36259"/>
    <cellStyle name="Normal 5 4 4 9" xfId="19910"/>
    <cellStyle name="Normal 5 4 4 9 2" xfId="19911"/>
    <cellStyle name="Normal 5 4 4 9 2 2" xfId="36265"/>
    <cellStyle name="Normal 5 4 4 9 3" xfId="19912"/>
    <cellStyle name="Normal 5 4 4 9 3 2" xfId="36266"/>
    <cellStyle name="Normal 5 4 4 9 4" xfId="19913"/>
    <cellStyle name="Normal 5 4 4 9 4 2" xfId="36267"/>
    <cellStyle name="Normal 5 4 4 9 5" xfId="19914"/>
    <cellStyle name="Normal 5 4 4 9 5 2" xfId="36268"/>
    <cellStyle name="Normal 5 4 4 9 6" xfId="36264"/>
    <cellStyle name="Normal 5 4 5" xfId="19915"/>
    <cellStyle name="Normal 5 4 5 2" xfId="19916"/>
    <cellStyle name="Normal 5 4 5 3" xfId="19917"/>
    <cellStyle name="Normal 5 4 5 3 2" xfId="36270"/>
    <cellStyle name="Normal 5 4 5 4" xfId="19918"/>
    <cellStyle name="Normal 5 4 5 4 2" xfId="36271"/>
    <cellStyle name="Normal 5 4 5 5" xfId="19919"/>
    <cellStyle name="Normal 5 4 5 5 2" xfId="36272"/>
    <cellStyle name="Normal 5 4 5 6" xfId="19920"/>
    <cellStyle name="Normal 5 4 5 6 2" xfId="36273"/>
    <cellStyle name="Normal 5 4 5 7" xfId="36269"/>
    <cellStyle name="Normal 5 4 6" xfId="19921"/>
    <cellStyle name="Normal 5 4 6 2" xfId="19922"/>
    <cellStyle name="Normal 5 4 6 3" xfId="19923"/>
    <cellStyle name="Normal 5 4 6 3 2" xfId="36275"/>
    <cellStyle name="Normal 5 4 6 4" xfId="19924"/>
    <cellStyle name="Normal 5 4 6 4 2" xfId="36276"/>
    <cellStyle name="Normal 5 4 6 5" xfId="19925"/>
    <cellStyle name="Normal 5 4 6 5 2" xfId="36277"/>
    <cellStyle name="Normal 5 4 6 6" xfId="19926"/>
    <cellStyle name="Normal 5 4 6 6 2" xfId="36278"/>
    <cellStyle name="Normal 5 4 6 7" xfId="36274"/>
    <cellStyle name="Normal 5 4 7" xfId="19927"/>
    <cellStyle name="Normal 5 4 7 2" xfId="19928"/>
    <cellStyle name="Normal 5 4 7 2 2" xfId="36280"/>
    <cellStyle name="Normal 5 4 7 3" xfId="19929"/>
    <cellStyle name="Normal 5 4 7 3 2" xfId="36281"/>
    <cellStyle name="Normal 5 4 7 4" xfId="19930"/>
    <cellStyle name="Normal 5 4 7 4 2" xfId="36282"/>
    <cellStyle name="Normal 5 4 7 5" xfId="19931"/>
    <cellStyle name="Normal 5 4 7 5 2" xfId="36283"/>
    <cellStyle name="Normal 5 4 7 6" xfId="36279"/>
    <cellStyle name="Normal 5 4 8" xfId="19932"/>
    <cellStyle name="Normal 5 4 8 2" xfId="19933"/>
    <cellStyle name="Normal 5 4 8 2 2" xfId="36285"/>
    <cellStyle name="Normal 5 4 8 3" xfId="19934"/>
    <cellStyle name="Normal 5 4 8 3 2" xfId="36286"/>
    <cellStyle name="Normal 5 4 8 4" xfId="19935"/>
    <cellStyle name="Normal 5 4 8 4 2" xfId="36287"/>
    <cellStyle name="Normal 5 4 8 5" xfId="19936"/>
    <cellStyle name="Normal 5 4 8 5 2" xfId="36288"/>
    <cellStyle name="Normal 5 4 8 6" xfId="36284"/>
    <cellStyle name="Normal 5 4 9" xfId="19937"/>
    <cellStyle name="Normal 5 4 9 2" xfId="19938"/>
    <cellStyle name="Normal 5 4 9 2 2" xfId="36290"/>
    <cellStyle name="Normal 5 4 9 3" xfId="19939"/>
    <cellStyle name="Normal 5 4 9 3 2" xfId="36291"/>
    <cellStyle name="Normal 5 4 9 4" xfId="19940"/>
    <cellStyle name="Normal 5 4 9 4 2" xfId="36292"/>
    <cellStyle name="Normal 5 4 9 5" xfId="19941"/>
    <cellStyle name="Normal 5 4 9 5 2" xfId="36293"/>
    <cellStyle name="Normal 5 4 9 6" xfId="36289"/>
    <cellStyle name="Normal 5 40" xfId="19942"/>
    <cellStyle name="Normal 5 41" xfId="19943"/>
    <cellStyle name="Normal 5 42" xfId="19944"/>
    <cellStyle name="Normal 5 43" xfId="19945"/>
    <cellStyle name="Normal 5 44" xfId="19946"/>
    <cellStyle name="Normal 5 45" xfId="19947"/>
    <cellStyle name="Normal 5 46" xfId="19948"/>
    <cellStyle name="Normal 5 47" xfId="19949"/>
    <cellStyle name="Normal 5 48" xfId="19950"/>
    <cellStyle name="Normal 5 49" xfId="19951"/>
    <cellStyle name="Normal 5 5" xfId="19952"/>
    <cellStyle name="Normal 5 5 10" xfId="19953"/>
    <cellStyle name="Normal 5 5 10 2" xfId="19954"/>
    <cellStyle name="Normal 5 5 10 2 2" xfId="36295"/>
    <cellStyle name="Normal 5 5 10 3" xfId="19955"/>
    <cellStyle name="Normal 5 5 10 3 2" xfId="36296"/>
    <cellStyle name="Normal 5 5 10 4" xfId="19956"/>
    <cellStyle name="Normal 5 5 10 4 2" xfId="36297"/>
    <cellStyle name="Normal 5 5 10 5" xfId="19957"/>
    <cellStyle name="Normal 5 5 10 5 2" xfId="36298"/>
    <cellStyle name="Normal 5 5 10 6" xfId="36294"/>
    <cellStyle name="Normal 5 5 11" xfId="19958"/>
    <cellStyle name="Normal 5 5 11 2" xfId="19959"/>
    <cellStyle name="Normal 5 5 11 2 2" xfId="36300"/>
    <cellStyle name="Normal 5 5 11 3" xfId="19960"/>
    <cellStyle name="Normal 5 5 11 3 2" xfId="36301"/>
    <cellStyle name="Normal 5 5 11 4" xfId="19961"/>
    <cellStyle name="Normal 5 5 11 4 2" xfId="36302"/>
    <cellStyle name="Normal 5 5 11 5" xfId="19962"/>
    <cellStyle name="Normal 5 5 11 5 2" xfId="36303"/>
    <cellStyle name="Normal 5 5 11 6" xfId="36299"/>
    <cellStyle name="Normal 5 5 12" xfId="19963"/>
    <cellStyle name="Normal 5 5 12 2" xfId="19964"/>
    <cellStyle name="Normal 5 5 12 2 2" xfId="36305"/>
    <cellStyle name="Normal 5 5 12 3" xfId="19965"/>
    <cellStyle name="Normal 5 5 12 3 2" xfId="36306"/>
    <cellStyle name="Normal 5 5 12 4" xfId="19966"/>
    <cellStyle name="Normal 5 5 12 4 2" xfId="36307"/>
    <cellStyle name="Normal 5 5 12 5" xfId="19967"/>
    <cellStyle name="Normal 5 5 12 5 2" xfId="36308"/>
    <cellStyle name="Normal 5 5 12 6" xfId="36304"/>
    <cellStyle name="Normal 5 5 13" xfId="19968"/>
    <cellStyle name="Normal 5 5 13 2" xfId="19969"/>
    <cellStyle name="Normal 5 5 13 2 2" xfId="36310"/>
    <cellStyle name="Normal 5 5 13 3" xfId="19970"/>
    <cellStyle name="Normal 5 5 13 3 2" xfId="36311"/>
    <cellStyle name="Normal 5 5 13 4" xfId="19971"/>
    <cellStyle name="Normal 5 5 13 4 2" xfId="36312"/>
    <cellStyle name="Normal 5 5 13 5" xfId="19972"/>
    <cellStyle name="Normal 5 5 13 5 2" xfId="36313"/>
    <cellStyle name="Normal 5 5 13 6" xfId="36309"/>
    <cellStyle name="Normal 5 5 14" xfId="19973"/>
    <cellStyle name="Normal 5 5 14 2" xfId="19974"/>
    <cellStyle name="Normal 5 5 14 2 2" xfId="36315"/>
    <cellStyle name="Normal 5 5 14 3" xfId="19975"/>
    <cellStyle name="Normal 5 5 14 3 2" xfId="36316"/>
    <cellStyle name="Normal 5 5 14 4" xfId="19976"/>
    <cellStyle name="Normal 5 5 14 4 2" xfId="36317"/>
    <cellStyle name="Normal 5 5 14 5" xfId="19977"/>
    <cellStyle name="Normal 5 5 14 5 2" xfId="36318"/>
    <cellStyle name="Normal 5 5 14 6" xfId="36314"/>
    <cellStyle name="Normal 5 5 15" xfId="19978"/>
    <cellStyle name="Normal 5 5 15 2" xfId="19979"/>
    <cellStyle name="Normal 5 5 15 2 2" xfId="36320"/>
    <cellStyle name="Normal 5 5 15 3" xfId="19980"/>
    <cellStyle name="Normal 5 5 15 3 2" xfId="36321"/>
    <cellStyle name="Normal 5 5 15 4" xfId="19981"/>
    <cellStyle name="Normal 5 5 15 4 2" xfId="36322"/>
    <cellStyle name="Normal 5 5 15 5" xfId="19982"/>
    <cellStyle name="Normal 5 5 15 5 2" xfId="36323"/>
    <cellStyle name="Normal 5 5 15 6" xfId="36319"/>
    <cellStyle name="Normal 5 5 16" xfId="19983"/>
    <cellStyle name="Normal 5 5 16 2" xfId="19984"/>
    <cellStyle name="Normal 5 5 16 2 2" xfId="36325"/>
    <cellStyle name="Normal 5 5 16 3" xfId="19985"/>
    <cellStyle name="Normal 5 5 16 3 2" xfId="36326"/>
    <cellStyle name="Normal 5 5 16 4" xfId="19986"/>
    <cellStyle name="Normal 5 5 16 4 2" xfId="36327"/>
    <cellStyle name="Normal 5 5 16 5" xfId="19987"/>
    <cellStyle name="Normal 5 5 16 5 2" xfId="36328"/>
    <cellStyle name="Normal 5 5 16 6" xfId="36324"/>
    <cellStyle name="Normal 5 5 17" xfId="19988"/>
    <cellStyle name="Normal 5 5 17 2" xfId="19989"/>
    <cellStyle name="Normal 5 5 17 2 2" xfId="36330"/>
    <cellStyle name="Normal 5 5 17 3" xfId="19990"/>
    <cellStyle name="Normal 5 5 17 3 2" xfId="36331"/>
    <cellStyle name="Normal 5 5 17 4" xfId="19991"/>
    <cellStyle name="Normal 5 5 17 4 2" xfId="36332"/>
    <cellStyle name="Normal 5 5 17 5" xfId="19992"/>
    <cellStyle name="Normal 5 5 17 5 2" xfId="36333"/>
    <cellStyle name="Normal 5 5 17 6" xfId="36329"/>
    <cellStyle name="Normal 5 5 18" xfId="19993"/>
    <cellStyle name="Normal 5 5 18 2" xfId="19994"/>
    <cellStyle name="Normal 5 5 18 2 2" xfId="36335"/>
    <cellStyle name="Normal 5 5 18 3" xfId="19995"/>
    <cellStyle name="Normal 5 5 18 3 2" xfId="36336"/>
    <cellStyle name="Normal 5 5 18 4" xfId="19996"/>
    <cellStyle name="Normal 5 5 18 4 2" xfId="36337"/>
    <cellStyle name="Normal 5 5 18 5" xfId="19997"/>
    <cellStyle name="Normal 5 5 18 5 2" xfId="36338"/>
    <cellStyle name="Normal 5 5 18 6" xfId="36334"/>
    <cellStyle name="Normal 5 5 19" xfId="19998"/>
    <cellStyle name="Normal 5 5 19 2" xfId="19999"/>
    <cellStyle name="Normal 5 5 19 2 2" xfId="36340"/>
    <cellStyle name="Normal 5 5 19 3" xfId="20000"/>
    <cellStyle name="Normal 5 5 19 3 2" xfId="36341"/>
    <cellStyle name="Normal 5 5 19 4" xfId="20001"/>
    <cellStyle name="Normal 5 5 19 4 2" xfId="36342"/>
    <cellStyle name="Normal 5 5 19 5" xfId="20002"/>
    <cellStyle name="Normal 5 5 19 5 2" xfId="36343"/>
    <cellStyle name="Normal 5 5 19 6" xfId="36339"/>
    <cellStyle name="Normal 5 5 2" xfId="20003"/>
    <cellStyle name="Normal 5 5 2 10" xfId="20004"/>
    <cellStyle name="Normal 5 5 2 11" xfId="20005"/>
    <cellStyle name="Normal 5 5 2 12" xfId="20006"/>
    <cellStyle name="Normal 5 5 2 13" xfId="20007"/>
    <cellStyle name="Normal 5 5 2 14" xfId="20008"/>
    <cellStyle name="Normal 5 5 2 15" xfId="20009"/>
    <cellStyle name="Normal 5 5 2 16" xfId="20010"/>
    <cellStyle name="Normal 5 5 2 17" xfId="20011"/>
    <cellStyle name="Normal 5 5 2 18" xfId="20012"/>
    <cellStyle name="Normal 5 5 2 19" xfId="20013"/>
    <cellStyle name="Normal 5 5 2 2" xfId="20014"/>
    <cellStyle name="Normal 5 5 2 2 2" xfId="20015"/>
    <cellStyle name="Normal 5 5 2 2 3" xfId="20016"/>
    <cellStyle name="Normal 5 5 2 2 4" xfId="20017"/>
    <cellStyle name="Normal 5 5 2 2 5" xfId="20018"/>
    <cellStyle name="Normal 5 5 2 2 6" xfId="20019"/>
    <cellStyle name="Normal 5 5 2 2 7" xfId="20020"/>
    <cellStyle name="Normal 5 5 2 20" xfId="20021"/>
    <cellStyle name="Normal 5 5 2 21" xfId="20022"/>
    <cellStyle name="Normal 5 5 2 22" xfId="40758"/>
    <cellStyle name="Normal 5 5 2 23" xfId="36344"/>
    <cellStyle name="Normal 5 5 2 3" xfId="20023"/>
    <cellStyle name="Normal 5 5 2 4" xfId="20024"/>
    <cellStyle name="Normal 5 5 2 5" xfId="20025"/>
    <cellStyle name="Normal 5 5 2 6" xfId="20026"/>
    <cellStyle name="Normal 5 5 2 7" xfId="20027"/>
    <cellStyle name="Normal 5 5 2 8" xfId="20028"/>
    <cellStyle name="Normal 5 5 2 9" xfId="20029"/>
    <cellStyle name="Normal 5 5 20" xfId="20030"/>
    <cellStyle name="Normal 5 5 20 2" xfId="20031"/>
    <cellStyle name="Normal 5 5 20 2 2" xfId="36346"/>
    <cellStyle name="Normal 5 5 20 3" xfId="20032"/>
    <cellStyle name="Normal 5 5 20 3 2" xfId="36347"/>
    <cellStyle name="Normal 5 5 20 4" xfId="20033"/>
    <cellStyle name="Normal 5 5 20 4 2" xfId="36348"/>
    <cellStyle name="Normal 5 5 20 5" xfId="20034"/>
    <cellStyle name="Normal 5 5 20 5 2" xfId="36349"/>
    <cellStyle name="Normal 5 5 20 6" xfId="36345"/>
    <cellStyle name="Normal 5 5 21" xfId="20035"/>
    <cellStyle name="Normal 5 5 21 2" xfId="36350"/>
    <cellStyle name="Normal 5 5 22" xfId="20036"/>
    <cellStyle name="Normal 5 5 22 2" xfId="36351"/>
    <cellStyle name="Normal 5 5 23" xfId="20037"/>
    <cellStyle name="Normal 5 5 23 2" xfId="36352"/>
    <cellStyle name="Normal 5 5 24" xfId="20038"/>
    <cellStyle name="Normal 5 5 24 2" xfId="36353"/>
    <cellStyle name="Normal 5 5 25" xfId="20039"/>
    <cellStyle name="Normal 5 5 25 2" xfId="36354"/>
    <cellStyle name="Normal 5 5 26" xfId="40757"/>
    <cellStyle name="Normal 5 5 3" xfId="20040"/>
    <cellStyle name="Normal 5 5 3 10" xfId="20041"/>
    <cellStyle name="Normal 5 5 3 11" xfId="20042"/>
    <cellStyle name="Normal 5 5 3 12" xfId="20043"/>
    <cellStyle name="Normal 5 5 3 13" xfId="20044"/>
    <cellStyle name="Normal 5 5 3 14" xfId="20045"/>
    <cellStyle name="Normal 5 5 3 15" xfId="20046"/>
    <cellStyle name="Normal 5 5 3 16" xfId="20047"/>
    <cellStyle name="Normal 5 5 3 17" xfId="40759"/>
    <cellStyle name="Normal 5 5 3 2" xfId="20048"/>
    <cellStyle name="Normal 5 5 3 3" xfId="20049"/>
    <cellStyle name="Normal 5 5 3 4" xfId="20050"/>
    <cellStyle name="Normal 5 5 3 5" xfId="20051"/>
    <cellStyle name="Normal 5 5 3 6" xfId="20052"/>
    <cellStyle name="Normal 5 5 3 7" xfId="20053"/>
    <cellStyle name="Normal 5 5 3 8" xfId="20054"/>
    <cellStyle name="Normal 5 5 3 9" xfId="20055"/>
    <cellStyle name="Normal 5 5 4" xfId="20056"/>
    <cellStyle name="Normal 5 5 4 10" xfId="20057"/>
    <cellStyle name="Normal 5 5 4 10 2" xfId="20058"/>
    <cellStyle name="Normal 5 5 4 10 2 2" xfId="36357"/>
    <cellStyle name="Normal 5 5 4 10 3" xfId="20059"/>
    <cellStyle name="Normal 5 5 4 10 3 2" xfId="36358"/>
    <cellStyle name="Normal 5 5 4 10 4" xfId="20060"/>
    <cellStyle name="Normal 5 5 4 10 4 2" xfId="36359"/>
    <cellStyle name="Normal 5 5 4 10 5" xfId="20061"/>
    <cellStyle name="Normal 5 5 4 10 5 2" xfId="36360"/>
    <cellStyle name="Normal 5 5 4 10 6" xfId="36356"/>
    <cellStyle name="Normal 5 5 4 11" xfId="20062"/>
    <cellStyle name="Normal 5 5 4 11 2" xfId="20063"/>
    <cellStyle name="Normal 5 5 4 11 2 2" xfId="36362"/>
    <cellStyle name="Normal 5 5 4 11 3" xfId="20064"/>
    <cellStyle name="Normal 5 5 4 11 3 2" xfId="36363"/>
    <cellStyle name="Normal 5 5 4 11 4" xfId="20065"/>
    <cellStyle name="Normal 5 5 4 11 4 2" xfId="36364"/>
    <cellStyle name="Normal 5 5 4 11 5" xfId="20066"/>
    <cellStyle name="Normal 5 5 4 11 5 2" xfId="36365"/>
    <cellStyle name="Normal 5 5 4 11 6" xfId="36361"/>
    <cellStyle name="Normal 5 5 4 12" xfId="20067"/>
    <cellStyle name="Normal 5 5 4 12 2" xfId="20068"/>
    <cellStyle name="Normal 5 5 4 12 2 2" xfId="36367"/>
    <cellStyle name="Normal 5 5 4 12 3" xfId="20069"/>
    <cellStyle name="Normal 5 5 4 12 3 2" xfId="36368"/>
    <cellStyle name="Normal 5 5 4 12 4" xfId="20070"/>
    <cellStyle name="Normal 5 5 4 12 4 2" xfId="36369"/>
    <cellStyle name="Normal 5 5 4 12 5" xfId="20071"/>
    <cellStyle name="Normal 5 5 4 12 5 2" xfId="36370"/>
    <cellStyle name="Normal 5 5 4 12 6" xfId="36366"/>
    <cellStyle name="Normal 5 5 4 13" xfId="20072"/>
    <cellStyle name="Normal 5 5 4 13 2" xfId="20073"/>
    <cellStyle name="Normal 5 5 4 13 2 2" xfId="36372"/>
    <cellStyle name="Normal 5 5 4 13 3" xfId="20074"/>
    <cellStyle name="Normal 5 5 4 13 3 2" xfId="36373"/>
    <cellStyle name="Normal 5 5 4 13 4" xfId="20075"/>
    <cellStyle name="Normal 5 5 4 13 4 2" xfId="36374"/>
    <cellStyle name="Normal 5 5 4 13 5" xfId="20076"/>
    <cellStyle name="Normal 5 5 4 13 5 2" xfId="36375"/>
    <cellStyle name="Normal 5 5 4 13 6" xfId="36371"/>
    <cellStyle name="Normal 5 5 4 14" xfId="20077"/>
    <cellStyle name="Normal 5 5 4 14 2" xfId="20078"/>
    <cellStyle name="Normal 5 5 4 14 2 2" xfId="36377"/>
    <cellStyle name="Normal 5 5 4 14 3" xfId="20079"/>
    <cellStyle name="Normal 5 5 4 14 3 2" xfId="36378"/>
    <cellStyle name="Normal 5 5 4 14 4" xfId="20080"/>
    <cellStyle name="Normal 5 5 4 14 4 2" xfId="36379"/>
    <cellStyle name="Normal 5 5 4 14 5" xfId="20081"/>
    <cellStyle name="Normal 5 5 4 14 5 2" xfId="36380"/>
    <cellStyle name="Normal 5 5 4 14 6" xfId="36376"/>
    <cellStyle name="Normal 5 5 4 15" xfId="20082"/>
    <cellStyle name="Normal 5 5 4 15 2" xfId="20083"/>
    <cellStyle name="Normal 5 5 4 15 2 2" xfId="36382"/>
    <cellStyle name="Normal 5 5 4 15 3" xfId="20084"/>
    <cellStyle name="Normal 5 5 4 15 3 2" xfId="36383"/>
    <cellStyle name="Normal 5 5 4 15 4" xfId="20085"/>
    <cellStyle name="Normal 5 5 4 15 4 2" xfId="36384"/>
    <cellStyle name="Normal 5 5 4 15 5" xfId="20086"/>
    <cellStyle name="Normal 5 5 4 15 5 2" xfId="36385"/>
    <cellStyle name="Normal 5 5 4 15 6" xfId="36381"/>
    <cellStyle name="Normal 5 5 4 16" xfId="20087"/>
    <cellStyle name="Normal 5 5 4 16 2" xfId="20088"/>
    <cellStyle name="Normal 5 5 4 16 2 2" xfId="36387"/>
    <cellStyle name="Normal 5 5 4 16 3" xfId="20089"/>
    <cellStyle name="Normal 5 5 4 16 3 2" xfId="36388"/>
    <cellStyle name="Normal 5 5 4 16 4" xfId="20090"/>
    <cellStyle name="Normal 5 5 4 16 4 2" xfId="36389"/>
    <cellStyle name="Normal 5 5 4 16 5" xfId="20091"/>
    <cellStyle name="Normal 5 5 4 16 5 2" xfId="36390"/>
    <cellStyle name="Normal 5 5 4 16 6" xfId="36386"/>
    <cellStyle name="Normal 5 5 4 17" xfId="20092"/>
    <cellStyle name="Normal 5 5 4 17 2" xfId="36391"/>
    <cellStyle name="Normal 5 5 4 18" xfId="20093"/>
    <cellStyle name="Normal 5 5 4 18 2" xfId="36392"/>
    <cellStyle name="Normal 5 5 4 19" xfId="20094"/>
    <cellStyle name="Normal 5 5 4 19 2" xfId="36393"/>
    <cellStyle name="Normal 5 5 4 2" xfId="20095"/>
    <cellStyle name="Normal 5 5 4 20" xfId="20096"/>
    <cellStyle name="Normal 5 5 4 20 2" xfId="36394"/>
    <cellStyle name="Normal 5 5 4 21" xfId="40760"/>
    <cellStyle name="Normal 5 5 4 22" xfId="36355"/>
    <cellStyle name="Normal 5 5 4 3" xfId="20097"/>
    <cellStyle name="Normal 5 5 4 3 2" xfId="20098"/>
    <cellStyle name="Normal 5 5 4 3 2 2" xfId="36396"/>
    <cellStyle name="Normal 5 5 4 3 3" xfId="20099"/>
    <cellStyle name="Normal 5 5 4 3 3 2" xfId="36397"/>
    <cellStyle name="Normal 5 5 4 3 4" xfId="20100"/>
    <cellStyle name="Normal 5 5 4 3 4 2" xfId="36398"/>
    <cellStyle name="Normal 5 5 4 3 5" xfId="20101"/>
    <cellStyle name="Normal 5 5 4 3 5 2" xfId="36399"/>
    <cellStyle name="Normal 5 5 4 3 6" xfId="36395"/>
    <cellStyle name="Normal 5 5 4 4" xfId="20102"/>
    <cellStyle name="Normal 5 5 4 4 2" xfId="20103"/>
    <cellStyle name="Normal 5 5 4 4 2 2" xfId="36401"/>
    <cellStyle name="Normal 5 5 4 4 3" xfId="20104"/>
    <cellStyle name="Normal 5 5 4 4 3 2" xfId="36402"/>
    <cellStyle name="Normal 5 5 4 4 4" xfId="20105"/>
    <cellStyle name="Normal 5 5 4 4 4 2" xfId="36403"/>
    <cellStyle name="Normal 5 5 4 4 5" xfId="20106"/>
    <cellStyle name="Normal 5 5 4 4 5 2" xfId="36404"/>
    <cellStyle name="Normal 5 5 4 4 6" xfId="36400"/>
    <cellStyle name="Normal 5 5 4 5" xfId="20107"/>
    <cellStyle name="Normal 5 5 4 5 2" xfId="20108"/>
    <cellStyle name="Normal 5 5 4 5 2 2" xfId="36406"/>
    <cellStyle name="Normal 5 5 4 5 3" xfId="20109"/>
    <cellStyle name="Normal 5 5 4 5 3 2" xfId="36407"/>
    <cellStyle name="Normal 5 5 4 5 4" xfId="20110"/>
    <cellStyle name="Normal 5 5 4 5 4 2" xfId="36408"/>
    <cellStyle name="Normal 5 5 4 5 5" xfId="20111"/>
    <cellStyle name="Normal 5 5 4 5 5 2" xfId="36409"/>
    <cellStyle name="Normal 5 5 4 5 6" xfId="36405"/>
    <cellStyle name="Normal 5 5 4 6" xfId="20112"/>
    <cellStyle name="Normal 5 5 4 6 2" xfId="20113"/>
    <cellStyle name="Normal 5 5 4 6 2 2" xfId="36411"/>
    <cellStyle name="Normal 5 5 4 6 3" xfId="20114"/>
    <cellStyle name="Normal 5 5 4 6 3 2" xfId="36412"/>
    <cellStyle name="Normal 5 5 4 6 4" xfId="20115"/>
    <cellStyle name="Normal 5 5 4 6 4 2" xfId="36413"/>
    <cellStyle name="Normal 5 5 4 6 5" xfId="20116"/>
    <cellStyle name="Normal 5 5 4 6 5 2" xfId="36414"/>
    <cellStyle name="Normal 5 5 4 6 6" xfId="36410"/>
    <cellStyle name="Normal 5 5 4 7" xfId="20117"/>
    <cellStyle name="Normal 5 5 4 7 2" xfId="20118"/>
    <cellStyle name="Normal 5 5 4 7 2 2" xfId="36416"/>
    <cellStyle name="Normal 5 5 4 7 3" xfId="20119"/>
    <cellStyle name="Normal 5 5 4 7 3 2" xfId="36417"/>
    <cellStyle name="Normal 5 5 4 7 4" xfId="20120"/>
    <cellStyle name="Normal 5 5 4 7 4 2" xfId="36418"/>
    <cellStyle name="Normal 5 5 4 7 5" xfId="20121"/>
    <cellStyle name="Normal 5 5 4 7 5 2" xfId="36419"/>
    <cellStyle name="Normal 5 5 4 7 6" xfId="36415"/>
    <cellStyle name="Normal 5 5 4 8" xfId="20122"/>
    <cellStyle name="Normal 5 5 4 8 2" xfId="20123"/>
    <cellStyle name="Normal 5 5 4 8 2 2" xfId="36421"/>
    <cellStyle name="Normal 5 5 4 8 3" xfId="20124"/>
    <cellStyle name="Normal 5 5 4 8 3 2" xfId="36422"/>
    <cellStyle name="Normal 5 5 4 8 4" xfId="20125"/>
    <cellStyle name="Normal 5 5 4 8 4 2" xfId="36423"/>
    <cellStyle name="Normal 5 5 4 8 5" xfId="20126"/>
    <cellStyle name="Normal 5 5 4 8 5 2" xfId="36424"/>
    <cellStyle name="Normal 5 5 4 8 6" xfId="36420"/>
    <cellStyle name="Normal 5 5 4 9" xfId="20127"/>
    <cellStyle name="Normal 5 5 4 9 2" xfId="20128"/>
    <cellStyle name="Normal 5 5 4 9 2 2" xfId="36426"/>
    <cellStyle name="Normal 5 5 4 9 3" xfId="20129"/>
    <cellStyle name="Normal 5 5 4 9 3 2" xfId="36427"/>
    <cellStyle name="Normal 5 5 4 9 4" xfId="20130"/>
    <cellStyle name="Normal 5 5 4 9 4 2" xfId="36428"/>
    <cellStyle name="Normal 5 5 4 9 5" xfId="20131"/>
    <cellStyle name="Normal 5 5 4 9 5 2" xfId="36429"/>
    <cellStyle name="Normal 5 5 4 9 6" xfId="36425"/>
    <cellStyle name="Normal 5 5 5" xfId="20132"/>
    <cellStyle name="Normal 5 5 5 2" xfId="20133"/>
    <cellStyle name="Normal 5 5 5 3" xfId="20134"/>
    <cellStyle name="Normal 5 5 5 3 2" xfId="36431"/>
    <cellStyle name="Normal 5 5 5 4" xfId="20135"/>
    <cellStyle name="Normal 5 5 5 4 2" xfId="36432"/>
    <cellStyle name="Normal 5 5 5 5" xfId="20136"/>
    <cellStyle name="Normal 5 5 5 5 2" xfId="36433"/>
    <cellStyle name="Normal 5 5 5 6" xfId="20137"/>
    <cellStyle name="Normal 5 5 5 6 2" xfId="36434"/>
    <cellStyle name="Normal 5 5 5 7" xfId="36430"/>
    <cellStyle name="Normal 5 5 6" xfId="20138"/>
    <cellStyle name="Normal 5 5 6 2" xfId="20139"/>
    <cellStyle name="Normal 5 5 6 3" xfId="20140"/>
    <cellStyle name="Normal 5 5 6 3 2" xfId="36436"/>
    <cellStyle name="Normal 5 5 6 4" xfId="20141"/>
    <cellStyle name="Normal 5 5 6 4 2" xfId="36437"/>
    <cellStyle name="Normal 5 5 6 5" xfId="20142"/>
    <cellStyle name="Normal 5 5 6 5 2" xfId="36438"/>
    <cellStyle name="Normal 5 5 6 6" xfId="20143"/>
    <cellStyle name="Normal 5 5 6 6 2" xfId="36439"/>
    <cellStyle name="Normal 5 5 6 7" xfId="36435"/>
    <cellStyle name="Normal 5 5 7" xfId="20144"/>
    <cellStyle name="Normal 5 5 7 2" xfId="20145"/>
    <cellStyle name="Normal 5 5 7 2 2" xfId="36441"/>
    <cellStyle name="Normal 5 5 7 3" xfId="20146"/>
    <cellStyle name="Normal 5 5 7 3 2" xfId="36442"/>
    <cellStyle name="Normal 5 5 7 4" xfId="20147"/>
    <cellStyle name="Normal 5 5 7 4 2" xfId="36443"/>
    <cellStyle name="Normal 5 5 7 5" xfId="20148"/>
    <cellStyle name="Normal 5 5 7 5 2" xfId="36444"/>
    <cellStyle name="Normal 5 5 7 6" xfId="36440"/>
    <cellStyle name="Normal 5 5 8" xfId="20149"/>
    <cellStyle name="Normal 5 5 8 2" xfId="20150"/>
    <cellStyle name="Normal 5 5 8 2 2" xfId="36446"/>
    <cellStyle name="Normal 5 5 8 3" xfId="20151"/>
    <cellStyle name="Normal 5 5 8 3 2" xfId="36447"/>
    <cellStyle name="Normal 5 5 8 4" xfId="20152"/>
    <cellStyle name="Normal 5 5 8 4 2" xfId="36448"/>
    <cellStyle name="Normal 5 5 8 5" xfId="20153"/>
    <cellStyle name="Normal 5 5 8 5 2" xfId="36449"/>
    <cellStyle name="Normal 5 5 8 6" xfId="36445"/>
    <cellStyle name="Normal 5 5 9" xfId="20154"/>
    <cellStyle name="Normal 5 5 9 2" xfId="20155"/>
    <cellStyle name="Normal 5 5 9 2 2" xfId="36451"/>
    <cellStyle name="Normal 5 5 9 3" xfId="20156"/>
    <cellStyle name="Normal 5 5 9 3 2" xfId="36452"/>
    <cellStyle name="Normal 5 5 9 4" xfId="20157"/>
    <cellStyle name="Normal 5 5 9 4 2" xfId="36453"/>
    <cellStyle name="Normal 5 5 9 5" xfId="20158"/>
    <cellStyle name="Normal 5 5 9 5 2" xfId="36454"/>
    <cellStyle name="Normal 5 5 9 6" xfId="36450"/>
    <cellStyle name="Normal 5 50" xfId="20159"/>
    <cellStyle name="Normal 5 51" xfId="20160"/>
    <cellStyle name="Normal 5 52" xfId="20161"/>
    <cellStyle name="Normal 5 52 2" xfId="36455"/>
    <cellStyle name="Normal 5 53" xfId="20162"/>
    <cellStyle name="Normal 5 53 2" xfId="36456"/>
    <cellStyle name="Normal 5 54" xfId="20163"/>
    <cellStyle name="Normal 5 55" xfId="20164"/>
    <cellStyle name="Normal 5 56" xfId="20165"/>
    <cellStyle name="Normal 5 57" xfId="20166"/>
    <cellStyle name="Normal 5 57 2" xfId="36457"/>
    <cellStyle name="Normal 5 58" xfId="20167"/>
    <cellStyle name="Normal 5 58 2" xfId="36458"/>
    <cellStyle name="Normal 5 59" xfId="20168"/>
    <cellStyle name="Normal 5 59 2" xfId="36459"/>
    <cellStyle name="Normal 5 6" xfId="20169"/>
    <cellStyle name="Normal 5 6 10" xfId="20170"/>
    <cellStyle name="Normal 5 6 10 2" xfId="20171"/>
    <cellStyle name="Normal 5 6 10 2 2" xfId="36461"/>
    <cellStyle name="Normal 5 6 10 3" xfId="20172"/>
    <cellStyle name="Normal 5 6 10 3 2" xfId="36462"/>
    <cellStyle name="Normal 5 6 10 4" xfId="20173"/>
    <cellStyle name="Normal 5 6 10 4 2" xfId="36463"/>
    <cellStyle name="Normal 5 6 10 5" xfId="20174"/>
    <cellStyle name="Normal 5 6 10 5 2" xfId="36464"/>
    <cellStyle name="Normal 5 6 10 6" xfId="36460"/>
    <cellStyle name="Normal 5 6 11" xfId="20175"/>
    <cellStyle name="Normal 5 6 11 2" xfId="20176"/>
    <cellStyle name="Normal 5 6 11 2 2" xfId="36466"/>
    <cellStyle name="Normal 5 6 11 3" xfId="20177"/>
    <cellStyle name="Normal 5 6 11 3 2" xfId="36467"/>
    <cellStyle name="Normal 5 6 11 4" xfId="20178"/>
    <cellStyle name="Normal 5 6 11 4 2" xfId="36468"/>
    <cellStyle name="Normal 5 6 11 5" xfId="20179"/>
    <cellStyle name="Normal 5 6 11 5 2" xfId="36469"/>
    <cellStyle name="Normal 5 6 11 6" xfId="36465"/>
    <cellStyle name="Normal 5 6 12" xfId="20180"/>
    <cellStyle name="Normal 5 6 12 2" xfId="20181"/>
    <cellStyle name="Normal 5 6 12 2 2" xfId="36471"/>
    <cellStyle name="Normal 5 6 12 3" xfId="20182"/>
    <cellStyle name="Normal 5 6 12 3 2" xfId="36472"/>
    <cellStyle name="Normal 5 6 12 4" xfId="20183"/>
    <cellStyle name="Normal 5 6 12 4 2" xfId="36473"/>
    <cellStyle name="Normal 5 6 12 5" xfId="20184"/>
    <cellStyle name="Normal 5 6 12 5 2" xfId="36474"/>
    <cellStyle name="Normal 5 6 12 6" xfId="36470"/>
    <cellStyle name="Normal 5 6 13" xfId="20185"/>
    <cellStyle name="Normal 5 6 13 2" xfId="20186"/>
    <cellStyle name="Normal 5 6 13 2 2" xfId="36476"/>
    <cellStyle name="Normal 5 6 13 3" xfId="20187"/>
    <cellStyle name="Normal 5 6 13 3 2" xfId="36477"/>
    <cellStyle name="Normal 5 6 13 4" xfId="20188"/>
    <cellStyle name="Normal 5 6 13 4 2" xfId="36478"/>
    <cellStyle name="Normal 5 6 13 5" xfId="20189"/>
    <cellStyle name="Normal 5 6 13 5 2" xfId="36479"/>
    <cellStyle name="Normal 5 6 13 6" xfId="36475"/>
    <cellStyle name="Normal 5 6 14" xfId="20190"/>
    <cellStyle name="Normal 5 6 14 2" xfId="20191"/>
    <cellStyle name="Normal 5 6 14 2 2" xfId="36481"/>
    <cellStyle name="Normal 5 6 14 3" xfId="20192"/>
    <cellStyle name="Normal 5 6 14 3 2" xfId="36482"/>
    <cellStyle name="Normal 5 6 14 4" xfId="20193"/>
    <cellStyle name="Normal 5 6 14 4 2" xfId="36483"/>
    <cellStyle name="Normal 5 6 14 5" xfId="20194"/>
    <cellStyle name="Normal 5 6 14 5 2" xfId="36484"/>
    <cellStyle name="Normal 5 6 14 6" xfId="36480"/>
    <cellStyle name="Normal 5 6 15" xfId="20195"/>
    <cellStyle name="Normal 5 6 15 2" xfId="20196"/>
    <cellStyle name="Normal 5 6 15 2 2" xfId="36486"/>
    <cellStyle name="Normal 5 6 15 3" xfId="20197"/>
    <cellStyle name="Normal 5 6 15 3 2" xfId="36487"/>
    <cellStyle name="Normal 5 6 15 4" xfId="20198"/>
    <cellStyle name="Normal 5 6 15 4 2" xfId="36488"/>
    <cellStyle name="Normal 5 6 15 5" xfId="20199"/>
    <cellStyle name="Normal 5 6 15 5 2" xfId="36489"/>
    <cellStyle name="Normal 5 6 15 6" xfId="36485"/>
    <cellStyle name="Normal 5 6 16" xfId="20200"/>
    <cellStyle name="Normal 5 6 16 2" xfId="20201"/>
    <cellStyle name="Normal 5 6 16 2 2" xfId="36491"/>
    <cellStyle name="Normal 5 6 16 3" xfId="20202"/>
    <cellStyle name="Normal 5 6 16 3 2" xfId="36492"/>
    <cellStyle name="Normal 5 6 16 4" xfId="20203"/>
    <cellStyle name="Normal 5 6 16 4 2" xfId="36493"/>
    <cellStyle name="Normal 5 6 16 5" xfId="20204"/>
    <cellStyle name="Normal 5 6 16 5 2" xfId="36494"/>
    <cellStyle name="Normal 5 6 16 6" xfId="36490"/>
    <cellStyle name="Normal 5 6 17" xfId="20205"/>
    <cellStyle name="Normal 5 6 17 2" xfId="20206"/>
    <cellStyle name="Normal 5 6 17 2 2" xfId="36496"/>
    <cellStyle name="Normal 5 6 17 3" xfId="20207"/>
    <cellStyle name="Normal 5 6 17 3 2" xfId="36497"/>
    <cellStyle name="Normal 5 6 17 4" xfId="20208"/>
    <cellStyle name="Normal 5 6 17 4 2" xfId="36498"/>
    <cellStyle name="Normal 5 6 17 5" xfId="20209"/>
    <cellStyle name="Normal 5 6 17 5 2" xfId="36499"/>
    <cellStyle name="Normal 5 6 17 6" xfId="36495"/>
    <cellStyle name="Normal 5 6 18" xfId="20210"/>
    <cellStyle name="Normal 5 6 18 2" xfId="20211"/>
    <cellStyle name="Normal 5 6 18 2 2" xfId="36501"/>
    <cellStyle name="Normal 5 6 18 3" xfId="20212"/>
    <cellStyle name="Normal 5 6 18 3 2" xfId="36502"/>
    <cellStyle name="Normal 5 6 18 4" xfId="20213"/>
    <cellStyle name="Normal 5 6 18 4 2" xfId="36503"/>
    <cellStyle name="Normal 5 6 18 5" xfId="20214"/>
    <cellStyle name="Normal 5 6 18 5 2" xfId="36504"/>
    <cellStyle name="Normal 5 6 18 6" xfId="36500"/>
    <cellStyle name="Normal 5 6 19" xfId="20215"/>
    <cellStyle name="Normal 5 6 19 2" xfId="20216"/>
    <cellStyle name="Normal 5 6 19 2 2" xfId="36506"/>
    <cellStyle name="Normal 5 6 19 3" xfId="20217"/>
    <cellStyle name="Normal 5 6 19 3 2" xfId="36507"/>
    <cellStyle name="Normal 5 6 19 4" xfId="20218"/>
    <cellStyle name="Normal 5 6 19 4 2" xfId="36508"/>
    <cellStyle name="Normal 5 6 19 5" xfId="20219"/>
    <cellStyle name="Normal 5 6 19 5 2" xfId="36509"/>
    <cellStyle name="Normal 5 6 19 6" xfId="36505"/>
    <cellStyle name="Normal 5 6 2" xfId="20220"/>
    <cellStyle name="Normal 5 6 2 10" xfId="20221"/>
    <cellStyle name="Normal 5 6 2 11" xfId="20222"/>
    <cellStyle name="Normal 5 6 2 12" xfId="20223"/>
    <cellStyle name="Normal 5 6 2 13" xfId="20224"/>
    <cellStyle name="Normal 5 6 2 14" xfId="20225"/>
    <cellStyle name="Normal 5 6 2 15" xfId="20226"/>
    <cellStyle name="Normal 5 6 2 16" xfId="20227"/>
    <cellStyle name="Normal 5 6 2 17" xfId="20228"/>
    <cellStyle name="Normal 5 6 2 18" xfId="20229"/>
    <cellStyle name="Normal 5 6 2 19" xfId="20230"/>
    <cellStyle name="Normal 5 6 2 2" xfId="20231"/>
    <cellStyle name="Normal 5 6 2 2 2" xfId="20232"/>
    <cellStyle name="Normal 5 6 2 2 3" xfId="20233"/>
    <cellStyle name="Normal 5 6 2 2 4" xfId="20234"/>
    <cellStyle name="Normal 5 6 2 2 5" xfId="20235"/>
    <cellStyle name="Normal 5 6 2 2 6" xfId="20236"/>
    <cellStyle name="Normal 5 6 2 2 7" xfId="20237"/>
    <cellStyle name="Normal 5 6 2 20" xfId="20238"/>
    <cellStyle name="Normal 5 6 2 21" xfId="20239"/>
    <cellStyle name="Normal 5 6 2 22" xfId="36510"/>
    <cellStyle name="Normal 5 6 2 3" xfId="20240"/>
    <cellStyle name="Normal 5 6 2 4" xfId="20241"/>
    <cellStyle name="Normal 5 6 2 5" xfId="20242"/>
    <cellStyle name="Normal 5 6 2 6" xfId="20243"/>
    <cellStyle name="Normal 5 6 2 7" xfId="20244"/>
    <cellStyle name="Normal 5 6 2 8" xfId="20245"/>
    <cellStyle name="Normal 5 6 2 9" xfId="20246"/>
    <cellStyle name="Normal 5 6 20" xfId="20247"/>
    <cellStyle name="Normal 5 6 20 2" xfId="20248"/>
    <cellStyle name="Normal 5 6 20 2 2" xfId="36512"/>
    <cellStyle name="Normal 5 6 20 3" xfId="20249"/>
    <cellStyle name="Normal 5 6 20 3 2" xfId="36513"/>
    <cellStyle name="Normal 5 6 20 4" xfId="20250"/>
    <cellStyle name="Normal 5 6 20 4 2" xfId="36514"/>
    <cellStyle name="Normal 5 6 20 5" xfId="20251"/>
    <cellStyle name="Normal 5 6 20 5 2" xfId="36515"/>
    <cellStyle name="Normal 5 6 20 6" xfId="36511"/>
    <cellStyle name="Normal 5 6 21" xfId="20252"/>
    <cellStyle name="Normal 5 6 21 2" xfId="36516"/>
    <cellStyle name="Normal 5 6 22" xfId="20253"/>
    <cellStyle name="Normal 5 6 22 2" xfId="36517"/>
    <cellStyle name="Normal 5 6 23" xfId="20254"/>
    <cellStyle name="Normal 5 6 23 2" xfId="36518"/>
    <cellStyle name="Normal 5 6 24" xfId="20255"/>
    <cellStyle name="Normal 5 6 24 2" xfId="36519"/>
    <cellStyle name="Normal 5 6 25" xfId="20256"/>
    <cellStyle name="Normal 5 6 25 2" xfId="36520"/>
    <cellStyle name="Normal 5 6 26" xfId="40761"/>
    <cellStyle name="Normal 5 6 3" xfId="20257"/>
    <cellStyle name="Normal 5 6 3 10" xfId="20258"/>
    <cellStyle name="Normal 5 6 3 11" xfId="20259"/>
    <cellStyle name="Normal 5 6 3 12" xfId="20260"/>
    <cellStyle name="Normal 5 6 3 13" xfId="20261"/>
    <cellStyle name="Normal 5 6 3 14" xfId="20262"/>
    <cellStyle name="Normal 5 6 3 15" xfId="20263"/>
    <cellStyle name="Normal 5 6 3 16" xfId="20264"/>
    <cellStyle name="Normal 5 6 3 2" xfId="20265"/>
    <cellStyle name="Normal 5 6 3 3" xfId="20266"/>
    <cellStyle name="Normal 5 6 3 4" xfId="20267"/>
    <cellStyle name="Normal 5 6 3 5" xfId="20268"/>
    <cellStyle name="Normal 5 6 3 6" xfId="20269"/>
    <cellStyle name="Normal 5 6 3 7" xfId="20270"/>
    <cellStyle name="Normal 5 6 3 8" xfId="20271"/>
    <cellStyle name="Normal 5 6 3 9" xfId="20272"/>
    <cellStyle name="Normal 5 6 4" xfId="20273"/>
    <cellStyle name="Normal 5 6 4 10" xfId="20274"/>
    <cellStyle name="Normal 5 6 4 10 2" xfId="20275"/>
    <cellStyle name="Normal 5 6 4 10 2 2" xfId="36523"/>
    <cellStyle name="Normal 5 6 4 10 3" xfId="20276"/>
    <cellStyle name="Normal 5 6 4 10 3 2" xfId="36524"/>
    <cellStyle name="Normal 5 6 4 10 4" xfId="20277"/>
    <cellStyle name="Normal 5 6 4 10 4 2" xfId="36525"/>
    <cellStyle name="Normal 5 6 4 10 5" xfId="20278"/>
    <cellStyle name="Normal 5 6 4 10 5 2" xfId="36526"/>
    <cellStyle name="Normal 5 6 4 10 6" xfId="36522"/>
    <cellStyle name="Normal 5 6 4 11" xfId="20279"/>
    <cellStyle name="Normal 5 6 4 11 2" xfId="20280"/>
    <cellStyle name="Normal 5 6 4 11 2 2" xfId="36528"/>
    <cellStyle name="Normal 5 6 4 11 3" xfId="20281"/>
    <cellStyle name="Normal 5 6 4 11 3 2" xfId="36529"/>
    <cellStyle name="Normal 5 6 4 11 4" xfId="20282"/>
    <cellStyle name="Normal 5 6 4 11 4 2" xfId="36530"/>
    <cellStyle name="Normal 5 6 4 11 5" xfId="20283"/>
    <cellStyle name="Normal 5 6 4 11 5 2" xfId="36531"/>
    <cellStyle name="Normal 5 6 4 11 6" xfId="36527"/>
    <cellStyle name="Normal 5 6 4 12" xfId="20284"/>
    <cellStyle name="Normal 5 6 4 12 2" xfId="20285"/>
    <cellStyle name="Normal 5 6 4 12 2 2" xfId="36533"/>
    <cellStyle name="Normal 5 6 4 12 3" xfId="20286"/>
    <cellStyle name="Normal 5 6 4 12 3 2" xfId="36534"/>
    <cellStyle name="Normal 5 6 4 12 4" xfId="20287"/>
    <cellStyle name="Normal 5 6 4 12 4 2" xfId="36535"/>
    <cellStyle name="Normal 5 6 4 12 5" xfId="20288"/>
    <cellStyle name="Normal 5 6 4 12 5 2" xfId="36536"/>
    <cellStyle name="Normal 5 6 4 12 6" xfId="36532"/>
    <cellStyle name="Normal 5 6 4 13" xfId="20289"/>
    <cellStyle name="Normal 5 6 4 13 2" xfId="20290"/>
    <cellStyle name="Normal 5 6 4 13 2 2" xfId="36538"/>
    <cellStyle name="Normal 5 6 4 13 3" xfId="20291"/>
    <cellStyle name="Normal 5 6 4 13 3 2" xfId="36539"/>
    <cellStyle name="Normal 5 6 4 13 4" xfId="20292"/>
    <cellStyle name="Normal 5 6 4 13 4 2" xfId="36540"/>
    <cellStyle name="Normal 5 6 4 13 5" xfId="20293"/>
    <cellStyle name="Normal 5 6 4 13 5 2" xfId="36541"/>
    <cellStyle name="Normal 5 6 4 13 6" xfId="36537"/>
    <cellStyle name="Normal 5 6 4 14" xfId="20294"/>
    <cellStyle name="Normal 5 6 4 14 2" xfId="20295"/>
    <cellStyle name="Normal 5 6 4 14 2 2" xfId="36543"/>
    <cellStyle name="Normal 5 6 4 14 3" xfId="20296"/>
    <cellStyle name="Normal 5 6 4 14 3 2" xfId="36544"/>
    <cellStyle name="Normal 5 6 4 14 4" xfId="20297"/>
    <cellStyle name="Normal 5 6 4 14 4 2" xfId="36545"/>
    <cellStyle name="Normal 5 6 4 14 5" xfId="20298"/>
    <cellStyle name="Normal 5 6 4 14 5 2" xfId="36546"/>
    <cellStyle name="Normal 5 6 4 14 6" xfId="36542"/>
    <cellStyle name="Normal 5 6 4 15" xfId="20299"/>
    <cellStyle name="Normal 5 6 4 15 2" xfId="20300"/>
    <cellStyle name="Normal 5 6 4 15 2 2" xfId="36548"/>
    <cellStyle name="Normal 5 6 4 15 3" xfId="20301"/>
    <cellStyle name="Normal 5 6 4 15 3 2" xfId="36549"/>
    <cellStyle name="Normal 5 6 4 15 4" xfId="20302"/>
    <cellStyle name="Normal 5 6 4 15 4 2" xfId="36550"/>
    <cellStyle name="Normal 5 6 4 15 5" xfId="20303"/>
    <cellStyle name="Normal 5 6 4 15 5 2" xfId="36551"/>
    <cellStyle name="Normal 5 6 4 15 6" xfId="36547"/>
    <cellStyle name="Normal 5 6 4 16" xfId="20304"/>
    <cellStyle name="Normal 5 6 4 16 2" xfId="20305"/>
    <cellStyle name="Normal 5 6 4 16 2 2" xfId="36553"/>
    <cellStyle name="Normal 5 6 4 16 3" xfId="20306"/>
    <cellStyle name="Normal 5 6 4 16 3 2" xfId="36554"/>
    <cellStyle name="Normal 5 6 4 16 4" xfId="20307"/>
    <cellStyle name="Normal 5 6 4 16 4 2" xfId="36555"/>
    <cellStyle name="Normal 5 6 4 16 5" xfId="20308"/>
    <cellStyle name="Normal 5 6 4 16 5 2" xfId="36556"/>
    <cellStyle name="Normal 5 6 4 16 6" xfId="36552"/>
    <cellStyle name="Normal 5 6 4 17" xfId="20309"/>
    <cellStyle name="Normal 5 6 4 17 2" xfId="36557"/>
    <cellStyle name="Normal 5 6 4 18" xfId="20310"/>
    <cellStyle name="Normal 5 6 4 18 2" xfId="36558"/>
    <cellStyle name="Normal 5 6 4 19" xfId="20311"/>
    <cellStyle name="Normal 5 6 4 19 2" xfId="36559"/>
    <cellStyle name="Normal 5 6 4 2" xfId="20312"/>
    <cellStyle name="Normal 5 6 4 20" xfId="20313"/>
    <cellStyle name="Normal 5 6 4 20 2" xfId="36560"/>
    <cellStyle name="Normal 5 6 4 21" xfId="36521"/>
    <cellStyle name="Normal 5 6 4 3" xfId="20314"/>
    <cellStyle name="Normal 5 6 4 3 2" xfId="20315"/>
    <cellStyle name="Normal 5 6 4 3 2 2" xfId="36562"/>
    <cellStyle name="Normal 5 6 4 3 3" xfId="20316"/>
    <cellStyle name="Normal 5 6 4 3 3 2" xfId="36563"/>
    <cellStyle name="Normal 5 6 4 3 4" xfId="20317"/>
    <cellStyle name="Normal 5 6 4 3 4 2" xfId="36564"/>
    <cellStyle name="Normal 5 6 4 3 5" xfId="20318"/>
    <cellStyle name="Normal 5 6 4 3 5 2" xfId="36565"/>
    <cellStyle name="Normal 5 6 4 3 6" xfId="36561"/>
    <cellStyle name="Normal 5 6 4 4" xfId="20319"/>
    <cellStyle name="Normal 5 6 4 4 2" xfId="20320"/>
    <cellStyle name="Normal 5 6 4 4 2 2" xfId="36567"/>
    <cellStyle name="Normal 5 6 4 4 3" xfId="20321"/>
    <cellStyle name="Normal 5 6 4 4 3 2" xfId="36568"/>
    <cellStyle name="Normal 5 6 4 4 4" xfId="20322"/>
    <cellStyle name="Normal 5 6 4 4 4 2" xfId="36569"/>
    <cellStyle name="Normal 5 6 4 4 5" xfId="20323"/>
    <cellStyle name="Normal 5 6 4 4 5 2" xfId="36570"/>
    <cellStyle name="Normal 5 6 4 4 6" xfId="36566"/>
    <cellStyle name="Normal 5 6 4 5" xfId="20324"/>
    <cellStyle name="Normal 5 6 4 5 2" xfId="20325"/>
    <cellStyle name="Normal 5 6 4 5 2 2" xfId="36572"/>
    <cellStyle name="Normal 5 6 4 5 3" xfId="20326"/>
    <cellStyle name="Normal 5 6 4 5 3 2" xfId="36573"/>
    <cellStyle name="Normal 5 6 4 5 4" xfId="20327"/>
    <cellStyle name="Normal 5 6 4 5 4 2" xfId="36574"/>
    <cellStyle name="Normal 5 6 4 5 5" xfId="20328"/>
    <cellStyle name="Normal 5 6 4 5 5 2" xfId="36575"/>
    <cellStyle name="Normal 5 6 4 5 6" xfId="36571"/>
    <cellStyle name="Normal 5 6 4 6" xfId="20329"/>
    <cellStyle name="Normal 5 6 4 6 2" xfId="20330"/>
    <cellStyle name="Normal 5 6 4 6 2 2" xfId="36577"/>
    <cellStyle name="Normal 5 6 4 6 3" xfId="20331"/>
    <cellStyle name="Normal 5 6 4 6 3 2" xfId="36578"/>
    <cellStyle name="Normal 5 6 4 6 4" xfId="20332"/>
    <cellStyle name="Normal 5 6 4 6 4 2" xfId="36579"/>
    <cellStyle name="Normal 5 6 4 6 5" xfId="20333"/>
    <cellStyle name="Normal 5 6 4 6 5 2" xfId="36580"/>
    <cellStyle name="Normal 5 6 4 6 6" xfId="36576"/>
    <cellStyle name="Normal 5 6 4 7" xfId="20334"/>
    <cellStyle name="Normal 5 6 4 7 2" xfId="20335"/>
    <cellStyle name="Normal 5 6 4 7 2 2" xfId="36582"/>
    <cellStyle name="Normal 5 6 4 7 3" xfId="20336"/>
    <cellStyle name="Normal 5 6 4 7 3 2" xfId="36583"/>
    <cellStyle name="Normal 5 6 4 7 4" xfId="20337"/>
    <cellStyle name="Normal 5 6 4 7 4 2" xfId="36584"/>
    <cellStyle name="Normal 5 6 4 7 5" xfId="20338"/>
    <cellStyle name="Normal 5 6 4 7 5 2" xfId="36585"/>
    <cellStyle name="Normal 5 6 4 7 6" xfId="36581"/>
    <cellStyle name="Normal 5 6 4 8" xfId="20339"/>
    <cellStyle name="Normal 5 6 4 8 2" xfId="20340"/>
    <cellStyle name="Normal 5 6 4 8 2 2" xfId="36587"/>
    <cellStyle name="Normal 5 6 4 8 3" xfId="20341"/>
    <cellStyle name="Normal 5 6 4 8 3 2" xfId="36588"/>
    <cellStyle name="Normal 5 6 4 8 4" xfId="20342"/>
    <cellStyle name="Normal 5 6 4 8 4 2" xfId="36589"/>
    <cellStyle name="Normal 5 6 4 8 5" xfId="20343"/>
    <cellStyle name="Normal 5 6 4 8 5 2" xfId="36590"/>
    <cellStyle name="Normal 5 6 4 8 6" xfId="36586"/>
    <cellStyle name="Normal 5 6 4 9" xfId="20344"/>
    <cellStyle name="Normal 5 6 4 9 2" xfId="20345"/>
    <cellStyle name="Normal 5 6 4 9 2 2" xfId="36592"/>
    <cellStyle name="Normal 5 6 4 9 3" xfId="20346"/>
    <cellStyle name="Normal 5 6 4 9 3 2" xfId="36593"/>
    <cellStyle name="Normal 5 6 4 9 4" xfId="20347"/>
    <cellStyle name="Normal 5 6 4 9 4 2" xfId="36594"/>
    <cellStyle name="Normal 5 6 4 9 5" xfId="20348"/>
    <cellStyle name="Normal 5 6 4 9 5 2" xfId="36595"/>
    <cellStyle name="Normal 5 6 4 9 6" xfId="36591"/>
    <cellStyle name="Normal 5 6 5" xfId="20349"/>
    <cellStyle name="Normal 5 6 5 2" xfId="20350"/>
    <cellStyle name="Normal 5 6 5 3" xfId="20351"/>
    <cellStyle name="Normal 5 6 5 3 2" xfId="36597"/>
    <cellStyle name="Normal 5 6 5 4" xfId="20352"/>
    <cellStyle name="Normal 5 6 5 4 2" xfId="36598"/>
    <cellStyle name="Normal 5 6 5 5" xfId="20353"/>
    <cellStyle name="Normal 5 6 5 5 2" xfId="36599"/>
    <cellStyle name="Normal 5 6 5 6" xfId="20354"/>
    <cellStyle name="Normal 5 6 5 6 2" xfId="36600"/>
    <cellStyle name="Normal 5 6 5 7" xfId="36596"/>
    <cellStyle name="Normal 5 6 6" xfId="20355"/>
    <cellStyle name="Normal 5 6 6 2" xfId="20356"/>
    <cellStyle name="Normal 5 6 6 3" xfId="20357"/>
    <cellStyle name="Normal 5 6 6 3 2" xfId="36602"/>
    <cellStyle name="Normal 5 6 6 4" xfId="20358"/>
    <cellStyle name="Normal 5 6 6 4 2" xfId="36603"/>
    <cellStyle name="Normal 5 6 6 5" xfId="20359"/>
    <cellStyle name="Normal 5 6 6 5 2" xfId="36604"/>
    <cellStyle name="Normal 5 6 6 6" xfId="20360"/>
    <cellStyle name="Normal 5 6 6 6 2" xfId="36605"/>
    <cellStyle name="Normal 5 6 6 7" xfId="36601"/>
    <cellStyle name="Normal 5 6 7" xfId="20361"/>
    <cellStyle name="Normal 5 6 7 2" xfId="20362"/>
    <cellStyle name="Normal 5 6 7 2 2" xfId="36607"/>
    <cellStyle name="Normal 5 6 7 3" xfId="20363"/>
    <cellStyle name="Normal 5 6 7 3 2" xfId="36608"/>
    <cellStyle name="Normal 5 6 7 4" xfId="20364"/>
    <cellStyle name="Normal 5 6 7 4 2" xfId="36609"/>
    <cellStyle name="Normal 5 6 7 5" xfId="20365"/>
    <cellStyle name="Normal 5 6 7 5 2" xfId="36610"/>
    <cellStyle name="Normal 5 6 7 6" xfId="36606"/>
    <cellStyle name="Normal 5 6 8" xfId="20366"/>
    <cellStyle name="Normal 5 6 8 2" xfId="20367"/>
    <cellStyle name="Normal 5 6 8 2 2" xfId="36612"/>
    <cellStyle name="Normal 5 6 8 3" xfId="20368"/>
    <cellStyle name="Normal 5 6 8 3 2" xfId="36613"/>
    <cellStyle name="Normal 5 6 8 4" xfId="20369"/>
    <cellStyle name="Normal 5 6 8 4 2" xfId="36614"/>
    <cellStyle name="Normal 5 6 8 5" xfId="20370"/>
    <cellStyle name="Normal 5 6 8 5 2" xfId="36615"/>
    <cellStyle name="Normal 5 6 8 6" xfId="36611"/>
    <cellStyle name="Normal 5 6 9" xfId="20371"/>
    <cellStyle name="Normal 5 6 9 2" xfId="20372"/>
    <cellStyle name="Normal 5 6 9 2 2" xfId="36617"/>
    <cellStyle name="Normal 5 6 9 3" xfId="20373"/>
    <cellStyle name="Normal 5 6 9 3 2" xfId="36618"/>
    <cellStyle name="Normal 5 6 9 4" xfId="20374"/>
    <cellStyle name="Normal 5 6 9 4 2" xfId="36619"/>
    <cellStyle name="Normal 5 6 9 5" xfId="20375"/>
    <cellStyle name="Normal 5 6 9 5 2" xfId="36620"/>
    <cellStyle name="Normal 5 6 9 6" xfId="36616"/>
    <cellStyle name="Normal 5 60" xfId="20376"/>
    <cellStyle name="Normal 5 60 2" xfId="36621"/>
    <cellStyle name="Normal 5 61" xfId="17927"/>
    <cellStyle name="Normal 5 7" xfId="20377"/>
    <cellStyle name="Normal 5 7 10" xfId="20378"/>
    <cellStyle name="Normal 5 7 10 2" xfId="20379"/>
    <cellStyle name="Normal 5 7 10 2 2" xfId="36623"/>
    <cellStyle name="Normal 5 7 10 3" xfId="20380"/>
    <cellStyle name="Normal 5 7 10 3 2" xfId="36624"/>
    <cellStyle name="Normal 5 7 10 4" xfId="20381"/>
    <cellStyle name="Normal 5 7 10 4 2" xfId="36625"/>
    <cellStyle name="Normal 5 7 10 5" xfId="20382"/>
    <cellStyle name="Normal 5 7 10 5 2" xfId="36626"/>
    <cellStyle name="Normal 5 7 10 6" xfId="36622"/>
    <cellStyle name="Normal 5 7 11" xfId="20383"/>
    <cellStyle name="Normal 5 7 11 2" xfId="20384"/>
    <cellStyle name="Normal 5 7 11 2 2" xfId="36628"/>
    <cellStyle name="Normal 5 7 11 3" xfId="20385"/>
    <cellStyle name="Normal 5 7 11 3 2" xfId="36629"/>
    <cellStyle name="Normal 5 7 11 4" xfId="20386"/>
    <cellStyle name="Normal 5 7 11 4 2" xfId="36630"/>
    <cellStyle name="Normal 5 7 11 5" xfId="20387"/>
    <cellStyle name="Normal 5 7 11 5 2" xfId="36631"/>
    <cellStyle name="Normal 5 7 11 6" xfId="36627"/>
    <cellStyle name="Normal 5 7 12" xfId="20388"/>
    <cellStyle name="Normal 5 7 12 2" xfId="20389"/>
    <cellStyle name="Normal 5 7 12 2 2" xfId="36633"/>
    <cellStyle name="Normal 5 7 12 3" xfId="20390"/>
    <cellStyle name="Normal 5 7 12 3 2" xfId="36634"/>
    <cellStyle name="Normal 5 7 12 4" xfId="20391"/>
    <cellStyle name="Normal 5 7 12 4 2" xfId="36635"/>
    <cellStyle name="Normal 5 7 12 5" xfId="20392"/>
    <cellStyle name="Normal 5 7 12 5 2" xfId="36636"/>
    <cellStyle name="Normal 5 7 12 6" xfId="36632"/>
    <cellStyle name="Normal 5 7 13" xfId="20393"/>
    <cellStyle name="Normal 5 7 13 2" xfId="20394"/>
    <cellStyle name="Normal 5 7 13 2 2" xfId="36638"/>
    <cellStyle name="Normal 5 7 13 3" xfId="20395"/>
    <cellStyle name="Normal 5 7 13 3 2" xfId="36639"/>
    <cellStyle name="Normal 5 7 13 4" xfId="20396"/>
    <cellStyle name="Normal 5 7 13 4 2" xfId="36640"/>
    <cellStyle name="Normal 5 7 13 5" xfId="20397"/>
    <cellStyle name="Normal 5 7 13 5 2" xfId="36641"/>
    <cellStyle name="Normal 5 7 13 6" xfId="36637"/>
    <cellStyle name="Normal 5 7 14" xfId="20398"/>
    <cellStyle name="Normal 5 7 14 2" xfId="20399"/>
    <cellStyle name="Normal 5 7 14 2 2" xfId="36643"/>
    <cellStyle name="Normal 5 7 14 3" xfId="20400"/>
    <cellStyle name="Normal 5 7 14 3 2" xfId="36644"/>
    <cellStyle name="Normal 5 7 14 4" xfId="20401"/>
    <cellStyle name="Normal 5 7 14 4 2" xfId="36645"/>
    <cellStyle name="Normal 5 7 14 5" xfId="20402"/>
    <cellStyle name="Normal 5 7 14 5 2" xfId="36646"/>
    <cellStyle name="Normal 5 7 14 6" xfId="36642"/>
    <cellStyle name="Normal 5 7 15" xfId="20403"/>
    <cellStyle name="Normal 5 7 15 2" xfId="20404"/>
    <cellStyle name="Normal 5 7 15 2 2" xfId="36648"/>
    <cellStyle name="Normal 5 7 15 3" xfId="20405"/>
    <cellStyle name="Normal 5 7 15 3 2" xfId="36649"/>
    <cellStyle name="Normal 5 7 15 4" xfId="20406"/>
    <cellStyle name="Normal 5 7 15 4 2" xfId="36650"/>
    <cellStyle name="Normal 5 7 15 5" xfId="20407"/>
    <cellStyle name="Normal 5 7 15 5 2" xfId="36651"/>
    <cellStyle name="Normal 5 7 15 6" xfId="36647"/>
    <cellStyle name="Normal 5 7 16" xfId="20408"/>
    <cellStyle name="Normal 5 7 16 2" xfId="20409"/>
    <cellStyle name="Normal 5 7 16 2 2" xfId="36653"/>
    <cellStyle name="Normal 5 7 16 3" xfId="20410"/>
    <cellStyle name="Normal 5 7 16 3 2" xfId="36654"/>
    <cellStyle name="Normal 5 7 16 4" xfId="20411"/>
    <cellStyle name="Normal 5 7 16 4 2" xfId="36655"/>
    <cellStyle name="Normal 5 7 16 5" xfId="20412"/>
    <cellStyle name="Normal 5 7 16 5 2" xfId="36656"/>
    <cellStyle name="Normal 5 7 16 6" xfId="36652"/>
    <cellStyle name="Normal 5 7 17" xfId="20413"/>
    <cellStyle name="Normal 5 7 17 2" xfId="20414"/>
    <cellStyle name="Normal 5 7 17 2 2" xfId="36658"/>
    <cellStyle name="Normal 5 7 17 3" xfId="20415"/>
    <cellStyle name="Normal 5 7 17 3 2" xfId="36659"/>
    <cellStyle name="Normal 5 7 17 4" xfId="20416"/>
    <cellStyle name="Normal 5 7 17 4 2" xfId="36660"/>
    <cellStyle name="Normal 5 7 17 5" xfId="20417"/>
    <cellStyle name="Normal 5 7 17 5 2" xfId="36661"/>
    <cellStyle name="Normal 5 7 17 6" xfId="36657"/>
    <cellStyle name="Normal 5 7 18" xfId="20418"/>
    <cellStyle name="Normal 5 7 18 2" xfId="20419"/>
    <cellStyle name="Normal 5 7 18 2 2" xfId="36663"/>
    <cellStyle name="Normal 5 7 18 3" xfId="20420"/>
    <cellStyle name="Normal 5 7 18 3 2" xfId="36664"/>
    <cellStyle name="Normal 5 7 18 4" xfId="20421"/>
    <cellStyle name="Normal 5 7 18 4 2" xfId="36665"/>
    <cellStyle name="Normal 5 7 18 5" xfId="20422"/>
    <cellStyle name="Normal 5 7 18 5 2" xfId="36666"/>
    <cellStyle name="Normal 5 7 18 6" xfId="36662"/>
    <cellStyle name="Normal 5 7 19" xfId="20423"/>
    <cellStyle name="Normal 5 7 19 2" xfId="20424"/>
    <cellStyle name="Normal 5 7 19 2 2" xfId="36668"/>
    <cellStyle name="Normal 5 7 19 3" xfId="20425"/>
    <cellStyle name="Normal 5 7 19 3 2" xfId="36669"/>
    <cellStyle name="Normal 5 7 19 4" xfId="20426"/>
    <cellStyle name="Normal 5 7 19 4 2" xfId="36670"/>
    <cellStyle name="Normal 5 7 19 5" xfId="20427"/>
    <cellStyle name="Normal 5 7 19 5 2" xfId="36671"/>
    <cellStyle name="Normal 5 7 19 6" xfId="36667"/>
    <cellStyle name="Normal 5 7 2" xfId="20428"/>
    <cellStyle name="Normal 5 7 2 10" xfId="20429"/>
    <cellStyle name="Normal 5 7 2 11" xfId="20430"/>
    <cellStyle name="Normal 5 7 2 12" xfId="20431"/>
    <cellStyle name="Normal 5 7 2 13" xfId="20432"/>
    <cellStyle name="Normal 5 7 2 14" xfId="20433"/>
    <cellStyle name="Normal 5 7 2 15" xfId="20434"/>
    <cellStyle name="Normal 5 7 2 16" xfId="20435"/>
    <cellStyle name="Normal 5 7 2 17" xfId="20436"/>
    <cellStyle name="Normal 5 7 2 18" xfId="20437"/>
    <cellStyle name="Normal 5 7 2 19" xfId="20438"/>
    <cellStyle name="Normal 5 7 2 2" xfId="20439"/>
    <cellStyle name="Normal 5 7 2 2 2" xfId="20440"/>
    <cellStyle name="Normal 5 7 2 2 3" xfId="20441"/>
    <cellStyle name="Normal 5 7 2 2 4" xfId="20442"/>
    <cellStyle name="Normal 5 7 2 2 5" xfId="20443"/>
    <cellStyle name="Normal 5 7 2 2 6" xfId="20444"/>
    <cellStyle name="Normal 5 7 2 2 7" xfId="20445"/>
    <cellStyle name="Normal 5 7 2 20" xfId="20446"/>
    <cellStyle name="Normal 5 7 2 21" xfId="20447"/>
    <cellStyle name="Normal 5 7 2 22" xfId="36672"/>
    <cellStyle name="Normal 5 7 2 3" xfId="20448"/>
    <cellStyle name="Normal 5 7 2 4" xfId="20449"/>
    <cellStyle name="Normal 5 7 2 5" xfId="20450"/>
    <cellStyle name="Normal 5 7 2 6" xfId="20451"/>
    <cellStyle name="Normal 5 7 2 7" xfId="20452"/>
    <cellStyle name="Normal 5 7 2 8" xfId="20453"/>
    <cellStyle name="Normal 5 7 2 9" xfId="20454"/>
    <cellStyle name="Normal 5 7 20" xfId="20455"/>
    <cellStyle name="Normal 5 7 20 2" xfId="20456"/>
    <cellStyle name="Normal 5 7 20 2 2" xfId="36674"/>
    <cellStyle name="Normal 5 7 20 3" xfId="20457"/>
    <cellStyle name="Normal 5 7 20 3 2" xfId="36675"/>
    <cellStyle name="Normal 5 7 20 4" xfId="20458"/>
    <cellStyle name="Normal 5 7 20 4 2" xfId="36676"/>
    <cellStyle name="Normal 5 7 20 5" xfId="20459"/>
    <cellStyle name="Normal 5 7 20 5 2" xfId="36677"/>
    <cellStyle name="Normal 5 7 20 6" xfId="36673"/>
    <cellStyle name="Normal 5 7 21" xfId="20460"/>
    <cellStyle name="Normal 5 7 21 2" xfId="36678"/>
    <cellStyle name="Normal 5 7 22" xfId="20461"/>
    <cellStyle name="Normal 5 7 22 2" xfId="36679"/>
    <cellStyle name="Normal 5 7 23" xfId="20462"/>
    <cellStyle name="Normal 5 7 23 2" xfId="36680"/>
    <cellStyle name="Normal 5 7 24" xfId="20463"/>
    <cellStyle name="Normal 5 7 24 2" xfId="36681"/>
    <cellStyle name="Normal 5 7 25" xfId="20464"/>
    <cellStyle name="Normal 5 7 25 2" xfId="36682"/>
    <cellStyle name="Normal 5 7 26" xfId="40762"/>
    <cellStyle name="Normal 5 7 3" xfId="20465"/>
    <cellStyle name="Normal 5 7 3 10" xfId="20466"/>
    <cellStyle name="Normal 5 7 3 11" xfId="20467"/>
    <cellStyle name="Normal 5 7 3 12" xfId="20468"/>
    <cellStyle name="Normal 5 7 3 13" xfId="20469"/>
    <cellStyle name="Normal 5 7 3 14" xfId="20470"/>
    <cellStyle name="Normal 5 7 3 15" xfId="20471"/>
    <cellStyle name="Normal 5 7 3 16" xfId="20472"/>
    <cellStyle name="Normal 5 7 3 2" xfId="20473"/>
    <cellStyle name="Normal 5 7 3 3" xfId="20474"/>
    <cellStyle name="Normal 5 7 3 4" xfId="20475"/>
    <cellStyle name="Normal 5 7 3 5" xfId="20476"/>
    <cellStyle name="Normal 5 7 3 6" xfId="20477"/>
    <cellStyle name="Normal 5 7 3 7" xfId="20478"/>
    <cellStyle name="Normal 5 7 3 8" xfId="20479"/>
    <cellStyle name="Normal 5 7 3 9" xfId="20480"/>
    <cellStyle name="Normal 5 7 4" xfId="20481"/>
    <cellStyle name="Normal 5 7 4 10" xfId="20482"/>
    <cellStyle name="Normal 5 7 4 10 2" xfId="20483"/>
    <cellStyle name="Normal 5 7 4 10 2 2" xfId="36685"/>
    <cellStyle name="Normal 5 7 4 10 3" xfId="20484"/>
    <cellStyle name="Normal 5 7 4 10 3 2" xfId="36686"/>
    <cellStyle name="Normal 5 7 4 10 4" xfId="20485"/>
    <cellStyle name="Normal 5 7 4 10 4 2" xfId="36687"/>
    <cellStyle name="Normal 5 7 4 10 5" xfId="20486"/>
    <cellStyle name="Normal 5 7 4 10 5 2" xfId="36688"/>
    <cellStyle name="Normal 5 7 4 10 6" xfId="36684"/>
    <cellStyle name="Normal 5 7 4 11" xfId="20487"/>
    <cellStyle name="Normal 5 7 4 11 2" xfId="20488"/>
    <cellStyle name="Normal 5 7 4 11 2 2" xfId="36690"/>
    <cellStyle name="Normal 5 7 4 11 3" xfId="20489"/>
    <cellStyle name="Normal 5 7 4 11 3 2" xfId="36691"/>
    <cellStyle name="Normal 5 7 4 11 4" xfId="20490"/>
    <cellStyle name="Normal 5 7 4 11 4 2" xfId="36692"/>
    <cellStyle name="Normal 5 7 4 11 5" xfId="20491"/>
    <cellStyle name="Normal 5 7 4 11 5 2" xfId="36693"/>
    <cellStyle name="Normal 5 7 4 11 6" xfId="36689"/>
    <cellStyle name="Normal 5 7 4 12" xfId="20492"/>
    <cellStyle name="Normal 5 7 4 12 2" xfId="20493"/>
    <cellStyle name="Normal 5 7 4 12 2 2" xfId="36695"/>
    <cellStyle name="Normal 5 7 4 12 3" xfId="20494"/>
    <cellStyle name="Normal 5 7 4 12 3 2" xfId="36696"/>
    <cellStyle name="Normal 5 7 4 12 4" xfId="20495"/>
    <cellStyle name="Normal 5 7 4 12 4 2" xfId="36697"/>
    <cellStyle name="Normal 5 7 4 12 5" xfId="20496"/>
    <cellStyle name="Normal 5 7 4 12 5 2" xfId="36698"/>
    <cellStyle name="Normal 5 7 4 12 6" xfId="36694"/>
    <cellStyle name="Normal 5 7 4 13" xfId="20497"/>
    <cellStyle name="Normal 5 7 4 13 2" xfId="20498"/>
    <cellStyle name="Normal 5 7 4 13 2 2" xfId="36700"/>
    <cellStyle name="Normal 5 7 4 13 3" xfId="20499"/>
    <cellStyle name="Normal 5 7 4 13 3 2" xfId="36701"/>
    <cellStyle name="Normal 5 7 4 13 4" xfId="20500"/>
    <cellStyle name="Normal 5 7 4 13 4 2" xfId="36702"/>
    <cellStyle name="Normal 5 7 4 13 5" xfId="20501"/>
    <cellStyle name="Normal 5 7 4 13 5 2" xfId="36703"/>
    <cellStyle name="Normal 5 7 4 13 6" xfId="36699"/>
    <cellStyle name="Normal 5 7 4 14" xfId="20502"/>
    <cellStyle name="Normal 5 7 4 14 2" xfId="20503"/>
    <cellStyle name="Normal 5 7 4 14 2 2" xfId="36705"/>
    <cellStyle name="Normal 5 7 4 14 3" xfId="20504"/>
    <cellStyle name="Normal 5 7 4 14 3 2" xfId="36706"/>
    <cellStyle name="Normal 5 7 4 14 4" xfId="20505"/>
    <cellStyle name="Normal 5 7 4 14 4 2" xfId="36707"/>
    <cellStyle name="Normal 5 7 4 14 5" xfId="20506"/>
    <cellStyle name="Normal 5 7 4 14 5 2" xfId="36708"/>
    <cellStyle name="Normal 5 7 4 14 6" xfId="36704"/>
    <cellStyle name="Normal 5 7 4 15" xfId="20507"/>
    <cellStyle name="Normal 5 7 4 15 2" xfId="20508"/>
    <cellStyle name="Normal 5 7 4 15 2 2" xfId="36710"/>
    <cellStyle name="Normal 5 7 4 15 3" xfId="20509"/>
    <cellStyle name="Normal 5 7 4 15 3 2" xfId="36711"/>
    <cellStyle name="Normal 5 7 4 15 4" xfId="20510"/>
    <cellStyle name="Normal 5 7 4 15 4 2" xfId="36712"/>
    <cellStyle name="Normal 5 7 4 15 5" xfId="20511"/>
    <cellStyle name="Normal 5 7 4 15 5 2" xfId="36713"/>
    <cellStyle name="Normal 5 7 4 15 6" xfId="36709"/>
    <cellStyle name="Normal 5 7 4 16" xfId="20512"/>
    <cellStyle name="Normal 5 7 4 16 2" xfId="20513"/>
    <cellStyle name="Normal 5 7 4 16 2 2" xfId="36715"/>
    <cellStyle name="Normal 5 7 4 16 3" xfId="20514"/>
    <cellStyle name="Normal 5 7 4 16 3 2" xfId="36716"/>
    <cellStyle name="Normal 5 7 4 16 4" xfId="20515"/>
    <cellStyle name="Normal 5 7 4 16 4 2" xfId="36717"/>
    <cellStyle name="Normal 5 7 4 16 5" xfId="20516"/>
    <cellStyle name="Normal 5 7 4 16 5 2" xfId="36718"/>
    <cellStyle name="Normal 5 7 4 16 6" xfId="36714"/>
    <cellStyle name="Normal 5 7 4 17" xfId="20517"/>
    <cellStyle name="Normal 5 7 4 17 2" xfId="36719"/>
    <cellStyle name="Normal 5 7 4 18" xfId="20518"/>
    <cellStyle name="Normal 5 7 4 18 2" xfId="36720"/>
    <cellStyle name="Normal 5 7 4 19" xfId="20519"/>
    <cellStyle name="Normal 5 7 4 19 2" xfId="36721"/>
    <cellStyle name="Normal 5 7 4 2" xfId="20520"/>
    <cellStyle name="Normal 5 7 4 20" xfId="20521"/>
    <cellStyle name="Normal 5 7 4 20 2" xfId="36722"/>
    <cellStyle name="Normal 5 7 4 21" xfId="36683"/>
    <cellStyle name="Normal 5 7 4 3" xfId="20522"/>
    <cellStyle name="Normal 5 7 4 3 2" xfId="20523"/>
    <cellStyle name="Normal 5 7 4 3 2 2" xfId="36724"/>
    <cellStyle name="Normal 5 7 4 3 3" xfId="20524"/>
    <cellStyle name="Normal 5 7 4 3 3 2" xfId="36725"/>
    <cellStyle name="Normal 5 7 4 3 4" xfId="20525"/>
    <cellStyle name="Normal 5 7 4 3 4 2" xfId="36726"/>
    <cellStyle name="Normal 5 7 4 3 5" xfId="20526"/>
    <cellStyle name="Normal 5 7 4 3 5 2" xfId="36727"/>
    <cellStyle name="Normal 5 7 4 3 6" xfId="36723"/>
    <cellStyle name="Normal 5 7 4 4" xfId="20527"/>
    <cellStyle name="Normal 5 7 4 4 2" xfId="20528"/>
    <cellStyle name="Normal 5 7 4 4 2 2" xfId="36729"/>
    <cellStyle name="Normal 5 7 4 4 3" xfId="20529"/>
    <cellStyle name="Normal 5 7 4 4 3 2" xfId="36730"/>
    <cellStyle name="Normal 5 7 4 4 4" xfId="20530"/>
    <cellStyle name="Normal 5 7 4 4 4 2" xfId="36731"/>
    <cellStyle name="Normal 5 7 4 4 5" xfId="20531"/>
    <cellStyle name="Normal 5 7 4 4 5 2" xfId="36732"/>
    <cellStyle name="Normal 5 7 4 4 6" xfId="36728"/>
    <cellStyle name="Normal 5 7 4 5" xfId="20532"/>
    <cellStyle name="Normal 5 7 4 5 2" xfId="20533"/>
    <cellStyle name="Normal 5 7 4 5 2 2" xfId="36734"/>
    <cellStyle name="Normal 5 7 4 5 3" xfId="20534"/>
    <cellStyle name="Normal 5 7 4 5 3 2" xfId="36735"/>
    <cellStyle name="Normal 5 7 4 5 4" xfId="20535"/>
    <cellStyle name="Normal 5 7 4 5 4 2" xfId="36736"/>
    <cellStyle name="Normal 5 7 4 5 5" xfId="20536"/>
    <cellStyle name="Normal 5 7 4 5 5 2" xfId="36737"/>
    <cellStyle name="Normal 5 7 4 5 6" xfId="36733"/>
    <cellStyle name="Normal 5 7 4 6" xfId="20537"/>
    <cellStyle name="Normal 5 7 4 6 2" xfId="20538"/>
    <cellStyle name="Normal 5 7 4 6 2 2" xfId="36739"/>
    <cellStyle name="Normal 5 7 4 6 3" xfId="20539"/>
    <cellStyle name="Normal 5 7 4 6 3 2" xfId="36740"/>
    <cellStyle name="Normal 5 7 4 6 4" xfId="20540"/>
    <cellStyle name="Normal 5 7 4 6 4 2" xfId="36741"/>
    <cellStyle name="Normal 5 7 4 6 5" xfId="20541"/>
    <cellStyle name="Normal 5 7 4 6 5 2" xfId="36742"/>
    <cellStyle name="Normal 5 7 4 6 6" xfId="36738"/>
    <cellStyle name="Normal 5 7 4 7" xfId="20542"/>
    <cellStyle name="Normal 5 7 4 7 2" xfId="20543"/>
    <cellStyle name="Normal 5 7 4 7 2 2" xfId="36744"/>
    <cellStyle name="Normal 5 7 4 7 3" xfId="20544"/>
    <cellStyle name="Normal 5 7 4 7 3 2" xfId="36745"/>
    <cellStyle name="Normal 5 7 4 7 4" xfId="20545"/>
    <cellStyle name="Normal 5 7 4 7 4 2" xfId="36746"/>
    <cellStyle name="Normal 5 7 4 7 5" xfId="20546"/>
    <cellStyle name="Normal 5 7 4 7 5 2" xfId="36747"/>
    <cellStyle name="Normal 5 7 4 7 6" xfId="36743"/>
    <cellStyle name="Normal 5 7 4 8" xfId="20547"/>
    <cellStyle name="Normal 5 7 4 8 2" xfId="20548"/>
    <cellStyle name="Normal 5 7 4 8 2 2" xfId="36749"/>
    <cellStyle name="Normal 5 7 4 8 3" xfId="20549"/>
    <cellStyle name="Normal 5 7 4 8 3 2" xfId="36750"/>
    <cellStyle name="Normal 5 7 4 8 4" xfId="20550"/>
    <cellStyle name="Normal 5 7 4 8 4 2" xfId="36751"/>
    <cellStyle name="Normal 5 7 4 8 5" xfId="20551"/>
    <cellStyle name="Normal 5 7 4 8 5 2" xfId="36752"/>
    <cellStyle name="Normal 5 7 4 8 6" xfId="36748"/>
    <cellStyle name="Normal 5 7 4 9" xfId="20552"/>
    <cellStyle name="Normal 5 7 4 9 2" xfId="20553"/>
    <cellStyle name="Normal 5 7 4 9 2 2" xfId="36754"/>
    <cellStyle name="Normal 5 7 4 9 3" xfId="20554"/>
    <cellStyle name="Normal 5 7 4 9 3 2" xfId="36755"/>
    <cellStyle name="Normal 5 7 4 9 4" xfId="20555"/>
    <cellStyle name="Normal 5 7 4 9 4 2" xfId="36756"/>
    <cellStyle name="Normal 5 7 4 9 5" xfId="20556"/>
    <cellStyle name="Normal 5 7 4 9 5 2" xfId="36757"/>
    <cellStyle name="Normal 5 7 4 9 6" xfId="36753"/>
    <cellStyle name="Normal 5 7 5" xfId="20557"/>
    <cellStyle name="Normal 5 7 5 2" xfId="20558"/>
    <cellStyle name="Normal 5 7 5 3" xfId="20559"/>
    <cellStyle name="Normal 5 7 5 3 2" xfId="36759"/>
    <cellStyle name="Normal 5 7 5 4" xfId="20560"/>
    <cellStyle name="Normal 5 7 5 4 2" xfId="36760"/>
    <cellStyle name="Normal 5 7 5 5" xfId="20561"/>
    <cellStyle name="Normal 5 7 5 5 2" xfId="36761"/>
    <cellStyle name="Normal 5 7 5 6" xfId="20562"/>
    <cellStyle name="Normal 5 7 5 6 2" xfId="36762"/>
    <cellStyle name="Normal 5 7 5 7" xfId="36758"/>
    <cellStyle name="Normal 5 7 6" xfId="20563"/>
    <cellStyle name="Normal 5 7 6 2" xfId="20564"/>
    <cellStyle name="Normal 5 7 6 3" xfId="20565"/>
    <cellStyle name="Normal 5 7 6 3 2" xfId="36764"/>
    <cellStyle name="Normal 5 7 6 4" xfId="20566"/>
    <cellStyle name="Normal 5 7 6 4 2" xfId="36765"/>
    <cellStyle name="Normal 5 7 6 5" xfId="20567"/>
    <cellStyle name="Normal 5 7 6 5 2" xfId="36766"/>
    <cellStyle name="Normal 5 7 6 6" xfId="20568"/>
    <cellStyle name="Normal 5 7 6 6 2" xfId="36767"/>
    <cellStyle name="Normal 5 7 6 7" xfId="36763"/>
    <cellStyle name="Normal 5 7 7" xfId="20569"/>
    <cellStyle name="Normal 5 7 7 2" xfId="20570"/>
    <cellStyle name="Normal 5 7 7 2 2" xfId="36769"/>
    <cellStyle name="Normal 5 7 7 3" xfId="20571"/>
    <cellStyle name="Normal 5 7 7 3 2" xfId="36770"/>
    <cellStyle name="Normal 5 7 7 4" xfId="20572"/>
    <cellStyle name="Normal 5 7 7 4 2" xfId="36771"/>
    <cellStyle name="Normal 5 7 7 5" xfId="20573"/>
    <cellStyle name="Normal 5 7 7 5 2" xfId="36772"/>
    <cellStyle name="Normal 5 7 7 6" xfId="36768"/>
    <cellStyle name="Normal 5 7 8" xfId="20574"/>
    <cellStyle name="Normal 5 7 8 2" xfId="20575"/>
    <cellStyle name="Normal 5 7 8 2 2" xfId="36774"/>
    <cellStyle name="Normal 5 7 8 3" xfId="20576"/>
    <cellStyle name="Normal 5 7 8 3 2" xfId="36775"/>
    <cellStyle name="Normal 5 7 8 4" xfId="20577"/>
    <cellStyle name="Normal 5 7 8 4 2" xfId="36776"/>
    <cellStyle name="Normal 5 7 8 5" xfId="20578"/>
    <cellStyle name="Normal 5 7 8 5 2" xfId="36777"/>
    <cellStyle name="Normal 5 7 8 6" xfId="36773"/>
    <cellStyle name="Normal 5 7 9" xfId="20579"/>
    <cellStyle name="Normal 5 7 9 2" xfId="20580"/>
    <cellStyle name="Normal 5 7 9 2 2" xfId="36779"/>
    <cellStyle name="Normal 5 7 9 3" xfId="20581"/>
    <cellStyle name="Normal 5 7 9 3 2" xfId="36780"/>
    <cellStyle name="Normal 5 7 9 4" xfId="20582"/>
    <cellStyle name="Normal 5 7 9 4 2" xfId="36781"/>
    <cellStyle name="Normal 5 7 9 5" xfId="20583"/>
    <cellStyle name="Normal 5 7 9 5 2" xfId="36782"/>
    <cellStyle name="Normal 5 7 9 6" xfId="36778"/>
    <cellStyle name="Normal 5 8" xfId="20584"/>
    <cellStyle name="Normal 5 8 10" xfId="20585"/>
    <cellStyle name="Normal 5 8 10 2" xfId="20586"/>
    <cellStyle name="Normal 5 8 10 2 2" xfId="36784"/>
    <cellStyle name="Normal 5 8 10 3" xfId="20587"/>
    <cellStyle name="Normal 5 8 10 3 2" xfId="36785"/>
    <cellStyle name="Normal 5 8 10 4" xfId="20588"/>
    <cellStyle name="Normal 5 8 10 4 2" xfId="36786"/>
    <cellStyle name="Normal 5 8 10 5" xfId="20589"/>
    <cellStyle name="Normal 5 8 10 5 2" xfId="36787"/>
    <cellStyle name="Normal 5 8 10 6" xfId="36783"/>
    <cellStyle name="Normal 5 8 11" xfId="20590"/>
    <cellStyle name="Normal 5 8 11 2" xfId="20591"/>
    <cellStyle name="Normal 5 8 11 2 2" xfId="36789"/>
    <cellStyle name="Normal 5 8 11 3" xfId="20592"/>
    <cellStyle name="Normal 5 8 11 3 2" xfId="36790"/>
    <cellStyle name="Normal 5 8 11 4" xfId="20593"/>
    <cellStyle name="Normal 5 8 11 4 2" xfId="36791"/>
    <cellStyle name="Normal 5 8 11 5" xfId="20594"/>
    <cellStyle name="Normal 5 8 11 5 2" xfId="36792"/>
    <cellStyle name="Normal 5 8 11 6" xfId="36788"/>
    <cellStyle name="Normal 5 8 12" xfId="20595"/>
    <cellStyle name="Normal 5 8 12 2" xfId="20596"/>
    <cellStyle name="Normal 5 8 12 2 2" xfId="36794"/>
    <cellStyle name="Normal 5 8 12 3" xfId="20597"/>
    <cellStyle name="Normal 5 8 12 3 2" xfId="36795"/>
    <cellStyle name="Normal 5 8 12 4" xfId="20598"/>
    <cellStyle name="Normal 5 8 12 4 2" xfId="36796"/>
    <cellStyle name="Normal 5 8 12 5" xfId="20599"/>
    <cellStyle name="Normal 5 8 12 5 2" xfId="36797"/>
    <cellStyle name="Normal 5 8 12 6" xfId="36793"/>
    <cellStyle name="Normal 5 8 13" xfId="20600"/>
    <cellStyle name="Normal 5 8 13 2" xfId="20601"/>
    <cellStyle name="Normal 5 8 13 2 2" xfId="36799"/>
    <cellStyle name="Normal 5 8 13 3" xfId="20602"/>
    <cellStyle name="Normal 5 8 13 3 2" xfId="36800"/>
    <cellStyle name="Normal 5 8 13 4" xfId="20603"/>
    <cellStyle name="Normal 5 8 13 4 2" xfId="36801"/>
    <cellStyle name="Normal 5 8 13 5" xfId="20604"/>
    <cellStyle name="Normal 5 8 13 5 2" xfId="36802"/>
    <cellStyle name="Normal 5 8 13 6" xfId="36798"/>
    <cellStyle name="Normal 5 8 14" xfId="20605"/>
    <cellStyle name="Normal 5 8 14 2" xfId="20606"/>
    <cellStyle name="Normal 5 8 14 2 2" xfId="36804"/>
    <cellStyle name="Normal 5 8 14 3" xfId="20607"/>
    <cellStyle name="Normal 5 8 14 3 2" xfId="36805"/>
    <cellStyle name="Normal 5 8 14 4" xfId="20608"/>
    <cellStyle name="Normal 5 8 14 4 2" xfId="36806"/>
    <cellStyle name="Normal 5 8 14 5" xfId="20609"/>
    <cellStyle name="Normal 5 8 14 5 2" xfId="36807"/>
    <cellStyle name="Normal 5 8 14 6" xfId="36803"/>
    <cellStyle name="Normal 5 8 15" xfId="20610"/>
    <cellStyle name="Normal 5 8 15 2" xfId="20611"/>
    <cellStyle name="Normal 5 8 15 2 2" xfId="36809"/>
    <cellStyle name="Normal 5 8 15 3" xfId="20612"/>
    <cellStyle name="Normal 5 8 15 3 2" xfId="36810"/>
    <cellStyle name="Normal 5 8 15 4" xfId="20613"/>
    <cellStyle name="Normal 5 8 15 4 2" xfId="36811"/>
    <cellStyle name="Normal 5 8 15 5" xfId="20614"/>
    <cellStyle name="Normal 5 8 15 5 2" xfId="36812"/>
    <cellStyle name="Normal 5 8 15 6" xfId="36808"/>
    <cellStyle name="Normal 5 8 16" xfId="20615"/>
    <cellStyle name="Normal 5 8 16 2" xfId="20616"/>
    <cellStyle name="Normal 5 8 16 2 2" xfId="36814"/>
    <cellStyle name="Normal 5 8 16 3" xfId="20617"/>
    <cellStyle name="Normal 5 8 16 3 2" xfId="36815"/>
    <cellStyle name="Normal 5 8 16 4" xfId="20618"/>
    <cellStyle name="Normal 5 8 16 4 2" xfId="36816"/>
    <cellStyle name="Normal 5 8 16 5" xfId="20619"/>
    <cellStyle name="Normal 5 8 16 5 2" xfId="36817"/>
    <cellStyle name="Normal 5 8 16 6" xfId="36813"/>
    <cellStyle name="Normal 5 8 17" xfId="20620"/>
    <cellStyle name="Normal 5 8 17 2" xfId="20621"/>
    <cellStyle name="Normal 5 8 17 2 2" xfId="36819"/>
    <cellStyle name="Normal 5 8 17 3" xfId="20622"/>
    <cellStyle name="Normal 5 8 17 3 2" xfId="36820"/>
    <cellStyle name="Normal 5 8 17 4" xfId="20623"/>
    <cellStyle name="Normal 5 8 17 4 2" xfId="36821"/>
    <cellStyle name="Normal 5 8 17 5" xfId="20624"/>
    <cellStyle name="Normal 5 8 17 5 2" xfId="36822"/>
    <cellStyle name="Normal 5 8 17 6" xfId="36818"/>
    <cellStyle name="Normal 5 8 18" xfId="20625"/>
    <cellStyle name="Normal 5 8 18 2" xfId="20626"/>
    <cellStyle name="Normal 5 8 18 2 2" xfId="36824"/>
    <cellStyle name="Normal 5 8 18 3" xfId="20627"/>
    <cellStyle name="Normal 5 8 18 3 2" xfId="36825"/>
    <cellStyle name="Normal 5 8 18 4" xfId="20628"/>
    <cellStyle name="Normal 5 8 18 4 2" xfId="36826"/>
    <cellStyle name="Normal 5 8 18 5" xfId="20629"/>
    <cellStyle name="Normal 5 8 18 5 2" xfId="36827"/>
    <cellStyle name="Normal 5 8 18 6" xfId="36823"/>
    <cellStyle name="Normal 5 8 19" xfId="20630"/>
    <cellStyle name="Normal 5 8 19 2" xfId="20631"/>
    <cellStyle name="Normal 5 8 19 2 2" xfId="36829"/>
    <cellStyle name="Normal 5 8 19 3" xfId="20632"/>
    <cellStyle name="Normal 5 8 19 3 2" xfId="36830"/>
    <cellStyle name="Normal 5 8 19 4" xfId="20633"/>
    <cellStyle name="Normal 5 8 19 4 2" xfId="36831"/>
    <cellStyle name="Normal 5 8 19 5" xfId="20634"/>
    <cellStyle name="Normal 5 8 19 5 2" xfId="36832"/>
    <cellStyle name="Normal 5 8 19 6" xfId="36828"/>
    <cellStyle name="Normal 5 8 2" xfId="20635"/>
    <cellStyle name="Normal 5 8 2 10" xfId="20636"/>
    <cellStyle name="Normal 5 8 2 11" xfId="20637"/>
    <cellStyle name="Normal 5 8 2 12" xfId="20638"/>
    <cellStyle name="Normal 5 8 2 13" xfId="20639"/>
    <cellStyle name="Normal 5 8 2 14" xfId="20640"/>
    <cellStyle name="Normal 5 8 2 15" xfId="20641"/>
    <cellStyle name="Normal 5 8 2 16" xfId="20642"/>
    <cellStyle name="Normal 5 8 2 17" xfId="20643"/>
    <cellStyle name="Normal 5 8 2 18" xfId="20644"/>
    <cellStyle name="Normal 5 8 2 19" xfId="20645"/>
    <cellStyle name="Normal 5 8 2 2" xfId="20646"/>
    <cellStyle name="Normal 5 8 2 2 2" xfId="20647"/>
    <cellStyle name="Normal 5 8 2 2 3" xfId="20648"/>
    <cellStyle name="Normal 5 8 2 2 4" xfId="20649"/>
    <cellStyle name="Normal 5 8 2 2 5" xfId="20650"/>
    <cellStyle name="Normal 5 8 2 2 6" xfId="20651"/>
    <cellStyle name="Normal 5 8 2 2 7" xfId="20652"/>
    <cellStyle name="Normal 5 8 2 20" xfId="20653"/>
    <cellStyle name="Normal 5 8 2 21" xfId="20654"/>
    <cellStyle name="Normal 5 8 2 22" xfId="36833"/>
    <cellStyle name="Normal 5 8 2 3" xfId="20655"/>
    <cellStyle name="Normal 5 8 2 4" xfId="20656"/>
    <cellStyle name="Normal 5 8 2 5" xfId="20657"/>
    <cellStyle name="Normal 5 8 2 6" xfId="20658"/>
    <cellStyle name="Normal 5 8 2 7" xfId="20659"/>
    <cellStyle name="Normal 5 8 2 8" xfId="20660"/>
    <cellStyle name="Normal 5 8 2 9" xfId="20661"/>
    <cellStyle name="Normal 5 8 20" xfId="20662"/>
    <cellStyle name="Normal 5 8 20 2" xfId="20663"/>
    <cellStyle name="Normal 5 8 20 2 2" xfId="36835"/>
    <cellStyle name="Normal 5 8 20 3" xfId="20664"/>
    <cellStyle name="Normal 5 8 20 3 2" xfId="36836"/>
    <cellStyle name="Normal 5 8 20 4" xfId="20665"/>
    <cellStyle name="Normal 5 8 20 4 2" xfId="36837"/>
    <cellStyle name="Normal 5 8 20 5" xfId="20666"/>
    <cellStyle name="Normal 5 8 20 5 2" xfId="36838"/>
    <cellStyle name="Normal 5 8 20 6" xfId="36834"/>
    <cellStyle name="Normal 5 8 21" xfId="20667"/>
    <cellStyle name="Normal 5 8 21 2" xfId="36839"/>
    <cellStyle name="Normal 5 8 22" xfId="20668"/>
    <cellStyle name="Normal 5 8 22 2" xfId="36840"/>
    <cellStyle name="Normal 5 8 23" xfId="20669"/>
    <cellStyle name="Normal 5 8 23 2" xfId="36841"/>
    <cellStyle name="Normal 5 8 24" xfId="20670"/>
    <cellStyle name="Normal 5 8 24 2" xfId="36842"/>
    <cellStyle name="Normal 5 8 25" xfId="20671"/>
    <cellStyle name="Normal 5 8 25 2" xfId="36843"/>
    <cellStyle name="Normal 5 8 26" xfId="40763"/>
    <cellStyle name="Normal 5 8 3" xfId="20672"/>
    <cellStyle name="Normal 5 8 3 10" xfId="20673"/>
    <cellStyle name="Normal 5 8 3 11" xfId="20674"/>
    <cellStyle name="Normal 5 8 3 12" xfId="20675"/>
    <cellStyle name="Normal 5 8 3 13" xfId="20676"/>
    <cellStyle name="Normal 5 8 3 14" xfId="20677"/>
    <cellStyle name="Normal 5 8 3 15" xfId="20678"/>
    <cellStyle name="Normal 5 8 3 16" xfId="20679"/>
    <cellStyle name="Normal 5 8 3 2" xfId="20680"/>
    <cellStyle name="Normal 5 8 3 3" xfId="20681"/>
    <cellStyle name="Normal 5 8 3 4" xfId="20682"/>
    <cellStyle name="Normal 5 8 3 5" xfId="20683"/>
    <cellStyle name="Normal 5 8 3 6" xfId="20684"/>
    <cellStyle name="Normal 5 8 3 7" xfId="20685"/>
    <cellStyle name="Normal 5 8 3 8" xfId="20686"/>
    <cellStyle name="Normal 5 8 3 9" xfId="20687"/>
    <cellStyle name="Normal 5 8 4" xfId="20688"/>
    <cellStyle name="Normal 5 8 4 10" xfId="20689"/>
    <cellStyle name="Normal 5 8 4 10 2" xfId="20690"/>
    <cellStyle name="Normal 5 8 4 10 2 2" xfId="36846"/>
    <cellStyle name="Normal 5 8 4 10 3" xfId="20691"/>
    <cellStyle name="Normal 5 8 4 10 3 2" xfId="36847"/>
    <cellStyle name="Normal 5 8 4 10 4" xfId="20692"/>
    <cellStyle name="Normal 5 8 4 10 4 2" xfId="36848"/>
    <cellStyle name="Normal 5 8 4 10 5" xfId="20693"/>
    <cellStyle name="Normal 5 8 4 10 5 2" xfId="36849"/>
    <cellStyle name="Normal 5 8 4 10 6" xfId="36845"/>
    <cellStyle name="Normal 5 8 4 11" xfId="20694"/>
    <cellStyle name="Normal 5 8 4 11 2" xfId="20695"/>
    <cellStyle name="Normal 5 8 4 11 2 2" xfId="36851"/>
    <cellStyle name="Normal 5 8 4 11 3" xfId="20696"/>
    <cellStyle name="Normal 5 8 4 11 3 2" xfId="36852"/>
    <cellStyle name="Normal 5 8 4 11 4" xfId="20697"/>
    <cellStyle name="Normal 5 8 4 11 4 2" xfId="36853"/>
    <cellStyle name="Normal 5 8 4 11 5" xfId="20698"/>
    <cellStyle name="Normal 5 8 4 11 5 2" xfId="36854"/>
    <cellStyle name="Normal 5 8 4 11 6" xfId="36850"/>
    <cellStyle name="Normal 5 8 4 12" xfId="20699"/>
    <cellStyle name="Normal 5 8 4 12 2" xfId="20700"/>
    <cellStyle name="Normal 5 8 4 12 2 2" xfId="36856"/>
    <cellStyle name="Normal 5 8 4 12 3" xfId="20701"/>
    <cellStyle name="Normal 5 8 4 12 3 2" xfId="36857"/>
    <cellStyle name="Normal 5 8 4 12 4" xfId="20702"/>
    <cellStyle name="Normal 5 8 4 12 4 2" xfId="36858"/>
    <cellStyle name="Normal 5 8 4 12 5" xfId="20703"/>
    <cellStyle name="Normal 5 8 4 12 5 2" xfId="36859"/>
    <cellStyle name="Normal 5 8 4 12 6" xfId="36855"/>
    <cellStyle name="Normal 5 8 4 13" xfId="20704"/>
    <cellStyle name="Normal 5 8 4 13 2" xfId="20705"/>
    <cellStyle name="Normal 5 8 4 13 2 2" xfId="36861"/>
    <cellStyle name="Normal 5 8 4 13 3" xfId="20706"/>
    <cellStyle name="Normal 5 8 4 13 3 2" xfId="36862"/>
    <cellStyle name="Normal 5 8 4 13 4" xfId="20707"/>
    <cellStyle name="Normal 5 8 4 13 4 2" xfId="36863"/>
    <cellStyle name="Normal 5 8 4 13 5" xfId="20708"/>
    <cellStyle name="Normal 5 8 4 13 5 2" xfId="36864"/>
    <cellStyle name="Normal 5 8 4 13 6" xfId="36860"/>
    <cellStyle name="Normal 5 8 4 14" xfId="20709"/>
    <cellStyle name="Normal 5 8 4 14 2" xfId="20710"/>
    <cellStyle name="Normal 5 8 4 14 2 2" xfId="36866"/>
    <cellStyle name="Normal 5 8 4 14 3" xfId="20711"/>
    <cellStyle name="Normal 5 8 4 14 3 2" xfId="36867"/>
    <cellStyle name="Normal 5 8 4 14 4" xfId="20712"/>
    <cellStyle name="Normal 5 8 4 14 4 2" xfId="36868"/>
    <cellStyle name="Normal 5 8 4 14 5" xfId="20713"/>
    <cellStyle name="Normal 5 8 4 14 5 2" xfId="36869"/>
    <cellStyle name="Normal 5 8 4 14 6" xfId="36865"/>
    <cellStyle name="Normal 5 8 4 15" xfId="20714"/>
    <cellStyle name="Normal 5 8 4 15 2" xfId="20715"/>
    <cellStyle name="Normal 5 8 4 15 2 2" xfId="36871"/>
    <cellStyle name="Normal 5 8 4 15 3" xfId="20716"/>
    <cellStyle name="Normal 5 8 4 15 3 2" xfId="36872"/>
    <cellStyle name="Normal 5 8 4 15 4" xfId="20717"/>
    <cellStyle name="Normal 5 8 4 15 4 2" xfId="36873"/>
    <cellStyle name="Normal 5 8 4 15 5" xfId="20718"/>
    <cellStyle name="Normal 5 8 4 15 5 2" xfId="36874"/>
    <cellStyle name="Normal 5 8 4 15 6" xfId="36870"/>
    <cellStyle name="Normal 5 8 4 16" xfId="20719"/>
    <cellStyle name="Normal 5 8 4 16 2" xfId="20720"/>
    <cellStyle name="Normal 5 8 4 16 2 2" xfId="36876"/>
    <cellStyle name="Normal 5 8 4 16 3" xfId="20721"/>
    <cellStyle name="Normal 5 8 4 16 3 2" xfId="36877"/>
    <cellStyle name="Normal 5 8 4 16 4" xfId="20722"/>
    <cellStyle name="Normal 5 8 4 16 4 2" xfId="36878"/>
    <cellStyle name="Normal 5 8 4 16 5" xfId="20723"/>
    <cellStyle name="Normal 5 8 4 16 5 2" xfId="36879"/>
    <cellStyle name="Normal 5 8 4 16 6" xfId="36875"/>
    <cellStyle name="Normal 5 8 4 17" xfId="20724"/>
    <cellStyle name="Normal 5 8 4 17 2" xfId="36880"/>
    <cellStyle name="Normal 5 8 4 18" xfId="20725"/>
    <cellStyle name="Normal 5 8 4 18 2" xfId="36881"/>
    <cellStyle name="Normal 5 8 4 19" xfId="20726"/>
    <cellStyle name="Normal 5 8 4 19 2" xfId="36882"/>
    <cellStyle name="Normal 5 8 4 2" xfId="20727"/>
    <cellStyle name="Normal 5 8 4 20" xfId="20728"/>
    <cellStyle name="Normal 5 8 4 20 2" xfId="36883"/>
    <cellStyle name="Normal 5 8 4 21" xfId="36844"/>
    <cellStyle name="Normal 5 8 4 3" xfId="20729"/>
    <cellStyle name="Normal 5 8 4 3 2" xfId="20730"/>
    <cellStyle name="Normal 5 8 4 3 2 2" xfId="36885"/>
    <cellStyle name="Normal 5 8 4 3 3" xfId="20731"/>
    <cellStyle name="Normal 5 8 4 3 3 2" xfId="36886"/>
    <cellStyle name="Normal 5 8 4 3 4" xfId="20732"/>
    <cellStyle name="Normal 5 8 4 3 4 2" xfId="36887"/>
    <cellStyle name="Normal 5 8 4 3 5" xfId="20733"/>
    <cellStyle name="Normal 5 8 4 3 5 2" xfId="36888"/>
    <cellStyle name="Normal 5 8 4 3 6" xfId="36884"/>
    <cellStyle name="Normal 5 8 4 4" xfId="20734"/>
    <cellStyle name="Normal 5 8 4 4 2" xfId="20735"/>
    <cellStyle name="Normal 5 8 4 4 2 2" xfId="36890"/>
    <cellStyle name="Normal 5 8 4 4 3" xfId="20736"/>
    <cellStyle name="Normal 5 8 4 4 3 2" xfId="36891"/>
    <cellStyle name="Normal 5 8 4 4 4" xfId="20737"/>
    <cellStyle name="Normal 5 8 4 4 4 2" xfId="36892"/>
    <cellStyle name="Normal 5 8 4 4 5" xfId="20738"/>
    <cellStyle name="Normal 5 8 4 4 5 2" xfId="36893"/>
    <cellStyle name="Normal 5 8 4 4 6" xfId="36889"/>
    <cellStyle name="Normal 5 8 4 5" xfId="20739"/>
    <cellStyle name="Normal 5 8 4 5 2" xfId="20740"/>
    <cellStyle name="Normal 5 8 4 5 2 2" xfId="36895"/>
    <cellStyle name="Normal 5 8 4 5 3" xfId="20741"/>
    <cellStyle name="Normal 5 8 4 5 3 2" xfId="36896"/>
    <cellStyle name="Normal 5 8 4 5 4" xfId="20742"/>
    <cellStyle name="Normal 5 8 4 5 4 2" xfId="36897"/>
    <cellStyle name="Normal 5 8 4 5 5" xfId="20743"/>
    <cellStyle name="Normal 5 8 4 5 5 2" xfId="36898"/>
    <cellStyle name="Normal 5 8 4 5 6" xfId="36894"/>
    <cellStyle name="Normal 5 8 4 6" xfId="20744"/>
    <cellStyle name="Normal 5 8 4 6 2" xfId="20745"/>
    <cellStyle name="Normal 5 8 4 6 2 2" xfId="36900"/>
    <cellStyle name="Normal 5 8 4 6 3" xfId="20746"/>
    <cellStyle name="Normal 5 8 4 6 3 2" xfId="36901"/>
    <cellStyle name="Normal 5 8 4 6 4" xfId="20747"/>
    <cellStyle name="Normal 5 8 4 6 4 2" xfId="36902"/>
    <cellStyle name="Normal 5 8 4 6 5" xfId="20748"/>
    <cellStyle name="Normal 5 8 4 6 5 2" xfId="36903"/>
    <cellStyle name="Normal 5 8 4 6 6" xfId="36899"/>
    <cellStyle name="Normal 5 8 4 7" xfId="20749"/>
    <cellStyle name="Normal 5 8 4 7 2" xfId="20750"/>
    <cellStyle name="Normal 5 8 4 7 2 2" xfId="36905"/>
    <cellStyle name="Normal 5 8 4 7 3" xfId="20751"/>
    <cellStyle name="Normal 5 8 4 7 3 2" xfId="36906"/>
    <cellStyle name="Normal 5 8 4 7 4" xfId="20752"/>
    <cellStyle name="Normal 5 8 4 7 4 2" xfId="36907"/>
    <cellStyle name="Normal 5 8 4 7 5" xfId="20753"/>
    <cellStyle name="Normal 5 8 4 7 5 2" xfId="36908"/>
    <cellStyle name="Normal 5 8 4 7 6" xfId="36904"/>
    <cellStyle name="Normal 5 8 4 8" xfId="20754"/>
    <cellStyle name="Normal 5 8 4 8 2" xfId="20755"/>
    <cellStyle name="Normal 5 8 4 8 2 2" xfId="36910"/>
    <cellStyle name="Normal 5 8 4 8 3" xfId="20756"/>
    <cellStyle name="Normal 5 8 4 8 3 2" xfId="36911"/>
    <cellStyle name="Normal 5 8 4 8 4" xfId="20757"/>
    <cellStyle name="Normal 5 8 4 8 4 2" xfId="36912"/>
    <cellStyle name="Normal 5 8 4 8 5" xfId="20758"/>
    <cellStyle name="Normal 5 8 4 8 5 2" xfId="36913"/>
    <cellStyle name="Normal 5 8 4 8 6" xfId="36909"/>
    <cellStyle name="Normal 5 8 4 9" xfId="20759"/>
    <cellStyle name="Normal 5 8 4 9 2" xfId="20760"/>
    <cellStyle name="Normal 5 8 4 9 2 2" xfId="36915"/>
    <cellStyle name="Normal 5 8 4 9 3" xfId="20761"/>
    <cellStyle name="Normal 5 8 4 9 3 2" xfId="36916"/>
    <cellStyle name="Normal 5 8 4 9 4" xfId="20762"/>
    <cellStyle name="Normal 5 8 4 9 4 2" xfId="36917"/>
    <cellStyle name="Normal 5 8 4 9 5" xfId="20763"/>
    <cellStyle name="Normal 5 8 4 9 5 2" xfId="36918"/>
    <cellStyle name="Normal 5 8 4 9 6" xfId="36914"/>
    <cellStyle name="Normal 5 8 5" xfId="20764"/>
    <cellStyle name="Normal 5 8 5 2" xfId="20765"/>
    <cellStyle name="Normal 5 8 5 3" xfId="20766"/>
    <cellStyle name="Normal 5 8 5 3 2" xfId="36920"/>
    <cellStyle name="Normal 5 8 5 4" xfId="20767"/>
    <cellStyle name="Normal 5 8 5 4 2" xfId="36921"/>
    <cellStyle name="Normal 5 8 5 5" xfId="20768"/>
    <cellStyle name="Normal 5 8 5 5 2" xfId="36922"/>
    <cellStyle name="Normal 5 8 5 6" xfId="20769"/>
    <cellStyle name="Normal 5 8 5 6 2" xfId="36923"/>
    <cellStyle name="Normal 5 8 5 7" xfId="36919"/>
    <cellStyle name="Normal 5 8 6" xfId="20770"/>
    <cellStyle name="Normal 5 8 6 2" xfId="20771"/>
    <cellStyle name="Normal 5 8 6 3" xfId="20772"/>
    <cellStyle name="Normal 5 8 6 3 2" xfId="36925"/>
    <cellStyle name="Normal 5 8 6 4" xfId="20773"/>
    <cellStyle name="Normal 5 8 6 4 2" xfId="36926"/>
    <cellStyle name="Normal 5 8 6 5" xfId="20774"/>
    <cellStyle name="Normal 5 8 6 5 2" xfId="36927"/>
    <cellStyle name="Normal 5 8 6 6" xfId="20775"/>
    <cellStyle name="Normal 5 8 6 6 2" xfId="36928"/>
    <cellStyle name="Normal 5 8 6 7" xfId="36924"/>
    <cellStyle name="Normal 5 8 7" xfId="20776"/>
    <cellStyle name="Normal 5 8 7 2" xfId="20777"/>
    <cellStyle name="Normal 5 8 7 2 2" xfId="36930"/>
    <cellStyle name="Normal 5 8 7 3" xfId="20778"/>
    <cellStyle name="Normal 5 8 7 3 2" xfId="36931"/>
    <cellStyle name="Normal 5 8 7 4" xfId="20779"/>
    <cellStyle name="Normal 5 8 7 4 2" xfId="36932"/>
    <cellStyle name="Normal 5 8 7 5" xfId="20780"/>
    <cellStyle name="Normal 5 8 7 5 2" xfId="36933"/>
    <cellStyle name="Normal 5 8 7 6" xfId="36929"/>
    <cellStyle name="Normal 5 8 8" xfId="20781"/>
    <cellStyle name="Normal 5 8 8 2" xfId="20782"/>
    <cellStyle name="Normal 5 8 8 2 2" xfId="36935"/>
    <cellStyle name="Normal 5 8 8 3" xfId="20783"/>
    <cellStyle name="Normal 5 8 8 3 2" xfId="36936"/>
    <cellStyle name="Normal 5 8 8 4" xfId="20784"/>
    <cellStyle name="Normal 5 8 8 4 2" xfId="36937"/>
    <cellStyle name="Normal 5 8 8 5" xfId="20785"/>
    <cellStyle name="Normal 5 8 8 5 2" xfId="36938"/>
    <cellStyle name="Normal 5 8 8 6" xfId="36934"/>
    <cellStyle name="Normal 5 8 9" xfId="20786"/>
    <cellStyle name="Normal 5 8 9 2" xfId="20787"/>
    <cellStyle name="Normal 5 8 9 2 2" xfId="36940"/>
    <cellStyle name="Normal 5 8 9 3" xfId="20788"/>
    <cellStyle name="Normal 5 8 9 3 2" xfId="36941"/>
    <cellStyle name="Normal 5 8 9 4" xfId="20789"/>
    <cellStyle name="Normal 5 8 9 4 2" xfId="36942"/>
    <cellStyle name="Normal 5 8 9 5" xfId="20790"/>
    <cellStyle name="Normal 5 8 9 5 2" xfId="36943"/>
    <cellStyle name="Normal 5 8 9 6" xfId="36939"/>
    <cellStyle name="Normal 5 9" xfId="20791"/>
    <cellStyle name="Normal 5 9 10" xfId="20792"/>
    <cellStyle name="Normal 5 9 11" xfId="20793"/>
    <cellStyle name="Normal 5 9 12" xfId="20794"/>
    <cellStyle name="Normal 5 9 13" xfId="20795"/>
    <cellStyle name="Normal 5 9 14" xfId="20796"/>
    <cellStyle name="Normal 5 9 15" xfId="20797"/>
    <cellStyle name="Normal 5 9 16" xfId="20798"/>
    <cellStyle name="Normal 5 9 17" xfId="20799"/>
    <cellStyle name="Normal 5 9 18" xfId="20800"/>
    <cellStyle name="Normal 5 9 19" xfId="20801"/>
    <cellStyle name="Normal 5 9 2" xfId="20802"/>
    <cellStyle name="Normal 5 9 2 2" xfId="20803"/>
    <cellStyle name="Normal 5 9 2 3" xfId="20804"/>
    <cellStyle name="Normal 5 9 2 4" xfId="20805"/>
    <cellStyle name="Normal 5 9 2 5" xfId="20806"/>
    <cellStyle name="Normal 5 9 2 6" xfId="20807"/>
    <cellStyle name="Normal 5 9 2 7" xfId="20808"/>
    <cellStyle name="Normal 5 9 20" xfId="20809"/>
    <cellStyle name="Normal 5 9 21" xfId="20810"/>
    <cellStyle name="Normal 5 9 22" xfId="20811"/>
    <cellStyle name="Normal 5 9 23" xfId="20812"/>
    <cellStyle name="Normal 5 9 24" xfId="40764"/>
    <cellStyle name="Normal 5 9 3" xfId="20813"/>
    <cellStyle name="Normal 5 9 4" xfId="20814"/>
    <cellStyle name="Normal 5 9 4 10" xfId="20815"/>
    <cellStyle name="Normal 5 9 4 10 2" xfId="36945"/>
    <cellStyle name="Normal 5 9 4 11" xfId="20816"/>
    <cellStyle name="Normal 5 9 4 11 2" xfId="36946"/>
    <cellStyle name="Normal 5 9 4 12" xfId="36944"/>
    <cellStyle name="Normal 5 9 4 2" xfId="20817"/>
    <cellStyle name="Normal 5 9 4 2 2" xfId="20818"/>
    <cellStyle name="Normal 5 9 4 2 2 2" xfId="36948"/>
    <cellStyle name="Normal 5 9 4 2 3" xfId="20819"/>
    <cellStyle name="Normal 5 9 4 2 3 2" xfId="36949"/>
    <cellStyle name="Normal 5 9 4 2 4" xfId="20820"/>
    <cellStyle name="Normal 5 9 4 2 4 2" xfId="36950"/>
    <cellStyle name="Normal 5 9 4 2 5" xfId="20821"/>
    <cellStyle name="Normal 5 9 4 2 5 2" xfId="36951"/>
    <cellStyle name="Normal 5 9 4 2 6" xfId="36947"/>
    <cellStyle name="Normal 5 9 4 3" xfId="20822"/>
    <cellStyle name="Normal 5 9 4 3 2" xfId="20823"/>
    <cellStyle name="Normal 5 9 4 3 2 2" xfId="36953"/>
    <cellStyle name="Normal 5 9 4 3 3" xfId="20824"/>
    <cellStyle name="Normal 5 9 4 3 3 2" xfId="36954"/>
    <cellStyle name="Normal 5 9 4 3 4" xfId="20825"/>
    <cellStyle name="Normal 5 9 4 3 4 2" xfId="36955"/>
    <cellStyle name="Normal 5 9 4 3 5" xfId="20826"/>
    <cellStyle name="Normal 5 9 4 3 5 2" xfId="36956"/>
    <cellStyle name="Normal 5 9 4 3 6" xfId="36952"/>
    <cellStyle name="Normal 5 9 4 4" xfId="20827"/>
    <cellStyle name="Normal 5 9 4 4 2" xfId="20828"/>
    <cellStyle name="Normal 5 9 4 4 2 2" xfId="36958"/>
    <cellStyle name="Normal 5 9 4 4 3" xfId="20829"/>
    <cellStyle name="Normal 5 9 4 4 3 2" xfId="36959"/>
    <cellStyle name="Normal 5 9 4 4 4" xfId="20830"/>
    <cellStyle name="Normal 5 9 4 4 4 2" xfId="36960"/>
    <cellStyle name="Normal 5 9 4 4 5" xfId="20831"/>
    <cellStyle name="Normal 5 9 4 4 5 2" xfId="36961"/>
    <cellStyle name="Normal 5 9 4 4 6" xfId="36957"/>
    <cellStyle name="Normal 5 9 4 5" xfId="20832"/>
    <cellStyle name="Normal 5 9 4 5 2" xfId="20833"/>
    <cellStyle name="Normal 5 9 4 5 2 2" xfId="36963"/>
    <cellStyle name="Normal 5 9 4 5 3" xfId="20834"/>
    <cellStyle name="Normal 5 9 4 5 3 2" xfId="36964"/>
    <cellStyle name="Normal 5 9 4 5 4" xfId="20835"/>
    <cellStyle name="Normal 5 9 4 5 4 2" xfId="36965"/>
    <cellStyle name="Normal 5 9 4 5 5" xfId="20836"/>
    <cellStyle name="Normal 5 9 4 5 5 2" xfId="36966"/>
    <cellStyle name="Normal 5 9 4 5 6" xfId="36962"/>
    <cellStyle name="Normal 5 9 4 6" xfId="20837"/>
    <cellStyle name="Normal 5 9 4 6 2" xfId="20838"/>
    <cellStyle name="Normal 5 9 4 6 2 2" xfId="36968"/>
    <cellStyle name="Normal 5 9 4 6 3" xfId="20839"/>
    <cellStyle name="Normal 5 9 4 6 3 2" xfId="36969"/>
    <cellStyle name="Normal 5 9 4 6 4" xfId="20840"/>
    <cellStyle name="Normal 5 9 4 6 4 2" xfId="36970"/>
    <cellStyle name="Normal 5 9 4 6 5" xfId="20841"/>
    <cellStyle name="Normal 5 9 4 6 5 2" xfId="36971"/>
    <cellStyle name="Normal 5 9 4 6 6" xfId="36967"/>
    <cellStyle name="Normal 5 9 4 7" xfId="20842"/>
    <cellStyle name="Normal 5 9 4 7 2" xfId="20843"/>
    <cellStyle name="Normal 5 9 4 7 2 2" xfId="36973"/>
    <cellStyle name="Normal 5 9 4 7 3" xfId="20844"/>
    <cellStyle name="Normal 5 9 4 7 3 2" xfId="36974"/>
    <cellStyle name="Normal 5 9 4 7 4" xfId="20845"/>
    <cellStyle name="Normal 5 9 4 7 4 2" xfId="36975"/>
    <cellStyle name="Normal 5 9 4 7 5" xfId="20846"/>
    <cellStyle name="Normal 5 9 4 7 5 2" xfId="36976"/>
    <cellStyle name="Normal 5 9 4 7 6" xfId="36972"/>
    <cellStyle name="Normal 5 9 4 8" xfId="20847"/>
    <cellStyle name="Normal 5 9 4 8 2" xfId="36977"/>
    <cellStyle name="Normal 5 9 4 9" xfId="20848"/>
    <cellStyle name="Normal 5 9 4 9 2" xfId="36978"/>
    <cellStyle name="Normal 5 9 5" xfId="20849"/>
    <cellStyle name="Normal 5 9 6" xfId="20850"/>
    <cellStyle name="Normal 5 9 7" xfId="20851"/>
    <cellStyle name="Normal 5 9 8" xfId="20852"/>
    <cellStyle name="Normal 5 9 9" xfId="20853"/>
    <cellStyle name="Normal 54" xfId="1"/>
    <cellStyle name="Normal 6" xfId="20854"/>
    <cellStyle name="Normal 6 10" xfId="20855"/>
    <cellStyle name="Normal 6 10 2" xfId="40765"/>
    <cellStyle name="Normal 6 11" xfId="20856"/>
    <cellStyle name="Normal 6 11 2" xfId="40766"/>
    <cellStyle name="Normal 6 12" xfId="20857"/>
    <cellStyle name="Normal 6 12 2" xfId="40767"/>
    <cellStyle name="Normal 6 13" xfId="20858"/>
    <cellStyle name="Normal 6 13 10" xfId="20859"/>
    <cellStyle name="Normal 6 13 11" xfId="20860"/>
    <cellStyle name="Normal 6 13 12" xfId="20861"/>
    <cellStyle name="Normal 6 13 13" xfId="20862"/>
    <cellStyle name="Normal 6 13 14" xfId="20863"/>
    <cellStyle name="Normal 6 13 15" xfId="20864"/>
    <cellStyle name="Normal 6 13 16" xfId="20865"/>
    <cellStyle name="Normal 6 13 2" xfId="20866"/>
    <cellStyle name="Normal 6 13 3" xfId="20867"/>
    <cellStyle name="Normal 6 13 4" xfId="20868"/>
    <cellStyle name="Normal 6 13 5" xfId="20869"/>
    <cellStyle name="Normal 6 13 6" xfId="20870"/>
    <cellStyle name="Normal 6 13 7" xfId="20871"/>
    <cellStyle name="Normal 6 13 8" xfId="20872"/>
    <cellStyle name="Normal 6 13 9" xfId="20873"/>
    <cellStyle name="Normal 6 14" xfId="20874"/>
    <cellStyle name="Normal 6 14 2" xfId="20875"/>
    <cellStyle name="Normal 6 15" xfId="20876"/>
    <cellStyle name="Normal 6 15 2" xfId="20877"/>
    <cellStyle name="Normal 6 16" xfId="20878"/>
    <cellStyle name="Normal 6 16 2" xfId="20879"/>
    <cellStyle name="Normal 6 17" xfId="20880"/>
    <cellStyle name="Normal 6 18" xfId="20881"/>
    <cellStyle name="Normal 6 19" xfId="20882"/>
    <cellStyle name="Normal 6 2" xfId="20883"/>
    <cellStyle name="Normal 6 2 10" xfId="20884"/>
    <cellStyle name="Normal 6 2 11" xfId="20885"/>
    <cellStyle name="Normal 6 2 12" xfId="20886"/>
    <cellStyle name="Normal 6 2 13" xfId="20887"/>
    <cellStyle name="Normal 6 2 14" xfId="20888"/>
    <cellStyle name="Normal 6 2 15" xfId="20889"/>
    <cellStyle name="Normal 6 2 16" xfId="20890"/>
    <cellStyle name="Normal 6 2 17" xfId="20891"/>
    <cellStyle name="Normal 6 2 18" xfId="20892"/>
    <cellStyle name="Normal 6 2 19" xfId="20893"/>
    <cellStyle name="Normal 6 2 2" xfId="20894"/>
    <cellStyle name="Normal 6 2 2 10" xfId="20895"/>
    <cellStyle name="Normal 6 2 2 11" xfId="20896"/>
    <cellStyle name="Normal 6 2 2 12" xfId="20897"/>
    <cellStyle name="Normal 6 2 2 13" xfId="20898"/>
    <cellStyle name="Normal 6 2 2 14" xfId="20899"/>
    <cellStyle name="Normal 6 2 2 15" xfId="20900"/>
    <cellStyle name="Normal 6 2 2 16" xfId="20901"/>
    <cellStyle name="Normal 6 2 2 17" xfId="20902"/>
    <cellStyle name="Normal 6 2 2 18" xfId="20903"/>
    <cellStyle name="Normal 6 2 2 19" xfId="20904"/>
    <cellStyle name="Normal 6 2 2 2" xfId="20905"/>
    <cellStyle name="Normal 6 2 2 2 2" xfId="20906"/>
    <cellStyle name="Normal 6 2 2 2 3" xfId="20907"/>
    <cellStyle name="Normal 6 2 2 2 4" xfId="20908"/>
    <cellStyle name="Normal 6 2 2 2 5" xfId="20909"/>
    <cellStyle name="Normal 6 2 2 2 6" xfId="20910"/>
    <cellStyle name="Normal 6 2 2 2 7" xfId="20911"/>
    <cellStyle name="Normal 6 2 2 20" xfId="20912"/>
    <cellStyle name="Normal 6 2 2 21" xfId="20913"/>
    <cellStyle name="Normal 6 2 2 22" xfId="40768"/>
    <cellStyle name="Normal 6 2 2 3" xfId="20914"/>
    <cellStyle name="Normal 6 2 2 4" xfId="20915"/>
    <cellStyle name="Normal 6 2 2 5" xfId="20916"/>
    <cellStyle name="Normal 6 2 2 6" xfId="20917"/>
    <cellStyle name="Normal 6 2 2 7" xfId="20918"/>
    <cellStyle name="Normal 6 2 2 8" xfId="20919"/>
    <cellStyle name="Normal 6 2 2 9" xfId="20920"/>
    <cellStyle name="Normal 6 2 20" xfId="20921"/>
    <cellStyle name="Normal 6 2 21" xfId="20922"/>
    <cellStyle name="Normal 6 2 22" xfId="20923"/>
    <cellStyle name="Normal 6 2 23" xfId="20924"/>
    <cellStyle name="Normal 6 2 3" xfId="20925"/>
    <cellStyle name="Normal 6 2 3 2" xfId="40769"/>
    <cellStyle name="Normal 6 2 4" xfId="20926"/>
    <cellStyle name="Normal 6 2 4 2" xfId="40770"/>
    <cellStyle name="Normal 6 2 5" xfId="20927"/>
    <cellStyle name="Normal 6 2 5 2" xfId="20928"/>
    <cellStyle name="Normal 6 2 6" xfId="20929"/>
    <cellStyle name="Normal 6 2 6 2" xfId="20930"/>
    <cellStyle name="Normal 6 2 7" xfId="20931"/>
    <cellStyle name="Normal 6 2 7 2" xfId="20932"/>
    <cellStyle name="Normal 6 2 8" xfId="20933"/>
    <cellStyle name="Normal 6 2 8 2" xfId="20934"/>
    <cellStyle name="Normal 6 2 9" xfId="20935"/>
    <cellStyle name="Normal 6 20" xfId="20936"/>
    <cellStyle name="Normal 6 21" xfId="20937"/>
    <cellStyle name="Normal 6 22" xfId="20938"/>
    <cellStyle name="Normal 6 23" xfId="20939"/>
    <cellStyle name="Normal 6 24" xfId="20940"/>
    <cellStyle name="Normal 6 25" xfId="20941"/>
    <cellStyle name="Normal 6 26" xfId="20942"/>
    <cellStyle name="Normal 6 27" xfId="20943"/>
    <cellStyle name="Normal 6 28" xfId="20944"/>
    <cellStyle name="Normal 6 29" xfId="20945"/>
    <cellStyle name="Normal 6 3" xfId="20946"/>
    <cellStyle name="Normal 6 3 2" xfId="20947"/>
    <cellStyle name="Normal 6 3 2 2" xfId="20948"/>
    <cellStyle name="Normal 6 3 2 2 2" xfId="40773"/>
    <cellStyle name="Normal 6 3 2 3" xfId="20949"/>
    <cellStyle name="Normal 6 3 2 4" xfId="20950"/>
    <cellStyle name="Normal 6 3 2 5" xfId="20951"/>
    <cellStyle name="Normal 6 3 2 6" xfId="20952"/>
    <cellStyle name="Normal 6 3 2 7" xfId="20953"/>
    <cellStyle name="Normal 6 3 2 8" xfId="40772"/>
    <cellStyle name="Normal 6 3 3" xfId="20954"/>
    <cellStyle name="Normal 6 3 3 2" xfId="40774"/>
    <cellStyle name="Normal 6 3 4" xfId="20955"/>
    <cellStyle name="Normal 6 3 4 2" xfId="40775"/>
    <cellStyle name="Normal 6 3 5" xfId="20956"/>
    <cellStyle name="Normal 6 3 5 2" xfId="41038"/>
    <cellStyle name="Normal 6 3 6" xfId="20957"/>
    <cellStyle name="Normal 6 3 6 2" xfId="41029"/>
    <cellStyle name="Normal 6 3 7" xfId="20958"/>
    <cellStyle name="Normal 6 3 8" xfId="20959"/>
    <cellStyle name="Normal 6 3 9" xfId="40771"/>
    <cellStyle name="Normal 6 30" xfId="20960"/>
    <cellStyle name="Normal 6 31" xfId="20961"/>
    <cellStyle name="Normal 6 32" xfId="20962"/>
    <cellStyle name="Normal 6 33" xfId="20963"/>
    <cellStyle name="Normal 6 34" xfId="20964"/>
    <cellStyle name="Normal 6 35" xfId="20965"/>
    <cellStyle name="Normal 6 4" xfId="20966"/>
    <cellStyle name="Normal 6 4 10" xfId="20967"/>
    <cellStyle name="Normal 6 4 11" xfId="20968"/>
    <cellStyle name="Normal 6 4 12" xfId="20969"/>
    <cellStyle name="Normal 6 4 13" xfId="20970"/>
    <cellStyle name="Normal 6 4 14" xfId="20971"/>
    <cellStyle name="Normal 6 4 15" xfId="20972"/>
    <cellStyle name="Normal 6 4 16" xfId="20973"/>
    <cellStyle name="Normal 6 4 2" xfId="20974"/>
    <cellStyle name="Normal 6 4 2 10" xfId="20975"/>
    <cellStyle name="Normal 6 4 2 11" xfId="20976"/>
    <cellStyle name="Normal 6 4 2 12" xfId="20977"/>
    <cellStyle name="Normal 6 4 2 13" xfId="20978"/>
    <cellStyle name="Normal 6 4 2 14" xfId="20979"/>
    <cellStyle name="Normal 6 4 2 15" xfId="20980"/>
    <cellStyle name="Normal 6 4 2 16" xfId="20981"/>
    <cellStyle name="Normal 6 4 2 17" xfId="40776"/>
    <cellStyle name="Normal 6 4 2 2" xfId="20982"/>
    <cellStyle name="Normal 6 4 2 3" xfId="20983"/>
    <cellStyle name="Normal 6 4 2 4" xfId="20984"/>
    <cellStyle name="Normal 6 4 2 5" xfId="20985"/>
    <cellStyle name="Normal 6 4 2 6" xfId="20986"/>
    <cellStyle name="Normal 6 4 2 7" xfId="20987"/>
    <cellStyle name="Normal 6 4 2 8" xfId="20988"/>
    <cellStyle name="Normal 6 4 2 9" xfId="20989"/>
    <cellStyle name="Normal 6 4 3" xfId="20990"/>
    <cellStyle name="Normal 6 4 3 2" xfId="40777"/>
    <cellStyle name="Normal 6 4 4" xfId="20991"/>
    <cellStyle name="Normal 6 4 4 2" xfId="40778"/>
    <cellStyle name="Normal 6 4 5" xfId="20992"/>
    <cellStyle name="Normal 6 4 6" xfId="20993"/>
    <cellStyle name="Normal 6 4 7" xfId="20994"/>
    <cellStyle name="Normal 6 4 8" xfId="20995"/>
    <cellStyle name="Normal 6 4 9" xfId="20996"/>
    <cellStyle name="Normal 6 5" xfId="20997"/>
    <cellStyle name="Normal 6 5 2" xfId="40779"/>
    <cellStyle name="Normal 6 6" xfId="20998"/>
    <cellStyle name="Normal 6 6 2" xfId="40780"/>
    <cellStyle name="Normal 6 7" xfId="20999"/>
    <cellStyle name="Normal 6 7 2" xfId="40781"/>
    <cellStyle name="Normal 6 8" xfId="21000"/>
    <cellStyle name="Normal 6 8 2" xfId="40782"/>
    <cellStyle name="Normal 6 9" xfId="21001"/>
    <cellStyle name="Normal 6 9 2" xfId="40783"/>
    <cellStyle name="Normal 7" xfId="21002"/>
    <cellStyle name="Normal 7 10" xfId="21003"/>
    <cellStyle name="Normal 7 11" xfId="21004"/>
    <cellStyle name="Normal 7 12" xfId="21005"/>
    <cellStyle name="Normal 7 13" xfId="21006"/>
    <cellStyle name="Normal 7 2" xfId="21007"/>
    <cellStyle name="Normal 7 2 10" xfId="21008"/>
    <cellStyle name="Normal 7 2 10 2" xfId="21009"/>
    <cellStyle name="Normal 7 2 10 2 2" xfId="36980"/>
    <cellStyle name="Normal 7 2 10 3" xfId="21010"/>
    <cellStyle name="Normal 7 2 10 3 2" xfId="36981"/>
    <cellStyle name="Normal 7 2 10 4" xfId="21011"/>
    <cellStyle name="Normal 7 2 10 4 2" xfId="36982"/>
    <cellStyle name="Normal 7 2 10 5" xfId="21012"/>
    <cellStyle name="Normal 7 2 10 5 2" xfId="36983"/>
    <cellStyle name="Normal 7 2 10 6" xfId="36979"/>
    <cellStyle name="Normal 7 2 11" xfId="21013"/>
    <cellStyle name="Normal 7 2 11 2" xfId="21014"/>
    <cellStyle name="Normal 7 2 11 2 2" xfId="36985"/>
    <cellStyle name="Normal 7 2 11 3" xfId="21015"/>
    <cellStyle name="Normal 7 2 11 3 2" xfId="36986"/>
    <cellStyle name="Normal 7 2 11 4" xfId="21016"/>
    <cellStyle name="Normal 7 2 11 4 2" xfId="36987"/>
    <cellStyle name="Normal 7 2 11 5" xfId="21017"/>
    <cellStyle name="Normal 7 2 11 5 2" xfId="36988"/>
    <cellStyle name="Normal 7 2 11 6" xfId="36984"/>
    <cellStyle name="Normal 7 2 12" xfId="21018"/>
    <cellStyle name="Normal 7 2 12 2" xfId="21019"/>
    <cellStyle name="Normal 7 2 12 2 2" xfId="36990"/>
    <cellStyle name="Normal 7 2 12 3" xfId="21020"/>
    <cellStyle name="Normal 7 2 12 3 2" xfId="36991"/>
    <cellStyle name="Normal 7 2 12 4" xfId="21021"/>
    <cellStyle name="Normal 7 2 12 4 2" xfId="36992"/>
    <cellStyle name="Normal 7 2 12 5" xfId="21022"/>
    <cellStyle name="Normal 7 2 12 5 2" xfId="36993"/>
    <cellStyle name="Normal 7 2 12 6" xfId="36989"/>
    <cellStyle name="Normal 7 2 13" xfId="21023"/>
    <cellStyle name="Normal 7 2 13 2" xfId="21024"/>
    <cellStyle name="Normal 7 2 13 2 2" xfId="36995"/>
    <cellStyle name="Normal 7 2 13 3" xfId="21025"/>
    <cellStyle name="Normal 7 2 13 3 2" xfId="36996"/>
    <cellStyle name="Normal 7 2 13 4" xfId="21026"/>
    <cellStyle name="Normal 7 2 13 4 2" xfId="36997"/>
    <cellStyle name="Normal 7 2 13 5" xfId="21027"/>
    <cellStyle name="Normal 7 2 13 5 2" xfId="36998"/>
    <cellStyle name="Normal 7 2 13 6" xfId="36994"/>
    <cellStyle name="Normal 7 2 14" xfId="21028"/>
    <cellStyle name="Normal 7 2 14 2" xfId="21029"/>
    <cellStyle name="Normal 7 2 14 2 2" xfId="37000"/>
    <cellStyle name="Normal 7 2 14 3" xfId="21030"/>
    <cellStyle name="Normal 7 2 14 3 2" xfId="37001"/>
    <cellStyle name="Normal 7 2 14 4" xfId="21031"/>
    <cellStyle name="Normal 7 2 14 4 2" xfId="37002"/>
    <cellStyle name="Normal 7 2 14 5" xfId="21032"/>
    <cellStyle name="Normal 7 2 14 5 2" xfId="37003"/>
    <cellStyle name="Normal 7 2 14 6" xfId="36999"/>
    <cellStyle name="Normal 7 2 15" xfId="21033"/>
    <cellStyle name="Normal 7 2 15 2" xfId="21034"/>
    <cellStyle name="Normal 7 2 15 2 2" xfId="37005"/>
    <cellStyle name="Normal 7 2 15 3" xfId="21035"/>
    <cellStyle name="Normal 7 2 15 3 2" xfId="37006"/>
    <cellStyle name="Normal 7 2 15 4" xfId="21036"/>
    <cellStyle name="Normal 7 2 15 4 2" xfId="37007"/>
    <cellStyle name="Normal 7 2 15 5" xfId="21037"/>
    <cellStyle name="Normal 7 2 15 5 2" xfId="37008"/>
    <cellStyle name="Normal 7 2 15 6" xfId="37004"/>
    <cellStyle name="Normal 7 2 16" xfId="21038"/>
    <cellStyle name="Normal 7 2 16 2" xfId="21039"/>
    <cellStyle name="Normal 7 2 16 2 2" xfId="37010"/>
    <cellStyle name="Normal 7 2 16 3" xfId="21040"/>
    <cellStyle name="Normal 7 2 16 3 2" xfId="37011"/>
    <cellStyle name="Normal 7 2 16 4" xfId="21041"/>
    <cellStyle name="Normal 7 2 16 4 2" xfId="37012"/>
    <cellStyle name="Normal 7 2 16 5" xfId="21042"/>
    <cellStyle name="Normal 7 2 16 5 2" xfId="37013"/>
    <cellStyle name="Normal 7 2 16 6" xfId="37009"/>
    <cellStyle name="Normal 7 2 17" xfId="21043"/>
    <cellStyle name="Normal 7 2 17 2" xfId="21044"/>
    <cellStyle name="Normal 7 2 17 2 2" xfId="37015"/>
    <cellStyle name="Normal 7 2 17 3" xfId="21045"/>
    <cellStyle name="Normal 7 2 17 3 2" xfId="37016"/>
    <cellStyle name="Normal 7 2 17 4" xfId="21046"/>
    <cellStyle name="Normal 7 2 17 4 2" xfId="37017"/>
    <cellStyle name="Normal 7 2 17 5" xfId="21047"/>
    <cellStyle name="Normal 7 2 17 5 2" xfId="37018"/>
    <cellStyle name="Normal 7 2 17 6" xfId="37014"/>
    <cellStyle name="Normal 7 2 18" xfId="21048"/>
    <cellStyle name="Normal 7 2 18 2" xfId="21049"/>
    <cellStyle name="Normal 7 2 18 2 2" xfId="37020"/>
    <cellStyle name="Normal 7 2 18 3" xfId="21050"/>
    <cellStyle name="Normal 7 2 18 3 2" xfId="37021"/>
    <cellStyle name="Normal 7 2 18 4" xfId="21051"/>
    <cellStyle name="Normal 7 2 18 4 2" xfId="37022"/>
    <cellStyle name="Normal 7 2 18 5" xfId="21052"/>
    <cellStyle name="Normal 7 2 18 5 2" xfId="37023"/>
    <cellStyle name="Normal 7 2 18 6" xfId="37019"/>
    <cellStyle name="Normal 7 2 19" xfId="21053"/>
    <cellStyle name="Normal 7 2 19 2" xfId="37024"/>
    <cellStyle name="Normal 7 2 2" xfId="21054"/>
    <cellStyle name="Normal 7 2 2 2" xfId="21055"/>
    <cellStyle name="Normal 7 2 2 3" xfId="21056"/>
    <cellStyle name="Normal 7 2 2 4" xfId="21057"/>
    <cellStyle name="Normal 7 2 2 5" xfId="21058"/>
    <cellStyle name="Normal 7 2 2 6" xfId="21059"/>
    <cellStyle name="Normal 7 2 2 7" xfId="21060"/>
    <cellStyle name="Normal 7 2 2 8" xfId="37025"/>
    <cellStyle name="Normal 7 2 20" xfId="21061"/>
    <cellStyle name="Normal 7 2 20 2" xfId="37026"/>
    <cellStyle name="Normal 7 2 21" xfId="21062"/>
    <cellStyle name="Normal 7 2 21 2" xfId="37027"/>
    <cellStyle name="Normal 7 2 22" xfId="21063"/>
    <cellStyle name="Normal 7 2 22 2" xfId="37028"/>
    <cellStyle name="Normal 7 2 23" xfId="21064"/>
    <cellStyle name="Normal 7 2 23 2" xfId="37029"/>
    <cellStyle name="Normal 7 2 3" xfId="21065"/>
    <cellStyle name="Normal 7 2 4" xfId="21066"/>
    <cellStyle name="Normal 7 2 4 10" xfId="21067"/>
    <cellStyle name="Normal 7 2 4 10 2" xfId="37031"/>
    <cellStyle name="Normal 7 2 4 11" xfId="21068"/>
    <cellStyle name="Normal 7 2 4 11 2" xfId="37032"/>
    <cellStyle name="Normal 7 2 4 12" xfId="40784"/>
    <cellStyle name="Normal 7 2 4 13" xfId="37030"/>
    <cellStyle name="Normal 7 2 4 2" xfId="21069"/>
    <cellStyle name="Normal 7 2 4 2 2" xfId="21070"/>
    <cellStyle name="Normal 7 2 4 2 2 2" xfId="37034"/>
    <cellStyle name="Normal 7 2 4 2 3" xfId="21071"/>
    <cellStyle name="Normal 7 2 4 2 3 2" xfId="37035"/>
    <cellStyle name="Normal 7 2 4 2 4" xfId="21072"/>
    <cellStyle name="Normal 7 2 4 2 4 2" xfId="37036"/>
    <cellStyle name="Normal 7 2 4 2 5" xfId="21073"/>
    <cellStyle name="Normal 7 2 4 2 5 2" xfId="37037"/>
    <cellStyle name="Normal 7 2 4 2 6" xfId="37033"/>
    <cellStyle name="Normal 7 2 4 3" xfId="21074"/>
    <cellStyle name="Normal 7 2 4 3 2" xfId="21075"/>
    <cellStyle name="Normal 7 2 4 3 2 2" xfId="37039"/>
    <cellStyle name="Normal 7 2 4 3 3" xfId="21076"/>
    <cellStyle name="Normal 7 2 4 3 3 2" xfId="37040"/>
    <cellStyle name="Normal 7 2 4 3 4" xfId="21077"/>
    <cellStyle name="Normal 7 2 4 3 4 2" xfId="37041"/>
    <cellStyle name="Normal 7 2 4 3 5" xfId="21078"/>
    <cellStyle name="Normal 7 2 4 3 5 2" xfId="37042"/>
    <cellStyle name="Normal 7 2 4 3 6" xfId="37038"/>
    <cellStyle name="Normal 7 2 4 4" xfId="21079"/>
    <cellStyle name="Normal 7 2 4 4 2" xfId="21080"/>
    <cellStyle name="Normal 7 2 4 4 2 2" xfId="37044"/>
    <cellStyle name="Normal 7 2 4 4 3" xfId="21081"/>
    <cellStyle name="Normal 7 2 4 4 3 2" xfId="37045"/>
    <cellStyle name="Normal 7 2 4 4 4" xfId="21082"/>
    <cellStyle name="Normal 7 2 4 4 4 2" xfId="37046"/>
    <cellStyle name="Normal 7 2 4 4 5" xfId="21083"/>
    <cellStyle name="Normal 7 2 4 4 5 2" xfId="37047"/>
    <cellStyle name="Normal 7 2 4 4 6" xfId="37043"/>
    <cellStyle name="Normal 7 2 4 5" xfId="21084"/>
    <cellStyle name="Normal 7 2 4 5 2" xfId="21085"/>
    <cellStyle name="Normal 7 2 4 5 2 2" xfId="37049"/>
    <cellStyle name="Normal 7 2 4 5 3" xfId="21086"/>
    <cellStyle name="Normal 7 2 4 5 3 2" xfId="37050"/>
    <cellStyle name="Normal 7 2 4 5 4" xfId="21087"/>
    <cellStyle name="Normal 7 2 4 5 4 2" xfId="37051"/>
    <cellStyle name="Normal 7 2 4 5 5" xfId="21088"/>
    <cellStyle name="Normal 7 2 4 5 5 2" xfId="37052"/>
    <cellStyle name="Normal 7 2 4 5 6" xfId="37048"/>
    <cellStyle name="Normal 7 2 4 6" xfId="21089"/>
    <cellStyle name="Normal 7 2 4 6 2" xfId="21090"/>
    <cellStyle name="Normal 7 2 4 6 2 2" xfId="37054"/>
    <cellStyle name="Normal 7 2 4 6 3" xfId="21091"/>
    <cellStyle name="Normal 7 2 4 6 3 2" xfId="37055"/>
    <cellStyle name="Normal 7 2 4 6 4" xfId="21092"/>
    <cellStyle name="Normal 7 2 4 6 4 2" xfId="37056"/>
    <cellStyle name="Normal 7 2 4 6 5" xfId="21093"/>
    <cellStyle name="Normal 7 2 4 6 5 2" xfId="37057"/>
    <cellStyle name="Normal 7 2 4 6 6" xfId="37053"/>
    <cellStyle name="Normal 7 2 4 7" xfId="21094"/>
    <cellStyle name="Normal 7 2 4 7 2" xfId="21095"/>
    <cellStyle name="Normal 7 2 4 7 2 2" xfId="37059"/>
    <cellStyle name="Normal 7 2 4 7 3" xfId="21096"/>
    <cellStyle name="Normal 7 2 4 7 3 2" xfId="37060"/>
    <cellStyle name="Normal 7 2 4 7 4" xfId="21097"/>
    <cellStyle name="Normal 7 2 4 7 4 2" xfId="37061"/>
    <cellStyle name="Normal 7 2 4 7 5" xfId="21098"/>
    <cellStyle name="Normal 7 2 4 7 5 2" xfId="37062"/>
    <cellStyle name="Normal 7 2 4 7 6" xfId="37058"/>
    <cellStyle name="Normal 7 2 4 8" xfId="21099"/>
    <cellStyle name="Normal 7 2 4 8 2" xfId="37063"/>
    <cellStyle name="Normal 7 2 4 9" xfId="21100"/>
    <cellStyle name="Normal 7 2 4 9 2" xfId="37064"/>
    <cellStyle name="Normal 7 2 5" xfId="21101"/>
    <cellStyle name="Normal 7 2 5 2" xfId="21102"/>
    <cellStyle name="Normal 7 2 5 2 2" xfId="21103"/>
    <cellStyle name="Normal 7 2 5 2 2 2" xfId="37067"/>
    <cellStyle name="Normal 7 2 5 2 3" xfId="21104"/>
    <cellStyle name="Normal 7 2 5 2 3 2" xfId="37068"/>
    <cellStyle name="Normal 7 2 5 2 4" xfId="21105"/>
    <cellStyle name="Normal 7 2 5 2 4 2" xfId="37069"/>
    <cellStyle name="Normal 7 2 5 2 5" xfId="21106"/>
    <cellStyle name="Normal 7 2 5 2 5 2" xfId="37070"/>
    <cellStyle name="Normal 7 2 5 2 6" xfId="37066"/>
    <cellStyle name="Normal 7 2 5 3" xfId="21107"/>
    <cellStyle name="Normal 7 2 5 3 2" xfId="37071"/>
    <cellStyle name="Normal 7 2 5 4" xfId="21108"/>
    <cellStyle name="Normal 7 2 5 4 2" xfId="37072"/>
    <cellStyle name="Normal 7 2 5 5" xfId="21109"/>
    <cellStyle name="Normal 7 2 5 5 2" xfId="37073"/>
    <cellStyle name="Normal 7 2 5 6" xfId="21110"/>
    <cellStyle name="Normal 7 2 5 6 2" xfId="37074"/>
    <cellStyle name="Normal 7 2 5 7" xfId="37065"/>
    <cellStyle name="Normal 7 2 6" xfId="21111"/>
    <cellStyle name="Normal 7 2 6 2" xfId="21112"/>
    <cellStyle name="Normal 7 2 6 2 2" xfId="21113"/>
    <cellStyle name="Normal 7 2 6 2 2 2" xfId="37077"/>
    <cellStyle name="Normal 7 2 6 2 3" xfId="21114"/>
    <cellStyle name="Normal 7 2 6 2 3 2" xfId="37078"/>
    <cellStyle name="Normal 7 2 6 2 4" xfId="21115"/>
    <cellStyle name="Normal 7 2 6 2 4 2" xfId="37079"/>
    <cellStyle name="Normal 7 2 6 2 5" xfId="21116"/>
    <cellStyle name="Normal 7 2 6 2 5 2" xfId="37080"/>
    <cellStyle name="Normal 7 2 6 2 6" xfId="37076"/>
    <cellStyle name="Normal 7 2 6 3" xfId="21117"/>
    <cellStyle name="Normal 7 2 6 3 2" xfId="37081"/>
    <cellStyle name="Normal 7 2 6 4" xfId="21118"/>
    <cellStyle name="Normal 7 2 6 4 2" xfId="37082"/>
    <cellStyle name="Normal 7 2 6 5" xfId="21119"/>
    <cellStyle name="Normal 7 2 6 5 2" xfId="37083"/>
    <cellStyle name="Normal 7 2 6 6" xfId="21120"/>
    <cellStyle name="Normal 7 2 6 6 2" xfId="37084"/>
    <cellStyle name="Normal 7 2 6 7" xfId="37075"/>
    <cellStyle name="Normal 7 2 7" xfId="21121"/>
    <cellStyle name="Normal 7 2 7 2" xfId="21122"/>
    <cellStyle name="Normal 7 2 7 2 2" xfId="37086"/>
    <cellStyle name="Normal 7 2 7 3" xfId="21123"/>
    <cellStyle name="Normal 7 2 7 3 2" xfId="37087"/>
    <cellStyle name="Normal 7 2 7 4" xfId="21124"/>
    <cellStyle name="Normal 7 2 7 4 2" xfId="37088"/>
    <cellStyle name="Normal 7 2 7 5" xfId="21125"/>
    <cellStyle name="Normal 7 2 7 5 2" xfId="37089"/>
    <cellStyle name="Normal 7 2 7 6" xfId="37085"/>
    <cellStyle name="Normal 7 2 8" xfId="21126"/>
    <cellStyle name="Normal 7 2 8 2" xfId="21127"/>
    <cellStyle name="Normal 7 2 8 2 2" xfId="37091"/>
    <cellStyle name="Normal 7 2 8 3" xfId="21128"/>
    <cellStyle name="Normal 7 2 8 3 2" xfId="37092"/>
    <cellStyle name="Normal 7 2 8 4" xfId="21129"/>
    <cellStyle name="Normal 7 2 8 4 2" xfId="37093"/>
    <cellStyle name="Normal 7 2 8 5" xfId="21130"/>
    <cellStyle name="Normal 7 2 8 5 2" xfId="37094"/>
    <cellStyle name="Normal 7 2 8 6" xfId="37090"/>
    <cellStyle name="Normal 7 2 9" xfId="21131"/>
    <cellStyle name="Normal 7 2 9 2" xfId="21132"/>
    <cellStyle name="Normal 7 2 9 2 2" xfId="37096"/>
    <cellStyle name="Normal 7 2 9 3" xfId="21133"/>
    <cellStyle name="Normal 7 2 9 3 2" xfId="37097"/>
    <cellStyle name="Normal 7 2 9 4" xfId="21134"/>
    <cellStyle name="Normal 7 2 9 4 2" xfId="37098"/>
    <cellStyle name="Normal 7 2 9 5" xfId="21135"/>
    <cellStyle name="Normal 7 2 9 5 2" xfId="37099"/>
    <cellStyle name="Normal 7 2 9 6" xfId="37095"/>
    <cellStyle name="Normal 7 3" xfId="21136"/>
    <cellStyle name="Normal 7 3 10" xfId="21137"/>
    <cellStyle name="Normal 7 3 10 2" xfId="21138"/>
    <cellStyle name="Normal 7 3 10 2 2" xfId="37101"/>
    <cellStyle name="Normal 7 3 10 3" xfId="21139"/>
    <cellStyle name="Normal 7 3 10 3 2" xfId="37102"/>
    <cellStyle name="Normal 7 3 10 4" xfId="21140"/>
    <cellStyle name="Normal 7 3 10 4 2" xfId="37103"/>
    <cellStyle name="Normal 7 3 10 5" xfId="21141"/>
    <cellStyle name="Normal 7 3 10 5 2" xfId="37104"/>
    <cellStyle name="Normal 7 3 10 6" xfId="37100"/>
    <cellStyle name="Normal 7 3 11" xfId="21142"/>
    <cellStyle name="Normal 7 3 11 2" xfId="21143"/>
    <cellStyle name="Normal 7 3 11 2 2" xfId="37106"/>
    <cellStyle name="Normal 7 3 11 3" xfId="21144"/>
    <cellStyle name="Normal 7 3 11 3 2" xfId="37107"/>
    <cellStyle name="Normal 7 3 11 4" xfId="21145"/>
    <cellStyle name="Normal 7 3 11 4 2" xfId="37108"/>
    <cellStyle name="Normal 7 3 11 5" xfId="21146"/>
    <cellStyle name="Normal 7 3 11 5 2" xfId="37109"/>
    <cellStyle name="Normal 7 3 11 6" xfId="37105"/>
    <cellStyle name="Normal 7 3 12" xfId="21147"/>
    <cellStyle name="Normal 7 3 12 2" xfId="21148"/>
    <cellStyle name="Normal 7 3 12 2 2" xfId="37111"/>
    <cellStyle name="Normal 7 3 12 3" xfId="21149"/>
    <cellStyle name="Normal 7 3 12 3 2" xfId="37112"/>
    <cellStyle name="Normal 7 3 12 4" xfId="21150"/>
    <cellStyle name="Normal 7 3 12 4 2" xfId="37113"/>
    <cellStyle name="Normal 7 3 12 5" xfId="21151"/>
    <cellStyle name="Normal 7 3 12 5 2" xfId="37114"/>
    <cellStyle name="Normal 7 3 12 6" xfId="37110"/>
    <cellStyle name="Normal 7 3 13" xfId="21152"/>
    <cellStyle name="Normal 7 3 13 2" xfId="21153"/>
    <cellStyle name="Normal 7 3 13 2 2" xfId="37116"/>
    <cellStyle name="Normal 7 3 13 3" xfId="21154"/>
    <cellStyle name="Normal 7 3 13 3 2" xfId="37117"/>
    <cellStyle name="Normal 7 3 13 4" xfId="21155"/>
    <cellStyle name="Normal 7 3 13 4 2" xfId="37118"/>
    <cellStyle name="Normal 7 3 13 5" xfId="21156"/>
    <cellStyle name="Normal 7 3 13 5 2" xfId="37119"/>
    <cellStyle name="Normal 7 3 13 6" xfId="37115"/>
    <cellStyle name="Normal 7 3 14" xfId="21157"/>
    <cellStyle name="Normal 7 3 14 2" xfId="21158"/>
    <cellStyle name="Normal 7 3 14 2 2" xfId="37121"/>
    <cellStyle name="Normal 7 3 14 3" xfId="21159"/>
    <cellStyle name="Normal 7 3 14 3 2" xfId="37122"/>
    <cellStyle name="Normal 7 3 14 4" xfId="21160"/>
    <cellStyle name="Normal 7 3 14 4 2" xfId="37123"/>
    <cellStyle name="Normal 7 3 14 5" xfId="21161"/>
    <cellStyle name="Normal 7 3 14 5 2" xfId="37124"/>
    <cellStyle name="Normal 7 3 14 6" xfId="37120"/>
    <cellStyle name="Normal 7 3 15" xfId="21162"/>
    <cellStyle name="Normal 7 3 15 2" xfId="21163"/>
    <cellStyle name="Normal 7 3 15 2 2" xfId="37126"/>
    <cellStyle name="Normal 7 3 15 3" xfId="21164"/>
    <cellStyle name="Normal 7 3 15 3 2" xfId="37127"/>
    <cellStyle name="Normal 7 3 15 4" xfId="21165"/>
    <cellStyle name="Normal 7 3 15 4 2" xfId="37128"/>
    <cellStyle name="Normal 7 3 15 5" xfId="21166"/>
    <cellStyle name="Normal 7 3 15 5 2" xfId="37129"/>
    <cellStyle name="Normal 7 3 15 6" xfId="37125"/>
    <cellStyle name="Normal 7 3 16" xfId="21167"/>
    <cellStyle name="Normal 7 3 16 2" xfId="21168"/>
    <cellStyle name="Normal 7 3 16 2 2" xfId="37131"/>
    <cellStyle name="Normal 7 3 16 3" xfId="21169"/>
    <cellStyle name="Normal 7 3 16 3 2" xfId="37132"/>
    <cellStyle name="Normal 7 3 16 4" xfId="21170"/>
    <cellStyle name="Normal 7 3 16 4 2" xfId="37133"/>
    <cellStyle name="Normal 7 3 16 5" xfId="21171"/>
    <cellStyle name="Normal 7 3 16 5 2" xfId="37134"/>
    <cellStyle name="Normal 7 3 16 6" xfId="37130"/>
    <cellStyle name="Normal 7 3 17" xfId="21172"/>
    <cellStyle name="Normal 7 3 17 2" xfId="21173"/>
    <cellStyle name="Normal 7 3 17 2 2" xfId="37136"/>
    <cellStyle name="Normal 7 3 17 3" xfId="21174"/>
    <cellStyle name="Normal 7 3 17 3 2" xfId="37137"/>
    <cellStyle name="Normal 7 3 17 4" xfId="21175"/>
    <cellStyle name="Normal 7 3 17 4 2" xfId="37138"/>
    <cellStyle name="Normal 7 3 17 5" xfId="21176"/>
    <cellStyle name="Normal 7 3 17 5 2" xfId="37139"/>
    <cellStyle name="Normal 7 3 17 6" xfId="37135"/>
    <cellStyle name="Normal 7 3 18" xfId="21177"/>
    <cellStyle name="Normal 7 3 18 2" xfId="21178"/>
    <cellStyle name="Normal 7 3 18 2 2" xfId="37141"/>
    <cellStyle name="Normal 7 3 18 3" xfId="21179"/>
    <cellStyle name="Normal 7 3 18 3 2" xfId="37142"/>
    <cellStyle name="Normal 7 3 18 4" xfId="21180"/>
    <cellStyle name="Normal 7 3 18 4 2" xfId="37143"/>
    <cellStyle name="Normal 7 3 18 5" xfId="21181"/>
    <cellStyle name="Normal 7 3 18 5 2" xfId="37144"/>
    <cellStyle name="Normal 7 3 18 6" xfId="37140"/>
    <cellStyle name="Normal 7 3 19" xfId="21182"/>
    <cellStyle name="Normal 7 3 19 2" xfId="37145"/>
    <cellStyle name="Normal 7 3 2" xfId="21183"/>
    <cellStyle name="Normal 7 3 2 2" xfId="21184"/>
    <cellStyle name="Normal 7 3 2 3" xfId="21185"/>
    <cellStyle name="Normal 7 3 2 4" xfId="21186"/>
    <cellStyle name="Normal 7 3 2 5" xfId="21187"/>
    <cellStyle name="Normal 7 3 2 6" xfId="21188"/>
    <cellStyle name="Normal 7 3 2 7" xfId="21189"/>
    <cellStyle name="Normal 7 3 2 8" xfId="37146"/>
    <cellStyle name="Normal 7 3 20" xfId="21190"/>
    <cellStyle name="Normal 7 3 20 2" xfId="37147"/>
    <cellStyle name="Normal 7 3 21" xfId="21191"/>
    <cellStyle name="Normal 7 3 21 2" xfId="37148"/>
    <cellStyle name="Normal 7 3 22" xfId="21192"/>
    <cellStyle name="Normal 7 3 22 2" xfId="37149"/>
    <cellStyle name="Normal 7 3 23" xfId="21193"/>
    <cellStyle name="Normal 7 3 23 2" xfId="37150"/>
    <cellStyle name="Normal 7 3 3" xfId="21194"/>
    <cellStyle name="Normal 7 3 4" xfId="21195"/>
    <cellStyle name="Normal 7 3 4 10" xfId="21196"/>
    <cellStyle name="Normal 7 3 4 10 2" xfId="37152"/>
    <cellStyle name="Normal 7 3 4 11" xfId="21197"/>
    <cellStyle name="Normal 7 3 4 11 2" xfId="37153"/>
    <cellStyle name="Normal 7 3 4 12" xfId="37151"/>
    <cellStyle name="Normal 7 3 4 2" xfId="21198"/>
    <cellStyle name="Normal 7 3 4 2 2" xfId="21199"/>
    <cellStyle name="Normal 7 3 4 2 2 2" xfId="37155"/>
    <cellStyle name="Normal 7 3 4 2 3" xfId="21200"/>
    <cellStyle name="Normal 7 3 4 2 3 2" xfId="37156"/>
    <cellStyle name="Normal 7 3 4 2 4" xfId="21201"/>
    <cellStyle name="Normal 7 3 4 2 4 2" xfId="37157"/>
    <cellStyle name="Normal 7 3 4 2 5" xfId="21202"/>
    <cellStyle name="Normal 7 3 4 2 5 2" xfId="37158"/>
    <cellStyle name="Normal 7 3 4 2 6" xfId="37154"/>
    <cellStyle name="Normal 7 3 4 3" xfId="21203"/>
    <cellStyle name="Normal 7 3 4 3 2" xfId="21204"/>
    <cellStyle name="Normal 7 3 4 3 2 2" xfId="37160"/>
    <cellStyle name="Normal 7 3 4 3 3" xfId="21205"/>
    <cellStyle name="Normal 7 3 4 3 3 2" xfId="37161"/>
    <cellStyle name="Normal 7 3 4 3 4" xfId="21206"/>
    <cellStyle name="Normal 7 3 4 3 4 2" xfId="37162"/>
    <cellStyle name="Normal 7 3 4 3 5" xfId="21207"/>
    <cellStyle name="Normal 7 3 4 3 5 2" xfId="37163"/>
    <cellStyle name="Normal 7 3 4 3 6" xfId="37159"/>
    <cellStyle name="Normal 7 3 4 4" xfId="21208"/>
    <cellStyle name="Normal 7 3 4 4 2" xfId="21209"/>
    <cellStyle name="Normal 7 3 4 4 2 2" xfId="37165"/>
    <cellStyle name="Normal 7 3 4 4 3" xfId="21210"/>
    <cellStyle name="Normal 7 3 4 4 3 2" xfId="37166"/>
    <cellStyle name="Normal 7 3 4 4 4" xfId="21211"/>
    <cellStyle name="Normal 7 3 4 4 4 2" xfId="37167"/>
    <cellStyle name="Normal 7 3 4 4 5" xfId="21212"/>
    <cellStyle name="Normal 7 3 4 4 5 2" xfId="37168"/>
    <cellStyle name="Normal 7 3 4 4 6" xfId="37164"/>
    <cellStyle name="Normal 7 3 4 5" xfId="21213"/>
    <cellStyle name="Normal 7 3 4 5 2" xfId="21214"/>
    <cellStyle name="Normal 7 3 4 5 2 2" xfId="37170"/>
    <cellStyle name="Normal 7 3 4 5 3" xfId="21215"/>
    <cellStyle name="Normal 7 3 4 5 3 2" xfId="37171"/>
    <cellStyle name="Normal 7 3 4 5 4" xfId="21216"/>
    <cellStyle name="Normal 7 3 4 5 4 2" xfId="37172"/>
    <cellStyle name="Normal 7 3 4 5 5" xfId="21217"/>
    <cellStyle name="Normal 7 3 4 5 5 2" xfId="37173"/>
    <cellStyle name="Normal 7 3 4 5 6" xfId="37169"/>
    <cellStyle name="Normal 7 3 4 6" xfId="21218"/>
    <cellStyle name="Normal 7 3 4 6 2" xfId="21219"/>
    <cellStyle name="Normal 7 3 4 6 2 2" xfId="37175"/>
    <cellStyle name="Normal 7 3 4 6 3" xfId="21220"/>
    <cellStyle name="Normal 7 3 4 6 3 2" xfId="37176"/>
    <cellStyle name="Normal 7 3 4 6 4" xfId="21221"/>
    <cellStyle name="Normal 7 3 4 6 4 2" xfId="37177"/>
    <cellStyle name="Normal 7 3 4 6 5" xfId="21222"/>
    <cellStyle name="Normal 7 3 4 6 5 2" xfId="37178"/>
    <cellStyle name="Normal 7 3 4 6 6" xfId="37174"/>
    <cellStyle name="Normal 7 3 4 7" xfId="21223"/>
    <cellStyle name="Normal 7 3 4 7 2" xfId="21224"/>
    <cellStyle name="Normal 7 3 4 7 2 2" xfId="37180"/>
    <cellStyle name="Normal 7 3 4 7 3" xfId="21225"/>
    <cellStyle name="Normal 7 3 4 7 3 2" xfId="37181"/>
    <cellStyle name="Normal 7 3 4 7 4" xfId="21226"/>
    <cellStyle name="Normal 7 3 4 7 4 2" xfId="37182"/>
    <cellStyle name="Normal 7 3 4 7 5" xfId="21227"/>
    <cellStyle name="Normal 7 3 4 7 5 2" xfId="37183"/>
    <cellStyle name="Normal 7 3 4 7 6" xfId="37179"/>
    <cellStyle name="Normal 7 3 4 8" xfId="21228"/>
    <cellStyle name="Normal 7 3 4 8 2" xfId="37184"/>
    <cellStyle name="Normal 7 3 4 9" xfId="21229"/>
    <cellStyle name="Normal 7 3 4 9 2" xfId="37185"/>
    <cellStyle name="Normal 7 3 5" xfId="21230"/>
    <cellStyle name="Normal 7 3 5 2" xfId="21231"/>
    <cellStyle name="Normal 7 3 5 2 2" xfId="21232"/>
    <cellStyle name="Normal 7 3 5 2 2 2" xfId="37188"/>
    <cellStyle name="Normal 7 3 5 2 3" xfId="21233"/>
    <cellStyle name="Normal 7 3 5 2 3 2" xfId="37189"/>
    <cellStyle name="Normal 7 3 5 2 4" xfId="21234"/>
    <cellStyle name="Normal 7 3 5 2 4 2" xfId="37190"/>
    <cellStyle name="Normal 7 3 5 2 5" xfId="21235"/>
    <cellStyle name="Normal 7 3 5 2 5 2" xfId="37191"/>
    <cellStyle name="Normal 7 3 5 2 6" xfId="37187"/>
    <cellStyle name="Normal 7 3 5 3" xfId="21236"/>
    <cellStyle name="Normal 7 3 5 3 2" xfId="37192"/>
    <cellStyle name="Normal 7 3 5 4" xfId="21237"/>
    <cellStyle name="Normal 7 3 5 4 2" xfId="37193"/>
    <cellStyle name="Normal 7 3 5 5" xfId="21238"/>
    <cellStyle name="Normal 7 3 5 5 2" xfId="37194"/>
    <cellStyle name="Normal 7 3 5 6" xfId="21239"/>
    <cellStyle name="Normal 7 3 5 6 2" xfId="37195"/>
    <cellStyle name="Normal 7 3 5 7" xfId="37186"/>
    <cellStyle name="Normal 7 3 6" xfId="21240"/>
    <cellStyle name="Normal 7 3 6 2" xfId="21241"/>
    <cellStyle name="Normal 7 3 6 2 2" xfId="21242"/>
    <cellStyle name="Normal 7 3 6 2 2 2" xfId="37198"/>
    <cellStyle name="Normal 7 3 6 2 3" xfId="21243"/>
    <cellStyle name="Normal 7 3 6 2 3 2" xfId="37199"/>
    <cellStyle name="Normal 7 3 6 2 4" xfId="21244"/>
    <cellStyle name="Normal 7 3 6 2 4 2" xfId="37200"/>
    <cellStyle name="Normal 7 3 6 2 5" xfId="21245"/>
    <cellStyle name="Normal 7 3 6 2 5 2" xfId="37201"/>
    <cellStyle name="Normal 7 3 6 2 6" xfId="37197"/>
    <cellStyle name="Normal 7 3 6 3" xfId="21246"/>
    <cellStyle name="Normal 7 3 6 3 2" xfId="37202"/>
    <cellStyle name="Normal 7 3 6 4" xfId="21247"/>
    <cellStyle name="Normal 7 3 6 4 2" xfId="37203"/>
    <cellStyle name="Normal 7 3 6 5" xfId="21248"/>
    <cellStyle name="Normal 7 3 6 5 2" xfId="37204"/>
    <cellStyle name="Normal 7 3 6 6" xfId="21249"/>
    <cellStyle name="Normal 7 3 6 6 2" xfId="37205"/>
    <cellStyle name="Normal 7 3 6 7" xfId="37196"/>
    <cellStyle name="Normal 7 3 7" xfId="21250"/>
    <cellStyle name="Normal 7 3 7 2" xfId="21251"/>
    <cellStyle name="Normal 7 3 7 2 2" xfId="37207"/>
    <cellStyle name="Normal 7 3 7 3" xfId="21252"/>
    <cellStyle name="Normal 7 3 7 3 2" xfId="37208"/>
    <cellStyle name="Normal 7 3 7 4" xfId="21253"/>
    <cellStyle name="Normal 7 3 7 4 2" xfId="37209"/>
    <cellStyle name="Normal 7 3 7 5" xfId="21254"/>
    <cellStyle name="Normal 7 3 7 5 2" xfId="37210"/>
    <cellStyle name="Normal 7 3 7 6" xfId="37206"/>
    <cellStyle name="Normal 7 3 8" xfId="21255"/>
    <cellStyle name="Normal 7 3 8 2" xfId="21256"/>
    <cellStyle name="Normal 7 3 8 2 2" xfId="37212"/>
    <cellStyle name="Normal 7 3 8 3" xfId="21257"/>
    <cellStyle name="Normal 7 3 8 3 2" xfId="37213"/>
    <cellStyle name="Normal 7 3 8 4" xfId="21258"/>
    <cellStyle name="Normal 7 3 8 4 2" xfId="37214"/>
    <cellStyle name="Normal 7 3 8 5" xfId="21259"/>
    <cellStyle name="Normal 7 3 8 5 2" xfId="37215"/>
    <cellStyle name="Normal 7 3 8 6" xfId="37211"/>
    <cellStyle name="Normal 7 3 9" xfId="21260"/>
    <cellStyle name="Normal 7 3 9 2" xfId="21261"/>
    <cellStyle name="Normal 7 3 9 2 2" xfId="37217"/>
    <cellStyle name="Normal 7 3 9 3" xfId="21262"/>
    <cellStyle name="Normal 7 3 9 3 2" xfId="37218"/>
    <cellStyle name="Normal 7 3 9 4" xfId="21263"/>
    <cellStyle name="Normal 7 3 9 4 2" xfId="37219"/>
    <cellStyle name="Normal 7 3 9 5" xfId="21264"/>
    <cellStyle name="Normal 7 3 9 5 2" xfId="37220"/>
    <cellStyle name="Normal 7 3 9 6" xfId="37216"/>
    <cellStyle name="Normal 7 4" xfId="21265"/>
    <cellStyle name="Normal 7 5" xfId="21266"/>
    <cellStyle name="Normal 7 5 2" xfId="21267"/>
    <cellStyle name="Normal 7 5 3" xfId="21268"/>
    <cellStyle name="Normal 7 5 4" xfId="21269"/>
    <cellStyle name="Normal 7 5 5" xfId="21270"/>
    <cellStyle name="Normal 7 5 6" xfId="21271"/>
    <cellStyle name="Normal 7 5 7" xfId="21272"/>
    <cellStyle name="Normal 7 6" xfId="21273"/>
    <cellStyle name="Normal 7 7" xfId="21274"/>
    <cellStyle name="Normal 7 8" xfId="21275"/>
    <cellStyle name="Normal 7 9" xfId="21276"/>
    <cellStyle name="Normal 8" xfId="21277"/>
    <cellStyle name="Normal 8 10" xfId="21278"/>
    <cellStyle name="Normal 8 10 2" xfId="40785"/>
    <cellStyle name="Normal 8 11" xfId="21279"/>
    <cellStyle name="Normal 8 11 10" xfId="21280"/>
    <cellStyle name="Normal 8 11 10 2" xfId="21281"/>
    <cellStyle name="Normal 8 11 10 2 2" xfId="37223"/>
    <cellStyle name="Normal 8 11 10 3" xfId="21282"/>
    <cellStyle name="Normal 8 11 10 3 2" xfId="37224"/>
    <cellStyle name="Normal 8 11 10 4" xfId="21283"/>
    <cellStyle name="Normal 8 11 10 4 2" xfId="37225"/>
    <cellStyle name="Normal 8 11 10 5" xfId="21284"/>
    <cellStyle name="Normal 8 11 10 5 2" xfId="37226"/>
    <cellStyle name="Normal 8 11 10 6" xfId="37222"/>
    <cellStyle name="Normal 8 11 11" xfId="21285"/>
    <cellStyle name="Normal 8 11 11 2" xfId="21286"/>
    <cellStyle name="Normal 8 11 11 2 2" xfId="37228"/>
    <cellStyle name="Normal 8 11 11 3" xfId="21287"/>
    <cellStyle name="Normal 8 11 11 3 2" xfId="37229"/>
    <cellStyle name="Normal 8 11 11 4" xfId="21288"/>
    <cellStyle name="Normal 8 11 11 4 2" xfId="37230"/>
    <cellStyle name="Normal 8 11 11 5" xfId="21289"/>
    <cellStyle name="Normal 8 11 11 5 2" xfId="37231"/>
    <cellStyle name="Normal 8 11 11 6" xfId="37227"/>
    <cellStyle name="Normal 8 11 12" xfId="21290"/>
    <cellStyle name="Normal 8 11 12 2" xfId="21291"/>
    <cellStyle name="Normal 8 11 12 2 2" xfId="37233"/>
    <cellStyle name="Normal 8 11 12 3" xfId="21292"/>
    <cellStyle name="Normal 8 11 12 3 2" xfId="37234"/>
    <cellStyle name="Normal 8 11 12 4" xfId="21293"/>
    <cellStyle name="Normal 8 11 12 4 2" xfId="37235"/>
    <cellStyle name="Normal 8 11 12 5" xfId="21294"/>
    <cellStyle name="Normal 8 11 12 5 2" xfId="37236"/>
    <cellStyle name="Normal 8 11 12 6" xfId="37232"/>
    <cellStyle name="Normal 8 11 13" xfId="21295"/>
    <cellStyle name="Normal 8 11 13 2" xfId="21296"/>
    <cellStyle name="Normal 8 11 13 2 2" xfId="37238"/>
    <cellStyle name="Normal 8 11 13 3" xfId="21297"/>
    <cellStyle name="Normal 8 11 13 3 2" xfId="37239"/>
    <cellStyle name="Normal 8 11 13 4" xfId="21298"/>
    <cellStyle name="Normal 8 11 13 4 2" xfId="37240"/>
    <cellStyle name="Normal 8 11 13 5" xfId="21299"/>
    <cellStyle name="Normal 8 11 13 5 2" xfId="37241"/>
    <cellStyle name="Normal 8 11 13 6" xfId="37237"/>
    <cellStyle name="Normal 8 11 14" xfId="21300"/>
    <cellStyle name="Normal 8 11 14 2" xfId="21301"/>
    <cellStyle name="Normal 8 11 14 2 2" xfId="37243"/>
    <cellStyle name="Normal 8 11 14 3" xfId="21302"/>
    <cellStyle name="Normal 8 11 14 3 2" xfId="37244"/>
    <cellStyle name="Normal 8 11 14 4" xfId="21303"/>
    <cellStyle name="Normal 8 11 14 4 2" xfId="37245"/>
    <cellStyle name="Normal 8 11 14 5" xfId="21304"/>
    <cellStyle name="Normal 8 11 14 5 2" xfId="37246"/>
    <cellStyle name="Normal 8 11 14 6" xfId="37242"/>
    <cellStyle name="Normal 8 11 15" xfId="21305"/>
    <cellStyle name="Normal 8 11 15 2" xfId="21306"/>
    <cellStyle name="Normal 8 11 15 2 2" xfId="37248"/>
    <cellStyle name="Normal 8 11 15 3" xfId="21307"/>
    <cellStyle name="Normal 8 11 15 3 2" xfId="37249"/>
    <cellStyle name="Normal 8 11 15 4" xfId="21308"/>
    <cellStyle name="Normal 8 11 15 4 2" xfId="37250"/>
    <cellStyle name="Normal 8 11 15 5" xfId="21309"/>
    <cellStyle name="Normal 8 11 15 5 2" xfId="37251"/>
    <cellStyle name="Normal 8 11 15 6" xfId="37247"/>
    <cellStyle name="Normal 8 11 16" xfId="21310"/>
    <cellStyle name="Normal 8 11 16 2" xfId="21311"/>
    <cellStyle name="Normal 8 11 16 2 2" xfId="37253"/>
    <cellStyle name="Normal 8 11 16 3" xfId="21312"/>
    <cellStyle name="Normal 8 11 16 3 2" xfId="37254"/>
    <cellStyle name="Normal 8 11 16 4" xfId="21313"/>
    <cellStyle name="Normal 8 11 16 4 2" xfId="37255"/>
    <cellStyle name="Normal 8 11 16 5" xfId="21314"/>
    <cellStyle name="Normal 8 11 16 5 2" xfId="37256"/>
    <cellStyle name="Normal 8 11 16 6" xfId="37252"/>
    <cellStyle name="Normal 8 11 17" xfId="21315"/>
    <cellStyle name="Normal 8 11 18" xfId="21316"/>
    <cellStyle name="Normal 8 11 19" xfId="21317"/>
    <cellStyle name="Normal 8 11 2" xfId="21318"/>
    <cellStyle name="Normal 8 11 2 2" xfId="21319"/>
    <cellStyle name="Normal 8 11 2 3" xfId="21320"/>
    <cellStyle name="Normal 8 11 2 4" xfId="21321"/>
    <cellStyle name="Normal 8 11 2 5" xfId="21322"/>
    <cellStyle name="Normal 8 11 2 6" xfId="21323"/>
    <cellStyle name="Normal 8 11 2 7" xfId="21324"/>
    <cellStyle name="Normal 8 11 20" xfId="21325"/>
    <cellStyle name="Normal 8 11 21" xfId="21326"/>
    <cellStyle name="Normal 8 11 22" xfId="37221"/>
    <cellStyle name="Normal 8 11 3" xfId="21327"/>
    <cellStyle name="Normal 8 11 3 2" xfId="21328"/>
    <cellStyle name="Normal 8 11 3 2 2" xfId="37258"/>
    <cellStyle name="Normal 8 11 3 3" xfId="21329"/>
    <cellStyle name="Normal 8 11 3 3 2" xfId="37259"/>
    <cellStyle name="Normal 8 11 3 4" xfId="21330"/>
    <cellStyle name="Normal 8 11 3 4 2" xfId="37260"/>
    <cellStyle name="Normal 8 11 3 5" xfId="21331"/>
    <cellStyle name="Normal 8 11 3 5 2" xfId="37261"/>
    <cellStyle name="Normal 8 11 3 6" xfId="37257"/>
    <cellStyle name="Normal 8 11 4" xfId="21332"/>
    <cellStyle name="Normal 8 11 4 2" xfId="21333"/>
    <cellStyle name="Normal 8 11 4 2 2" xfId="37263"/>
    <cellStyle name="Normal 8 11 4 3" xfId="21334"/>
    <cellStyle name="Normal 8 11 4 3 2" xfId="37264"/>
    <cellStyle name="Normal 8 11 4 4" xfId="21335"/>
    <cellStyle name="Normal 8 11 4 4 2" xfId="37265"/>
    <cellStyle name="Normal 8 11 4 5" xfId="21336"/>
    <cellStyle name="Normal 8 11 4 5 2" xfId="37266"/>
    <cellStyle name="Normal 8 11 4 6" xfId="37262"/>
    <cellStyle name="Normal 8 11 5" xfId="21337"/>
    <cellStyle name="Normal 8 11 5 2" xfId="21338"/>
    <cellStyle name="Normal 8 11 5 2 2" xfId="37268"/>
    <cellStyle name="Normal 8 11 5 3" xfId="21339"/>
    <cellStyle name="Normal 8 11 5 3 2" xfId="37269"/>
    <cellStyle name="Normal 8 11 5 4" xfId="21340"/>
    <cellStyle name="Normal 8 11 5 4 2" xfId="37270"/>
    <cellStyle name="Normal 8 11 5 5" xfId="21341"/>
    <cellStyle name="Normal 8 11 5 5 2" xfId="37271"/>
    <cellStyle name="Normal 8 11 5 6" xfId="37267"/>
    <cellStyle name="Normal 8 11 6" xfId="21342"/>
    <cellStyle name="Normal 8 11 6 2" xfId="21343"/>
    <cellStyle name="Normal 8 11 6 2 2" xfId="37273"/>
    <cellStyle name="Normal 8 11 6 3" xfId="21344"/>
    <cellStyle name="Normal 8 11 6 3 2" xfId="37274"/>
    <cellStyle name="Normal 8 11 6 4" xfId="21345"/>
    <cellStyle name="Normal 8 11 6 4 2" xfId="37275"/>
    <cellStyle name="Normal 8 11 6 5" xfId="21346"/>
    <cellStyle name="Normal 8 11 6 5 2" xfId="37276"/>
    <cellStyle name="Normal 8 11 6 6" xfId="37272"/>
    <cellStyle name="Normal 8 11 7" xfId="21347"/>
    <cellStyle name="Normal 8 11 7 2" xfId="21348"/>
    <cellStyle name="Normal 8 11 7 2 2" xfId="37278"/>
    <cellStyle name="Normal 8 11 7 3" xfId="21349"/>
    <cellStyle name="Normal 8 11 7 3 2" xfId="37279"/>
    <cellStyle name="Normal 8 11 7 4" xfId="21350"/>
    <cellStyle name="Normal 8 11 7 4 2" xfId="37280"/>
    <cellStyle name="Normal 8 11 7 5" xfId="21351"/>
    <cellStyle name="Normal 8 11 7 5 2" xfId="37281"/>
    <cellStyle name="Normal 8 11 7 6" xfId="37277"/>
    <cellStyle name="Normal 8 11 8" xfId="21352"/>
    <cellStyle name="Normal 8 11 8 2" xfId="21353"/>
    <cellStyle name="Normal 8 11 8 2 2" xfId="37283"/>
    <cellStyle name="Normal 8 11 8 3" xfId="21354"/>
    <cellStyle name="Normal 8 11 8 3 2" xfId="37284"/>
    <cellStyle name="Normal 8 11 8 4" xfId="21355"/>
    <cellStyle name="Normal 8 11 8 4 2" xfId="37285"/>
    <cellStyle name="Normal 8 11 8 5" xfId="21356"/>
    <cellStyle name="Normal 8 11 8 5 2" xfId="37286"/>
    <cellStyle name="Normal 8 11 8 6" xfId="37282"/>
    <cellStyle name="Normal 8 11 9" xfId="21357"/>
    <cellStyle name="Normal 8 11 9 2" xfId="21358"/>
    <cellStyle name="Normal 8 11 9 2 2" xfId="37288"/>
    <cellStyle name="Normal 8 11 9 3" xfId="21359"/>
    <cellStyle name="Normal 8 11 9 3 2" xfId="37289"/>
    <cellStyle name="Normal 8 11 9 4" xfId="21360"/>
    <cellStyle name="Normal 8 11 9 4 2" xfId="37290"/>
    <cellStyle name="Normal 8 11 9 5" xfId="21361"/>
    <cellStyle name="Normal 8 11 9 5 2" xfId="37291"/>
    <cellStyle name="Normal 8 11 9 6" xfId="37287"/>
    <cellStyle name="Normal 8 12" xfId="21362"/>
    <cellStyle name="Normal 8 12 2" xfId="21363"/>
    <cellStyle name="Normal 8 13" xfId="21364"/>
    <cellStyle name="Normal 8 13 2" xfId="21365"/>
    <cellStyle name="Normal 8 14" xfId="21366"/>
    <cellStyle name="Normal 8 14 2" xfId="21367"/>
    <cellStyle name="Normal 8 15" xfId="21368"/>
    <cellStyle name="Normal 8 15 2" xfId="21369"/>
    <cellStyle name="Normal 8 15 2 2" xfId="21370"/>
    <cellStyle name="Normal 8 15 2 2 2" xfId="37294"/>
    <cellStyle name="Normal 8 15 2 3" xfId="21371"/>
    <cellStyle name="Normal 8 15 2 3 2" xfId="37295"/>
    <cellStyle name="Normal 8 15 2 4" xfId="21372"/>
    <cellStyle name="Normal 8 15 2 4 2" xfId="37296"/>
    <cellStyle name="Normal 8 15 2 5" xfId="21373"/>
    <cellStyle name="Normal 8 15 2 5 2" xfId="37297"/>
    <cellStyle name="Normal 8 15 2 6" xfId="37293"/>
    <cellStyle name="Normal 8 15 3" xfId="21374"/>
    <cellStyle name="Normal 8 15 3 2" xfId="37298"/>
    <cellStyle name="Normal 8 15 4" xfId="21375"/>
    <cellStyle name="Normal 8 15 4 2" xfId="37299"/>
    <cellStyle name="Normal 8 15 5" xfId="21376"/>
    <cellStyle name="Normal 8 15 5 2" xfId="37300"/>
    <cellStyle name="Normal 8 15 6" xfId="21377"/>
    <cellStyle name="Normal 8 15 6 2" xfId="37301"/>
    <cellStyle name="Normal 8 15 7" xfId="37292"/>
    <cellStyle name="Normal 8 16" xfId="21378"/>
    <cellStyle name="Normal 8 16 2" xfId="21379"/>
    <cellStyle name="Normal 8 16 2 2" xfId="21380"/>
    <cellStyle name="Normal 8 16 2 2 2" xfId="37304"/>
    <cellStyle name="Normal 8 16 2 3" xfId="21381"/>
    <cellStyle name="Normal 8 16 2 3 2" xfId="37305"/>
    <cellStyle name="Normal 8 16 2 4" xfId="21382"/>
    <cellStyle name="Normal 8 16 2 4 2" xfId="37306"/>
    <cellStyle name="Normal 8 16 2 5" xfId="21383"/>
    <cellStyle name="Normal 8 16 2 5 2" xfId="37307"/>
    <cellStyle name="Normal 8 16 2 6" xfId="37303"/>
    <cellStyle name="Normal 8 16 3" xfId="21384"/>
    <cellStyle name="Normal 8 16 3 2" xfId="37308"/>
    <cellStyle name="Normal 8 16 4" xfId="21385"/>
    <cellStyle name="Normal 8 16 4 2" xfId="37309"/>
    <cellStyle name="Normal 8 16 5" xfId="21386"/>
    <cellStyle name="Normal 8 16 5 2" xfId="37310"/>
    <cellStyle name="Normal 8 16 6" xfId="21387"/>
    <cellStyle name="Normal 8 16 6 2" xfId="37311"/>
    <cellStyle name="Normal 8 16 7" xfId="37302"/>
    <cellStyle name="Normal 8 17" xfId="21388"/>
    <cellStyle name="Normal 8 17 2" xfId="21389"/>
    <cellStyle name="Normal 8 17 2 2" xfId="21390"/>
    <cellStyle name="Normal 8 17 2 2 2" xfId="37314"/>
    <cellStyle name="Normal 8 17 2 3" xfId="21391"/>
    <cellStyle name="Normal 8 17 2 3 2" xfId="37315"/>
    <cellStyle name="Normal 8 17 2 4" xfId="21392"/>
    <cellStyle name="Normal 8 17 2 4 2" xfId="37316"/>
    <cellStyle name="Normal 8 17 2 5" xfId="21393"/>
    <cellStyle name="Normal 8 17 2 5 2" xfId="37317"/>
    <cellStyle name="Normal 8 17 2 6" xfId="37313"/>
    <cellStyle name="Normal 8 17 3" xfId="21394"/>
    <cellStyle name="Normal 8 17 3 2" xfId="37318"/>
    <cellStyle name="Normal 8 17 4" xfId="21395"/>
    <cellStyle name="Normal 8 17 4 2" xfId="37319"/>
    <cellStyle name="Normal 8 17 5" xfId="21396"/>
    <cellStyle name="Normal 8 17 5 2" xfId="37320"/>
    <cellStyle name="Normal 8 17 6" xfId="21397"/>
    <cellStyle name="Normal 8 17 6 2" xfId="37321"/>
    <cellStyle name="Normal 8 17 7" xfId="37312"/>
    <cellStyle name="Normal 8 18" xfId="21398"/>
    <cellStyle name="Normal 8 18 2" xfId="21399"/>
    <cellStyle name="Normal 8 18 2 2" xfId="37323"/>
    <cellStyle name="Normal 8 18 3" xfId="21400"/>
    <cellStyle name="Normal 8 18 3 2" xfId="37324"/>
    <cellStyle name="Normal 8 18 4" xfId="21401"/>
    <cellStyle name="Normal 8 18 4 2" xfId="37325"/>
    <cellStyle name="Normal 8 18 5" xfId="21402"/>
    <cellStyle name="Normal 8 18 5 2" xfId="37326"/>
    <cellStyle name="Normal 8 18 6" xfId="37322"/>
    <cellStyle name="Normal 8 19" xfId="21403"/>
    <cellStyle name="Normal 8 19 2" xfId="21404"/>
    <cellStyle name="Normal 8 19 2 2" xfId="37328"/>
    <cellStyle name="Normal 8 19 3" xfId="21405"/>
    <cellStyle name="Normal 8 19 3 2" xfId="37329"/>
    <cellStyle name="Normal 8 19 4" xfId="21406"/>
    <cellStyle name="Normal 8 19 4 2" xfId="37330"/>
    <cellStyle name="Normal 8 19 5" xfId="21407"/>
    <cellStyle name="Normal 8 19 5 2" xfId="37331"/>
    <cellStyle name="Normal 8 19 6" xfId="37327"/>
    <cellStyle name="Normal 8 2" xfId="21408"/>
    <cellStyle name="Normal 8 2 10" xfId="21409"/>
    <cellStyle name="Normal 8 2 11" xfId="21410"/>
    <cellStyle name="Normal 8 2 12" xfId="21411"/>
    <cellStyle name="Normal 8 2 13" xfId="21412"/>
    <cellStyle name="Normal 8 2 14" xfId="21413"/>
    <cellStyle name="Normal 8 2 15" xfId="21414"/>
    <cellStyle name="Normal 8 2 16" xfId="21415"/>
    <cellStyle name="Normal 8 2 2" xfId="21416"/>
    <cellStyle name="Normal 8 2 2 10" xfId="21417"/>
    <cellStyle name="Normal 8 2 2 11" xfId="21418"/>
    <cellStyle name="Normal 8 2 2 12" xfId="21419"/>
    <cellStyle name="Normal 8 2 2 13" xfId="21420"/>
    <cellStyle name="Normal 8 2 2 14" xfId="21421"/>
    <cellStyle name="Normal 8 2 2 15" xfId="21422"/>
    <cellStyle name="Normal 8 2 2 16" xfId="21423"/>
    <cellStyle name="Normal 8 2 2 17" xfId="40786"/>
    <cellStyle name="Normal 8 2 2 2" xfId="21424"/>
    <cellStyle name="Normal 8 2 2 3" xfId="21425"/>
    <cellStyle name="Normal 8 2 2 4" xfId="21426"/>
    <cellStyle name="Normal 8 2 2 5" xfId="21427"/>
    <cellStyle name="Normal 8 2 2 6" xfId="21428"/>
    <cellStyle name="Normal 8 2 2 7" xfId="21429"/>
    <cellStyle name="Normal 8 2 2 8" xfId="21430"/>
    <cellStyle name="Normal 8 2 2 9" xfId="21431"/>
    <cellStyle name="Normal 8 2 3" xfId="21432"/>
    <cellStyle name="Normal 8 2 3 2" xfId="21433"/>
    <cellStyle name="Normal 8 2 3 3" xfId="40787"/>
    <cellStyle name="Normal 8 2 4" xfId="21434"/>
    <cellStyle name="Normal 8 2 4 2" xfId="21435"/>
    <cellStyle name="Normal 8 2 4 3" xfId="40788"/>
    <cellStyle name="Normal 8 2 5" xfId="21436"/>
    <cellStyle name="Normal 8 2 5 2" xfId="21437"/>
    <cellStyle name="Normal 8 2 6" xfId="21438"/>
    <cellStyle name="Normal 8 2 6 2" xfId="21439"/>
    <cellStyle name="Normal 8 2 7" xfId="21440"/>
    <cellStyle name="Normal 8 2 8" xfId="21441"/>
    <cellStyle name="Normal 8 2 9" xfId="21442"/>
    <cellStyle name="Normal 8 20" xfId="21443"/>
    <cellStyle name="Normal 8 20 2" xfId="21444"/>
    <cellStyle name="Normal 8 20 2 2" xfId="37333"/>
    <cellStyle name="Normal 8 20 3" xfId="21445"/>
    <cellStyle name="Normal 8 20 3 2" xfId="37334"/>
    <cellStyle name="Normal 8 20 4" xfId="21446"/>
    <cellStyle name="Normal 8 20 4 2" xfId="37335"/>
    <cellStyle name="Normal 8 20 5" xfId="21447"/>
    <cellStyle name="Normal 8 20 5 2" xfId="37336"/>
    <cellStyle name="Normal 8 20 6" xfId="37332"/>
    <cellStyle name="Normal 8 21" xfId="21448"/>
    <cellStyle name="Normal 8 21 2" xfId="21449"/>
    <cellStyle name="Normal 8 21 2 2" xfId="37338"/>
    <cellStyle name="Normal 8 21 3" xfId="21450"/>
    <cellStyle name="Normal 8 21 3 2" xfId="37339"/>
    <cellStyle name="Normal 8 21 4" xfId="21451"/>
    <cellStyle name="Normal 8 21 4 2" xfId="37340"/>
    <cellStyle name="Normal 8 21 5" xfId="21452"/>
    <cellStyle name="Normal 8 21 5 2" xfId="37341"/>
    <cellStyle name="Normal 8 21 6" xfId="37337"/>
    <cellStyle name="Normal 8 22" xfId="21453"/>
    <cellStyle name="Normal 8 22 2" xfId="21454"/>
    <cellStyle name="Normal 8 22 2 2" xfId="37343"/>
    <cellStyle name="Normal 8 22 3" xfId="21455"/>
    <cellStyle name="Normal 8 22 3 2" xfId="37344"/>
    <cellStyle name="Normal 8 22 4" xfId="21456"/>
    <cellStyle name="Normal 8 22 4 2" xfId="37345"/>
    <cellStyle name="Normal 8 22 5" xfId="21457"/>
    <cellStyle name="Normal 8 22 5 2" xfId="37346"/>
    <cellStyle name="Normal 8 22 6" xfId="37342"/>
    <cellStyle name="Normal 8 23" xfId="21458"/>
    <cellStyle name="Normal 8 23 2" xfId="21459"/>
    <cellStyle name="Normal 8 23 2 2" xfId="37348"/>
    <cellStyle name="Normal 8 23 3" xfId="21460"/>
    <cellStyle name="Normal 8 23 3 2" xfId="37349"/>
    <cellStyle name="Normal 8 23 4" xfId="21461"/>
    <cellStyle name="Normal 8 23 4 2" xfId="37350"/>
    <cellStyle name="Normal 8 23 5" xfId="21462"/>
    <cellStyle name="Normal 8 23 5 2" xfId="37351"/>
    <cellStyle name="Normal 8 23 6" xfId="37347"/>
    <cellStyle name="Normal 8 24" xfId="21463"/>
    <cellStyle name="Normal 8 24 2" xfId="21464"/>
    <cellStyle name="Normal 8 24 2 2" xfId="37353"/>
    <cellStyle name="Normal 8 24 3" xfId="21465"/>
    <cellStyle name="Normal 8 24 3 2" xfId="37354"/>
    <cellStyle name="Normal 8 24 4" xfId="21466"/>
    <cellStyle name="Normal 8 24 4 2" xfId="37355"/>
    <cellStyle name="Normal 8 24 5" xfId="21467"/>
    <cellStyle name="Normal 8 24 5 2" xfId="37356"/>
    <cellStyle name="Normal 8 24 6" xfId="37352"/>
    <cellStyle name="Normal 8 25" xfId="21468"/>
    <cellStyle name="Normal 8 25 2" xfId="21469"/>
    <cellStyle name="Normal 8 25 2 2" xfId="37358"/>
    <cellStyle name="Normal 8 25 3" xfId="21470"/>
    <cellStyle name="Normal 8 25 3 2" xfId="37359"/>
    <cellStyle name="Normal 8 25 4" xfId="21471"/>
    <cellStyle name="Normal 8 25 4 2" xfId="37360"/>
    <cellStyle name="Normal 8 25 5" xfId="21472"/>
    <cellStyle name="Normal 8 25 5 2" xfId="37361"/>
    <cellStyle name="Normal 8 25 6" xfId="37357"/>
    <cellStyle name="Normal 8 26" xfId="21473"/>
    <cellStyle name="Normal 8 26 2" xfId="21474"/>
    <cellStyle name="Normal 8 26 2 2" xfId="37363"/>
    <cellStyle name="Normal 8 26 3" xfId="21475"/>
    <cellStyle name="Normal 8 26 3 2" xfId="37364"/>
    <cellStyle name="Normal 8 26 4" xfId="21476"/>
    <cellStyle name="Normal 8 26 4 2" xfId="37365"/>
    <cellStyle name="Normal 8 26 5" xfId="21477"/>
    <cellStyle name="Normal 8 26 5 2" xfId="37366"/>
    <cellStyle name="Normal 8 26 6" xfId="37362"/>
    <cellStyle name="Normal 8 27" xfId="21478"/>
    <cellStyle name="Normal 8 27 2" xfId="21479"/>
    <cellStyle name="Normal 8 27 2 2" xfId="37368"/>
    <cellStyle name="Normal 8 27 3" xfId="21480"/>
    <cellStyle name="Normal 8 27 3 2" xfId="37369"/>
    <cellStyle name="Normal 8 27 4" xfId="21481"/>
    <cellStyle name="Normal 8 27 4 2" xfId="37370"/>
    <cellStyle name="Normal 8 27 5" xfId="21482"/>
    <cellStyle name="Normal 8 27 5 2" xfId="37371"/>
    <cellStyle name="Normal 8 27 6" xfId="37367"/>
    <cellStyle name="Normal 8 28" xfId="21483"/>
    <cellStyle name="Normal 8 28 2" xfId="21484"/>
    <cellStyle name="Normal 8 28 2 2" xfId="37373"/>
    <cellStyle name="Normal 8 28 3" xfId="21485"/>
    <cellStyle name="Normal 8 28 3 2" xfId="37374"/>
    <cellStyle name="Normal 8 28 4" xfId="21486"/>
    <cellStyle name="Normal 8 28 4 2" xfId="37375"/>
    <cellStyle name="Normal 8 28 5" xfId="21487"/>
    <cellStyle name="Normal 8 28 5 2" xfId="37376"/>
    <cellStyle name="Normal 8 28 6" xfId="37372"/>
    <cellStyle name="Normal 8 29" xfId="21488"/>
    <cellStyle name="Normal 8 29 2" xfId="37377"/>
    <cellStyle name="Normal 8 3" xfId="21489"/>
    <cellStyle name="Normal 8 3 2" xfId="40790"/>
    <cellStyle name="Normal 8 3 3" xfId="40791"/>
    <cellStyle name="Normal 8 3 4" xfId="40792"/>
    <cellStyle name="Normal 8 3 5" xfId="40789"/>
    <cellStyle name="Normal 8 30" xfId="21490"/>
    <cellStyle name="Normal 8 30 2" xfId="37378"/>
    <cellStyle name="Normal 8 31" xfId="21491"/>
    <cellStyle name="Normal 8 31 2" xfId="37379"/>
    <cellStyle name="Normal 8 32" xfId="21492"/>
    <cellStyle name="Normal 8 32 2" xfId="37380"/>
    <cellStyle name="Normal 8 33" xfId="21493"/>
    <cellStyle name="Normal 8 33 2" xfId="37381"/>
    <cellStyle name="Normal 8 4" xfId="21494"/>
    <cellStyle name="Normal 8 4 2" xfId="40794"/>
    <cellStyle name="Normal 8 4 3" xfId="40795"/>
    <cellStyle name="Normal 8 4 4" xfId="40796"/>
    <cellStyle name="Normal 8 4 5" xfId="40793"/>
    <cellStyle name="Normal 8 5" xfId="21495"/>
    <cellStyle name="Normal 8 5 2" xfId="40797"/>
    <cellStyle name="Normal 8 6" xfId="21496"/>
    <cellStyle name="Normal 8 6 2" xfId="40798"/>
    <cellStyle name="Normal 8 7" xfId="21497"/>
    <cellStyle name="Normal 8 7 2" xfId="40799"/>
    <cellStyle name="Normal 8 8" xfId="21498"/>
    <cellStyle name="Normal 8 8 2" xfId="40800"/>
    <cellStyle name="Normal 8 9" xfId="21499"/>
    <cellStyle name="Normal 8 9 2" xfId="40801"/>
    <cellStyle name="Normal 9" xfId="21500"/>
    <cellStyle name="Normal 9 10" xfId="21501"/>
    <cellStyle name="Normal 9 10 2" xfId="21502"/>
    <cellStyle name="Normal 9 10 2 2" xfId="37383"/>
    <cellStyle name="Normal 9 10 3" xfId="21503"/>
    <cellStyle name="Normal 9 10 3 2" xfId="37384"/>
    <cellStyle name="Normal 9 10 4" xfId="21504"/>
    <cellStyle name="Normal 9 10 4 2" xfId="37385"/>
    <cellStyle name="Normal 9 10 5" xfId="21505"/>
    <cellStyle name="Normal 9 10 5 2" xfId="37386"/>
    <cellStyle name="Normal 9 10 6" xfId="37382"/>
    <cellStyle name="Normal 9 11" xfId="21506"/>
    <cellStyle name="Normal 9 11 2" xfId="21507"/>
    <cellStyle name="Normal 9 11 2 2" xfId="37388"/>
    <cellStyle name="Normal 9 11 3" xfId="21508"/>
    <cellStyle name="Normal 9 11 3 2" xfId="37389"/>
    <cellStyle name="Normal 9 11 4" xfId="21509"/>
    <cellStyle name="Normal 9 11 4 2" xfId="37390"/>
    <cellStyle name="Normal 9 11 5" xfId="21510"/>
    <cellStyle name="Normal 9 11 5 2" xfId="37391"/>
    <cellStyle name="Normal 9 11 6" xfId="37387"/>
    <cellStyle name="Normal 9 12" xfId="21511"/>
    <cellStyle name="Normal 9 12 2" xfId="21512"/>
    <cellStyle name="Normal 9 12 2 2" xfId="37393"/>
    <cellStyle name="Normal 9 12 3" xfId="21513"/>
    <cellStyle name="Normal 9 12 3 2" xfId="37394"/>
    <cellStyle name="Normal 9 12 4" xfId="21514"/>
    <cellStyle name="Normal 9 12 4 2" xfId="37395"/>
    <cellStyle name="Normal 9 12 5" xfId="21515"/>
    <cellStyle name="Normal 9 12 5 2" xfId="37396"/>
    <cellStyle name="Normal 9 12 6" xfId="37392"/>
    <cellStyle name="Normal 9 13" xfId="21516"/>
    <cellStyle name="Normal 9 13 2" xfId="21517"/>
    <cellStyle name="Normal 9 13 2 2" xfId="37398"/>
    <cellStyle name="Normal 9 13 3" xfId="21518"/>
    <cellStyle name="Normal 9 13 3 2" xfId="37399"/>
    <cellStyle name="Normal 9 13 4" xfId="21519"/>
    <cellStyle name="Normal 9 13 4 2" xfId="37400"/>
    <cellStyle name="Normal 9 13 5" xfId="21520"/>
    <cellStyle name="Normal 9 13 5 2" xfId="37401"/>
    <cellStyle name="Normal 9 13 6" xfId="37397"/>
    <cellStyle name="Normal 9 14" xfId="21521"/>
    <cellStyle name="Normal 9 14 2" xfId="21522"/>
    <cellStyle name="Normal 9 14 2 2" xfId="37403"/>
    <cellStyle name="Normal 9 14 3" xfId="21523"/>
    <cellStyle name="Normal 9 14 3 2" xfId="37404"/>
    <cellStyle name="Normal 9 14 4" xfId="21524"/>
    <cellStyle name="Normal 9 14 4 2" xfId="37405"/>
    <cellStyle name="Normal 9 14 5" xfId="21525"/>
    <cellStyle name="Normal 9 14 5 2" xfId="37406"/>
    <cellStyle name="Normal 9 14 6" xfId="37402"/>
    <cellStyle name="Normal 9 15" xfId="21526"/>
    <cellStyle name="Normal 9 15 2" xfId="21527"/>
    <cellStyle name="Normal 9 15 2 2" xfId="37408"/>
    <cellStyle name="Normal 9 15 3" xfId="21528"/>
    <cellStyle name="Normal 9 15 3 2" xfId="37409"/>
    <cellStyle name="Normal 9 15 4" xfId="21529"/>
    <cellStyle name="Normal 9 15 4 2" xfId="37410"/>
    <cellStyle name="Normal 9 15 5" xfId="21530"/>
    <cellStyle name="Normal 9 15 5 2" xfId="37411"/>
    <cellStyle name="Normal 9 15 6" xfId="37407"/>
    <cellStyle name="Normal 9 16" xfId="21531"/>
    <cellStyle name="Normal 9 16 2" xfId="21532"/>
    <cellStyle name="Normal 9 16 2 2" xfId="37413"/>
    <cellStyle name="Normal 9 16 3" xfId="21533"/>
    <cellStyle name="Normal 9 16 3 2" xfId="37414"/>
    <cellStyle name="Normal 9 16 4" xfId="21534"/>
    <cellStyle name="Normal 9 16 4 2" xfId="37415"/>
    <cellStyle name="Normal 9 16 5" xfId="21535"/>
    <cellStyle name="Normal 9 16 5 2" xfId="37416"/>
    <cellStyle name="Normal 9 16 6" xfId="37412"/>
    <cellStyle name="Normal 9 17" xfId="21536"/>
    <cellStyle name="Normal 9 17 2" xfId="21537"/>
    <cellStyle name="Normal 9 17 2 2" xfId="37418"/>
    <cellStyle name="Normal 9 17 3" xfId="21538"/>
    <cellStyle name="Normal 9 17 3 2" xfId="37419"/>
    <cellStyle name="Normal 9 17 4" xfId="21539"/>
    <cellStyle name="Normal 9 17 4 2" xfId="37420"/>
    <cellStyle name="Normal 9 17 5" xfId="21540"/>
    <cellStyle name="Normal 9 17 5 2" xfId="37421"/>
    <cellStyle name="Normal 9 17 6" xfId="37417"/>
    <cellStyle name="Normal 9 18" xfId="21541"/>
    <cellStyle name="Normal 9 18 2" xfId="21542"/>
    <cellStyle name="Normal 9 18 2 2" xfId="37423"/>
    <cellStyle name="Normal 9 18 3" xfId="21543"/>
    <cellStyle name="Normal 9 18 3 2" xfId="37424"/>
    <cellStyle name="Normal 9 18 4" xfId="21544"/>
    <cellStyle name="Normal 9 18 4 2" xfId="37425"/>
    <cellStyle name="Normal 9 18 5" xfId="21545"/>
    <cellStyle name="Normal 9 18 5 2" xfId="37426"/>
    <cellStyle name="Normal 9 18 6" xfId="37422"/>
    <cellStyle name="Normal 9 19" xfId="21546"/>
    <cellStyle name="Normal 9 19 2" xfId="21547"/>
    <cellStyle name="Normal 9 19 2 2" xfId="37428"/>
    <cellStyle name="Normal 9 19 3" xfId="21548"/>
    <cellStyle name="Normal 9 19 3 2" xfId="37429"/>
    <cellStyle name="Normal 9 19 4" xfId="21549"/>
    <cellStyle name="Normal 9 19 4 2" xfId="37430"/>
    <cellStyle name="Normal 9 19 5" xfId="21550"/>
    <cellStyle name="Normal 9 19 5 2" xfId="37431"/>
    <cellStyle name="Normal 9 19 6" xfId="37427"/>
    <cellStyle name="Normal 9 2" xfId="21551"/>
    <cellStyle name="Normal 9 2 10" xfId="21552"/>
    <cellStyle name="Normal 9 2 10 2" xfId="21553"/>
    <cellStyle name="Normal 9 2 10 2 2" xfId="37434"/>
    <cellStyle name="Normal 9 2 10 3" xfId="21554"/>
    <cellStyle name="Normal 9 2 10 3 2" xfId="37435"/>
    <cellStyle name="Normal 9 2 10 4" xfId="21555"/>
    <cellStyle name="Normal 9 2 10 4 2" xfId="37436"/>
    <cellStyle name="Normal 9 2 10 5" xfId="21556"/>
    <cellStyle name="Normal 9 2 10 5 2" xfId="37437"/>
    <cellStyle name="Normal 9 2 10 6" xfId="37433"/>
    <cellStyle name="Normal 9 2 11" xfId="21557"/>
    <cellStyle name="Normal 9 2 11 2" xfId="21558"/>
    <cellStyle name="Normal 9 2 11 2 2" xfId="37439"/>
    <cellStyle name="Normal 9 2 11 3" xfId="21559"/>
    <cellStyle name="Normal 9 2 11 3 2" xfId="37440"/>
    <cellStyle name="Normal 9 2 11 4" xfId="21560"/>
    <cellStyle name="Normal 9 2 11 4 2" xfId="37441"/>
    <cellStyle name="Normal 9 2 11 5" xfId="21561"/>
    <cellStyle name="Normal 9 2 11 5 2" xfId="37442"/>
    <cellStyle name="Normal 9 2 11 6" xfId="37438"/>
    <cellStyle name="Normal 9 2 12" xfId="21562"/>
    <cellStyle name="Normal 9 2 12 2" xfId="21563"/>
    <cellStyle name="Normal 9 2 12 2 2" xfId="37444"/>
    <cellStyle name="Normal 9 2 12 3" xfId="21564"/>
    <cellStyle name="Normal 9 2 12 3 2" xfId="37445"/>
    <cellStyle name="Normal 9 2 12 4" xfId="21565"/>
    <cellStyle name="Normal 9 2 12 4 2" xfId="37446"/>
    <cellStyle name="Normal 9 2 12 5" xfId="21566"/>
    <cellStyle name="Normal 9 2 12 5 2" xfId="37447"/>
    <cellStyle name="Normal 9 2 12 6" xfId="37443"/>
    <cellStyle name="Normal 9 2 13" xfId="21567"/>
    <cellStyle name="Normal 9 2 13 2" xfId="21568"/>
    <cellStyle name="Normal 9 2 13 2 2" xfId="37449"/>
    <cellStyle name="Normal 9 2 13 3" xfId="21569"/>
    <cellStyle name="Normal 9 2 13 3 2" xfId="37450"/>
    <cellStyle name="Normal 9 2 13 4" xfId="21570"/>
    <cellStyle name="Normal 9 2 13 4 2" xfId="37451"/>
    <cellStyle name="Normal 9 2 13 5" xfId="21571"/>
    <cellStyle name="Normal 9 2 13 5 2" xfId="37452"/>
    <cellStyle name="Normal 9 2 13 6" xfId="37448"/>
    <cellStyle name="Normal 9 2 14" xfId="21572"/>
    <cellStyle name="Normal 9 2 14 2" xfId="21573"/>
    <cellStyle name="Normal 9 2 14 2 2" xfId="37454"/>
    <cellStyle name="Normal 9 2 14 3" xfId="21574"/>
    <cellStyle name="Normal 9 2 14 3 2" xfId="37455"/>
    <cellStyle name="Normal 9 2 14 4" xfId="21575"/>
    <cellStyle name="Normal 9 2 14 4 2" xfId="37456"/>
    <cellStyle name="Normal 9 2 14 5" xfId="21576"/>
    <cellStyle name="Normal 9 2 14 5 2" xfId="37457"/>
    <cellStyle name="Normal 9 2 14 6" xfId="37453"/>
    <cellStyle name="Normal 9 2 15" xfId="21577"/>
    <cellStyle name="Normal 9 2 15 2" xfId="21578"/>
    <cellStyle name="Normal 9 2 15 2 2" xfId="37459"/>
    <cellStyle name="Normal 9 2 15 3" xfId="21579"/>
    <cellStyle name="Normal 9 2 15 3 2" xfId="37460"/>
    <cellStyle name="Normal 9 2 15 4" xfId="21580"/>
    <cellStyle name="Normal 9 2 15 4 2" xfId="37461"/>
    <cellStyle name="Normal 9 2 15 5" xfId="21581"/>
    <cellStyle name="Normal 9 2 15 5 2" xfId="37462"/>
    <cellStyle name="Normal 9 2 15 6" xfId="37458"/>
    <cellStyle name="Normal 9 2 16" xfId="21582"/>
    <cellStyle name="Normal 9 2 16 2" xfId="21583"/>
    <cellStyle name="Normal 9 2 16 2 2" xfId="37464"/>
    <cellStyle name="Normal 9 2 16 3" xfId="21584"/>
    <cellStyle name="Normal 9 2 16 3 2" xfId="37465"/>
    <cellStyle name="Normal 9 2 16 4" xfId="21585"/>
    <cellStyle name="Normal 9 2 16 4 2" xfId="37466"/>
    <cellStyle name="Normal 9 2 16 5" xfId="21586"/>
    <cellStyle name="Normal 9 2 16 5 2" xfId="37467"/>
    <cellStyle name="Normal 9 2 16 6" xfId="37463"/>
    <cellStyle name="Normal 9 2 17" xfId="21587"/>
    <cellStyle name="Normal 9 2 17 2" xfId="37468"/>
    <cellStyle name="Normal 9 2 18" xfId="21588"/>
    <cellStyle name="Normal 9 2 18 2" xfId="37469"/>
    <cellStyle name="Normal 9 2 19" xfId="21589"/>
    <cellStyle name="Normal 9 2 19 2" xfId="37470"/>
    <cellStyle name="Normal 9 2 2" xfId="21590"/>
    <cellStyle name="Normal 9 2 20" xfId="21591"/>
    <cellStyle name="Normal 9 2 20 2" xfId="37471"/>
    <cellStyle name="Normal 9 2 21" xfId="40802"/>
    <cellStyle name="Normal 9 2 22" xfId="37432"/>
    <cellStyle name="Normal 9 2 3" xfId="21592"/>
    <cellStyle name="Normal 9 2 3 2" xfId="21593"/>
    <cellStyle name="Normal 9 2 3 2 2" xfId="37473"/>
    <cellStyle name="Normal 9 2 3 3" xfId="21594"/>
    <cellStyle name="Normal 9 2 3 3 2" xfId="37474"/>
    <cellStyle name="Normal 9 2 3 4" xfId="21595"/>
    <cellStyle name="Normal 9 2 3 4 2" xfId="37475"/>
    <cellStyle name="Normal 9 2 3 5" xfId="21596"/>
    <cellStyle name="Normal 9 2 3 5 2" xfId="37476"/>
    <cellStyle name="Normal 9 2 3 6" xfId="37472"/>
    <cellStyle name="Normal 9 2 4" xfId="21597"/>
    <cellStyle name="Normal 9 2 4 2" xfId="21598"/>
    <cellStyle name="Normal 9 2 4 2 2" xfId="37478"/>
    <cellStyle name="Normal 9 2 4 3" xfId="21599"/>
    <cellStyle name="Normal 9 2 4 3 2" xfId="37479"/>
    <cellStyle name="Normal 9 2 4 4" xfId="21600"/>
    <cellStyle name="Normal 9 2 4 4 2" xfId="37480"/>
    <cellStyle name="Normal 9 2 4 5" xfId="21601"/>
    <cellStyle name="Normal 9 2 4 5 2" xfId="37481"/>
    <cellStyle name="Normal 9 2 4 6" xfId="37477"/>
    <cellStyle name="Normal 9 2 5" xfId="21602"/>
    <cellStyle name="Normal 9 2 5 2" xfId="21603"/>
    <cellStyle name="Normal 9 2 5 2 2" xfId="37483"/>
    <cellStyle name="Normal 9 2 5 3" xfId="21604"/>
    <cellStyle name="Normal 9 2 5 3 2" xfId="37484"/>
    <cellStyle name="Normal 9 2 5 4" xfId="21605"/>
    <cellStyle name="Normal 9 2 5 4 2" xfId="37485"/>
    <cellStyle name="Normal 9 2 5 5" xfId="21606"/>
    <cellStyle name="Normal 9 2 5 5 2" xfId="37486"/>
    <cellStyle name="Normal 9 2 5 6" xfId="37482"/>
    <cellStyle name="Normal 9 2 6" xfId="21607"/>
    <cellStyle name="Normal 9 2 6 2" xfId="21608"/>
    <cellStyle name="Normal 9 2 6 2 2" xfId="37488"/>
    <cellStyle name="Normal 9 2 6 3" xfId="21609"/>
    <cellStyle name="Normal 9 2 6 3 2" xfId="37489"/>
    <cellStyle name="Normal 9 2 6 4" xfId="21610"/>
    <cellStyle name="Normal 9 2 6 4 2" xfId="37490"/>
    <cellStyle name="Normal 9 2 6 5" xfId="21611"/>
    <cellStyle name="Normal 9 2 6 5 2" xfId="37491"/>
    <cellStyle name="Normal 9 2 6 6" xfId="37487"/>
    <cellStyle name="Normal 9 2 7" xfId="21612"/>
    <cellStyle name="Normal 9 2 7 2" xfId="21613"/>
    <cellStyle name="Normal 9 2 7 2 2" xfId="37493"/>
    <cellStyle name="Normal 9 2 7 3" xfId="21614"/>
    <cellStyle name="Normal 9 2 7 3 2" xfId="37494"/>
    <cellStyle name="Normal 9 2 7 4" xfId="21615"/>
    <cellStyle name="Normal 9 2 7 4 2" xfId="37495"/>
    <cellStyle name="Normal 9 2 7 5" xfId="21616"/>
    <cellStyle name="Normal 9 2 7 5 2" xfId="37496"/>
    <cellStyle name="Normal 9 2 7 6" xfId="37492"/>
    <cellStyle name="Normal 9 2 8" xfId="21617"/>
    <cellStyle name="Normal 9 2 8 2" xfId="21618"/>
    <cellStyle name="Normal 9 2 8 2 2" xfId="37498"/>
    <cellStyle name="Normal 9 2 8 3" xfId="21619"/>
    <cellStyle name="Normal 9 2 8 3 2" xfId="37499"/>
    <cellStyle name="Normal 9 2 8 4" xfId="21620"/>
    <cellStyle name="Normal 9 2 8 4 2" xfId="37500"/>
    <cellStyle name="Normal 9 2 8 5" xfId="21621"/>
    <cellStyle name="Normal 9 2 8 5 2" xfId="37501"/>
    <cellStyle name="Normal 9 2 8 6" xfId="37497"/>
    <cellStyle name="Normal 9 2 9" xfId="21622"/>
    <cellStyle name="Normal 9 2 9 2" xfId="21623"/>
    <cellStyle name="Normal 9 2 9 2 2" xfId="37503"/>
    <cellStyle name="Normal 9 2 9 3" xfId="21624"/>
    <cellStyle name="Normal 9 2 9 3 2" xfId="37504"/>
    <cellStyle name="Normal 9 2 9 4" xfId="21625"/>
    <cellStyle name="Normal 9 2 9 4 2" xfId="37505"/>
    <cellStyle name="Normal 9 2 9 5" xfId="21626"/>
    <cellStyle name="Normal 9 2 9 5 2" xfId="37506"/>
    <cellStyle name="Normal 9 2 9 6" xfId="37502"/>
    <cellStyle name="Normal 9 20" xfId="21627"/>
    <cellStyle name="Normal 9 20 2" xfId="37507"/>
    <cellStyle name="Normal 9 21" xfId="21628"/>
    <cellStyle name="Normal 9 21 2" xfId="37508"/>
    <cellStyle name="Normal 9 22" xfId="21629"/>
    <cellStyle name="Normal 9 22 2" xfId="37509"/>
    <cellStyle name="Normal 9 23" xfId="21630"/>
    <cellStyle name="Normal 9 23 2" xfId="37510"/>
    <cellStyle name="Normal 9 24" xfId="21631"/>
    <cellStyle name="Normal 9 24 2" xfId="37511"/>
    <cellStyle name="Normal 9 3" xfId="21632"/>
    <cellStyle name="Normal 9 3 2" xfId="21633"/>
    <cellStyle name="Normal 9 3 3" xfId="21634"/>
    <cellStyle name="Normal 9 3 3 2" xfId="37513"/>
    <cellStyle name="Normal 9 3 4" xfId="21635"/>
    <cellStyle name="Normal 9 3 4 2" xfId="37514"/>
    <cellStyle name="Normal 9 3 5" xfId="21636"/>
    <cellStyle name="Normal 9 3 5 2" xfId="37515"/>
    <cellStyle name="Normal 9 3 6" xfId="21637"/>
    <cellStyle name="Normal 9 3 6 2" xfId="37516"/>
    <cellStyle name="Normal 9 3 7" xfId="40803"/>
    <cellStyle name="Normal 9 3 8" xfId="37512"/>
    <cellStyle name="Normal 9 4" xfId="21638"/>
    <cellStyle name="Normal 9 4 2" xfId="21639"/>
    <cellStyle name="Normal 9 4 3" xfId="21640"/>
    <cellStyle name="Normal 9 4 3 2" xfId="37518"/>
    <cellStyle name="Normal 9 4 4" xfId="21641"/>
    <cellStyle name="Normal 9 4 4 2" xfId="37519"/>
    <cellStyle name="Normal 9 4 5" xfId="21642"/>
    <cellStyle name="Normal 9 4 5 2" xfId="37520"/>
    <cellStyle name="Normal 9 4 6" xfId="21643"/>
    <cellStyle name="Normal 9 4 6 2" xfId="37521"/>
    <cellStyle name="Normal 9 4 7" xfId="40804"/>
    <cellStyle name="Normal 9 4 8" xfId="37517"/>
    <cellStyle name="Normal 9 5" xfId="21644"/>
    <cellStyle name="Normal 9 5 2" xfId="21645"/>
    <cellStyle name="Normal 9 5 3" xfId="21646"/>
    <cellStyle name="Normal 9 5 3 2" xfId="37523"/>
    <cellStyle name="Normal 9 5 4" xfId="21647"/>
    <cellStyle name="Normal 9 5 4 2" xfId="37524"/>
    <cellStyle name="Normal 9 5 5" xfId="21648"/>
    <cellStyle name="Normal 9 5 5 2" xfId="37525"/>
    <cellStyle name="Normal 9 5 6" xfId="21649"/>
    <cellStyle name="Normal 9 5 6 2" xfId="37526"/>
    <cellStyle name="Normal 9 5 7" xfId="37522"/>
    <cellStyle name="Normal 9 6" xfId="21650"/>
    <cellStyle name="Normal 9 6 2" xfId="21651"/>
    <cellStyle name="Normal 9 6 2 2" xfId="37528"/>
    <cellStyle name="Normal 9 6 3" xfId="21652"/>
    <cellStyle name="Normal 9 6 3 2" xfId="37529"/>
    <cellStyle name="Normal 9 6 4" xfId="21653"/>
    <cellStyle name="Normal 9 6 4 2" xfId="37530"/>
    <cellStyle name="Normal 9 6 5" xfId="21654"/>
    <cellStyle name="Normal 9 6 5 2" xfId="37531"/>
    <cellStyle name="Normal 9 6 6" xfId="37527"/>
    <cellStyle name="Normal 9 7" xfId="21655"/>
    <cellStyle name="Normal 9 7 2" xfId="21656"/>
    <cellStyle name="Normal 9 7 2 2" xfId="37533"/>
    <cellStyle name="Normal 9 7 3" xfId="21657"/>
    <cellStyle name="Normal 9 7 3 2" xfId="37534"/>
    <cellStyle name="Normal 9 7 4" xfId="21658"/>
    <cellStyle name="Normal 9 7 4 2" xfId="37535"/>
    <cellStyle name="Normal 9 7 5" xfId="21659"/>
    <cellStyle name="Normal 9 7 5 2" xfId="37536"/>
    <cellStyle name="Normal 9 7 6" xfId="37532"/>
    <cellStyle name="Normal 9 8" xfId="21660"/>
    <cellStyle name="Normal 9 8 2" xfId="21661"/>
    <cellStyle name="Normal 9 8 2 2" xfId="37538"/>
    <cellStyle name="Normal 9 8 3" xfId="21662"/>
    <cellStyle name="Normal 9 8 3 2" xfId="37539"/>
    <cellStyle name="Normal 9 8 4" xfId="21663"/>
    <cellStyle name="Normal 9 8 4 2" xfId="37540"/>
    <cellStyle name="Normal 9 8 5" xfId="21664"/>
    <cellStyle name="Normal 9 8 5 2" xfId="37541"/>
    <cellStyle name="Normal 9 8 6" xfId="37537"/>
    <cellStyle name="Normal 9 9" xfId="21665"/>
    <cellStyle name="Normal 9 9 2" xfId="21666"/>
    <cellStyle name="Normal 9 9 2 2" xfId="37543"/>
    <cellStyle name="Normal 9 9 3" xfId="21667"/>
    <cellStyle name="Normal 9 9 3 2" xfId="37544"/>
    <cellStyle name="Normal 9 9 4" xfId="21668"/>
    <cellStyle name="Normal 9 9 4 2" xfId="37545"/>
    <cellStyle name="Normal 9 9 5" xfId="21669"/>
    <cellStyle name="Normal 9 9 5 2" xfId="37546"/>
    <cellStyle name="Normal 9 9 6" xfId="37542"/>
    <cellStyle name="Normal_Quantificação - Av Cel Stuck e Rua Rondonópolis" xfId="7"/>
    <cellStyle name="Nota 10" xfId="21670"/>
    <cellStyle name="Nota 10 2" xfId="21671"/>
    <cellStyle name="Nota 10 2 2" xfId="40806"/>
    <cellStyle name="Nota 10 2 3" xfId="37547"/>
    <cellStyle name="Nota 10 3" xfId="21672"/>
    <cellStyle name="Nota 10 3 2" xfId="41039"/>
    <cellStyle name="Nota 10 3 3" xfId="37548"/>
    <cellStyle name="Nota 10 4" xfId="21673"/>
    <cellStyle name="Nota 10 4 2" xfId="41028"/>
    <cellStyle name="Nota 10 4 3" xfId="37549"/>
    <cellStyle name="Nota 10 5" xfId="21674"/>
    <cellStyle name="Nota 10 5 2" xfId="37550"/>
    <cellStyle name="Nota 10 6" xfId="21675"/>
    <cellStyle name="Nota 10 6 2" xfId="37551"/>
    <cellStyle name="Nota 10 7" xfId="21676"/>
    <cellStyle name="Nota 10 7 2" xfId="37552"/>
    <cellStyle name="Nota 10 8" xfId="29193"/>
    <cellStyle name="Nota 10 8 2" xfId="40805"/>
    <cellStyle name="Nota 100" xfId="21677"/>
    <cellStyle name="Nota 100 2" xfId="37553"/>
    <cellStyle name="Nota 101" xfId="21678"/>
    <cellStyle name="Nota 101 2" xfId="37554"/>
    <cellStyle name="Nota 102" xfId="21679"/>
    <cellStyle name="Nota 102 2" xfId="37555"/>
    <cellStyle name="Nota 103" xfId="21680"/>
    <cellStyle name="Nota 103 2" xfId="37556"/>
    <cellStyle name="Nota 104" xfId="21681"/>
    <cellStyle name="Nota 104 2" xfId="37557"/>
    <cellStyle name="Nota 105" xfId="21682"/>
    <cellStyle name="Nota 105 2" xfId="37558"/>
    <cellStyle name="Nota 106" xfId="21683"/>
    <cellStyle name="Nota 106 2" xfId="37559"/>
    <cellStyle name="Nota 107" xfId="21684"/>
    <cellStyle name="Nota 107 2" xfId="37560"/>
    <cellStyle name="Nota 108" xfId="21685"/>
    <cellStyle name="Nota 108 2" xfId="37561"/>
    <cellStyle name="Nota 109" xfId="21686"/>
    <cellStyle name="Nota 109 2" xfId="37562"/>
    <cellStyle name="Nota 11" xfId="21687"/>
    <cellStyle name="Nota 11 2" xfId="21688"/>
    <cellStyle name="Nota 11 2 2" xfId="40808"/>
    <cellStyle name="Nota 11 2 3" xfId="37563"/>
    <cellStyle name="Nota 11 3" xfId="21689"/>
    <cellStyle name="Nota 11 3 2" xfId="41040"/>
    <cellStyle name="Nota 11 3 3" xfId="37564"/>
    <cellStyle name="Nota 11 4" xfId="21690"/>
    <cellStyle name="Nota 11 4 2" xfId="41027"/>
    <cellStyle name="Nota 11 4 3" xfId="37565"/>
    <cellStyle name="Nota 11 5" xfId="21691"/>
    <cellStyle name="Nota 11 5 2" xfId="37566"/>
    <cellStyle name="Nota 11 6" xfId="21692"/>
    <cellStyle name="Nota 11 6 2" xfId="37567"/>
    <cellStyle name="Nota 11 7" xfId="21693"/>
    <cellStyle name="Nota 11 7 2" xfId="37568"/>
    <cellStyle name="Nota 11 8" xfId="29194"/>
    <cellStyle name="Nota 11 8 2" xfId="40807"/>
    <cellStyle name="Nota 110" xfId="21694"/>
    <cellStyle name="Nota 110 2" xfId="37569"/>
    <cellStyle name="Nota 111" xfId="21695"/>
    <cellStyle name="Nota 111 2" xfId="37570"/>
    <cellStyle name="Nota 112" xfId="21696"/>
    <cellStyle name="Nota 112 2" xfId="37571"/>
    <cellStyle name="Nota 113" xfId="21697"/>
    <cellStyle name="Nota 113 2" xfId="37572"/>
    <cellStyle name="Nota 114" xfId="21698"/>
    <cellStyle name="Nota 114 2" xfId="37573"/>
    <cellStyle name="Nota 115" xfId="21699"/>
    <cellStyle name="Nota 115 2" xfId="37574"/>
    <cellStyle name="Nota 116" xfId="21700"/>
    <cellStyle name="Nota 116 2" xfId="37575"/>
    <cellStyle name="Nota 117" xfId="21701"/>
    <cellStyle name="Nota 117 2" xfId="37576"/>
    <cellStyle name="Nota 118" xfId="21702"/>
    <cellStyle name="Nota 118 2" xfId="37577"/>
    <cellStyle name="Nota 119" xfId="21703"/>
    <cellStyle name="Nota 119 2" xfId="37578"/>
    <cellStyle name="Nota 12" xfId="21704"/>
    <cellStyle name="Nota 12 2" xfId="21705"/>
    <cellStyle name="Nota 12 2 2" xfId="40810"/>
    <cellStyle name="Nota 12 2 3" xfId="37579"/>
    <cellStyle name="Nota 12 3" xfId="21706"/>
    <cellStyle name="Nota 12 3 2" xfId="41041"/>
    <cellStyle name="Nota 12 3 3" xfId="37580"/>
    <cellStyle name="Nota 12 4" xfId="21707"/>
    <cellStyle name="Nota 12 4 2" xfId="41026"/>
    <cellStyle name="Nota 12 4 3" xfId="37581"/>
    <cellStyle name="Nota 12 5" xfId="21708"/>
    <cellStyle name="Nota 12 5 2" xfId="37582"/>
    <cellStyle name="Nota 12 6" xfId="21709"/>
    <cellStyle name="Nota 12 6 2" xfId="37583"/>
    <cellStyle name="Nota 12 7" xfId="21710"/>
    <cellStyle name="Nota 12 7 2" xfId="37584"/>
    <cellStyle name="Nota 12 8" xfId="29195"/>
    <cellStyle name="Nota 12 8 2" xfId="40809"/>
    <cellStyle name="Nota 120" xfId="21711"/>
    <cellStyle name="Nota 120 2" xfId="37585"/>
    <cellStyle name="Nota 121" xfId="21712"/>
    <cellStyle name="Nota 121 2" xfId="37586"/>
    <cellStyle name="Nota 122" xfId="21713"/>
    <cellStyle name="Nota 122 2" xfId="37587"/>
    <cellStyle name="Nota 123" xfId="21714"/>
    <cellStyle name="Nota 123 2" xfId="37588"/>
    <cellStyle name="Nota 124" xfId="21715"/>
    <cellStyle name="Nota 124 2" xfId="37589"/>
    <cellStyle name="Nota 125" xfId="21716"/>
    <cellStyle name="Nota 125 2" xfId="37590"/>
    <cellStyle name="Nota 126" xfId="21717"/>
    <cellStyle name="Nota 126 2" xfId="37591"/>
    <cellStyle name="Nota 127" xfId="21718"/>
    <cellStyle name="Nota 127 2" xfId="37592"/>
    <cellStyle name="Nota 128" xfId="21719"/>
    <cellStyle name="Nota 128 2" xfId="37593"/>
    <cellStyle name="Nota 129" xfId="21720"/>
    <cellStyle name="Nota 129 2" xfId="37594"/>
    <cellStyle name="Nota 13" xfId="21721"/>
    <cellStyle name="Nota 13 2" xfId="21722"/>
    <cellStyle name="Nota 13 2 2" xfId="40812"/>
    <cellStyle name="Nota 13 2 3" xfId="37595"/>
    <cellStyle name="Nota 13 3" xfId="21723"/>
    <cellStyle name="Nota 13 3 2" xfId="41042"/>
    <cellStyle name="Nota 13 3 3" xfId="37596"/>
    <cellStyle name="Nota 13 4" xfId="21724"/>
    <cellStyle name="Nota 13 4 2" xfId="41025"/>
    <cellStyle name="Nota 13 4 3" xfId="37597"/>
    <cellStyle name="Nota 13 5" xfId="21725"/>
    <cellStyle name="Nota 13 5 2" xfId="37598"/>
    <cellStyle name="Nota 13 6" xfId="21726"/>
    <cellStyle name="Nota 13 6 2" xfId="37599"/>
    <cellStyle name="Nota 13 7" xfId="21727"/>
    <cellStyle name="Nota 13 7 2" xfId="37600"/>
    <cellStyle name="Nota 13 8" xfId="29196"/>
    <cellStyle name="Nota 13 8 2" xfId="40811"/>
    <cellStyle name="Nota 130" xfId="21728"/>
    <cellStyle name="Nota 130 2" xfId="37601"/>
    <cellStyle name="Nota 131" xfId="21729"/>
    <cellStyle name="Nota 131 2" xfId="37602"/>
    <cellStyle name="Nota 132" xfId="21730"/>
    <cellStyle name="Nota 132 2" xfId="37603"/>
    <cellStyle name="Nota 133" xfId="21731"/>
    <cellStyle name="Nota 133 2" xfId="37604"/>
    <cellStyle name="Nota 134" xfId="21732"/>
    <cellStyle name="Nota 134 2" xfId="37605"/>
    <cellStyle name="Nota 135" xfId="21733"/>
    <cellStyle name="Nota 135 2" xfId="37606"/>
    <cellStyle name="Nota 136" xfId="21734"/>
    <cellStyle name="Nota 136 2" xfId="37607"/>
    <cellStyle name="Nota 137" xfId="21735"/>
    <cellStyle name="Nota 137 2" xfId="37608"/>
    <cellStyle name="Nota 138" xfId="21736"/>
    <cellStyle name="Nota 138 2" xfId="37609"/>
    <cellStyle name="Nota 139" xfId="21737"/>
    <cellStyle name="Nota 139 2" xfId="37610"/>
    <cellStyle name="Nota 14" xfId="21738"/>
    <cellStyle name="Nota 14 2" xfId="21739"/>
    <cellStyle name="Nota 14 2 2" xfId="37611"/>
    <cellStyle name="Nota 14 3" xfId="21740"/>
    <cellStyle name="Nota 14 3 2" xfId="37612"/>
    <cellStyle name="Nota 14 4" xfId="21741"/>
    <cellStyle name="Nota 14 4 2" xfId="37613"/>
    <cellStyle name="Nota 14 5" xfId="21742"/>
    <cellStyle name="Nota 14 5 2" xfId="37614"/>
    <cellStyle name="Nota 14 6" xfId="21743"/>
    <cellStyle name="Nota 14 6 2" xfId="37615"/>
    <cellStyle name="Nota 14 7" xfId="21744"/>
    <cellStyle name="Nota 14 7 2" xfId="37616"/>
    <cellStyle name="Nota 14 8" xfId="29197"/>
    <cellStyle name="Nota 14 8 2" xfId="40813"/>
    <cellStyle name="Nota 140" xfId="21745"/>
    <cellStyle name="Nota 140 2" xfId="37617"/>
    <cellStyle name="Nota 141" xfId="21746"/>
    <cellStyle name="Nota 141 2" xfId="37618"/>
    <cellStyle name="Nota 142" xfId="21747"/>
    <cellStyle name="Nota 142 2" xfId="37619"/>
    <cellStyle name="Nota 143" xfId="21748"/>
    <cellStyle name="Nota 143 2" xfId="37620"/>
    <cellStyle name="Nota 144" xfId="21749"/>
    <cellStyle name="Nota 144 2" xfId="37621"/>
    <cellStyle name="Nota 145" xfId="21750"/>
    <cellStyle name="Nota 145 2" xfId="37622"/>
    <cellStyle name="Nota 146" xfId="21751"/>
    <cellStyle name="Nota 146 2" xfId="37623"/>
    <cellStyle name="Nota 147" xfId="21752"/>
    <cellStyle name="Nota 147 2" xfId="37624"/>
    <cellStyle name="Nota 148" xfId="21753"/>
    <cellStyle name="Nota 148 2" xfId="37625"/>
    <cellStyle name="Nota 149" xfId="21754"/>
    <cellStyle name="Nota 149 2" xfId="37626"/>
    <cellStyle name="Nota 15" xfId="21755"/>
    <cellStyle name="Nota 15 2" xfId="21756"/>
    <cellStyle name="Nota 15 2 2" xfId="37627"/>
    <cellStyle name="Nota 15 3" xfId="21757"/>
    <cellStyle name="Nota 15 3 2" xfId="37628"/>
    <cellStyle name="Nota 15 4" xfId="21758"/>
    <cellStyle name="Nota 15 4 2" xfId="37629"/>
    <cellStyle name="Nota 15 5" xfId="21759"/>
    <cellStyle name="Nota 15 5 2" xfId="37630"/>
    <cellStyle name="Nota 15 6" xfId="21760"/>
    <cellStyle name="Nota 15 6 2" xfId="37631"/>
    <cellStyle name="Nota 15 7" xfId="21761"/>
    <cellStyle name="Nota 15 7 2" xfId="37632"/>
    <cellStyle name="Nota 15 8" xfId="29198"/>
    <cellStyle name="Nota 15 8 2" xfId="40814"/>
    <cellStyle name="Nota 150" xfId="21762"/>
    <cellStyle name="Nota 150 2" xfId="37633"/>
    <cellStyle name="Nota 151" xfId="21763"/>
    <cellStyle name="Nota 151 2" xfId="37634"/>
    <cellStyle name="Nota 152" xfId="21764"/>
    <cellStyle name="Nota 152 2" xfId="37635"/>
    <cellStyle name="Nota 153" xfId="21765"/>
    <cellStyle name="Nota 153 2" xfId="37636"/>
    <cellStyle name="Nota 154" xfId="21766"/>
    <cellStyle name="Nota 154 2" xfId="37637"/>
    <cellStyle name="Nota 155" xfId="21767"/>
    <cellStyle name="Nota 155 2" xfId="37638"/>
    <cellStyle name="Nota 156" xfId="21768"/>
    <cellStyle name="Nota 156 2" xfId="37639"/>
    <cellStyle name="Nota 157" xfId="21769"/>
    <cellStyle name="Nota 157 2" xfId="37640"/>
    <cellStyle name="Nota 158" xfId="21770"/>
    <cellStyle name="Nota 158 2" xfId="37641"/>
    <cellStyle name="Nota 159" xfId="21771"/>
    <cellStyle name="Nota 159 2" xfId="37642"/>
    <cellStyle name="Nota 16" xfId="21772"/>
    <cellStyle name="Nota 16 2" xfId="21773"/>
    <cellStyle name="Nota 16 2 2" xfId="37643"/>
    <cellStyle name="Nota 16 3" xfId="21774"/>
    <cellStyle name="Nota 16 3 2" xfId="37644"/>
    <cellStyle name="Nota 16 4" xfId="21775"/>
    <cellStyle name="Nota 16 4 2" xfId="37645"/>
    <cellStyle name="Nota 16 5" xfId="21776"/>
    <cellStyle name="Nota 16 5 2" xfId="37646"/>
    <cellStyle name="Nota 16 6" xfId="21777"/>
    <cellStyle name="Nota 16 6 2" xfId="37647"/>
    <cellStyle name="Nota 16 7" xfId="21778"/>
    <cellStyle name="Nota 16 7 2" xfId="37648"/>
    <cellStyle name="Nota 16 8" xfId="29199"/>
    <cellStyle name="Nota 16 8 2" xfId="40815"/>
    <cellStyle name="Nota 160" xfId="21779"/>
    <cellStyle name="Nota 160 2" xfId="37649"/>
    <cellStyle name="Nota 161" xfId="21780"/>
    <cellStyle name="Nota 161 2" xfId="37650"/>
    <cellStyle name="Nota 162" xfId="21781"/>
    <cellStyle name="Nota 162 2" xfId="37651"/>
    <cellStyle name="Nota 163" xfId="21782"/>
    <cellStyle name="Nota 163 2" xfId="37652"/>
    <cellStyle name="Nota 164" xfId="21783"/>
    <cellStyle name="Nota 164 2" xfId="37653"/>
    <cellStyle name="Nota 165" xfId="21784"/>
    <cellStyle name="Nota 165 2" xfId="37654"/>
    <cellStyle name="Nota 166" xfId="21785"/>
    <cellStyle name="Nota 166 2" xfId="37655"/>
    <cellStyle name="Nota 167" xfId="21786"/>
    <cellStyle name="Nota 167 2" xfId="37656"/>
    <cellStyle name="Nota 168" xfId="21787"/>
    <cellStyle name="Nota 168 2" xfId="37657"/>
    <cellStyle name="Nota 169" xfId="21788"/>
    <cellStyle name="Nota 169 2" xfId="37658"/>
    <cellStyle name="Nota 17" xfId="21789"/>
    <cellStyle name="Nota 17 2" xfId="21790"/>
    <cellStyle name="Nota 17 2 2" xfId="37659"/>
    <cellStyle name="Nota 17 3" xfId="21791"/>
    <cellStyle name="Nota 17 3 2" xfId="37660"/>
    <cellStyle name="Nota 17 4" xfId="21792"/>
    <cellStyle name="Nota 17 4 2" xfId="37661"/>
    <cellStyle name="Nota 17 5" xfId="21793"/>
    <cellStyle name="Nota 17 5 2" xfId="37662"/>
    <cellStyle name="Nota 17 6" xfId="21794"/>
    <cellStyle name="Nota 17 6 2" xfId="37663"/>
    <cellStyle name="Nota 17 7" xfId="21795"/>
    <cellStyle name="Nota 17 7 2" xfId="37664"/>
    <cellStyle name="Nota 17 8" xfId="29200"/>
    <cellStyle name="Nota 17 8 2" xfId="40816"/>
    <cellStyle name="Nota 170" xfId="21796"/>
    <cellStyle name="Nota 170 2" xfId="37665"/>
    <cellStyle name="Nota 171" xfId="21797"/>
    <cellStyle name="Nota 171 2" xfId="37666"/>
    <cellStyle name="Nota 172" xfId="21798"/>
    <cellStyle name="Nota 172 2" xfId="37667"/>
    <cellStyle name="Nota 173" xfId="21799"/>
    <cellStyle name="Nota 173 2" xfId="37668"/>
    <cellStyle name="Nota 174" xfId="21800"/>
    <cellStyle name="Nota 174 2" xfId="37669"/>
    <cellStyle name="Nota 175" xfId="21801"/>
    <cellStyle name="Nota 175 2" xfId="37670"/>
    <cellStyle name="Nota 176" xfId="21802"/>
    <cellStyle name="Nota 176 2" xfId="37671"/>
    <cellStyle name="Nota 177" xfId="21803"/>
    <cellStyle name="Nota 177 2" xfId="37672"/>
    <cellStyle name="Nota 178" xfId="21804"/>
    <cellStyle name="Nota 178 2" xfId="37673"/>
    <cellStyle name="Nota 179" xfId="21805"/>
    <cellStyle name="Nota 179 2" xfId="37674"/>
    <cellStyle name="Nota 18" xfId="21806"/>
    <cellStyle name="Nota 18 2" xfId="21807"/>
    <cellStyle name="Nota 18 2 2" xfId="37675"/>
    <cellStyle name="Nota 18 3" xfId="21808"/>
    <cellStyle name="Nota 18 3 2" xfId="37676"/>
    <cellStyle name="Nota 18 4" xfId="21809"/>
    <cellStyle name="Nota 18 4 2" xfId="37677"/>
    <cellStyle name="Nota 18 5" xfId="21810"/>
    <cellStyle name="Nota 18 5 2" xfId="37678"/>
    <cellStyle name="Nota 18 6" xfId="21811"/>
    <cellStyle name="Nota 18 6 2" xfId="37679"/>
    <cellStyle name="Nota 18 7" xfId="21812"/>
    <cellStyle name="Nota 18 7 2" xfId="37680"/>
    <cellStyle name="Nota 18 8" xfId="29201"/>
    <cellStyle name="Nota 18 8 2" xfId="40817"/>
    <cellStyle name="Nota 180" xfId="21813"/>
    <cellStyle name="Nota 180 2" xfId="37681"/>
    <cellStyle name="Nota 181" xfId="21814"/>
    <cellStyle name="Nota 181 2" xfId="37682"/>
    <cellStyle name="Nota 182" xfId="21815"/>
    <cellStyle name="Nota 182 2" xfId="37683"/>
    <cellStyle name="Nota 183" xfId="21816"/>
    <cellStyle name="Nota 183 2" xfId="37684"/>
    <cellStyle name="Nota 184" xfId="21817"/>
    <cellStyle name="Nota 184 2" xfId="37685"/>
    <cellStyle name="Nota 185" xfId="21818"/>
    <cellStyle name="Nota 185 2" xfId="37686"/>
    <cellStyle name="Nota 186" xfId="21819"/>
    <cellStyle name="Nota 186 2" xfId="37687"/>
    <cellStyle name="Nota 187" xfId="21820"/>
    <cellStyle name="Nota 187 2" xfId="37688"/>
    <cellStyle name="Nota 188" xfId="21821"/>
    <cellStyle name="Nota 188 2" xfId="37689"/>
    <cellStyle name="Nota 189" xfId="21822"/>
    <cellStyle name="Nota 189 2" xfId="37690"/>
    <cellStyle name="Nota 19" xfId="21823"/>
    <cellStyle name="Nota 19 2" xfId="21824"/>
    <cellStyle name="Nota 19 2 2" xfId="37691"/>
    <cellStyle name="Nota 19 3" xfId="21825"/>
    <cellStyle name="Nota 19 3 2" xfId="37692"/>
    <cellStyle name="Nota 19 4" xfId="21826"/>
    <cellStyle name="Nota 19 4 2" xfId="37693"/>
    <cellStyle name="Nota 19 5" xfId="21827"/>
    <cellStyle name="Nota 19 5 2" xfId="37694"/>
    <cellStyle name="Nota 19 6" xfId="21828"/>
    <cellStyle name="Nota 19 6 2" xfId="37695"/>
    <cellStyle name="Nota 19 7" xfId="21829"/>
    <cellStyle name="Nota 19 7 2" xfId="37696"/>
    <cellStyle name="Nota 19 8" xfId="29202"/>
    <cellStyle name="Nota 19 8 2" xfId="40818"/>
    <cellStyle name="Nota 190" xfId="21830"/>
    <cellStyle name="Nota 190 2" xfId="37697"/>
    <cellStyle name="Nota 191" xfId="21831"/>
    <cellStyle name="Nota 191 2" xfId="37698"/>
    <cellStyle name="Nota 192" xfId="21832"/>
    <cellStyle name="Nota 192 2" xfId="37699"/>
    <cellStyle name="Nota 193" xfId="21833"/>
    <cellStyle name="Nota 193 2" xfId="37700"/>
    <cellStyle name="Nota 194" xfId="21834"/>
    <cellStyle name="Nota 194 2" xfId="37701"/>
    <cellStyle name="Nota 195" xfId="21835"/>
    <cellStyle name="Nota 195 2" xfId="37702"/>
    <cellStyle name="Nota 196" xfId="21836"/>
    <cellStyle name="Nota 196 2" xfId="37703"/>
    <cellStyle name="Nota 197" xfId="21837"/>
    <cellStyle name="Nota 197 2" xfId="37704"/>
    <cellStyle name="Nota 198" xfId="21838"/>
    <cellStyle name="Nota 198 2" xfId="37705"/>
    <cellStyle name="Nota 199" xfId="21839"/>
    <cellStyle name="Nota 199 2" xfId="37706"/>
    <cellStyle name="Nota 2" xfId="21840"/>
    <cellStyle name="Nota 2 10" xfId="21841"/>
    <cellStyle name="Nota 2 10 2" xfId="29203"/>
    <cellStyle name="Nota 2 11" xfId="21842"/>
    <cellStyle name="Nota 2 11 2" xfId="29204"/>
    <cellStyle name="Nota 2 12" xfId="21843"/>
    <cellStyle name="Nota 2 12 2" xfId="29205"/>
    <cellStyle name="Nota 2 13" xfId="21844"/>
    <cellStyle name="Nota 2 13 2" xfId="29206"/>
    <cellStyle name="Nota 2 14" xfId="21845"/>
    <cellStyle name="Nota 2 14 2" xfId="29207"/>
    <cellStyle name="Nota 2 15" xfId="21846"/>
    <cellStyle name="Nota 2 15 2" xfId="29208"/>
    <cellStyle name="Nota 2 16" xfId="21847"/>
    <cellStyle name="Nota 2 16 2" xfId="29209"/>
    <cellStyle name="Nota 2 17" xfId="21848"/>
    <cellStyle name="Nota 2 17 2" xfId="29210"/>
    <cellStyle name="Nota 2 18" xfId="21849"/>
    <cellStyle name="Nota 2 18 2" xfId="29211"/>
    <cellStyle name="Nota 2 19" xfId="21850"/>
    <cellStyle name="Nota 2 19 2" xfId="29212"/>
    <cellStyle name="Nota 2 2" xfId="21851"/>
    <cellStyle name="Nota 2 2 10" xfId="21852"/>
    <cellStyle name="Nota 2 2 10 2" xfId="37707"/>
    <cellStyle name="Nota 2 2 11" xfId="21853"/>
    <cellStyle name="Nota 2 2 11 2" xfId="37708"/>
    <cellStyle name="Nota 2 2 12" xfId="21854"/>
    <cellStyle name="Nota 2 2 12 2" xfId="37709"/>
    <cellStyle name="Nota 2 2 13" xfId="21855"/>
    <cellStyle name="Nota 2 2 13 2" xfId="37710"/>
    <cellStyle name="Nota 2 2 14" xfId="21856"/>
    <cellStyle name="Nota 2 2 14 2" xfId="37711"/>
    <cellStyle name="Nota 2 2 15" xfId="21857"/>
    <cellStyle name="Nota 2 2 15 2" xfId="37712"/>
    <cellStyle name="Nota 2 2 16" xfId="21858"/>
    <cellStyle name="Nota 2 2 16 2" xfId="37713"/>
    <cellStyle name="Nota 2 2 17" xfId="21859"/>
    <cellStyle name="Nota 2 2 17 2" xfId="37714"/>
    <cellStyle name="Nota 2 2 18" xfId="21860"/>
    <cellStyle name="Nota 2 2 18 2" xfId="37715"/>
    <cellStyle name="Nota 2 2 19" xfId="21861"/>
    <cellStyle name="Nota 2 2 19 2" xfId="37716"/>
    <cellStyle name="Nota 2 2 2" xfId="21862"/>
    <cellStyle name="Nota 2 2 2 2" xfId="37717"/>
    <cellStyle name="Nota 2 2 20" xfId="21863"/>
    <cellStyle name="Nota 2 2 20 2" xfId="37718"/>
    <cellStyle name="Nota 2 2 21" xfId="21864"/>
    <cellStyle name="Nota 2 2 21 2" xfId="37719"/>
    <cellStyle name="Nota 2 2 22" xfId="21865"/>
    <cellStyle name="Nota 2 2 22 2" xfId="37720"/>
    <cellStyle name="Nota 2 2 23" xfId="21866"/>
    <cellStyle name="Nota 2 2 23 2" xfId="37721"/>
    <cellStyle name="Nota 2 2 24" xfId="21867"/>
    <cellStyle name="Nota 2 2 24 2" xfId="37722"/>
    <cellStyle name="Nota 2 2 25" xfId="21868"/>
    <cellStyle name="Nota 2 2 25 2" xfId="37723"/>
    <cellStyle name="Nota 2 2 26" xfId="21869"/>
    <cellStyle name="Nota 2 2 26 2" xfId="37724"/>
    <cellStyle name="Nota 2 2 27" xfId="21870"/>
    <cellStyle name="Nota 2 2 27 2" xfId="37725"/>
    <cellStyle name="Nota 2 2 28" xfId="29213"/>
    <cellStyle name="Nota 2 2 28 2" xfId="40819"/>
    <cellStyle name="Nota 2 2 3" xfId="21871"/>
    <cellStyle name="Nota 2 2 3 2" xfId="37726"/>
    <cellStyle name="Nota 2 2 4" xfId="21872"/>
    <cellStyle name="Nota 2 2 4 2" xfId="37727"/>
    <cellStyle name="Nota 2 2 5" xfId="21873"/>
    <cellStyle name="Nota 2 2 5 2" xfId="37728"/>
    <cellStyle name="Nota 2 2 6" xfId="21874"/>
    <cellStyle name="Nota 2 2 6 2" xfId="37729"/>
    <cellStyle name="Nota 2 2 7" xfId="21875"/>
    <cellStyle name="Nota 2 2 7 2" xfId="37730"/>
    <cellStyle name="Nota 2 2 8" xfId="21876"/>
    <cellStyle name="Nota 2 2 8 2" xfId="37731"/>
    <cellStyle name="Nota 2 2 9" xfId="21877"/>
    <cellStyle name="Nota 2 2 9 2" xfId="37732"/>
    <cellStyle name="Nota 2 20" xfId="21878"/>
    <cellStyle name="Nota 2 20 2" xfId="29214"/>
    <cellStyle name="Nota 2 21" xfId="21879"/>
    <cellStyle name="Nota 2 21 2" xfId="29215"/>
    <cellStyle name="Nota 2 22" xfId="21880"/>
    <cellStyle name="Nota 2 22 2" xfId="29216"/>
    <cellStyle name="Nota 2 23" xfId="21881"/>
    <cellStyle name="Nota 2 23 2" xfId="29217"/>
    <cellStyle name="Nota 2 24" xfId="21882"/>
    <cellStyle name="Nota 2 24 2" xfId="29218"/>
    <cellStyle name="Nota 2 25" xfId="21883"/>
    <cellStyle name="Nota 2 25 2" xfId="29219"/>
    <cellStyle name="Nota 2 26" xfId="21884"/>
    <cellStyle name="Nota 2 26 2" xfId="29220"/>
    <cellStyle name="Nota 2 27" xfId="21885"/>
    <cellStyle name="Nota 2 27 2" xfId="29221"/>
    <cellStyle name="Nota 2 28" xfId="21886"/>
    <cellStyle name="Nota 2 28 2" xfId="29222"/>
    <cellStyle name="Nota 2 29" xfId="21887"/>
    <cellStyle name="Nota 2 29 2" xfId="29223"/>
    <cellStyle name="Nota 2 3" xfId="21888"/>
    <cellStyle name="Nota 2 3 10" xfId="21889"/>
    <cellStyle name="Nota 2 3 10 2" xfId="37733"/>
    <cellStyle name="Nota 2 3 11" xfId="21890"/>
    <cellStyle name="Nota 2 3 11 2" xfId="37734"/>
    <cellStyle name="Nota 2 3 12" xfId="21891"/>
    <cellStyle name="Nota 2 3 12 2" xfId="37735"/>
    <cellStyle name="Nota 2 3 13" xfId="21892"/>
    <cellStyle name="Nota 2 3 13 2" xfId="37736"/>
    <cellStyle name="Nota 2 3 14" xfId="21893"/>
    <cellStyle name="Nota 2 3 14 2" xfId="37737"/>
    <cellStyle name="Nota 2 3 15" xfId="21894"/>
    <cellStyle name="Nota 2 3 15 2" xfId="37738"/>
    <cellStyle name="Nota 2 3 16" xfId="21895"/>
    <cellStyle name="Nota 2 3 16 2" xfId="37739"/>
    <cellStyle name="Nota 2 3 17" xfId="21896"/>
    <cellStyle name="Nota 2 3 17 2" xfId="37740"/>
    <cellStyle name="Nota 2 3 18" xfId="21897"/>
    <cellStyle name="Nota 2 3 18 2" xfId="37741"/>
    <cellStyle name="Nota 2 3 19" xfId="21898"/>
    <cellStyle name="Nota 2 3 19 2" xfId="37742"/>
    <cellStyle name="Nota 2 3 2" xfId="21899"/>
    <cellStyle name="Nota 2 3 2 2" xfId="37743"/>
    <cellStyle name="Nota 2 3 20" xfId="21900"/>
    <cellStyle name="Nota 2 3 20 2" xfId="37744"/>
    <cellStyle name="Nota 2 3 21" xfId="21901"/>
    <cellStyle name="Nota 2 3 21 2" xfId="37745"/>
    <cellStyle name="Nota 2 3 22" xfId="21902"/>
    <cellStyle name="Nota 2 3 22 2" xfId="37746"/>
    <cellStyle name="Nota 2 3 23" xfId="21903"/>
    <cellStyle name="Nota 2 3 23 2" xfId="37747"/>
    <cellStyle name="Nota 2 3 24" xfId="21904"/>
    <cellStyle name="Nota 2 3 24 2" xfId="37748"/>
    <cellStyle name="Nota 2 3 25" xfId="21905"/>
    <cellStyle name="Nota 2 3 25 2" xfId="37749"/>
    <cellStyle name="Nota 2 3 26" xfId="21906"/>
    <cellStyle name="Nota 2 3 26 2" xfId="37750"/>
    <cellStyle name="Nota 2 3 27" xfId="21907"/>
    <cellStyle name="Nota 2 3 27 2" xfId="37751"/>
    <cellStyle name="Nota 2 3 28" xfId="29224"/>
    <cellStyle name="Nota 2 3 28 2" xfId="40820"/>
    <cellStyle name="Nota 2 3 3" xfId="21908"/>
    <cellStyle name="Nota 2 3 3 2" xfId="37752"/>
    <cellStyle name="Nota 2 3 4" xfId="21909"/>
    <cellStyle name="Nota 2 3 4 2" xfId="37753"/>
    <cellStyle name="Nota 2 3 5" xfId="21910"/>
    <cellStyle name="Nota 2 3 5 2" xfId="37754"/>
    <cellStyle name="Nota 2 3 6" xfId="21911"/>
    <cellStyle name="Nota 2 3 6 2" xfId="37755"/>
    <cellStyle name="Nota 2 3 7" xfId="21912"/>
    <cellStyle name="Nota 2 3 7 2" xfId="37756"/>
    <cellStyle name="Nota 2 3 8" xfId="21913"/>
    <cellStyle name="Nota 2 3 8 2" xfId="37757"/>
    <cellStyle name="Nota 2 3 9" xfId="21914"/>
    <cellStyle name="Nota 2 3 9 2" xfId="37758"/>
    <cellStyle name="Nota 2 30" xfId="21915"/>
    <cellStyle name="Nota 2 30 2" xfId="29225"/>
    <cellStyle name="Nota 2 31" xfId="21916"/>
    <cellStyle name="Nota 2 31 10" xfId="21917"/>
    <cellStyle name="Nota 2 31 10 2" xfId="37760"/>
    <cellStyle name="Nota 2 31 11" xfId="21918"/>
    <cellStyle name="Nota 2 31 11 2" xfId="37761"/>
    <cellStyle name="Nota 2 31 12" xfId="21919"/>
    <cellStyle name="Nota 2 31 12 2" xfId="37762"/>
    <cellStyle name="Nota 2 31 13" xfId="21920"/>
    <cellStyle name="Nota 2 31 13 2" xfId="37763"/>
    <cellStyle name="Nota 2 31 14" xfId="21921"/>
    <cellStyle name="Nota 2 31 14 2" xfId="37764"/>
    <cellStyle name="Nota 2 31 15" xfId="21922"/>
    <cellStyle name="Nota 2 31 15 2" xfId="37765"/>
    <cellStyle name="Nota 2 31 16" xfId="21923"/>
    <cellStyle name="Nota 2 31 16 2" xfId="37766"/>
    <cellStyle name="Nota 2 31 17" xfId="21924"/>
    <cellStyle name="Nota 2 31 17 2" xfId="37767"/>
    <cellStyle name="Nota 2 31 18" xfId="21925"/>
    <cellStyle name="Nota 2 31 18 2" xfId="37768"/>
    <cellStyle name="Nota 2 31 19" xfId="21926"/>
    <cellStyle name="Nota 2 31 19 2" xfId="37769"/>
    <cellStyle name="Nota 2 31 2" xfId="21927"/>
    <cellStyle name="Nota 2 31 2 2" xfId="37770"/>
    <cellStyle name="Nota 2 31 20" xfId="21928"/>
    <cellStyle name="Nota 2 31 20 2" xfId="37771"/>
    <cellStyle name="Nota 2 31 21" xfId="37759"/>
    <cellStyle name="Nota 2 31 3" xfId="21929"/>
    <cellStyle name="Nota 2 31 3 2" xfId="37772"/>
    <cellStyle name="Nota 2 31 4" xfId="21930"/>
    <cellStyle name="Nota 2 31 4 2" xfId="37773"/>
    <cellStyle name="Nota 2 31 5" xfId="21931"/>
    <cellStyle name="Nota 2 31 5 2" xfId="37774"/>
    <cellStyle name="Nota 2 31 6" xfId="21932"/>
    <cellStyle name="Nota 2 31 6 2" xfId="37775"/>
    <cellStyle name="Nota 2 31 7" xfId="21933"/>
    <cellStyle name="Nota 2 31 7 2" xfId="37776"/>
    <cellStyle name="Nota 2 31 8" xfId="21934"/>
    <cellStyle name="Nota 2 31 8 2" xfId="37777"/>
    <cellStyle name="Nota 2 31 9" xfId="21935"/>
    <cellStyle name="Nota 2 31 9 2" xfId="37778"/>
    <cellStyle name="Nota 2 32" xfId="21936"/>
    <cellStyle name="Nota 2 32 10" xfId="21937"/>
    <cellStyle name="Nota 2 32 10 2" xfId="37780"/>
    <cellStyle name="Nota 2 32 11" xfId="21938"/>
    <cellStyle name="Nota 2 32 11 2" xfId="37781"/>
    <cellStyle name="Nota 2 32 12" xfId="21939"/>
    <cellStyle name="Nota 2 32 12 2" xfId="37782"/>
    <cellStyle name="Nota 2 32 13" xfId="21940"/>
    <cellStyle name="Nota 2 32 13 2" xfId="37783"/>
    <cellStyle name="Nota 2 32 14" xfId="21941"/>
    <cellStyle name="Nota 2 32 14 2" xfId="37784"/>
    <cellStyle name="Nota 2 32 15" xfId="21942"/>
    <cellStyle name="Nota 2 32 15 2" xfId="37785"/>
    <cellStyle name="Nota 2 32 16" xfId="21943"/>
    <cellStyle name="Nota 2 32 16 2" xfId="37786"/>
    <cellStyle name="Nota 2 32 17" xfId="21944"/>
    <cellStyle name="Nota 2 32 17 2" xfId="37787"/>
    <cellStyle name="Nota 2 32 18" xfId="21945"/>
    <cellStyle name="Nota 2 32 18 2" xfId="37788"/>
    <cellStyle name="Nota 2 32 19" xfId="21946"/>
    <cellStyle name="Nota 2 32 19 2" xfId="37789"/>
    <cellStyle name="Nota 2 32 2" xfId="21947"/>
    <cellStyle name="Nota 2 32 2 2" xfId="37790"/>
    <cellStyle name="Nota 2 32 20" xfId="21948"/>
    <cellStyle name="Nota 2 32 20 2" xfId="37791"/>
    <cellStyle name="Nota 2 32 21" xfId="37779"/>
    <cellStyle name="Nota 2 32 3" xfId="21949"/>
    <cellStyle name="Nota 2 32 3 2" xfId="37792"/>
    <cellStyle name="Nota 2 32 4" xfId="21950"/>
    <cellStyle name="Nota 2 32 4 2" xfId="37793"/>
    <cellStyle name="Nota 2 32 5" xfId="21951"/>
    <cellStyle name="Nota 2 32 5 2" xfId="37794"/>
    <cellStyle name="Nota 2 32 6" xfId="21952"/>
    <cellStyle name="Nota 2 32 6 2" xfId="37795"/>
    <cellStyle name="Nota 2 32 7" xfId="21953"/>
    <cellStyle name="Nota 2 32 7 2" xfId="37796"/>
    <cellStyle name="Nota 2 32 8" xfId="21954"/>
    <cellStyle name="Nota 2 32 8 2" xfId="37797"/>
    <cellStyle name="Nota 2 32 9" xfId="21955"/>
    <cellStyle name="Nota 2 32 9 2" xfId="37798"/>
    <cellStyle name="Nota 2 33" xfId="21956"/>
    <cellStyle name="Nota 2 33 10" xfId="21957"/>
    <cellStyle name="Nota 2 33 10 2" xfId="37800"/>
    <cellStyle name="Nota 2 33 11" xfId="21958"/>
    <cellStyle name="Nota 2 33 11 2" xfId="37801"/>
    <cellStyle name="Nota 2 33 12" xfId="21959"/>
    <cellStyle name="Nota 2 33 12 2" xfId="37802"/>
    <cellStyle name="Nota 2 33 13" xfId="21960"/>
    <cellStyle name="Nota 2 33 13 2" xfId="37803"/>
    <cellStyle name="Nota 2 33 14" xfId="21961"/>
    <cellStyle name="Nota 2 33 14 2" xfId="37804"/>
    <cellStyle name="Nota 2 33 15" xfId="21962"/>
    <cellStyle name="Nota 2 33 15 2" xfId="37805"/>
    <cellStyle name="Nota 2 33 16" xfId="21963"/>
    <cellStyle name="Nota 2 33 16 2" xfId="37806"/>
    <cellStyle name="Nota 2 33 17" xfId="21964"/>
    <cellStyle name="Nota 2 33 17 2" xfId="37807"/>
    <cellStyle name="Nota 2 33 18" xfId="21965"/>
    <cellStyle name="Nota 2 33 18 2" xfId="37808"/>
    <cellStyle name="Nota 2 33 19" xfId="21966"/>
    <cellStyle name="Nota 2 33 19 2" xfId="37809"/>
    <cellStyle name="Nota 2 33 2" xfId="21967"/>
    <cellStyle name="Nota 2 33 2 2" xfId="37810"/>
    <cellStyle name="Nota 2 33 20" xfId="21968"/>
    <cellStyle name="Nota 2 33 20 2" xfId="37811"/>
    <cellStyle name="Nota 2 33 21" xfId="37799"/>
    <cellStyle name="Nota 2 33 3" xfId="21969"/>
    <cellStyle name="Nota 2 33 3 2" xfId="37812"/>
    <cellStyle name="Nota 2 33 4" xfId="21970"/>
    <cellStyle name="Nota 2 33 4 2" xfId="37813"/>
    <cellStyle name="Nota 2 33 5" xfId="21971"/>
    <cellStyle name="Nota 2 33 5 2" xfId="37814"/>
    <cellStyle name="Nota 2 33 6" xfId="21972"/>
    <cellStyle name="Nota 2 33 6 2" xfId="37815"/>
    <cellStyle name="Nota 2 33 7" xfId="21973"/>
    <cellStyle name="Nota 2 33 7 2" xfId="37816"/>
    <cellStyle name="Nota 2 33 8" xfId="21974"/>
    <cellStyle name="Nota 2 33 8 2" xfId="37817"/>
    <cellStyle name="Nota 2 33 9" xfId="21975"/>
    <cellStyle name="Nota 2 33 9 2" xfId="37818"/>
    <cellStyle name="Nota 2 34" xfId="21976"/>
    <cellStyle name="Nota 2 34 10" xfId="21977"/>
    <cellStyle name="Nota 2 34 10 2" xfId="37820"/>
    <cellStyle name="Nota 2 34 11" xfId="21978"/>
    <cellStyle name="Nota 2 34 11 2" xfId="37821"/>
    <cellStyle name="Nota 2 34 12" xfId="21979"/>
    <cellStyle name="Nota 2 34 12 2" xfId="37822"/>
    <cellStyle name="Nota 2 34 13" xfId="21980"/>
    <cellStyle name="Nota 2 34 13 2" xfId="37823"/>
    <cellStyle name="Nota 2 34 14" xfId="21981"/>
    <cellStyle name="Nota 2 34 14 2" xfId="37824"/>
    <cellStyle name="Nota 2 34 15" xfId="21982"/>
    <cellStyle name="Nota 2 34 15 2" xfId="37825"/>
    <cellStyle name="Nota 2 34 16" xfId="21983"/>
    <cellStyle name="Nota 2 34 16 2" xfId="37826"/>
    <cellStyle name="Nota 2 34 17" xfId="21984"/>
    <cellStyle name="Nota 2 34 17 2" xfId="37827"/>
    <cellStyle name="Nota 2 34 18" xfId="21985"/>
    <cellStyle name="Nota 2 34 18 2" xfId="37828"/>
    <cellStyle name="Nota 2 34 19" xfId="21986"/>
    <cellStyle name="Nota 2 34 19 2" xfId="37829"/>
    <cellStyle name="Nota 2 34 2" xfId="21987"/>
    <cellStyle name="Nota 2 34 2 2" xfId="37830"/>
    <cellStyle name="Nota 2 34 20" xfId="21988"/>
    <cellStyle name="Nota 2 34 20 2" xfId="37831"/>
    <cellStyle name="Nota 2 34 21" xfId="37819"/>
    <cellStyle name="Nota 2 34 3" xfId="21989"/>
    <cellStyle name="Nota 2 34 3 2" xfId="37832"/>
    <cellStyle name="Nota 2 34 4" xfId="21990"/>
    <cellStyle name="Nota 2 34 4 2" xfId="37833"/>
    <cellStyle name="Nota 2 34 5" xfId="21991"/>
    <cellStyle name="Nota 2 34 5 2" xfId="37834"/>
    <cellStyle name="Nota 2 34 6" xfId="21992"/>
    <cellStyle name="Nota 2 34 6 2" xfId="37835"/>
    <cellStyle name="Nota 2 34 7" xfId="21993"/>
    <cellStyle name="Nota 2 34 7 2" xfId="37836"/>
    <cellStyle name="Nota 2 34 8" xfId="21994"/>
    <cellStyle name="Nota 2 34 8 2" xfId="37837"/>
    <cellStyle name="Nota 2 34 9" xfId="21995"/>
    <cellStyle name="Nota 2 34 9 2" xfId="37838"/>
    <cellStyle name="Nota 2 35" xfId="21996"/>
    <cellStyle name="Nota 2 35 2" xfId="37839"/>
    <cellStyle name="Nota 2 36" xfId="21997"/>
    <cellStyle name="Nota 2 36 2" xfId="37840"/>
    <cellStyle name="Nota 2 37" xfId="21998"/>
    <cellStyle name="Nota 2 37 2" xfId="37841"/>
    <cellStyle name="Nota 2 38" xfId="21999"/>
    <cellStyle name="Nota 2 38 2" xfId="37842"/>
    <cellStyle name="Nota 2 39" xfId="22000"/>
    <cellStyle name="Nota 2 39 2" xfId="37843"/>
    <cellStyle name="Nota 2 4" xfId="22001"/>
    <cellStyle name="Nota 2 4 2" xfId="29226"/>
    <cellStyle name="Nota 2 4 2 2" xfId="40821"/>
    <cellStyle name="Nota 2 40" xfId="22002"/>
    <cellStyle name="Nota 2 40 2" xfId="37844"/>
    <cellStyle name="Nota 2 41" xfId="22003"/>
    <cellStyle name="Nota 2 41 2" xfId="37845"/>
    <cellStyle name="Nota 2 42" xfId="22004"/>
    <cellStyle name="Nota 2 42 2" xfId="37846"/>
    <cellStyle name="Nota 2 43" xfId="22005"/>
    <cellStyle name="Nota 2 43 2" xfId="37847"/>
    <cellStyle name="Nota 2 44" xfId="22006"/>
    <cellStyle name="Nota 2 44 2" xfId="37848"/>
    <cellStyle name="Nota 2 45" xfId="22007"/>
    <cellStyle name="Nota 2 45 2" xfId="37849"/>
    <cellStyle name="Nota 2 46" xfId="22008"/>
    <cellStyle name="Nota 2 46 2" xfId="37850"/>
    <cellStyle name="Nota 2 47" xfId="22009"/>
    <cellStyle name="Nota 2 47 2" xfId="37851"/>
    <cellStyle name="Nota 2 48" xfId="22010"/>
    <cellStyle name="Nota 2 48 2" xfId="37852"/>
    <cellStyle name="Nota 2 49" xfId="29392"/>
    <cellStyle name="Nota 2 49 2" xfId="40472"/>
    <cellStyle name="Nota 2 5" xfId="22011"/>
    <cellStyle name="Nota 2 5 2" xfId="29227"/>
    <cellStyle name="Nota 2 5 2 2" xfId="40822"/>
    <cellStyle name="Nota 2 6" xfId="22012"/>
    <cellStyle name="Nota 2 6 2" xfId="29228"/>
    <cellStyle name="Nota 2 6 2 2" xfId="40823"/>
    <cellStyle name="Nota 2 7" xfId="22013"/>
    <cellStyle name="Nota 2 7 2" xfId="29229"/>
    <cellStyle name="Nota 2 7 2 2" xfId="40824"/>
    <cellStyle name="Nota 2 8" xfId="22014"/>
    <cellStyle name="Nota 2 8 2" xfId="29230"/>
    <cellStyle name="Nota 2 8 2 2" xfId="41056"/>
    <cellStyle name="Nota 2 9" xfId="22015"/>
    <cellStyle name="Nota 2 9 2" xfId="22016"/>
    <cellStyle name="Nota 2 9 2 2" xfId="29232"/>
    <cellStyle name="Nota 2 9 3" xfId="22017"/>
    <cellStyle name="Nota 2 9 3 2" xfId="29233"/>
    <cellStyle name="Nota 2 9 4" xfId="22018"/>
    <cellStyle name="Nota 2 9 4 2" xfId="29234"/>
    <cellStyle name="Nota 2 9 5" xfId="29231"/>
    <cellStyle name="Nota 20" xfId="22019"/>
    <cellStyle name="Nota 20 2" xfId="22020"/>
    <cellStyle name="Nota 20 2 2" xfId="37853"/>
    <cellStyle name="Nota 20 3" xfId="22021"/>
    <cellStyle name="Nota 20 3 2" xfId="37854"/>
    <cellStyle name="Nota 20 4" xfId="22022"/>
    <cellStyle name="Nota 20 4 2" xfId="37855"/>
    <cellStyle name="Nota 20 5" xfId="22023"/>
    <cellStyle name="Nota 20 5 2" xfId="37856"/>
    <cellStyle name="Nota 20 6" xfId="22024"/>
    <cellStyle name="Nota 20 6 2" xfId="37857"/>
    <cellStyle name="Nota 20 7" xfId="22025"/>
    <cellStyle name="Nota 20 7 2" xfId="37858"/>
    <cellStyle name="Nota 20 8" xfId="29235"/>
    <cellStyle name="Nota 20 8 2" xfId="40825"/>
    <cellStyle name="Nota 200" xfId="22026"/>
    <cellStyle name="Nota 200 2" xfId="37859"/>
    <cellStyle name="Nota 201" xfId="22027"/>
    <cellStyle name="Nota 201 2" xfId="37860"/>
    <cellStyle name="Nota 202" xfId="22028"/>
    <cellStyle name="Nota 202 2" xfId="37861"/>
    <cellStyle name="Nota 203" xfId="22029"/>
    <cellStyle name="Nota 203 2" xfId="37862"/>
    <cellStyle name="Nota 204" xfId="22030"/>
    <cellStyle name="Nota 204 2" xfId="37863"/>
    <cellStyle name="Nota 205" xfId="22031"/>
    <cellStyle name="Nota 205 2" xfId="37864"/>
    <cellStyle name="Nota 206" xfId="22032"/>
    <cellStyle name="Nota 206 2" xfId="37865"/>
    <cellStyle name="Nota 207" xfId="22033"/>
    <cellStyle name="Nota 207 2" xfId="37866"/>
    <cellStyle name="Nota 208" xfId="22034"/>
    <cellStyle name="Nota 208 2" xfId="37867"/>
    <cellStyle name="Nota 209" xfId="22035"/>
    <cellStyle name="Nota 209 2" xfId="37868"/>
    <cellStyle name="Nota 21" xfId="22036"/>
    <cellStyle name="Nota 21 2" xfId="29236"/>
    <cellStyle name="Nota 21 2 2" xfId="41043"/>
    <cellStyle name="Nota 21 3" xfId="41024"/>
    <cellStyle name="Nota 21 4" xfId="40826"/>
    <cellStyle name="Nota 210" xfId="40468"/>
    <cellStyle name="Nota 22" xfId="22037"/>
    <cellStyle name="Nota 22 2" xfId="29237"/>
    <cellStyle name="Nota 22 2 2" xfId="41044"/>
    <cellStyle name="Nota 22 3" xfId="41023"/>
    <cellStyle name="Nota 22 4" xfId="40827"/>
    <cellStyle name="Nota 23" xfId="22038"/>
    <cellStyle name="Nota 23 2" xfId="29238"/>
    <cellStyle name="Nota 23 2 2" xfId="41045"/>
    <cellStyle name="Nota 23 3" xfId="41022"/>
    <cellStyle name="Nota 23 4" xfId="40828"/>
    <cellStyle name="Nota 24" xfId="22039"/>
    <cellStyle name="Nota 24 2" xfId="29239"/>
    <cellStyle name="Nota 24 2 2" xfId="40973"/>
    <cellStyle name="Nota 25" xfId="22040"/>
    <cellStyle name="Nota 25 2" xfId="29240"/>
    <cellStyle name="Nota 25 2 2" xfId="41008"/>
    <cellStyle name="Nota 26" xfId="22041"/>
    <cellStyle name="Nota 26 2" xfId="22042"/>
    <cellStyle name="Nota 26 2 10" xfId="22043"/>
    <cellStyle name="Nota 26 2 10 2" xfId="37871"/>
    <cellStyle name="Nota 26 2 11" xfId="22044"/>
    <cellStyle name="Nota 26 2 11 2" xfId="37872"/>
    <cellStyle name="Nota 26 2 12" xfId="22045"/>
    <cellStyle name="Nota 26 2 12 2" xfId="37873"/>
    <cellStyle name="Nota 26 2 13" xfId="22046"/>
    <cellStyle name="Nota 26 2 13 2" xfId="37874"/>
    <cellStyle name="Nota 26 2 14" xfId="22047"/>
    <cellStyle name="Nota 26 2 14 2" xfId="37875"/>
    <cellStyle name="Nota 26 2 15" xfId="22048"/>
    <cellStyle name="Nota 26 2 15 2" xfId="37876"/>
    <cellStyle name="Nota 26 2 16" xfId="37870"/>
    <cellStyle name="Nota 26 2 2" xfId="22049"/>
    <cellStyle name="Nota 26 2 2 2" xfId="37877"/>
    <cellStyle name="Nota 26 2 3" xfId="22050"/>
    <cellStyle name="Nota 26 2 3 2" xfId="37878"/>
    <cellStyle name="Nota 26 2 4" xfId="22051"/>
    <cellStyle name="Nota 26 2 4 2" xfId="37879"/>
    <cellStyle name="Nota 26 2 5" xfId="22052"/>
    <cellStyle name="Nota 26 2 5 2" xfId="37880"/>
    <cellStyle name="Nota 26 2 6" xfId="22053"/>
    <cellStyle name="Nota 26 2 6 2" xfId="37881"/>
    <cellStyle name="Nota 26 2 7" xfId="22054"/>
    <cellStyle name="Nota 26 2 7 2" xfId="37882"/>
    <cellStyle name="Nota 26 2 8" xfId="22055"/>
    <cellStyle name="Nota 26 2 8 2" xfId="37883"/>
    <cellStyle name="Nota 26 2 9" xfId="22056"/>
    <cellStyle name="Nota 26 2 9 2" xfId="37884"/>
    <cellStyle name="Nota 26 3" xfId="22057"/>
    <cellStyle name="Nota 26 3 10" xfId="22058"/>
    <cellStyle name="Nota 26 3 10 2" xfId="37886"/>
    <cellStyle name="Nota 26 3 11" xfId="22059"/>
    <cellStyle name="Nota 26 3 11 2" xfId="37887"/>
    <cellStyle name="Nota 26 3 12" xfId="22060"/>
    <cellStyle name="Nota 26 3 12 2" xfId="37888"/>
    <cellStyle name="Nota 26 3 13" xfId="22061"/>
    <cellStyle name="Nota 26 3 13 2" xfId="37889"/>
    <cellStyle name="Nota 26 3 14" xfId="22062"/>
    <cellStyle name="Nota 26 3 14 2" xfId="37890"/>
    <cellStyle name="Nota 26 3 15" xfId="22063"/>
    <cellStyle name="Nota 26 3 15 2" xfId="37891"/>
    <cellStyle name="Nota 26 3 16" xfId="37885"/>
    <cellStyle name="Nota 26 3 2" xfId="22064"/>
    <cellStyle name="Nota 26 3 2 2" xfId="37892"/>
    <cellStyle name="Nota 26 3 3" xfId="22065"/>
    <cellStyle name="Nota 26 3 3 2" xfId="37893"/>
    <cellStyle name="Nota 26 3 4" xfId="22066"/>
    <cellStyle name="Nota 26 3 4 2" xfId="37894"/>
    <cellStyle name="Nota 26 3 5" xfId="22067"/>
    <cellStyle name="Nota 26 3 5 2" xfId="37895"/>
    <cellStyle name="Nota 26 3 6" xfId="22068"/>
    <cellStyle name="Nota 26 3 6 2" xfId="37896"/>
    <cellStyle name="Nota 26 3 7" xfId="22069"/>
    <cellStyle name="Nota 26 3 7 2" xfId="37897"/>
    <cellStyle name="Nota 26 3 8" xfId="22070"/>
    <cellStyle name="Nota 26 3 8 2" xfId="37898"/>
    <cellStyle name="Nota 26 3 9" xfId="22071"/>
    <cellStyle name="Nota 26 3 9 2" xfId="37899"/>
    <cellStyle name="Nota 26 4" xfId="22072"/>
    <cellStyle name="Nota 26 4 10" xfId="22073"/>
    <cellStyle name="Nota 26 4 10 2" xfId="37901"/>
    <cellStyle name="Nota 26 4 11" xfId="22074"/>
    <cellStyle name="Nota 26 4 11 2" xfId="37902"/>
    <cellStyle name="Nota 26 4 12" xfId="22075"/>
    <cellStyle name="Nota 26 4 12 2" xfId="37903"/>
    <cellStyle name="Nota 26 4 13" xfId="22076"/>
    <cellStyle name="Nota 26 4 13 2" xfId="37904"/>
    <cellStyle name="Nota 26 4 14" xfId="22077"/>
    <cellStyle name="Nota 26 4 14 2" xfId="37905"/>
    <cellStyle name="Nota 26 4 15" xfId="22078"/>
    <cellStyle name="Nota 26 4 15 2" xfId="37906"/>
    <cellStyle name="Nota 26 4 16" xfId="37900"/>
    <cellStyle name="Nota 26 4 2" xfId="22079"/>
    <cellStyle name="Nota 26 4 2 2" xfId="37907"/>
    <cellStyle name="Nota 26 4 3" xfId="22080"/>
    <cellStyle name="Nota 26 4 3 2" xfId="37908"/>
    <cellStyle name="Nota 26 4 4" xfId="22081"/>
    <cellStyle name="Nota 26 4 4 2" xfId="37909"/>
    <cellStyle name="Nota 26 4 5" xfId="22082"/>
    <cellStyle name="Nota 26 4 5 2" xfId="37910"/>
    <cellStyle name="Nota 26 4 6" xfId="22083"/>
    <cellStyle name="Nota 26 4 6 2" xfId="37911"/>
    <cellStyle name="Nota 26 4 7" xfId="22084"/>
    <cellStyle name="Nota 26 4 7 2" xfId="37912"/>
    <cellStyle name="Nota 26 4 8" xfId="22085"/>
    <cellStyle name="Nota 26 4 8 2" xfId="37913"/>
    <cellStyle name="Nota 26 4 9" xfId="22086"/>
    <cellStyle name="Nota 26 4 9 2" xfId="37914"/>
    <cellStyle name="Nota 26 5" xfId="22087"/>
    <cellStyle name="Nota 26 5 10" xfId="22088"/>
    <cellStyle name="Nota 26 5 10 2" xfId="37916"/>
    <cellStyle name="Nota 26 5 11" xfId="22089"/>
    <cellStyle name="Nota 26 5 11 2" xfId="37917"/>
    <cellStyle name="Nota 26 5 12" xfId="22090"/>
    <cellStyle name="Nota 26 5 12 2" xfId="37918"/>
    <cellStyle name="Nota 26 5 13" xfId="22091"/>
    <cellStyle name="Nota 26 5 13 2" xfId="37919"/>
    <cellStyle name="Nota 26 5 14" xfId="22092"/>
    <cellStyle name="Nota 26 5 14 2" xfId="37920"/>
    <cellStyle name="Nota 26 5 15" xfId="22093"/>
    <cellStyle name="Nota 26 5 15 2" xfId="37921"/>
    <cellStyle name="Nota 26 5 16" xfId="37915"/>
    <cellStyle name="Nota 26 5 2" xfId="22094"/>
    <cellStyle name="Nota 26 5 2 2" xfId="37922"/>
    <cellStyle name="Nota 26 5 3" xfId="22095"/>
    <cellStyle name="Nota 26 5 3 2" xfId="37923"/>
    <cellStyle name="Nota 26 5 4" xfId="22096"/>
    <cellStyle name="Nota 26 5 4 2" xfId="37924"/>
    <cellStyle name="Nota 26 5 5" xfId="22097"/>
    <cellStyle name="Nota 26 5 5 2" xfId="37925"/>
    <cellStyle name="Nota 26 5 6" xfId="22098"/>
    <cellStyle name="Nota 26 5 6 2" xfId="37926"/>
    <cellStyle name="Nota 26 5 7" xfId="22099"/>
    <cellStyle name="Nota 26 5 7 2" xfId="37927"/>
    <cellStyle name="Nota 26 5 8" xfId="22100"/>
    <cellStyle name="Nota 26 5 8 2" xfId="37928"/>
    <cellStyle name="Nota 26 5 9" xfId="22101"/>
    <cellStyle name="Nota 26 5 9 2" xfId="37929"/>
    <cellStyle name="Nota 26 6" xfId="41018"/>
    <cellStyle name="Nota 26 7" xfId="37869"/>
    <cellStyle name="Nota 27" xfId="22102"/>
    <cellStyle name="Nota 27 2" xfId="22103"/>
    <cellStyle name="Nota 27 2 10" xfId="22104"/>
    <cellStyle name="Nota 27 2 10 2" xfId="37932"/>
    <cellStyle name="Nota 27 2 11" xfId="22105"/>
    <cellStyle name="Nota 27 2 11 2" xfId="37933"/>
    <cellStyle name="Nota 27 2 12" xfId="22106"/>
    <cellStyle name="Nota 27 2 12 2" xfId="37934"/>
    <cellStyle name="Nota 27 2 13" xfId="22107"/>
    <cellStyle name="Nota 27 2 13 2" xfId="37935"/>
    <cellStyle name="Nota 27 2 14" xfId="22108"/>
    <cellStyle name="Nota 27 2 14 2" xfId="37936"/>
    <cellStyle name="Nota 27 2 15" xfId="22109"/>
    <cellStyle name="Nota 27 2 15 2" xfId="37937"/>
    <cellStyle name="Nota 27 2 16" xfId="37931"/>
    <cellStyle name="Nota 27 2 2" xfId="22110"/>
    <cellStyle name="Nota 27 2 2 2" xfId="37938"/>
    <cellStyle name="Nota 27 2 3" xfId="22111"/>
    <cellStyle name="Nota 27 2 3 2" xfId="37939"/>
    <cellStyle name="Nota 27 2 4" xfId="22112"/>
    <cellStyle name="Nota 27 2 4 2" xfId="37940"/>
    <cellStyle name="Nota 27 2 5" xfId="22113"/>
    <cellStyle name="Nota 27 2 5 2" xfId="37941"/>
    <cellStyle name="Nota 27 2 6" xfId="22114"/>
    <cellStyle name="Nota 27 2 6 2" xfId="37942"/>
    <cellStyle name="Nota 27 2 7" xfId="22115"/>
    <cellStyle name="Nota 27 2 7 2" xfId="37943"/>
    <cellStyle name="Nota 27 2 8" xfId="22116"/>
    <cellStyle name="Nota 27 2 8 2" xfId="37944"/>
    <cellStyle name="Nota 27 2 9" xfId="22117"/>
    <cellStyle name="Nota 27 2 9 2" xfId="37945"/>
    <cellStyle name="Nota 27 3" xfId="22118"/>
    <cellStyle name="Nota 27 3 10" xfId="22119"/>
    <cellStyle name="Nota 27 3 10 2" xfId="37947"/>
    <cellStyle name="Nota 27 3 11" xfId="22120"/>
    <cellStyle name="Nota 27 3 11 2" xfId="37948"/>
    <cellStyle name="Nota 27 3 12" xfId="22121"/>
    <cellStyle name="Nota 27 3 12 2" xfId="37949"/>
    <cellStyle name="Nota 27 3 13" xfId="22122"/>
    <cellStyle name="Nota 27 3 13 2" xfId="37950"/>
    <cellStyle name="Nota 27 3 14" xfId="22123"/>
    <cellStyle name="Nota 27 3 14 2" xfId="37951"/>
    <cellStyle name="Nota 27 3 15" xfId="22124"/>
    <cellStyle name="Nota 27 3 15 2" xfId="37952"/>
    <cellStyle name="Nota 27 3 16" xfId="37946"/>
    <cellStyle name="Nota 27 3 2" xfId="22125"/>
    <cellStyle name="Nota 27 3 2 2" xfId="37953"/>
    <cellStyle name="Nota 27 3 3" xfId="22126"/>
    <cellStyle name="Nota 27 3 3 2" xfId="37954"/>
    <cellStyle name="Nota 27 3 4" xfId="22127"/>
    <cellStyle name="Nota 27 3 4 2" xfId="37955"/>
    <cellStyle name="Nota 27 3 5" xfId="22128"/>
    <cellStyle name="Nota 27 3 5 2" xfId="37956"/>
    <cellStyle name="Nota 27 3 6" xfId="22129"/>
    <cellStyle name="Nota 27 3 6 2" xfId="37957"/>
    <cellStyle name="Nota 27 3 7" xfId="22130"/>
    <cellStyle name="Nota 27 3 7 2" xfId="37958"/>
    <cellStyle name="Nota 27 3 8" xfId="22131"/>
    <cellStyle name="Nota 27 3 8 2" xfId="37959"/>
    <cellStyle name="Nota 27 3 9" xfId="22132"/>
    <cellStyle name="Nota 27 3 9 2" xfId="37960"/>
    <cellStyle name="Nota 27 4" xfId="22133"/>
    <cellStyle name="Nota 27 4 10" xfId="22134"/>
    <cellStyle name="Nota 27 4 10 2" xfId="37962"/>
    <cellStyle name="Nota 27 4 11" xfId="22135"/>
    <cellStyle name="Nota 27 4 11 2" xfId="37963"/>
    <cellStyle name="Nota 27 4 12" xfId="22136"/>
    <cellStyle name="Nota 27 4 12 2" xfId="37964"/>
    <cellStyle name="Nota 27 4 13" xfId="22137"/>
    <cellStyle name="Nota 27 4 13 2" xfId="37965"/>
    <cellStyle name="Nota 27 4 14" xfId="22138"/>
    <cellStyle name="Nota 27 4 14 2" xfId="37966"/>
    <cellStyle name="Nota 27 4 15" xfId="22139"/>
    <cellStyle name="Nota 27 4 15 2" xfId="37967"/>
    <cellStyle name="Nota 27 4 16" xfId="37961"/>
    <cellStyle name="Nota 27 4 2" xfId="22140"/>
    <cellStyle name="Nota 27 4 2 2" xfId="37968"/>
    <cellStyle name="Nota 27 4 3" xfId="22141"/>
    <cellStyle name="Nota 27 4 3 2" xfId="37969"/>
    <cellStyle name="Nota 27 4 4" xfId="22142"/>
    <cellStyle name="Nota 27 4 4 2" xfId="37970"/>
    <cellStyle name="Nota 27 4 5" xfId="22143"/>
    <cellStyle name="Nota 27 4 5 2" xfId="37971"/>
    <cellStyle name="Nota 27 4 6" xfId="22144"/>
    <cellStyle name="Nota 27 4 6 2" xfId="37972"/>
    <cellStyle name="Nota 27 4 7" xfId="22145"/>
    <cellStyle name="Nota 27 4 7 2" xfId="37973"/>
    <cellStyle name="Nota 27 4 8" xfId="22146"/>
    <cellStyle name="Nota 27 4 8 2" xfId="37974"/>
    <cellStyle name="Nota 27 4 9" xfId="22147"/>
    <cellStyle name="Nota 27 4 9 2" xfId="37975"/>
    <cellStyle name="Nota 27 5" xfId="22148"/>
    <cellStyle name="Nota 27 5 10" xfId="22149"/>
    <cellStyle name="Nota 27 5 10 2" xfId="37977"/>
    <cellStyle name="Nota 27 5 11" xfId="22150"/>
    <cellStyle name="Nota 27 5 11 2" xfId="37978"/>
    <cellStyle name="Nota 27 5 12" xfId="22151"/>
    <cellStyle name="Nota 27 5 12 2" xfId="37979"/>
    <cellStyle name="Nota 27 5 13" xfId="22152"/>
    <cellStyle name="Nota 27 5 13 2" xfId="37980"/>
    <cellStyle name="Nota 27 5 14" xfId="22153"/>
    <cellStyle name="Nota 27 5 14 2" xfId="37981"/>
    <cellStyle name="Nota 27 5 15" xfId="22154"/>
    <cellStyle name="Nota 27 5 15 2" xfId="37982"/>
    <cellStyle name="Nota 27 5 16" xfId="37976"/>
    <cellStyle name="Nota 27 5 2" xfId="22155"/>
    <cellStyle name="Nota 27 5 2 2" xfId="37983"/>
    <cellStyle name="Nota 27 5 3" xfId="22156"/>
    <cellStyle name="Nota 27 5 3 2" xfId="37984"/>
    <cellStyle name="Nota 27 5 4" xfId="22157"/>
    <cellStyle name="Nota 27 5 4 2" xfId="37985"/>
    <cellStyle name="Nota 27 5 5" xfId="22158"/>
    <cellStyle name="Nota 27 5 5 2" xfId="37986"/>
    <cellStyle name="Nota 27 5 6" xfId="22159"/>
    <cellStyle name="Nota 27 5 6 2" xfId="37987"/>
    <cellStyle name="Nota 27 5 7" xfId="22160"/>
    <cellStyle name="Nota 27 5 7 2" xfId="37988"/>
    <cellStyle name="Nota 27 5 8" xfId="22161"/>
    <cellStyle name="Nota 27 5 8 2" xfId="37989"/>
    <cellStyle name="Nota 27 5 9" xfId="22162"/>
    <cellStyle name="Nota 27 5 9 2" xfId="37990"/>
    <cellStyle name="Nota 27 6" xfId="37930"/>
    <cellStyle name="Nota 28" xfId="22163"/>
    <cellStyle name="Nota 28 2" xfId="22164"/>
    <cellStyle name="Nota 28 2 10" xfId="22165"/>
    <cellStyle name="Nota 28 2 10 2" xfId="37993"/>
    <cellStyle name="Nota 28 2 11" xfId="22166"/>
    <cellStyle name="Nota 28 2 11 2" xfId="37994"/>
    <cellStyle name="Nota 28 2 12" xfId="22167"/>
    <cellStyle name="Nota 28 2 12 2" xfId="37995"/>
    <cellStyle name="Nota 28 2 13" xfId="22168"/>
    <cellStyle name="Nota 28 2 13 2" xfId="37996"/>
    <cellStyle name="Nota 28 2 14" xfId="22169"/>
    <cellStyle name="Nota 28 2 14 2" xfId="37997"/>
    <cellStyle name="Nota 28 2 15" xfId="22170"/>
    <cellStyle name="Nota 28 2 15 2" xfId="37998"/>
    <cellStyle name="Nota 28 2 16" xfId="37992"/>
    <cellStyle name="Nota 28 2 2" xfId="22171"/>
    <cellStyle name="Nota 28 2 2 2" xfId="37999"/>
    <cellStyle name="Nota 28 2 3" xfId="22172"/>
    <cellStyle name="Nota 28 2 3 2" xfId="38000"/>
    <cellStyle name="Nota 28 2 4" xfId="22173"/>
    <cellStyle name="Nota 28 2 4 2" xfId="38001"/>
    <cellStyle name="Nota 28 2 5" xfId="22174"/>
    <cellStyle name="Nota 28 2 5 2" xfId="38002"/>
    <cellStyle name="Nota 28 2 6" xfId="22175"/>
    <cellStyle name="Nota 28 2 6 2" xfId="38003"/>
    <cellStyle name="Nota 28 2 7" xfId="22176"/>
    <cellStyle name="Nota 28 2 7 2" xfId="38004"/>
    <cellStyle name="Nota 28 2 8" xfId="22177"/>
    <cellStyle name="Nota 28 2 8 2" xfId="38005"/>
    <cellStyle name="Nota 28 2 9" xfId="22178"/>
    <cellStyle name="Nota 28 2 9 2" xfId="38006"/>
    <cellStyle name="Nota 28 3" xfId="22179"/>
    <cellStyle name="Nota 28 3 10" xfId="22180"/>
    <cellStyle name="Nota 28 3 10 2" xfId="38008"/>
    <cellStyle name="Nota 28 3 11" xfId="22181"/>
    <cellStyle name="Nota 28 3 11 2" xfId="38009"/>
    <cellStyle name="Nota 28 3 12" xfId="22182"/>
    <cellStyle name="Nota 28 3 12 2" xfId="38010"/>
    <cellStyle name="Nota 28 3 13" xfId="22183"/>
    <cellStyle name="Nota 28 3 13 2" xfId="38011"/>
    <cellStyle name="Nota 28 3 14" xfId="22184"/>
    <cellStyle name="Nota 28 3 14 2" xfId="38012"/>
    <cellStyle name="Nota 28 3 15" xfId="22185"/>
    <cellStyle name="Nota 28 3 15 2" xfId="38013"/>
    <cellStyle name="Nota 28 3 16" xfId="38007"/>
    <cellStyle name="Nota 28 3 2" xfId="22186"/>
    <cellStyle name="Nota 28 3 2 2" xfId="38014"/>
    <cellStyle name="Nota 28 3 3" xfId="22187"/>
    <cellStyle name="Nota 28 3 3 2" xfId="38015"/>
    <cellStyle name="Nota 28 3 4" xfId="22188"/>
    <cellStyle name="Nota 28 3 4 2" xfId="38016"/>
    <cellStyle name="Nota 28 3 5" xfId="22189"/>
    <cellStyle name="Nota 28 3 5 2" xfId="38017"/>
    <cellStyle name="Nota 28 3 6" xfId="22190"/>
    <cellStyle name="Nota 28 3 6 2" xfId="38018"/>
    <cellStyle name="Nota 28 3 7" xfId="22191"/>
    <cellStyle name="Nota 28 3 7 2" xfId="38019"/>
    <cellStyle name="Nota 28 3 8" xfId="22192"/>
    <cellStyle name="Nota 28 3 8 2" xfId="38020"/>
    <cellStyle name="Nota 28 3 9" xfId="22193"/>
    <cellStyle name="Nota 28 3 9 2" xfId="38021"/>
    <cellStyle name="Nota 28 4" xfId="22194"/>
    <cellStyle name="Nota 28 4 10" xfId="22195"/>
    <cellStyle name="Nota 28 4 10 2" xfId="38023"/>
    <cellStyle name="Nota 28 4 11" xfId="22196"/>
    <cellStyle name="Nota 28 4 11 2" xfId="38024"/>
    <cellStyle name="Nota 28 4 12" xfId="22197"/>
    <cellStyle name="Nota 28 4 12 2" xfId="38025"/>
    <cellStyle name="Nota 28 4 13" xfId="22198"/>
    <cellStyle name="Nota 28 4 13 2" xfId="38026"/>
    <cellStyle name="Nota 28 4 14" xfId="22199"/>
    <cellStyle name="Nota 28 4 14 2" xfId="38027"/>
    <cellStyle name="Nota 28 4 15" xfId="22200"/>
    <cellStyle name="Nota 28 4 15 2" xfId="38028"/>
    <cellStyle name="Nota 28 4 16" xfId="38022"/>
    <cellStyle name="Nota 28 4 2" xfId="22201"/>
    <cellStyle name="Nota 28 4 2 2" xfId="38029"/>
    <cellStyle name="Nota 28 4 3" xfId="22202"/>
    <cellStyle name="Nota 28 4 3 2" xfId="38030"/>
    <cellStyle name="Nota 28 4 4" xfId="22203"/>
    <cellStyle name="Nota 28 4 4 2" xfId="38031"/>
    <cellStyle name="Nota 28 4 5" xfId="22204"/>
    <cellStyle name="Nota 28 4 5 2" xfId="38032"/>
    <cellStyle name="Nota 28 4 6" xfId="22205"/>
    <cellStyle name="Nota 28 4 6 2" xfId="38033"/>
    <cellStyle name="Nota 28 4 7" xfId="22206"/>
    <cellStyle name="Nota 28 4 7 2" xfId="38034"/>
    <cellStyle name="Nota 28 4 8" xfId="22207"/>
    <cellStyle name="Nota 28 4 8 2" xfId="38035"/>
    <cellStyle name="Nota 28 4 9" xfId="22208"/>
    <cellStyle name="Nota 28 4 9 2" xfId="38036"/>
    <cellStyle name="Nota 28 5" xfId="22209"/>
    <cellStyle name="Nota 28 5 10" xfId="22210"/>
    <cellStyle name="Nota 28 5 10 2" xfId="38038"/>
    <cellStyle name="Nota 28 5 11" xfId="22211"/>
    <cellStyle name="Nota 28 5 11 2" xfId="38039"/>
    <cellStyle name="Nota 28 5 12" xfId="22212"/>
    <cellStyle name="Nota 28 5 12 2" xfId="38040"/>
    <cellStyle name="Nota 28 5 13" xfId="22213"/>
    <cellStyle name="Nota 28 5 13 2" xfId="38041"/>
    <cellStyle name="Nota 28 5 14" xfId="22214"/>
    <cellStyle name="Nota 28 5 14 2" xfId="38042"/>
    <cellStyle name="Nota 28 5 15" xfId="22215"/>
    <cellStyle name="Nota 28 5 15 2" xfId="38043"/>
    <cellStyle name="Nota 28 5 16" xfId="38037"/>
    <cellStyle name="Nota 28 5 2" xfId="22216"/>
    <cellStyle name="Nota 28 5 2 2" xfId="38044"/>
    <cellStyle name="Nota 28 5 3" xfId="22217"/>
    <cellStyle name="Nota 28 5 3 2" xfId="38045"/>
    <cellStyle name="Nota 28 5 4" xfId="22218"/>
    <cellStyle name="Nota 28 5 4 2" xfId="38046"/>
    <cellStyle name="Nota 28 5 5" xfId="22219"/>
    <cellStyle name="Nota 28 5 5 2" xfId="38047"/>
    <cellStyle name="Nota 28 5 6" xfId="22220"/>
    <cellStyle name="Nota 28 5 6 2" xfId="38048"/>
    <cellStyle name="Nota 28 5 7" xfId="22221"/>
    <cellStyle name="Nota 28 5 7 2" xfId="38049"/>
    <cellStyle name="Nota 28 5 8" xfId="22222"/>
    <cellStyle name="Nota 28 5 8 2" xfId="38050"/>
    <cellStyle name="Nota 28 5 9" xfId="22223"/>
    <cellStyle name="Nota 28 5 9 2" xfId="38051"/>
    <cellStyle name="Nota 28 6" xfId="37991"/>
    <cellStyle name="Nota 29" xfId="22224"/>
    <cellStyle name="Nota 29 2" xfId="22225"/>
    <cellStyle name="Nota 29 2 10" xfId="22226"/>
    <cellStyle name="Nota 29 2 10 2" xfId="38054"/>
    <cellStyle name="Nota 29 2 11" xfId="22227"/>
    <cellStyle name="Nota 29 2 11 2" xfId="38055"/>
    <cellStyle name="Nota 29 2 12" xfId="22228"/>
    <cellStyle name="Nota 29 2 12 2" xfId="38056"/>
    <cellStyle name="Nota 29 2 13" xfId="22229"/>
    <cellStyle name="Nota 29 2 13 2" xfId="38057"/>
    <cellStyle name="Nota 29 2 14" xfId="22230"/>
    <cellStyle name="Nota 29 2 14 2" xfId="38058"/>
    <cellStyle name="Nota 29 2 15" xfId="22231"/>
    <cellStyle name="Nota 29 2 15 2" xfId="38059"/>
    <cellStyle name="Nota 29 2 16" xfId="38053"/>
    <cellStyle name="Nota 29 2 2" xfId="22232"/>
    <cellStyle name="Nota 29 2 2 2" xfId="38060"/>
    <cellStyle name="Nota 29 2 3" xfId="22233"/>
    <cellStyle name="Nota 29 2 3 2" xfId="38061"/>
    <cellStyle name="Nota 29 2 4" xfId="22234"/>
    <cellStyle name="Nota 29 2 4 2" xfId="38062"/>
    <cellStyle name="Nota 29 2 5" xfId="22235"/>
    <cellStyle name="Nota 29 2 5 2" xfId="38063"/>
    <cellStyle name="Nota 29 2 6" xfId="22236"/>
    <cellStyle name="Nota 29 2 6 2" xfId="38064"/>
    <cellStyle name="Nota 29 2 7" xfId="22237"/>
    <cellStyle name="Nota 29 2 7 2" xfId="38065"/>
    <cellStyle name="Nota 29 2 8" xfId="22238"/>
    <cellStyle name="Nota 29 2 8 2" xfId="38066"/>
    <cellStyle name="Nota 29 2 9" xfId="22239"/>
    <cellStyle name="Nota 29 2 9 2" xfId="38067"/>
    <cellStyle name="Nota 29 3" xfId="22240"/>
    <cellStyle name="Nota 29 3 10" xfId="22241"/>
    <cellStyle name="Nota 29 3 10 2" xfId="38069"/>
    <cellStyle name="Nota 29 3 11" xfId="22242"/>
    <cellStyle name="Nota 29 3 11 2" xfId="38070"/>
    <cellStyle name="Nota 29 3 12" xfId="22243"/>
    <cellStyle name="Nota 29 3 12 2" xfId="38071"/>
    <cellStyle name="Nota 29 3 13" xfId="22244"/>
    <cellStyle name="Nota 29 3 13 2" xfId="38072"/>
    <cellStyle name="Nota 29 3 14" xfId="22245"/>
    <cellStyle name="Nota 29 3 14 2" xfId="38073"/>
    <cellStyle name="Nota 29 3 15" xfId="22246"/>
    <cellStyle name="Nota 29 3 15 2" xfId="38074"/>
    <cellStyle name="Nota 29 3 16" xfId="38068"/>
    <cellStyle name="Nota 29 3 2" xfId="22247"/>
    <cellStyle name="Nota 29 3 2 2" xfId="38075"/>
    <cellStyle name="Nota 29 3 3" xfId="22248"/>
    <cellStyle name="Nota 29 3 3 2" xfId="38076"/>
    <cellStyle name="Nota 29 3 4" xfId="22249"/>
    <cellStyle name="Nota 29 3 4 2" xfId="38077"/>
    <cellStyle name="Nota 29 3 5" xfId="22250"/>
    <cellStyle name="Nota 29 3 5 2" xfId="38078"/>
    <cellStyle name="Nota 29 3 6" xfId="22251"/>
    <cellStyle name="Nota 29 3 6 2" xfId="38079"/>
    <cellStyle name="Nota 29 3 7" xfId="22252"/>
    <cellStyle name="Nota 29 3 7 2" xfId="38080"/>
    <cellStyle name="Nota 29 3 8" xfId="22253"/>
    <cellStyle name="Nota 29 3 8 2" xfId="38081"/>
    <cellStyle name="Nota 29 3 9" xfId="22254"/>
    <cellStyle name="Nota 29 3 9 2" xfId="38082"/>
    <cellStyle name="Nota 29 4" xfId="22255"/>
    <cellStyle name="Nota 29 4 10" xfId="22256"/>
    <cellStyle name="Nota 29 4 10 2" xfId="38084"/>
    <cellStyle name="Nota 29 4 11" xfId="22257"/>
    <cellStyle name="Nota 29 4 11 2" xfId="38085"/>
    <cellStyle name="Nota 29 4 12" xfId="22258"/>
    <cellStyle name="Nota 29 4 12 2" xfId="38086"/>
    <cellStyle name="Nota 29 4 13" xfId="22259"/>
    <cellStyle name="Nota 29 4 13 2" xfId="38087"/>
    <cellStyle name="Nota 29 4 14" xfId="22260"/>
    <cellStyle name="Nota 29 4 14 2" xfId="38088"/>
    <cellStyle name="Nota 29 4 15" xfId="22261"/>
    <cellStyle name="Nota 29 4 15 2" xfId="38089"/>
    <cellStyle name="Nota 29 4 16" xfId="38083"/>
    <cellStyle name="Nota 29 4 2" xfId="22262"/>
    <cellStyle name="Nota 29 4 2 2" xfId="38090"/>
    <cellStyle name="Nota 29 4 3" xfId="22263"/>
    <cellStyle name="Nota 29 4 3 2" xfId="38091"/>
    <cellStyle name="Nota 29 4 4" xfId="22264"/>
    <cellStyle name="Nota 29 4 4 2" xfId="38092"/>
    <cellStyle name="Nota 29 4 5" xfId="22265"/>
    <cellStyle name="Nota 29 4 5 2" xfId="38093"/>
    <cellStyle name="Nota 29 4 6" xfId="22266"/>
    <cellStyle name="Nota 29 4 6 2" xfId="38094"/>
    <cellStyle name="Nota 29 4 7" xfId="22267"/>
    <cellStyle name="Nota 29 4 7 2" xfId="38095"/>
    <cellStyle name="Nota 29 4 8" xfId="22268"/>
    <cellStyle name="Nota 29 4 8 2" xfId="38096"/>
    <cellStyle name="Nota 29 4 9" xfId="22269"/>
    <cellStyle name="Nota 29 4 9 2" xfId="38097"/>
    <cellStyle name="Nota 29 5" xfId="22270"/>
    <cellStyle name="Nota 29 5 10" xfId="22271"/>
    <cellStyle name="Nota 29 5 10 2" xfId="38099"/>
    <cellStyle name="Nota 29 5 11" xfId="22272"/>
    <cellStyle name="Nota 29 5 11 2" xfId="38100"/>
    <cellStyle name="Nota 29 5 12" xfId="22273"/>
    <cellStyle name="Nota 29 5 12 2" xfId="38101"/>
    <cellStyle name="Nota 29 5 13" xfId="22274"/>
    <cellStyle name="Nota 29 5 13 2" xfId="38102"/>
    <cellStyle name="Nota 29 5 14" xfId="22275"/>
    <cellStyle name="Nota 29 5 14 2" xfId="38103"/>
    <cellStyle name="Nota 29 5 15" xfId="22276"/>
    <cellStyle name="Nota 29 5 15 2" xfId="38104"/>
    <cellStyle name="Nota 29 5 16" xfId="38098"/>
    <cellStyle name="Nota 29 5 2" xfId="22277"/>
    <cellStyle name="Nota 29 5 2 2" xfId="38105"/>
    <cellStyle name="Nota 29 5 3" xfId="22278"/>
    <cellStyle name="Nota 29 5 3 2" xfId="38106"/>
    <cellStyle name="Nota 29 5 4" xfId="22279"/>
    <cellStyle name="Nota 29 5 4 2" xfId="38107"/>
    <cellStyle name="Nota 29 5 5" xfId="22280"/>
    <cellStyle name="Nota 29 5 5 2" xfId="38108"/>
    <cellStyle name="Nota 29 5 6" xfId="22281"/>
    <cellStyle name="Nota 29 5 6 2" xfId="38109"/>
    <cellStyle name="Nota 29 5 7" xfId="22282"/>
    <cellStyle name="Nota 29 5 7 2" xfId="38110"/>
    <cellStyle name="Nota 29 5 8" xfId="22283"/>
    <cellStyle name="Nota 29 5 8 2" xfId="38111"/>
    <cellStyle name="Nota 29 5 9" xfId="22284"/>
    <cellStyle name="Nota 29 5 9 2" xfId="38112"/>
    <cellStyle name="Nota 29 6" xfId="38052"/>
    <cellStyle name="Nota 3" xfId="22285"/>
    <cellStyle name="Nota 3 10" xfId="22286"/>
    <cellStyle name="Nota 3 10 10" xfId="22287"/>
    <cellStyle name="Nota 3 10 10 2" xfId="38114"/>
    <cellStyle name="Nota 3 10 11" xfId="22288"/>
    <cellStyle name="Nota 3 10 11 2" xfId="38115"/>
    <cellStyle name="Nota 3 10 12" xfId="22289"/>
    <cellStyle name="Nota 3 10 12 2" xfId="38116"/>
    <cellStyle name="Nota 3 10 13" xfId="22290"/>
    <cellStyle name="Nota 3 10 13 2" xfId="38117"/>
    <cellStyle name="Nota 3 10 14" xfId="22291"/>
    <cellStyle name="Nota 3 10 14 2" xfId="38118"/>
    <cellStyle name="Nota 3 10 15" xfId="22292"/>
    <cellStyle name="Nota 3 10 15 2" xfId="38119"/>
    <cellStyle name="Nota 3 10 16" xfId="38113"/>
    <cellStyle name="Nota 3 10 2" xfId="22293"/>
    <cellStyle name="Nota 3 10 2 2" xfId="38120"/>
    <cellStyle name="Nota 3 10 3" xfId="22294"/>
    <cellStyle name="Nota 3 10 3 2" xfId="38121"/>
    <cellStyle name="Nota 3 10 4" xfId="22295"/>
    <cellStyle name="Nota 3 10 4 2" xfId="38122"/>
    <cellStyle name="Nota 3 10 5" xfId="22296"/>
    <cellStyle name="Nota 3 10 5 2" xfId="38123"/>
    <cellStyle name="Nota 3 10 6" xfId="22297"/>
    <cellStyle name="Nota 3 10 6 2" xfId="38124"/>
    <cellStyle name="Nota 3 10 7" xfId="22298"/>
    <cellStyle name="Nota 3 10 7 2" xfId="38125"/>
    <cellStyle name="Nota 3 10 8" xfId="22299"/>
    <cellStyle name="Nota 3 10 8 2" xfId="38126"/>
    <cellStyle name="Nota 3 10 9" xfId="22300"/>
    <cellStyle name="Nota 3 10 9 2" xfId="38127"/>
    <cellStyle name="Nota 3 11" xfId="22301"/>
    <cellStyle name="Nota 3 11 10" xfId="22302"/>
    <cellStyle name="Nota 3 11 10 2" xfId="38129"/>
    <cellStyle name="Nota 3 11 11" xfId="22303"/>
    <cellStyle name="Nota 3 11 11 2" xfId="38130"/>
    <cellStyle name="Nota 3 11 12" xfId="22304"/>
    <cellStyle name="Nota 3 11 12 2" xfId="38131"/>
    <cellStyle name="Nota 3 11 13" xfId="22305"/>
    <cellStyle name="Nota 3 11 13 2" xfId="38132"/>
    <cellStyle name="Nota 3 11 14" xfId="22306"/>
    <cellStyle name="Nota 3 11 14 2" xfId="38133"/>
    <cellStyle name="Nota 3 11 15" xfId="22307"/>
    <cellStyle name="Nota 3 11 15 2" xfId="38134"/>
    <cellStyle name="Nota 3 11 16" xfId="38128"/>
    <cellStyle name="Nota 3 11 2" xfId="22308"/>
    <cellStyle name="Nota 3 11 2 2" xfId="38135"/>
    <cellStyle name="Nota 3 11 3" xfId="22309"/>
    <cellStyle name="Nota 3 11 3 2" xfId="38136"/>
    <cellStyle name="Nota 3 11 4" xfId="22310"/>
    <cellStyle name="Nota 3 11 4 2" xfId="38137"/>
    <cellStyle name="Nota 3 11 5" xfId="22311"/>
    <cellStyle name="Nota 3 11 5 2" xfId="38138"/>
    <cellStyle name="Nota 3 11 6" xfId="22312"/>
    <cellStyle name="Nota 3 11 6 2" xfId="38139"/>
    <cellStyle name="Nota 3 11 7" xfId="22313"/>
    <cellStyle name="Nota 3 11 7 2" xfId="38140"/>
    <cellStyle name="Nota 3 11 8" xfId="22314"/>
    <cellStyle name="Nota 3 11 8 2" xfId="38141"/>
    <cellStyle name="Nota 3 11 9" xfId="22315"/>
    <cellStyle name="Nota 3 11 9 2" xfId="38142"/>
    <cellStyle name="Nota 3 12" xfId="40829"/>
    <cellStyle name="Nota 3 2" xfId="22316"/>
    <cellStyle name="Nota 3 2 2" xfId="29241"/>
    <cellStyle name="Nota 3 2 2 2" xfId="40830"/>
    <cellStyle name="Nota 3 3" xfId="22317"/>
    <cellStyle name="Nota 3 3 2" xfId="29242"/>
    <cellStyle name="Nota 3 3 2 2" xfId="40831"/>
    <cellStyle name="Nota 3 4" xfId="22318"/>
    <cellStyle name="Nota 3 4 2" xfId="29243"/>
    <cellStyle name="Nota 3 4 2 2" xfId="40832"/>
    <cellStyle name="Nota 3 5" xfId="22319"/>
    <cellStyle name="Nota 3 5 2" xfId="29244"/>
    <cellStyle name="Nota 3 6" xfId="22320"/>
    <cellStyle name="Nota 3 6 2" xfId="29245"/>
    <cellStyle name="Nota 3 7" xfId="22321"/>
    <cellStyle name="Nota 3 7 2" xfId="29246"/>
    <cellStyle name="Nota 3 8" xfId="22322"/>
    <cellStyle name="Nota 3 8 10" xfId="22323"/>
    <cellStyle name="Nota 3 8 10 2" xfId="38144"/>
    <cellStyle name="Nota 3 8 11" xfId="22324"/>
    <cellStyle name="Nota 3 8 11 2" xfId="38145"/>
    <cellStyle name="Nota 3 8 12" xfId="22325"/>
    <cellStyle name="Nota 3 8 12 2" xfId="38146"/>
    <cellStyle name="Nota 3 8 13" xfId="22326"/>
    <cellStyle name="Nota 3 8 13 2" xfId="38147"/>
    <cellStyle name="Nota 3 8 14" xfId="22327"/>
    <cellStyle name="Nota 3 8 14 2" xfId="38148"/>
    <cellStyle name="Nota 3 8 15" xfId="22328"/>
    <cellStyle name="Nota 3 8 15 2" xfId="38149"/>
    <cellStyle name="Nota 3 8 16" xfId="38143"/>
    <cellStyle name="Nota 3 8 2" xfId="22329"/>
    <cellStyle name="Nota 3 8 2 2" xfId="38150"/>
    <cellStyle name="Nota 3 8 3" xfId="22330"/>
    <cellStyle name="Nota 3 8 3 2" xfId="38151"/>
    <cellStyle name="Nota 3 8 4" xfId="22331"/>
    <cellStyle name="Nota 3 8 4 2" xfId="38152"/>
    <cellStyle name="Nota 3 8 5" xfId="22332"/>
    <cellStyle name="Nota 3 8 5 2" xfId="38153"/>
    <cellStyle name="Nota 3 8 6" xfId="22333"/>
    <cellStyle name="Nota 3 8 6 2" xfId="38154"/>
    <cellStyle name="Nota 3 8 7" xfId="22334"/>
    <cellStyle name="Nota 3 8 7 2" xfId="38155"/>
    <cellStyle name="Nota 3 8 8" xfId="22335"/>
    <cellStyle name="Nota 3 8 8 2" xfId="38156"/>
    <cellStyle name="Nota 3 8 9" xfId="22336"/>
    <cellStyle name="Nota 3 8 9 2" xfId="38157"/>
    <cellStyle name="Nota 3 9" xfId="22337"/>
    <cellStyle name="Nota 3 9 10" xfId="22338"/>
    <cellStyle name="Nota 3 9 10 2" xfId="38159"/>
    <cellStyle name="Nota 3 9 11" xfId="22339"/>
    <cellStyle name="Nota 3 9 11 2" xfId="38160"/>
    <cellStyle name="Nota 3 9 12" xfId="22340"/>
    <cellStyle name="Nota 3 9 12 2" xfId="38161"/>
    <cellStyle name="Nota 3 9 13" xfId="22341"/>
    <cellStyle name="Nota 3 9 13 2" xfId="38162"/>
    <cellStyle name="Nota 3 9 14" xfId="22342"/>
    <cellStyle name="Nota 3 9 14 2" xfId="38163"/>
    <cellStyle name="Nota 3 9 15" xfId="22343"/>
    <cellStyle name="Nota 3 9 15 2" xfId="38164"/>
    <cellStyle name="Nota 3 9 16" xfId="38158"/>
    <cellStyle name="Nota 3 9 2" xfId="22344"/>
    <cellStyle name="Nota 3 9 2 2" xfId="38165"/>
    <cellStyle name="Nota 3 9 3" xfId="22345"/>
    <cellStyle name="Nota 3 9 3 2" xfId="38166"/>
    <cellStyle name="Nota 3 9 4" xfId="22346"/>
    <cellStyle name="Nota 3 9 4 2" xfId="38167"/>
    <cellStyle name="Nota 3 9 5" xfId="22347"/>
    <cellStyle name="Nota 3 9 5 2" xfId="38168"/>
    <cellStyle name="Nota 3 9 6" xfId="22348"/>
    <cellStyle name="Nota 3 9 6 2" xfId="38169"/>
    <cellStyle name="Nota 3 9 7" xfId="22349"/>
    <cellStyle name="Nota 3 9 7 2" xfId="38170"/>
    <cellStyle name="Nota 3 9 8" xfId="22350"/>
    <cellStyle name="Nota 3 9 8 2" xfId="38171"/>
    <cellStyle name="Nota 3 9 9" xfId="22351"/>
    <cellStyle name="Nota 3 9 9 2" xfId="38172"/>
    <cellStyle name="Nota 30" xfId="22352"/>
    <cellStyle name="Nota 30 2" xfId="38173"/>
    <cellStyle name="Nota 31" xfId="22353"/>
    <cellStyle name="Nota 31 2" xfId="38174"/>
    <cellStyle name="Nota 32" xfId="22354"/>
    <cellStyle name="Nota 32 2" xfId="38175"/>
    <cellStyle name="Nota 33" xfId="22355"/>
    <cellStyle name="Nota 33 10" xfId="22356"/>
    <cellStyle name="Nota 33 10 2" xfId="38177"/>
    <cellStyle name="Nota 33 11" xfId="22357"/>
    <cellStyle name="Nota 33 11 2" xfId="38178"/>
    <cellStyle name="Nota 33 12" xfId="22358"/>
    <cellStyle name="Nota 33 12 2" xfId="38179"/>
    <cellStyle name="Nota 33 13" xfId="22359"/>
    <cellStyle name="Nota 33 13 2" xfId="38180"/>
    <cellStyle name="Nota 33 14" xfId="22360"/>
    <cellStyle name="Nota 33 14 2" xfId="38181"/>
    <cellStyle name="Nota 33 15" xfId="22361"/>
    <cellStyle name="Nota 33 15 2" xfId="38182"/>
    <cellStyle name="Nota 33 16" xfId="38176"/>
    <cellStyle name="Nota 33 2" xfId="22362"/>
    <cellStyle name="Nota 33 2 2" xfId="38183"/>
    <cellStyle name="Nota 33 3" xfId="22363"/>
    <cellStyle name="Nota 33 3 2" xfId="38184"/>
    <cellStyle name="Nota 33 4" xfId="22364"/>
    <cellStyle name="Nota 33 4 2" xfId="38185"/>
    <cellStyle name="Nota 33 5" xfId="22365"/>
    <cellStyle name="Nota 33 5 2" xfId="38186"/>
    <cellStyle name="Nota 33 6" xfId="22366"/>
    <cellStyle name="Nota 33 6 2" xfId="38187"/>
    <cellStyle name="Nota 33 7" xfId="22367"/>
    <cellStyle name="Nota 33 7 2" xfId="38188"/>
    <cellStyle name="Nota 33 8" xfId="22368"/>
    <cellStyle name="Nota 33 8 2" xfId="38189"/>
    <cellStyle name="Nota 33 9" xfId="22369"/>
    <cellStyle name="Nota 33 9 2" xfId="38190"/>
    <cellStyle name="Nota 34" xfId="22370"/>
    <cellStyle name="Nota 34 2" xfId="38191"/>
    <cellStyle name="Nota 35" xfId="22371"/>
    <cellStyle name="Nota 35 2" xfId="38192"/>
    <cellStyle name="Nota 36" xfId="22372"/>
    <cellStyle name="Nota 36 2" xfId="38193"/>
    <cellStyle name="Nota 37" xfId="22373"/>
    <cellStyle name="Nota 37 2" xfId="38194"/>
    <cellStyle name="Nota 38" xfId="22374"/>
    <cellStyle name="Nota 38 2" xfId="38195"/>
    <cellStyle name="Nota 39" xfId="22375"/>
    <cellStyle name="Nota 39 2" xfId="38196"/>
    <cellStyle name="Nota 4" xfId="22376"/>
    <cellStyle name="Nota 4 10" xfId="22377"/>
    <cellStyle name="Nota 4 10 10" xfId="22378"/>
    <cellStyle name="Nota 4 10 10 2" xfId="38198"/>
    <cellStyle name="Nota 4 10 11" xfId="22379"/>
    <cellStyle name="Nota 4 10 11 2" xfId="38199"/>
    <cellStyle name="Nota 4 10 12" xfId="22380"/>
    <cellStyle name="Nota 4 10 12 2" xfId="38200"/>
    <cellStyle name="Nota 4 10 13" xfId="22381"/>
    <cellStyle name="Nota 4 10 13 2" xfId="38201"/>
    <cellStyle name="Nota 4 10 14" xfId="22382"/>
    <cellStyle name="Nota 4 10 14 2" xfId="38202"/>
    <cellStyle name="Nota 4 10 15" xfId="22383"/>
    <cellStyle name="Nota 4 10 15 2" xfId="38203"/>
    <cellStyle name="Nota 4 10 16" xfId="38197"/>
    <cellStyle name="Nota 4 10 2" xfId="22384"/>
    <cellStyle name="Nota 4 10 2 2" xfId="38204"/>
    <cellStyle name="Nota 4 10 3" xfId="22385"/>
    <cellStyle name="Nota 4 10 3 2" xfId="38205"/>
    <cellStyle name="Nota 4 10 4" xfId="22386"/>
    <cellStyle name="Nota 4 10 4 2" xfId="38206"/>
    <cellStyle name="Nota 4 10 5" xfId="22387"/>
    <cellStyle name="Nota 4 10 5 2" xfId="38207"/>
    <cellStyle name="Nota 4 10 6" xfId="22388"/>
    <cellStyle name="Nota 4 10 6 2" xfId="38208"/>
    <cellStyle name="Nota 4 10 7" xfId="22389"/>
    <cellStyle name="Nota 4 10 7 2" xfId="38209"/>
    <cellStyle name="Nota 4 10 8" xfId="22390"/>
    <cellStyle name="Nota 4 10 8 2" xfId="38210"/>
    <cellStyle name="Nota 4 10 9" xfId="22391"/>
    <cellStyle name="Nota 4 10 9 2" xfId="38211"/>
    <cellStyle name="Nota 4 11" xfId="22392"/>
    <cellStyle name="Nota 4 11 10" xfId="22393"/>
    <cellStyle name="Nota 4 11 10 2" xfId="38213"/>
    <cellStyle name="Nota 4 11 11" xfId="22394"/>
    <cellStyle name="Nota 4 11 11 2" xfId="38214"/>
    <cellStyle name="Nota 4 11 12" xfId="22395"/>
    <cellStyle name="Nota 4 11 12 2" xfId="38215"/>
    <cellStyle name="Nota 4 11 13" xfId="22396"/>
    <cellStyle name="Nota 4 11 13 2" xfId="38216"/>
    <cellStyle name="Nota 4 11 14" xfId="22397"/>
    <cellStyle name="Nota 4 11 14 2" xfId="38217"/>
    <cellStyle name="Nota 4 11 15" xfId="22398"/>
    <cellStyle name="Nota 4 11 15 2" xfId="38218"/>
    <cellStyle name="Nota 4 11 16" xfId="38212"/>
    <cellStyle name="Nota 4 11 2" xfId="22399"/>
    <cellStyle name="Nota 4 11 2 2" xfId="38219"/>
    <cellStyle name="Nota 4 11 3" xfId="22400"/>
    <cellStyle name="Nota 4 11 3 2" xfId="38220"/>
    <cellStyle name="Nota 4 11 4" xfId="22401"/>
    <cellStyle name="Nota 4 11 4 2" xfId="38221"/>
    <cellStyle name="Nota 4 11 5" xfId="22402"/>
    <cellStyle name="Nota 4 11 5 2" xfId="38222"/>
    <cellStyle name="Nota 4 11 6" xfId="22403"/>
    <cellStyle name="Nota 4 11 6 2" xfId="38223"/>
    <cellStyle name="Nota 4 11 7" xfId="22404"/>
    <cellStyle name="Nota 4 11 7 2" xfId="38224"/>
    <cellStyle name="Nota 4 11 8" xfId="22405"/>
    <cellStyle name="Nota 4 11 8 2" xfId="38225"/>
    <cellStyle name="Nota 4 11 9" xfId="22406"/>
    <cellStyle name="Nota 4 11 9 2" xfId="38226"/>
    <cellStyle name="Nota 4 12" xfId="40833"/>
    <cellStyle name="Nota 4 2" xfId="22407"/>
    <cellStyle name="Nota 4 2 2" xfId="29247"/>
    <cellStyle name="Nota 4 2 2 2" xfId="40834"/>
    <cellStyle name="Nota 4 3" xfId="22408"/>
    <cellStyle name="Nota 4 3 2" xfId="29248"/>
    <cellStyle name="Nota 4 3 2 2" xfId="40835"/>
    <cellStyle name="Nota 4 4" xfId="22409"/>
    <cellStyle name="Nota 4 4 2" xfId="29249"/>
    <cellStyle name="Nota 4 4 2 2" xfId="40836"/>
    <cellStyle name="Nota 4 5" xfId="22410"/>
    <cellStyle name="Nota 4 5 2" xfId="29250"/>
    <cellStyle name="Nota 4 6" xfId="22411"/>
    <cellStyle name="Nota 4 6 2" xfId="29251"/>
    <cellStyle name="Nota 4 7" xfId="22412"/>
    <cellStyle name="Nota 4 7 2" xfId="29252"/>
    <cellStyle name="Nota 4 8" xfId="22413"/>
    <cellStyle name="Nota 4 8 10" xfId="22414"/>
    <cellStyle name="Nota 4 8 10 2" xfId="38228"/>
    <cellStyle name="Nota 4 8 11" xfId="22415"/>
    <cellStyle name="Nota 4 8 11 2" xfId="38229"/>
    <cellStyle name="Nota 4 8 12" xfId="22416"/>
    <cellStyle name="Nota 4 8 12 2" xfId="38230"/>
    <cellStyle name="Nota 4 8 13" xfId="22417"/>
    <cellStyle name="Nota 4 8 13 2" xfId="38231"/>
    <cellStyle name="Nota 4 8 14" xfId="22418"/>
    <cellStyle name="Nota 4 8 14 2" xfId="38232"/>
    <cellStyle name="Nota 4 8 15" xfId="22419"/>
    <cellStyle name="Nota 4 8 15 2" xfId="38233"/>
    <cellStyle name="Nota 4 8 16" xfId="38227"/>
    <cellStyle name="Nota 4 8 2" xfId="22420"/>
    <cellStyle name="Nota 4 8 2 2" xfId="38234"/>
    <cellStyle name="Nota 4 8 3" xfId="22421"/>
    <cellStyle name="Nota 4 8 3 2" xfId="38235"/>
    <cellStyle name="Nota 4 8 4" xfId="22422"/>
    <cellStyle name="Nota 4 8 4 2" xfId="38236"/>
    <cellStyle name="Nota 4 8 5" xfId="22423"/>
    <cellStyle name="Nota 4 8 5 2" xfId="38237"/>
    <cellStyle name="Nota 4 8 6" xfId="22424"/>
    <cellStyle name="Nota 4 8 6 2" xfId="38238"/>
    <cellStyle name="Nota 4 8 7" xfId="22425"/>
    <cellStyle name="Nota 4 8 7 2" xfId="38239"/>
    <cellStyle name="Nota 4 8 8" xfId="22426"/>
    <cellStyle name="Nota 4 8 8 2" xfId="38240"/>
    <cellStyle name="Nota 4 8 9" xfId="22427"/>
    <cellStyle name="Nota 4 8 9 2" xfId="38241"/>
    <cellStyle name="Nota 4 9" xfId="22428"/>
    <cellStyle name="Nota 4 9 10" xfId="22429"/>
    <cellStyle name="Nota 4 9 10 2" xfId="38243"/>
    <cellStyle name="Nota 4 9 11" xfId="22430"/>
    <cellStyle name="Nota 4 9 11 2" xfId="38244"/>
    <cellStyle name="Nota 4 9 12" xfId="22431"/>
    <cellStyle name="Nota 4 9 12 2" xfId="38245"/>
    <cellStyle name="Nota 4 9 13" xfId="22432"/>
    <cellStyle name="Nota 4 9 13 2" xfId="38246"/>
    <cellStyle name="Nota 4 9 14" xfId="22433"/>
    <cellStyle name="Nota 4 9 14 2" xfId="38247"/>
    <cellStyle name="Nota 4 9 15" xfId="22434"/>
    <cellStyle name="Nota 4 9 15 2" xfId="38248"/>
    <cellStyle name="Nota 4 9 16" xfId="38242"/>
    <cellStyle name="Nota 4 9 2" xfId="22435"/>
    <cellStyle name="Nota 4 9 2 2" xfId="38249"/>
    <cellStyle name="Nota 4 9 3" xfId="22436"/>
    <cellStyle name="Nota 4 9 3 2" xfId="38250"/>
    <cellStyle name="Nota 4 9 4" xfId="22437"/>
    <cellStyle name="Nota 4 9 4 2" xfId="38251"/>
    <cellStyle name="Nota 4 9 5" xfId="22438"/>
    <cellStyle name="Nota 4 9 5 2" xfId="38252"/>
    <cellStyle name="Nota 4 9 6" xfId="22439"/>
    <cellStyle name="Nota 4 9 6 2" xfId="38253"/>
    <cellStyle name="Nota 4 9 7" xfId="22440"/>
    <cellStyle name="Nota 4 9 7 2" xfId="38254"/>
    <cellStyle name="Nota 4 9 8" xfId="22441"/>
    <cellStyle name="Nota 4 9 8 2" xfId="38255"/>
    <cellStyle name="Nota 4 9 9" xfId="22442"/>
    <cellStyle name="Nota 4 9 9 2" xfId="38256"/>
    <cellStyle name="Nota 40" xfId="22443"/>
    <cellStyle name="Nota 40 2" xfId="38257"/>
    <cellStyle name="Nota 41" xfId="22444"/>
    <cellStyle name="Nota 41 2" xfId="38258"/>
    <cellStyle name="Nota 42" xfId="22445"/>
    <cellStyle name="Nota 42 2" xfId="38259"/>
    <cellStyle name="Nota 43" xfId="22446"/>
    <cellStyle name="Nota 43 2" xfId="38260"/>
    <cellStyle name="Nota 44" xfId="22447"/>
    <cellStyle name="Nota 44 2" xfId="38261"/>
    <cellStyle name="Nota 45" xfId="22448"/>
    <cellStyle name="Nota 45 2" xfId="38262"/>
    <cellStyle name="Nota 46" xfId="22449"/>
    <cellStyle name="Nota 46 2" xfId="38263"/>
    <cellStyle name="Nota 47" xfId="22450"/>
    <cellStyle name="Nota 47 2" xfId="38264"/>
    <cellStyle name="Nota 48" xfId="22451"/>
    <cellStyle name="Nota 48 2" xfId="38265"/>
    <cellStyle name="Nota 49" xfId="22452"/>
    <cellStyle name="Nota 49 2" xfId="38266"/>
    <cellStyle name="Nota 5" xfId="22453"/>
    <cellStyle name="Nota 5 2" xfId="22454"/>
    <cellStyle name="Nota 5 2 2" xfId="29254"/>
    <cellStyle name="Nota 5 3" xfId="22455"/>
    <cellStyle name="Nota 5 3 2" xfId="29255"/>
    <cellStyle name="Nota 5 4" xfId="22456"/>
    <cellStyle name="Nota 5 4 2" xfId="29256"/>
    <cellStyle name="Nota 5 5" xfId="29253"/>
    <cellStyle name="Nota 5 5 2" xfId="40837"/>
    <cellStyle name="Nota 50" xfId="22457"/>
    <cellStyle name="Nota 50 2" xfId="38267"/>
    <cellStyle name="Nota 51" xfId="22458"/>
    <cellStyle name="Nota 51 2" xfId="38268"/>
    <cellStyle name="Nota 52" xfId="22459"/>
    <cellStyle name="Nota 52 2" xfId="38269"/>
    <cellStyle name="Nota 53" xfId="22460"/>
    <cellStyle name="Nota 53 2" xfId="38270"/>
    <cellStyle name="Nota 54" xfId="22461"/>
    <cellStyle name="Nota 54 10" xfId="22462"/>
    <cellStyle name="Nota 54 10 2" xfId="38272"/>
    <cellStyle name="Nota 54 11" xfId="22463"/>
    <cellStyle name="Nota 54 11 2" xfId="38273"/>
    <cellStyle name="Nota 54 12" xfId="22464"/>
    <cellStyle name="Nota 54 12 2" xfId="38274"/>
    <cellStyle name="Nota 54 13" xfId="22465"/>
    <cellStyle name="Nota 54 13 2" xfId="38275"/>
    <cellStyle name="Nota 54 14" xfId="22466"/>
    <cellStyle name="Nota 54 14 2" xfId="38276"/>
    <cellStyle name="Nota 54 15" xfId="22467"/>
    <cellStyle name="Nota 54 15 2" xfId="38277"/>
    <cellStyle name="Nota 54 16" xfId="38271"/>
    <cellStyle name="Nota 54 2" xfId="22468"/>
    <cellStyle name="Nota 54 2 2" xfId="38278"/>
    <cellStyle name="Nota 54 3" xfId="22469"/>
    <cellStyle name="Nota 54 3 2" xfId="38279"/>
    <cellStyle name="Nota 54 4" xfId="22470"/>
    <cellStyle name="Nota 54 4 2" xfId="38280"/>
    <cellStyle name="Nota 54 5" xfId="22471"/>
    <cellStyle name="Nota 54 5 2" xfId="38281"/>
    <cellStyle name="Nota 54 6" xfId="22472"/>
    <cellStyle name="Nota 54 6 2" xfId="38282"/>
    <cellStyle name="Nota 54 7" xfId="22473"/>
    <cellStyle name="Nota 54 7 2" xfId="38283"/>
    <cellStyle name="Nota 54 8" xfId="22474"/>
    <cellStyle name="Nota 54 8 2" xfId="38284"/>
    <cellStyle name="Nota 54 9" xfId="22475"/>
    <cellStyle name="Nota 54 9 2" xfId="38285"/>
    <cellStyle name="Nota 55" xfId="22476"/>
    <cellStyle name="Nota 55 10" xfId="22477"/>
    <cellStyle name="Nota 55 10 2" xfId="38287"/>
    <cellStyle name="Nota 55 11" xfId="22478"/>
    <cellStyle name="Nota 55 11 2" xfId="38288"/>
    <cellStyle name="Nota 55 12" xfId="22479"/>
    <cellStyle name="Nota 55 12 2" xfId="38289"/>
    <cellStyle name="Nota 55 13" xfId="22480"/>
    <cellStyle name="Nota 55 13 2" xfId="38290"/>
    <cellStyle name="Nota 55 14" xfId="22481"/>
    <cellStyle name="Nota 55 14 2" xfId="38291"/>
    <cellStyle name="Nota 55 15" xfId="22482"/>
    <cellStyle name="Nota 55 15 2" xfId="38292"/>
    <cellStyle name="Nota 55 16" xfId="38286"/>
    <cellStyle name="Nota 55 2" xfId="22483"/>
    <cellStyle name="Nota 55 2 2" xfId="38293"/>
    <cellStyle name="Nota 55 3" xfId="22484"/>
    <cellStyle name="Nota 55 3 2" xfId="38294"/>
    <cellStyle name="Nota 55 4" xfId="22485"/>
    <cellStyle name="Nota 55 4 2" xfId="38295"/>
    <cellStyle name="Nota 55 5" xfId="22486"/>
    <cellStyle name="Nota 55 5 2" xfId="38296"/>
    <cellStyle name="Nota 55 6" xfId="22487"/>
    <cellStyle name="Nota 55 6 2" xfId="38297"/>
    <cellStyle name="Nota 55 7" xfId="22488"/>
    <cellStyle name="Nota 55 7 2" xfId="38298"/>
    <cellStyle name="Nota 55 8" xfId="22489"/>
    <cellStyle name="Nota 55 8 2" xfId="38299"/>
    <cellStyle name="Nota 55 9" xfId="22490"/>
    <cellStyle name="Nota 55 9 2" xfId="38300"/>
    <cellStyle name="Nota 56" xfId="22491"/>
    <cellStyle name="Nota 56 10" xfId="22492"/>
    <cellStyle name="Nota 56 10 2" xfId="38302"/>
    <cellStyle name="Nota 56 11" xfId="22493"/>
    <cellStyle name="Nota 56 11 2" xfId="38303"/>
    <cellStyle name="Nota 56 12" xfId="22494"/>
    <cellStyle name="Nota 56 12 2" xfId="38304"/>
    <cellStyle name="Nota 56 13" xfId="22495"/>
    <cellStyle name="Nota 56 13 2" xfId="38305"/>
    <cellStyle name="Nota 56 14" xfId="22496"/>
    <cellStyle name="Nota 56 14 2" xfId="38306"/>
    <cellStyle name="Nota 56 15" xfId="22497"/>
    <cellStyle name="Nota 56 15 2" xfId="38307"/>
    <cellStyle name="Nota 56 16" xfId="38301"/>
    <cellStyle name="Nota 56 2" xfId="22498"/>
    <cellStyle name="Nota 56 2 2" xfId="38308"/>
    <cellStyle name="Nota 56 3" xfId="22499"/>
    <cellStyle name="Nota 56 3 2" xfId="38309"/>
    <cellStyle name="Nota 56 4" xfId="22500"/>
    <cellStyle name="Nota 56 4 2" xfId="38310"/>
    <cellStyle name="Nota 56 5" xfId="22501"/>
    <cellStyle name="Nota 56 5 2" xfId="38311"/>
    <cellStyle name="Nota 56 6" xfId="22502"/>
    <cellStyle name="Nota 56 6 2" xfId="38312"/>
    <cellStyle name="Nota 56 7" xfId="22503"/>
    <cellStyle name="Nota 56 7 2" xfId="38313"/>
    <cellStyle name="Nota 56 8" xfId="22504"/>
    <cellStyle name="Nota 56 8 2" xfId="38314"/>
    <cellStyle name="Nota 56 9" xfId="22505"/>
    <cellStyle name="Nota 56 9 2" xfId="38315"/>
    <cellStyle name="Nota 57" xfId="22506"/>
    <cellStyle name="Nota 57 10" xfId="22507"/>
    <cellStyle name="Nota 57 10 2" xfId="38317"/>
    <cellStyle name="Nota 57 11" xfId="22508"/>
    <cellStyle name="Nota 57 11 2" xfId="38318"/>
    <cellStyle name="Nota 57 12" xfId="22509"/>
    <cellStyle name="Nota 57 12 2" xfId="38319"/>
    <cellStyle name="Nota 57 13" xfId="22510"/>
    <cellStyle name="Nota 57 13 2" xfId="38320"/>
    <cellStyle name="Nota 57 14" xfId="22511"/>
    <cellStyle name="Nota 57 14 2" xfId="38321"/>
    <cellStyle name="Nota 57 15" xfId="22512"/>
    <cellStyle name="Nota 57 15 2" xfId="38322"/>
    <cellStyle name="Nota 57 16" xfId="38316"/>
    <cellStyle name="Nota 57 2" xfId="22513"/>
    <cellStyle name="Nota 57 2 2" xfId="38323"/>
    <cellStyle name="Nota 57 3" xfId="22514"/>
    <cellStyle name="Nota 57 3 2" xfId="38324"/>
    <cellStyle name="Nota 57 4" xfId="22515"/>
    <cellStyle name="Nota 57 4 2" xfId="38325"/>
    <cellStyle name="Nota 57 5" xfId="22516"/>
    <cellStyle name="Nota 57 5 2" xfId="38326"/>
    <cellStyle name="Nota 57 6" xfId="22517"/>
    <cellStyle name="Nota 57 6 2" xfId="38327"/>
    <cellStyle name="Nota 57 7" xfId="22518"/>
    <cellStyle name="Nota 57 7 2" xfId="38328"/>
    <cellStyle name="Nota 57 8" xfId="22519"/>
    <cellStyle name="Nota 57 8 2" xfId="38329"/>
    <cellStyle name="Nota 57 9" xfId="22520"/>
    <cellStyle name="Nota 57 9 2" xfId="38330"/>
    <cellStyle name="Nota 58" xfId="22521"/>
    <cellStyle name="Nota 58 10" xfId="22522"/>
    <cellStyle name="Nota 58 10 2" xfId="38332"/>
    <cellStyle name="Nota 58 11" xfId="22523"/>
    <cellStyle name="Nota 58 11 2" xfId="38333"/>
    <cellStyle name="Nota 58 12" xfId="22524"/>
    <cellStyle name="Nota 58 12 2" xfId="38334"/>
    <cellStyle name="Nota 58 13" xfId="22525"/>
    <cellStyle name="Nota 58 13 2" xfId="38335"/>
    <cellStyle name="Nota 58 14" xfId="22526"/>
    <cellStyle name="Nota 58 14 2" xfId="38336"/>
    <cellStyle name="Nota 58 15" xfId="22527"/>
    <cellStyle name="Nota 58 15 2" xfId="38337"/>
    <cellStyle name="Nota 58 16" xfId="38331"/>
    <cellStyle name="Nota 58 2" xfId="22528"/>
    <cellStyle name="Nota 58 2 2" xfId="38338"/>
    <cellStyle name="Nota 58 3" xfId="22529"/>
    <cellStyle name="Nota 58 3 2" xfId="38339"/>
    <cellStyle name="Nota 58 4" xfId="22530"/>
    <cellStyle name="Nota 58 4 2" xfId="38340"/>
    <cellStyle name="Nota 58 5" xfId="22531"/>
    <cellStyle name="Nota 58 5 2" xfId="38341"/>
    <cellStyle name="Nota 58 6" xfId="22532"/>
    <cellStyle name="Nota 58 6 2" xfId="38342"/>
    <cellStyle name="Nota 58 7" xfId="22533"/>
    <cellStyle name="Nota 58 7 2" xfId="38343"/>
    <cellStyle name="Nota 58 8" xfId="22534"/>
    <cellStyle name="Nota 58 8 2" xfId="38344"/>
    <cellStyle name="Nota 58 9" xfId="22535"/>
    <cellStyle name="Nota 58 9 2" xfId="38345"/>
    <cellStyle name="Nota 59" xfId="22536"/>
    <cellStyle name="Nota 59 2" xfId="38346"/>
    <cellStyle name="Nota 6" xfId="22537"/>
    <cellStyle name="Nota 6 2" xfId="22538"/>
    <cellStyle name="Nota 6 2 2" xfId="29258"/>
    <cellStyle name="Nota 6 3" xfId="22539"/>
    <cellStyle name="Nota 6 3 2" xfId="29259"/>
    <cellStyle name="Nota 6 4" xfId="22540"/>
    <cellStyle name="Nota 6 4 2" xfId="29260"/>
    <cellStyle name="Nota 6 5" xfId="29257"/>
    <cellStyle name="Nota 6 5 2" xfId="40838"/>
    <cellStyle name="Nota 60" xfId="22541"/>
    <cellStyle name="Nota 60 2" xfId="38347"/>
    <cellStyle name="Nota 61" xfId="22542"/>
    <cellStyle name="Nota 61 2" xfId="38348"/>
    <cellStyle name="Nota 62" xfId="22543"/>
    <cellStyle name="Nota 62 2" xfId="38349"/>
    <cellStyle name="Nota 63" xfId="22544"/>
    <cellStyle name="Nota 63 2" xfId="38350"/>
    <cellStyle name="Nota 64" xfId="22545"/>
    <cellStyle name="Nota 64 2" xfId="38351"/>
    <cellStyle name="Nota 65" xfId="22546"/>
    <cellStyle name="Nota 65 2" xfId="38352"/>
    <cellStyle name="Nota 66" xfId="22547"/>
    <cellStyle name="Nota 66 2" xfId="38353"/>
    <cellStyle name="Nota 67" xfId="22548"/>
    <cellStyle name="Nota 67 2" xfId="38354"/>
    <cellStyle name="Nota 68" xfId="22549"/>
    <cellStyle name="Nota 68 2" xfId="38355"/>
    <cellStyle name="Nota 69" xfId="22550"/>
    <cellStyle name="Nota 69 2" xfId="22551"/>
    <cellStyle name="Nota 69 2 2" xfId="38357"/>
    <cellStyle name="Nota 69 3" xfId="22552"/>
    <cellStyle name="Nota 69 3 2" xfId="38358"/>
    <cellStyle name="Nota 69 4" xfId="22553"/>
    <cellStyle name="Nota 69 4 2" xfId="38359"/>
    <cellStyle name="Nota 69 5" xfId="22554"/>
    <cellStyle name="Nota 69 5 2" xfId="38360"/>
    <cellStyle name="Nota 69 6" xfId="22555"/>
    <cellStyle name="Nota 69 6 2" xfId="38361"/>
    <cellStyle name="Nota 69 7" xfId="38356"/>
    <cellStyle name="Nota 7" xfId="22556"/>
    <cellStyle name="Nota 7 10" xfId="22557"/>
    <cellStyle name="Nota 7 10 2" xfId="38362"/>
    <cellStyle name="Nota 7 11" xfId="22558"/>
    <cellStyle name="Nota 7 11 2" xfId="38363"/>
    <cellStyle name="Nota 7 12" xfId="22559"/>
    <cellStyle name="Nota 7 12 2" xfId="38364"/>
    <cellStyle name="Nota 7 13" xfId="22560"/>
    <cellStyle name="Nota 7 13 2" xfId="38365"/>
    <cellStyle name="Nota 7 14" xfId="22561"/>
    <cellStyle name="Nota 7 14 2" xfId="38366"/>
    <cellStyle name="Nota 7 15" xfId="22562"/>
    <cellStyle name="Nota 7 15 2" xfId="38367"/>
    <cellStyle name="Nota 7 16" xfId="22563"/>
    <cellStyle name="Nota 7 16 2" xfId="38368"/>
    <cellStyle name="Nota 7 17" xfId="22564"/>
    <cellStyle name="Nota 7 17 2" xfId="38369"/>
    <cellStyle name="Nota 7 18" xfId="22565"/>
    <cellStyle name="Nota 7 18 2" xfId="38370"/>
    <cellStyle name="Nota 7 19" xfId="22566"/>
    <cellStyle name="Nota 7 19 2" xfId="38371"/>
    <cellStyle name="Nota 7 2" xfId="22567"/>
    <cellStyle name="Nota 7 2 2" xfId="29262"/>
    <cellStyle name="Nota 7 20" xfId="22568"/>
    <cellStyle name="Nota 7 20 2" xfId="38372"/>
    <cellStyle name="Nota 7 21" xfId="22569"/>
    <cellStyle name="Nota 7 21 2" xfId="38373"/>
    <cellStyle name="Nota 7 22" xfId="22570"/>
    <cellStyle name="Nota 7 22 2" xfId="38374"/>
    <cellStyle name="Nota 7 23" xfId="22571"/>
    <cellStyle name="Nota 7 23 2" xfId="38375"/>
    <cellStyle name="Nota 7 24" xfId="22572"/>
    <cellStyle name="Nota 7 24 2" xfId="38376"/>
    <cellStyle name="Nota 7 25" xfId="22573"/>
    <cellStyle name="Nota 7 25 2" xfId="38377"/>
    <cellStyle name="Nota 7 26" xfId="22574"/>
    <cellStyle name="Nota 7 26 2" xfId="38378"/>
    <cellStyle name="Nota 7 27" xfId="22575"/>
    <cellStyle name="Nota 7 27 2" xfId="38379"/>
    <cellStyle name="Nota 7 28" xfId="22576"/>
    <cellStyle name="Nota 7 28 2" xfId="38380"/>
    <cellStyle name="Nota 7 29" xfId="22577"/>
    <cellStyle name="Nota 7 29 2" xfId="38381"/>
    <cellStyle name="Nota 7 3" xfId="22578"/>
    <cellStyle name="Nota 7 3 2" xfId="29263"/>
    <cellStyle name="Nota 7 30" xfId="22579"/>
    <cellStyle name="Nota 7 30 2" xfId="38382"/>
    <cellStyle name="Nota 7 31" xfId="22580"/>
    <cellStyle name="Nota 7 31 2" xfId="38383"/>
    <cellStyle name="Nota 7 32" xfId="22581"/>
    <cellStyle name="Nota 7 32 2" xfId="38384"/>
    <cellStyle name="Nota 7 33" xfId="22582"/>
    <cellStyle name="Nota 7 33 2" xfId="38385"/>
    <cellStyle name="Nota 7 34" xfId="22583"/>
    <cellStyle name="Nota 7 34 2" xfId="38386"/>
    <cellStyle name="Nota 7 35" xfId="22584"/>
    <cellStyle name="Nota 7 35 2" xfId="38387"/>
    <cellStyle name="Nota 7 36" xfId="29261"/>
    <cellStyle name="Nota 7 36 2" xfId="40839"/>
    <cellStyle name="Nota 7 4" xfId="22585"/>
    <cellStyle name="Nota 7 4 2" xfId="29264"/>
    <cellStyle name="Nota 7 5" xfId="22586"/>
    <cellStyle name="Nota 7 5 2" xfId="38388"/>
    <cellStyle name="Nota 7 6" xfId="22587"/>
    <cellStyle name="Nota 7 6 2" xfId="38389"/>
    <cellStyle name="Nota 7 7" xfId="22588"/>
    <cellStyle name="Nota 7 7 2" xfId="38390"/>
    <cellStyle name="Nota 7 8" xfId="22589"/>
    <cellStyle name="Nota 7 8 2" xfId="38391"/>
    <cellStyle name="Nota 7 9" xfId="22590"/>
    <cellStyle name="Nota 7 9 2" xfId="38392"/>
    <cellStyle name="Nota 70" xfId="22591"/>
    <cellStyle name="Nota 70 2" xfId="22592"/>
    <cellStyle name="Nota 70 2 2" xfId="38394"/>
    <cellStyle name="Nota 70 3" xfId="22593"/>
    <cellStyle name="Nota 70 3 2" xfId="38395"/>
    <cellStyle name="Nota 70 4" xfId="22594"/>
    <cellStyle name="Nota 70 4 2" xfId="38396"/>
    <cellStyle name="Nota 70 5" xfId="22595"/>
    <cellStyle name="Nota 70 5 2" xfId="38397"/>
    <cellStyle name="Nota 70 6" xfId="22596"/>
    <cellStyle name="Nota 70 6 2" xfId="38398"/>
    <cellStyle name="Nota 70 7" xfId="38393"/>
    <cellStyle name="Nota 71" xfId="22597"/>
    <cellStyle name="Nota 71 2" xfId="22598"/>
    <cellStyle name="Nota 71 2 2" xfId="38400"/>
    <cellStyle name="Nota 71 3" xfId="22599"/>
    <cellStyle name="Nota 71 3 2" xfId="38401"/>
    <cellStyle name="Nota 71 4" xfId="22600"/>
    <cellStyle name="Nota 71 4 2" xfId="38402"/>
    <cellStyle name="Nota 71 5" xfId="22601"/>
    <cellStyle name="Nota 71 5 2" xfId="38403"/>
    <cellStyle name="Nota 71 6" xfId="22602"/>
    <cellStyle name="Nota 71 6 2" xfId="38404"/>
    <cellStyle name="Nota 71 7" xfId="38399"/>
    <cellStyle name="Nota 72" xfId="22603"/>
    <cellStyle name="Nota 72 2" xfId="22604"/>
    <cellStyle name="Nota 72 2 2" xfId="38406"/>
    <cellStyle name="Nota 72 3" xfId="22605"/>
    <cellStyle name="Nota 72 3 2" xfId="38407"/>
    <cellStyle name="Nota 72 4" xfId="22606"/>
    <cellStyle name="Nota 72 4 2" xfId="38408"/>
    <cellStyle name="Nota 72 5" xfId="22607"/>
    <cellStyle name="Nota 72 5 2" xfId="38409"/>
    <cellStyle name="Nota 72 6" xfId="22608"/>
    <cellStyle name="Nota 72 6 2" xfId="38410"/>
    <cellStyle name="Nota 72 7" xfId="38405"/>
    <cellStyle name="Nota 73" xfId="22609"/>
    <cellStyle name="Nota 73 2" xfId="22610"/>
    <cellStyle name="Nota 73 2 2" xfId="38412"/>
    <cellStyle name="Nota 73 3" xfId="22611"/>
    <cellStyle name="Nota 73 3 2" xfId="38413"/>
    <cellStyle name="Nota 73 4" xfId="22612"/>
    <cellStyle name="Nota 73 4 2" xfId="38414"/>
    <cellStyle name="Nota 73 5" xfId="22613"/>
    <cellStyle name="Nota 73 5 2" xfId="38415"/>
    <cellStyle name="Nota 73 6" xfId="22614"/>
    <cellStyle name="Nota 73 6 2" xfId="38416"/>
    <cellStyle name="Nota 73 7" xfId="38411"/>
    <cellStyle name="Nota 74" xfId="22615"/>
    <cellStyle name="Nota 74 2" xfId="22616"/>
    <cellStyle name="Nota 74 2 2" xfId="38418"/>
    <cellStyle name="Nota 74 3" xfId="22617"/>
    <cellStyle name="Nota 74 3 2" xfId="38419"/>
    <cellStyle name="Nota 74 4" xfId="22618"/>
    <cellStyle name="Nota 74 4 2" xfId="38420"/>
    <cellStyle name="Nota 74 5" xfId="22619"/>
    <cellStyle name="Nota 74 5 2" xfId="38421"/>
    <cellStyle name="Nota 74 6" xfId="22620"/>
    <cellStyle name="Nota 74 6 2" xfId="38422"/>
    <cellStyle name="Nota 74 7" xfId="38417"/>
    <cellStyle name="Nota 75" xfId="22621"/>
    <cellStyle name="Nota 75 2" xfId="22622"/>
    <cellStyle name="Nota 75 2 2" xfId="38424"/>
    <cellStyle name="Nota 75 3" xfId="22623"/>
    <cellStyle name="Nota 75 3 2" xfId="38425"/>
    <cellStyle name="Nota 75 4" xfId="22624"/>
    <cellStyle name="Nota 75 4 2" xfId="38426"/>
    <cellStyle name="Nota 75 5" xfId="22625"/>
    <cellStyle name="Nota 75 5 2" xfId="38427"/>
    <cellStyle name="Nota 75 6" xfId="22626"/>
    <cellStyle name="Nota 75 6 2" xfId="38428"/>
    <cellStyle name="Nota 75 7" xfId="38423"/>
    <cellStyle name="Nota 76" xfId="22627"/>
    <cellStyle name="Nota 76 2" xfId="22628"/>
    <cellStyle name="Nota 76 2 2" xfId="38430"/>
    <cellStyle name="Nota 76 3" xfId="22629"/>
    <cellStyle name="Nota 76 3 2" xfId="38431"/>
    <cellStyle name="Nota 76 4" xfId="22630"/>
    <cellStyle name="Nota 76 4 2" xfId="38432"/>
    <cellStyle name="Nota 76 5" xfId="22631"/>
    <cellStyle name="Nota 76 5 2" xfId="38433"/>
    <cellStyle name="Nota 76 6" xfId="22632"/>
    <cellStyle name="Nota 76 6 2" xfId="38434"/>
    <cellStyle name="Nota 76 7" xfId="38429"/>
    <cellStyle name="Nota 77" xfId="22633"/>
    <cellStyle name="Nota 77 2" xfId="22634"/>
    <cellStyle name="Nota 77 2 2" xfId="38436"/>
    <cellStyle name="Nota 77 3" xfId="22635"/>
    <cellStyle name="Nota 77 3 2" xfId="38437"/>
    <cellStyle name="Nota 77 4" xfId="22636"/>
    <cellStyle name="Nota 77 4 2" xfId="38438"/>
    <cellStyle name="Nota 77 5" xfId="22637"/>
    <cellStyle name="Nota 77 5 2" xfId="38439"/>
    <cellStyle name="Nota 77 6" xfId="22638"/>
    <cellStyle name="Nota 77 6 2" xfId="38440"/>
    <cellStyle name="Nota 77 7" xfId="38435"/>
    <cellStyle name="Nota 78" xfId="22639"/>
    <cellStyle name="Nota 78 2" xfId="22640"/>
    <cellStyle name="Nota 78 2 2" xfId="38442"/>
    <cellStyle name="Nota 78 3" xfId="22641"/>
    <cellStyle name="Nota 78 3 2" xfId="38443"/>
    <cellStyle name="Nota 78 4" xfId="22642"/>
    <cellStyle name="Nota 78 4 2" xfId="38444"/>
    <cellStyle name="Nota 78 5" xfId="22643"/>
    <cellStyle name="Nota 78 5 2" xfId="38445"/>
    <cellStyle name="Nota 78 6" xfId="22644"/>
    <cellStyle name="Nota 78 6 2" xfId="38446"/>
    <cellStyle name="Nota 78 7" xfId="38441"/>
    <cellStyle name="Nota 79" xfId="22645"/>
    <cellStyle name="Nota 79 2" xfId="22646"/>
    <cellStyle name="Nota 79 2 2" xfId="38448"/>
    <cellStyle name="Nota 79 3" xfId="22647"/>
    <cellStyle name="Nota 79 3 2" xfId="38449"/>
    <cellStyle name="Nota 79 4" xfId="22648"/>
    <cellStyle name="Nota 79 4 2" xfId="38450"/>
    <cellStyle name="Nota 79 5" xfId="22649"/>
    <cellStyle name="Nota 79 5 2" xfId="38451"/>
    <cellStyle name="Nota 79 6" xfId="22650"/>
    <cellStyle name="Nota 79 6 2" xfId="38452"/>
    <cellStyle name="Nota 79 7" xfId="38447"/>
    <cellStyle name="Nota 8" xfId="22651"/>
    <cellStyle name="Nota 8 10" xfId="22652"/>
    <cellStyle name="Nota 8 10 2" xfId="38453"/>
    <cellStyle name="Nota 8 11" xfId="22653"/>
    <cellStyle name="Nota 8 11 2" xfId="38454"/>
    <cellStyle name="Nota 8 12" xfId="22654"/>
    <cellStyle name="Nota 8 12 2" xfId="38455"/>
    <cellStyle name="Nota 8 13" xfId="22655"/>
    <cellStyle name="Nota 8 13 2" xfId="38456"/>
    <cellStyle name="Nota 8 14" xfId="22656"/>
    <cellStyle name="Nota 8 14 2" xfId="38457"/>
    <cellStyle name="Nota 8 15" xfId="22657"/>
    <cellStyle name="Nota 8 15 2" xfId="38458"/>
    <cellStyle name="Nota 8 16" xfId="22658"/>
    <cellStyle name="Nota 8 16 2" xfId="38459"/>
    <cellStyle name="Nota 8 17" xfId="22659"/>
    <cellStyle name="Nota 8 17 2" xfId="38460"/>
    <cellStyle name="Nota 8 18" xfId="22660"/>
    <cellStyle name="Nota 8 18 2" xfId="38461"/>
    <cellStyle name="Nota 8 19" xfId="22661"/>
    <cellStyle name="Nota 8 19 2" xfId="38462"/>
    <cellStyle name="Nota 8 2" xfId="22662"/>
    <cellStyle name="Nota 8 2 2" xfId="29266"/>
    <cellStyle name="Nota 8 20" xfId="22663"/>
    <cellStyle name="Nota 8 20 2" xfId="38463"/>
    <cellStyle name="Nota 8 21" xfId="22664"/>
    <cellStyle name="Nota 8 21 2" xfId="38464"/>
    <cellStyle name="Nota 8 22" xfId="22665"/>
    <cellStyle name="Nota 8 22 2" xfId="38465"/>
    <cellStyle name="Nota 8 23" xfId="22666"/>
    <cellStyle name="Nota 8 23 2" xfId="38466"/>
    <cellStyle name="Nota 8 24" xfId="22667"/>
    <cellStyle name="Nota 8 24 2" xfId="38467"/>
    <cellStyle name="Nota 8 25" xfId="22668"/>
    <cellStyle name="Nota 8 25 2" xfId="38468"/>
    <cellStyle name="Nota 8 26" xfId="22669"/>
    <cellStyle name="Nota 8 26 2" xfId="38469"/>
    <cellStyle name="Nota 8 27" xfId="22670"/>
    <cellStyle name="Nota 8 27 2" xfId="38470"/>
    <cellStyle name="Nota 8 28" xfId="22671"/>
    <cellStyle name="Nota 8 28 2" xfId="38471"/>
    <cellStyle name="Nota 8 29" xfId="22672"/>
    <cellStyle name="Nota 8 29 2" xfId="38472"/>
    <cellStyle name="Nota 8 3" xfId="22673"/>
    <cellStyle name="Nota 8 3 2" xfId="29267"/>
    <cellStyle name="Nota 8 30" xfId="22674"/>
    <cellStyle name="Nota 8 30 2" xfId="38473"/>
    <cellStyle name="Nota 8 31" xfId="22675"/>
    <cellStyle name="Nota 8 31 2" xfId="38474"/>
    <cellStyle name="Nota 8 32" xfId="22676"/>
    <cellStyle name="Nota 8 32 2" xfId="38475"/>
    <cellStyle name="Nota 8 33" xfId="22677"/>
    <cellStyle name="Nota 8 33 2" xfId="38476"/>
    <cellStyle name="Nota 8 34" xfId="22678"/>
    <cellStyle name="Nota 8 34 2" xfId="38477"/>
    <cellStyle name="Nota 8 35" xfId="22679"/>
    <cellStyle name="Nota 8 35 2" xfId="38478"/>
    <cellStyle name="Nota 8 36" xfId="22680"/>
    <cellStyle name="Nota 8 36 2" xfId="38479"/>
    <cellStyle name="Nota 8 37" xfId="22681"/>
    <cellStyle name="Nota 8 37 2" xfId="38480"/>
    <cellStyle name="Nota 8 38" xfId="22682"/>
    <cellStyle name="Nota 8 38 2" xfId="38481"/>
    <cellStyle name="Nota 8 39" xfId="22683"/>
    <cellStyle name="Nota 8 39 2" xfId="38482"/>
    <cellStyle name="Nota 8 4" xfId="22684"/>
    <cellStyle name="Nota 8 4 2" xfId="29268"/>
    <cellStyle name="Nota 8 40" xfId="22685"/>
    <cellStyle name="Nota 8 40 2" xfId="38483"/>
    <cellStyle name="Nota 8 41" xfId="29265"/>
    <cellStyle name="Nota 8 41 2" xfId="40840"/>
    <cellStyle name="Nota 8 5" xfId="22686"/>
    <cellStyle name="Nota 8 5 2" xfId="38484"/>
    <cellStyle name="Nota 8 6" xfId="22687"/>
    <cellStyle name="Nota 8 6 2" xfId="38485"/>
    <cellStyle name="Nota 8 7" xfId="22688"/>
    <cellStyle name="Nota 8 7 2" xfId="38486"/>
    <cellStyle name="Nota 8 8" xfId="22689"/>
    <cellStyle name="Nota 8 8 2" xfId="38487"/>
    <cellStyle name="Nota 8 9" xfId="22690"/>
    <cellStyle name="Nota 8 9 2" xfId="38488"/>
    <cellStyle name="Nota 80" xfId="22691"/>
    <cellStyle name="Nota 80 2" xfId="22692"/>
    <cellStyle name="Nota 80 2 2" xfId="38490"/>
    <cellStyle name="Nota 80 3" xfId="22693"/>
    <cellStyle name="Nota 80 3 2" xfId="38491"/>
    <cellStyle name="Nota 80 4" xfId="22694"/>
    <cellStyle name="Nota 80 4 2" xfId="38492"/>
    <cellStyle name="Nota 80 5" xfId="22695"/>
    <cellStyle name="Nota 80 5 2" xfId="38493"/>
    <cellStyle name="Nota 80 6" xfId="22696"/>
    <cellStyle name="Nota 80 6 2" xfId="38494"/>
    <cellStyle name="Nota 80 7" xfId="38489"/>
    <cellStyle name="Nota 81" xfId="22697"/>
    <cellStyle name="Nota 81 2" xfId="38495"/>
    <cellStyle name="Nota 82" xfId="22698"/>
    <cellStyle name="Nota 82 2" xfId="38496"/>
    <cellStyle name="Nota 83" xfId="22699"/>
    <cellStyle name="Nota 83 2" xfId="38497"/>
    <cellStyle name="Nota 84" xfId="22700"/>
    <cellStyle name="Nota 84 2" xfId="38498"/>
    <cellStyle name="Nota 85" xfId="22701"/>
    <cellStyle name="Nota 85 2" xfId="38499"/>
    <cellStyle name="Nota 86" xfId="22702"/>
    <cellStyle name="Nota 86 2" xfId="38500"/>
    <cellStyle name="Nota 87" xfId="22703"/>
    <cellStyle name="Nota 87 2" xfId="38501"/>
    <cellStyle name="Nota 88" xfId="22704"/>
    <cellStyle name="Nota 88 2" xfId="38502"/>
    <cellStyle name="Nota 89" xfId="22705"/>
    <cellStyle name="Nota 89 2" xfId="38503"/>
    <cellStyle name="Nota 9" xfId="22706"/>
    <cellStyle name="Nota 9 10" xfId="22707"/>
    <cellStyle name="Nota 9 10 2" xfId="38504"/>
    <cellStyle name="Nota 9 11" xfId="22708"/>
    <cellStyle name="Nota 9 11 2" xfId="38505"/>
    <cellStyle name="Nota 9 12" xfId="22709"/>
    <cellStyle name="Nota 9 12 2" xfId="38506"/>
    <cellStyle name="Nota 9 13" xfId="22710"/>
    <cellStyle name="Nota 9 13 2" xfId="38507"/>
    <cellStyle name="Nota 9 14" xfId="22711"/>
    <cellStyle name="Nota 9 14 2" xfId="38508"/>
    <cellStyle name="Nota 9 15" xfId="22712"/>
    <cellStyle name="Nota 9 15 2" xfId="38509"/>
    <cellStyle name="Nota 9 16" xfId="22713"/>
    <cellStyle name="Nota 9 16 2" xfId="38510"/>
    <cellStyle name="Nota 9 17" xfId="22714"/>
    <cellStyle name="Nota 9 17 2" xfId="38511"/>
    <cellStyle name="Nota 9 18" xfId="22715"/>
    <cellStyle name="Nota 9 18 2" xfId="38512"/>
    <cellStyle name="Nota 9 19" xfId="22716"/>
    <cellStyle name="Nota 9 19 2" xfId="38513"/>
    <cellStyle name="Nota 9 2" xfId="22717"/>
    <cellStyle name="Nota 9 2 2" xfId="38514"/>
    <cellStyle name="Nota 9 20" xfId="22718"/>
    <cellStyle name="Nota 9 20 2" xfId="38515"/>
    <cellStyle name="Nota 9 21" xfId="22719"/>
    <cellStyle name="Nota 9 21 2" xfId="38516"/>
    <cellStyle name="Nota 9 22" xfId="22720"/>
    <cellStyle name="Nota 9 22 2" xfId="38517"/>
    <cellStyle name="Nota 9 23" xfId="22721"/>
    <cellStyle name="Nota 9 23 2" xfId="38518"/>
    <cellStyle name="Nota 9 24" xfId="22722"/>
    <cellStyle name="Nota 9 24 2" xfId="38519"/>
    <cellStyle name="Nota 9 25" xfId="22723"/>
    <cellStyle name="Nota 9 25 2" xfId="38520"/>
    <cellStyle name="Nota 9 26" xfId="22724"/>
    <cellStyle name="Nota 9 26 2" xfId="38521"/>
    <cellStyle name="Nota 9 27" xfId="22725"/>
    <cellStyle name="Nota 9 27 2" xfId="38522"/>
    <cellStyle name="Nota 9 28" xfId="22726"/>
    <cellStyle name="Nota 9 28 2" xfId="38523"/>
    <cellStyle name="Nota 9 29" xfId="22727"/>
    <cellStyle name="Nota 9 29 2" xfId="38524"/>
    <cellStyle name="Nota 9 3" xfId="22728"/>
    <cellStyle name="Nota 9 3 2" xfId="38525"/>
    <cellStyle name="Nota 9 30" xfId="22729"/>
    <cellStyle name="Nota 9 30 2" xfId="38526"/>
    <cellStyle name="Nota 9 31" xfId="22730"/>
    <cellStyle name="Nota 9 31 2" xfId="38527"/>
    <cellStyle name="Nota 9 32" xfId="22731"/>
    <cellStyle name="Nota 9 32 2" xfId="38528"/>
    <cellStyle name="Nota 9 33" xfId="22732"/>
    <cellStyle name="Nota 9 33 2" xfId="38529"/>
    <cellStyle name="Nota 9 34" xfId="22733"/>
    <cellStyle name="Nota 9 34 2" xfId="38530"/>
    <cellStyle name="Nota 9 35" xfId="22734"/>
    <cellStyle name="Nota 9 35 2" xfId="38531"/>
    <cellStyle name="Nota 9 36" xfId="22735"/>
    <cellStyle name="Nota 9 36 2" xfId="38532"/>
    <cellStyle name="Nota 9 37" xfId="22736"/>
    <cellStyle name="Nota 9 37 2" xfId="38533"/>
    <cellStyle name="Nota 9 38" xfId="29269"/>
    <cellStyle name="Nota 9 38 2" xfId="40841"/>
    <cellStyle name="Nota 9 4" xfId="22737"/>
    <cellStyle name="Nota 9 4 2" xfId="38534"/>
    <cellStyle name="Nota 9 5" xfId="22738"/>
    <cellStyle name="Nota 9 5 2" xfId="38535"/>
    <cellStyle name="Nota 9 6" xfId="22739"/>
    <cellStyle name="Nota 9 6 2" xfId="38536"/>
    <cellStyle name="Nota 9 7" xfId="22740"/>
    <cellStyle name="Nota 9 7 2" xfId="38537"/>
    <cellStyle name="Nota 9 8" xfId="22741"/>
    <cellStyle name="Nota 9 8 2" xfId="38538"/>
    <cellStyle name="Nota 9 9" xfId="22742"/>
    <cellStyle name="Nota 9 9 2" xfId="38539"/>
    <cellStyle name="Nota 90" xfId="22743"/>
    <cellStyle name="Nota 90 2" xfId="38540"/>
    <cellStyle name="Nota 91" xfId="22744"/>
    <cellStyle name="Nota 91 2" xfId="38541"/>
    <cellStyle name="Nota 92" xfId="22745"/>
    <cellStyle name="Nota 92 2" xfId="38542"/>
    <cellStyle name="Nota 93" xfId="22746"/>
    <cellStyle name="Nota 93 2" xfId="38543"/>
    <cellStyle name="Nota 94" xfId="22747"/>
    <cellStyle name="Nota 94 2" xfId="38544"/>
    <cellStyle name="Nota 95" xfId="22748"/>
    <cellStyle name="Nota 95 2" xfId="38545"/>
    <cellStyle name="Nota 96" xfId="22749"/>
    <cellStyle name="Nota 96 2" xfId="38546"/>
    <cellStyle name="Nota 97" xfId="22750"/>
    <cellStyle name="Nota 97 2" xfId="38547"/>
    <cellStyle name="Nota 98" xfId="22751"/>
    <cellStyle name="Nota 98 2" xfId="38548"/>
    <cellStyle name="Nota 99" xfId="22752"/>
    <cellStyle name="Nota 99 2" xfId="38549"/>
    <cellStyle name="Note" xfId="41128"/>
    <cellStyle name="Note 2" xfId="41129"/>
    <cellStyle name="Output" xfId="41130"/>
    <cellStyle name="Output 2" xfId="41131"/>
    <cellStyle name="Percentual" xfId="22753"/>
    <cellStyle name="Ponto" xfId="22754"/>
    <cellStyle name="Porcentagem" xfId="3" builtinId="5"/>
    <cellStyle name="Porcentagem 10" xfId="22755"/>
    <cellStyle name="Porcentagem 10 2" xfId="22756"/>
    <cellStyle name="Porcentagem 11" xfId="22757"/>
    <cellStyle name="Porcentagem 12" xfId="22758"/>
    <cellStyle name="Porcentagem 13" xfId="22759"/>
    <cellStyle name="Porcentagem 14" xfId="22760"/>
    <cellStyle name="Porcentagem 15" xfId="22761"/>
    <cellStyle name="Porcentagem 16" xfId="22762"/>
    <cellStyle name="Porcentagem 17" xfId="22763"/>
    <cellStyle name="Porcentagem 17 2" xfId="38550"/>
    <cellStyle name="Porcentagem 18" xfId="22764"/>
    <cellStyle name="Porcentagem 18 10" xfId="22765"/>
    <cellStyle name="Porcentagem 18 2" xfId="22766"/>
    <cellStyle name="Porcentagem 18 3" xfId="22767"/>
    <cellStyle name="Porcentagem 18 4" xfId="22768"/>
    <cellStyle name="Porcentagem 18 5" xfId="22769"/>
    <cellStyle name="Porcentagem 18 6" xfId="22770"/>
    <cellStyle name="Porcentagem 18 7" xfId="22771"/>
    <cellStyle name="Porcentagem 18 8" xfId="22772"/>
    <cellStyle name="Porcentagem 18 9" xfId="22773"/>
    <cellStyle name="Porcentagem 19" xfId="29270"/>
    <cellStyle name="Porcentagem 2" xfId="43"/>
    <cellStyle name="Porcentagem 2 10" xfId="22774"/>
    <cellStyle name="Porcentagem 2 11" xfId="22775"/>
    <cellStyle name="Porcentagem 2 12" xfId="22776"/>
    <cellStyle name="Porcentagem 2 13" xfId="22777"/>
    <cellStyle name="Porcentagem 2 14" xfId="22778"/>
    <cellStyle name="Porcentagem 2 15" xfId="22779"/>
    <cellStyle name="Porcentagem 2 16" xfId="22780"/>
    <cellStyle name="Porcentagem 2 17" xfId="22781"/>
    <cellStyle name="Porcentagem 2 18" xfId="22782"/>
    <cellStyle name="Porcentagem 2 19" xfId="22783"/>
    <cellStyle name="Porcentagem 2 2" xfId="22784"/>
    <cellStyle name="Porcentagem 2 2 10" xfId="22785"/>
    <cellStyle name="Porcentagem 2 2 11" xfId="22786"/>
    <cellStyle name="Porcentagem 2 2 12" xfId="22787"/>
    <cellStyle name="Porcentagem 2 2 13" xfId="22788"/>
    <cellStyle name="Porcentagem 2 2 14" xfId="22789"/>
    <cellStyle name="Porcentagem 2 2 15" xfId="22790"/>
    <cellStyle name="Porcentagem 2 2 16" xfId="22791"/>
    <cellStyle name="Porcentagem 2 2 17" xfId="22792"/>
    <cellStyle name="Porcentagem 2 2 18" xfId="22793"/>
    <cellStyle name="Porcentagem 2 2 19" xfId="22794"/>
    <cellStyle name="Porcentagem 2 2 2" xfId="22795"/>
    <cellStyle name="Porcentagem 2 2 20" xfId="22796"/>
    <cellStyle name="Porcentagem 2 2 21" xfId="22797"/>
    <cellStyle name="Porcentagem 2 2 3" xfId="22798"/>
    <cellStyle name="Porcentagem 2 2 4" xfId="22799"/>
    <cellStyle name="Porcentagem 2 2 5" xfId="22800"/>
    <cellStyle name="Porcentagem 2 2 6" xfId="22801"/>
    <cellStyle name="Porcentagem 2 2 7" xfId="22802"/>
    <cellStyle name="Porcentagem 2 2 8" xfId="22803"/>
    <cellStyle name="Porcentagem 2 2 9" xfId="22804"/>
    <cellStyle name="Porcentagem 2 20" xfId="22805"/>
    <cellStyle name="Porcentagem 2 21" xfId="22806"/>
    <cellStyle name="Porcentagem 2 22" xfId="22807"/>
    <cellStyle name="Porcentagem 2 23" xfId="22808"/>
    <cellStyle name="Porcentagem 2 24" xfId="22809"/>
    <cellStyle name="Porcentagem 2 25" xfId="22810"/>
    <cellStyle name="Porcentagem 2 26" xfId="22811"/>
    <cellStyle name="Porcentagem 2 26 2" xfId="22812"/>
    <cellStyle name="Porcentagem 2 26 3" xfId="22813"/>
    <cellStyle name="Porcentagem 2 26 4" xfId="22814"/>
    <cellStyle name="Porcentagem 2 26 5" xfId="22815"/>
    <cellStyle name="Porcentagem 2 27" xfId="22816"/>
    <cellStyle name="Porcentagem 2 27 2" xfId="22817"/>
    <cellStyle name="Porcentagem 2 27 3" xfId="22818"/>
    <cellStyle name="Porcentagem 2 27 4" xfId="22819"/>
    <cellStyle name="Porcentagem 2 27 5" xfId="22820"/>
    <cellStyle name="Porcentagem 2 28" xfId="22821"/>
    <cellStyle name="Porcentagem 2 28 2" xfId="22822"/>
    <cellStyle name="Porcentagem 2 28 3" xfId="22823"/>
    <cellStyle name="Porcentagem 2 28 4" xfId="22824"/>
    <cellStyle name="Porcentagem 2 28 5" xfId="22825"/>
    <cellStyle name="Porcentagem 2 29" xfId="22826"/>
    <cellStyle name="Porcentagem 2 29 2" xfId="22827"/>
    <cellStyle name="Porcentagem 2 29 3" xfId="22828"/>
    <cellStyle name="Porcentagem 2 29 4" xfId="22829"/>
    <cellStyle name="Porcentagem 2 29 5" xfId="22830"/>
    <cellStyle name="Porcentagem 2 3" xfId="22831"/>
    <cellStyle name="Porcentagem 2 30" xfId="22832"/>
    <cellStyle name="Porcentagem 2 30 2" xfId="22833"/>
    <cellStyle name="Porcentagem 2 30 3" xfId="22834"/>
    <cellStyle name="Porcentagem 2 30 4" xfId="22835"/>
    <cellStyle name="Porcentagem 2 30 5" xfId="22836"/>
    <cellStyle name="Porcentagem 2 31" xfId="22837"/>
    <cellStyle name="Porcentagem 2 31 2" xfId="22838"/>
    <cellStyle name="Porcentagem 2 31 3" xfId="22839"/>
    <cellStyle name="Porcentagem 2 31 4" xfId="22840"/>
    <cellStyle name="Porcentagem 2 31 5" xfId="22841"/>
    <cellStyle name="Porcentagem 2 32" xfId="22842"/>
    <cellStyle name="Porcentagem 2 32 2" xfId="22843"/>
    <cellStyle name="Porcentagem 2 32 3" xfId="22844"/>
    <cellStyle name="Porcentagem 2 32 4" xfId="22845"/>
    <cellStyle name="Porcentagem 2 32 5" xfId="22846"/>
    <cellStyle name="Porcentagem 2 33" xfId="22847"/>
    <cellStyle name="Porcentagem 2 34" xfId="22848"/>
    <cellStyle name="Porcentagem 2 35" xfId="22849"/>
    <cellStyle name="Porcentagem 2 36" xfId="22850"/>
    <cellStyle name="Porcentagem 2 37" xfId="22851"/>
    <cellStyle name="Porcentagem 2 38" xfId="22852"/>
    <cellStyle name="Porcentagem 2 39" xfId="22853"/>
    <cellStyle name="Porcentagem 2 4" xfId="22854"/>
    <cellStyle name="Porcentagem 2 40" xfId="22855"/>
    <cellStyle name="Porcentagem 2 41" xfId="22856"/>
    <cellStyle name="Porcentagem 2 41 2" xfId="22857"/>
    <cellStyle name="Porcentagem 2 42" xfId="22858"/>
    <cellStyle name="Porcentagem 2 42 2" xfId="22859"/>
    <cellStyle name="Porcentagem 2 43" xfId="22860"/>
    <cellStyle name="Porcentagem 2 43 2" xfId="22861"/>
    <cellStyle name="Porcentagem 2 44" xfId="22862"/>
    <cellStyle name="Porcentagem 2 44 2" xfId="22863"/>
    <cellStyle name="Porcentagem 2 45" xfId="22864"/>
    <cellStyle name="Porcentagem 2 45 2" xfId="22865"/>
    <cellStyle name="Porcentagem 2 46" xfId="22866"/>
    <cellStyle name="Porcentagem 2 46 2" xfId="22867"/>
    <cellStyle name="Porcentagem 2 47" xfId="22868"/>
    <cellStyle name="Porcentagem 2 47 2" xfId="22869"/>
    <cellStyle name="Porcentagem 2 48" xfId="22870"/>
    <cellStyle name="Porcentagem 2 48 2" xfId="22871"/>
    <cellStyle name="Porcentagem 2 49" xfId="22872"/>
    <cellStyle name="Porcentagem 2 49 2" xfId="22873"/>
    <cellStyle name="Porcentagem 2 5" xfId="22874"/>
    <cellStyle name="Porcentagem 2 50" xfId="22875"/>
    <cellStyle name="Porcentagem 2 50 2" xfId="22876"/>
    <cellStyle name="Porcentagem 2 51" xfId="22877"/>
    <cellStyle name="Porcentagem 2 51 2" xfId="22878"/>
    <cellStyle name="Porcentagem 2 52" xfId="22879"/>
    <cellStyle name="Porcentagem 2 52 2" xfId="22880"/>
    <cellStyle name="Porcentagem 2 53" xfId="22881"/>
    <cellStyle name="Porcentagem 2 53 2" xfId="22882"/>
    <cellStyle name="Porcentagem 2 54" xfId="22883"/>
    <cellStyle name="Porcentagem 2 54 2" xfId="22884"/>
    <cellStyle name="Porcentagem 2 55" xfId="22885"/>
    <cellStyle name="Porcentagem 2 55 2" xfId="22886"/>
    <cellStyle name="Porcentagem 2 56" xfId="22887"/>
    <cellStyle name="Porcentagem 2 56 2" xfId="22888"/>
    <cellStyle name="Porcentagem 2 57" xfId="22889"/>
    <cellStyle name="Porcentagem 2 57 2" xfId="22890"/>
    <cellStyle name="Porcentagem 2 58" xfId="22891"/>
    <cellStyle name="Porcentagem 2 58 2" xfId="22892"/>
    <cellStyle name="Porcentagem 2 59" xfId="22893"/>
    <cellStyle name="Porcentagem 2 6" xfId="22894"/>
    <cellStyle name="Porcentagem 2 60" xfId="22895"/>
    <cellStyle name="Porcentagem 2 61" xfId="22896"/>
    <cellStyle name="Porcentagem 2 62" xfId="22897"/>
    <cellStyle name="Porcentagem 2 63" xfId="22898"/>
    <cellStyle name="Porcentagem 2 64" xfId="22899"/>
    <cellStyle name="Porcentagem 2 65" xfId="22900"/>
    <cellStyle name="Porcentagem 2 66" xfId="22901"/>
    <cellStyle name="Porcentagem 2 67" xfId="22902"/>
    <cellStyle name="Porcentagem 2 68" xfId="22903"/>
    <cellStyle name="Porcentagem 2 69" xfId="22904"/>
    <cellStyle name="Porcentagem 2 7" xfId="22905"/>
    <cellStyle name="Porcentagem 2 70" xfId="22906"/>
    <cellStyle name="Porcentagem 2 71" xfId="22907"/>
    <cellStyle name="Porcentagem 2 72" xfId="22908"/>
    <cellStyle name="Porcentagem 2 73" xfId="22909"/>
    <cellStyle name="Porcentagem 2 74" xfId="22910"/>
    <cellStyle name="Porcentagem 2 75" xfId="22911"/>
    <cellStyle name="Porcentagem 2 76" xfId="22912"/>
    <cellStyle name="Porcentagem 2 77" xfId="22913"/>
    <cellStyle name="Porcentagem 2 78" xfId="22914"/>
    <cellStyle name="Porcentagem 2 79" xfId="22915"/>
    <cellStyle name="Porcentagem 2 8" xfId="22916"/>
    <cellStyle name="Porcentagem 2 80" xfId="41075"/>
    <cellStyle name="Porcentagem 2 81" xfId="41077"/>
    <cellStyle name="Porcentagem 2 9" xfId="22917"/>
    <cellStyle name="Porcentagem 20" xfId="29375"/>
    <cellStyle name="Porcentagem 21" xfId="42"/>
    <cellStyle name="Porcentagem 3" xfId="22918"/>
    <cellStyle name="Porcentagem 3 10" xfId="22919"/>
    <cellStyle name="Porcentagem 3 10 2" xfId="41065"/>
    <cellStyle name="Porcentagem 3 11" xfId="22920"/>
    <cellStyle name="Porcentagem 3 11 2" xfId="22921"/>
    <cellStyle name="Porcentagem 3 12" xfId="22922"/>
    <cellStyle name="Porcentagem 3 12 2" xfId="41066"/>
    <cellStyle name="Porcentagem 3 13" xfId="22923"/>
    <cellStyle name="Porcentagem 3 13 2" xfId="41068"/>
    <cellStyle name="Porcentagem 3 14" xfId="22924"/>
    <cellStyle name="Porcentagem 3 14 2" xfId="41064"/>
    <cellStyle name="Porcentagem 3 15" xfId="22925"/>
    <cellStyle name="Porcentagem 3 15 2" xfId="41069"/>
    <cellStyle name="Porcentagem 3 16" xfId="22926"/>
    <cellStyle name="Porcentagem 3 17" xfId="22927"/>
    <cellStyle name="Porcentagem 3 18" xfId="22928"/>
    <cellStyle name="Porcentagem 3 19" xfId="22929"/>
    <cellStyle name="Porcentagem 3 2" xfId="22930"/>
    <cellStyle name="Porcentagem 3 2 10" xfId="22931"/>
    <cellStyle name="Porcentagem 3 2 2" xfId="22932"/>
    <cellStyle name="Porcentagem 3 2 2 2" xfId="22933"/>
    <cellStyle name="Porcentagem 3 2 2 3" xfId="22934"/>
    <cellStyle name="Porcentagem 3 2 2 4" xfId="22935"/>
    <cellStyle name="Porcentagem 3 2 2 5" xfId="22936"/>
    <cellStyle name="Porcentagem 3 2 2 6" xfId="22937"/>
    <cellStyle name="Porcentagem 3 2 2 7" xfId="22938"/>
    <cellStyle name="Porcentagem 3 2 3" xfId="22939"/>
    <cellStyle name="Porcentagem 3 2 4" xfId="22940"/>
    <cellStyle name="Porcentagem 3 2 5" xfId="22941"/>
    <cellStyle name="Porcentagem 3 2 6" xfId="22942"/>
    <cellStyle name="Porcentagem 3 2 7" xfId="22943"/>
    <cellStyle name="Porcentagem 3 2 8" xfId="22944"/>
    <cellStyle name="Porcentagem 3 2 9" xfId="22945"/>
    <cellStyle name="Porcentagem 3 20" xfId="22946"/>
    <cellStyle name="Porcentagem 3 21" xfId="22947"/>
    <cellStyle name="Porcentagem 3 22" xfId="22948"/>
    <cellStyle name="Porcentagem 3 3" xfId="22949"/>
    <cellStyle name="Porcentagem 3 3 2" xfId="22950"/>
    <cellStyle name="Porcentagem 3 3 3" xfId="22951"/>
    <cellStyle name="Porcentagem 3 4" xfId="22952"/>
    <cellStyle name="Porcentagem 3 4 10" xfId="22953"/>
    <cellStyle name="Porcentagem 3 4 11" xfId="22954"/>
    <cellStyle name="Porcentagem 3 4 12" xfId="22955"/>
    <cellStyle name="Porcentagem 3 4 13" xfId="22956"/>
    <cellStyle name="Porcentagem 3 4 14" xfId="22957"/>
    <cellStyle name="Porcentagem 3 4 15" xfId="22958"/>
    <cellStyle name="Porcentagem 3 4 16" xfId="22959"/>
    <cellStyle name="Porcentagem 3 4 2" xfId="22960"/>
    <cellStyle name="Porcentagem 3 4 3" xfId="22961"/>
    <cellStyle name="Porcentagem 3 4 3 2" xfId="22962"/>
    <cellStyle name="Porcentagem 3 4 4" xfId="22963"/>
    <cellStyle name="Porcentagem 3 4 4 2" xfId="22964"/>
    <cellStyle name="Porcentagem 3 4 5" xfId="22965"/>
    <cellStyle name="Porcentagem 3 4 6" xfId="22966"/>
    <cellStyle name="Porcentagem 3 4 7" xfId="22967"/>
    <cellStyle name="Porcentagem 3 4 8" xfId="22968"/>
    <cellStyle name="Porcentagem 3 4 9" xfId="22969"/>
    <cellStyle name="Porcentagem 3 5" xfId="22970"/>
    <cellStyle name="Porcentagem 3 5 2" xfId="22971"/>
    <cellStyle name="Porcentagem 3 5 3" xfId="22972"/>
    <cellStyle name="Porcentagem 3 5 4" xfId="22973"/>
    <cellStyle name="Porcentagem 3 6" xfId="22974"/>
    <cellStyle name="Porcentagem 3 6 2" xfId="22975"/>
    <cellStyle name="Porcentagem 3 6 3" xfId="22976"/>
    <cellStyle name="Porcentagem 3 6 4" xfId="22977"/>
    <cellStyle name="Porcentagem 3 7" xfId="22978"/>
    <cellStyle name="Porcentagem 3 7 2" xfId="22979"/>
    <cellStyle name="Porcentagem 3 7 3" xfId="22980"/>
    <cellStyle name="Porcentagem 3 7 4" xfId="22981"/>
    <cellStyle name="Porcentagem 3 8" xfId="22982"/>
    <cellStyle name="Porcentagem 3 9" xfId="22983"/>
    <cellStyle name="Porcentagem 3 9 2" xfId="41067"/>
    <cellStyle name="Porcentagem 4" xfId="22984"/>
    <cellStyle name="Porcentagem 4 10" xfId="22985"/>
    <cellStyle name="Porcentagem 4 11" xfId="22986"/>
    <cellStyle name="Porcentagem 4 12" xfId="22987"/>
    <cellStyle name="Porcentagem 4 13" xfId="22988"/>
    <cellStyle name="Porcentagem 4 14" xfId="22989"/>
    <cellStyle name="Porcentagem 4 15" xfId="22990"/>
    <cellStyle name="Porcentagem 4 16" xfId="22991"/>
    <cellStyle name="Porcentagem 4 17" xfId="22992"/>
    <cellStyle name="Porcentagem 4 18" xfId="22993"/>
    <cellStyle name="Porcentagem 4 19" xfId="22994"/>
    <cellStyle name="Porcentagem 4 2" xfId="22995"/>
    <cellStyle name="Porcentagem 4 2 2" xfId="22996"/>
    <cellStyle name="Porcentagem 4 2 2 2" xfId="40842"/>
    <cellStyle name="Porcentagem 4 2 3" xfId="22997"/>
    <cellStyle name="Porcentagem 4 2 3 2" xfId="41058"/>
    <cellStyle name="Porcentagem 4 2 4" xfId="22998"/>
    <cellStyle name="Porcentagem 4 2 5" xfId="22999"/>
    <cellStyle name="Porcentagem 4 2 6" xfId="23000"/>
    <cellStyle name="Porcentagem 4 2 7" xfId="23001"/>
    <cellStyle name="Porcentagem 4 20" xfId="23002"/>
    <cellStyle name="Porcentagem 4 21" xfId="23003"/>
    <cellStyle name="Porcentagem 4 22" xfId="23004"/>
    <cellStyle name="Porcentagem 4 23" xfId="23005"/>
    <cellStyle name="Porcentagem 4 24" xfId="23006"/>
    <cellStyle name="Porcentagem 4 25" xfId="23007"/>
    <cellStyle name="Porcentagem 4 26" xfId="23008"/>
    <cellStyle name="Porcentagem 4 27" xfId="23009"/>
    <cellStyle name="Porcentagem 4 28" xfId="23010"/>
    <cellStyle name="Porcentagem 4 29" xfId="23011"/>
    <cellStyle name="Porcentagem 4 3" xfId="23012"/>
    <cellStyle name="Porcentagem 4 30" xfId="23013"/>
    <cellStyle name="Porcentagem 4 31" xfId="23014"/>
    <cellStyle name="Porcentagem 4 32" xfId="23015"/>
    <cellStyle name="Porcentagem 4 33" xfId="23016"/>
    <cellStyle name="Porcentagem 4 34" xfId="23017"/>
    <cellStyle name="Porcentagem 4 35" xfId="23018"/>
    <cellStyle name="Porcentagem 4 36" xfId="23019"/>
    <cellStyle name="Porcentagem 4 37" xfId="23020"/>
    <cellStyle name="Porcentagem 4 38" xfId="23021"/>
    <cellStyle name="Porcentagem 4 39" xfId="23022"/>
    <cellStyle name="Porcentagem 4 4" xfId="23023"/>
    <cellStyle name="Porcentagem 4 40" xfId="23024"/>
    <cellStyle name="Porcentagem 4 41" xfId="23025"/>
    <cellStyle name="Porcentagem 4 42" xfId="23026"/>
    <cellStyle name="Porcentagem 4 43" xfId="23027"/>
    <cellStyle name="Porcentagem 4 5" xfId="23028"/>
    <cellStyle name="Porcentagem 4 5 2" xfId="41046"/>
    <cellStyle name="Porcentagem 4 6" xfId="23029"/>
    <cellStyle name="Porcentagem 4 6 2" xfId="41021"/>
    <cellStyle name="Porcentagem 4 7" xfId="23030"/>
    <cellStyle name="Porcentagem 4 7 2" xfId="41057"/>
    <cellStyle name="Porcentagem 4 8" xfId="23031"/>
    <cellStyle name="Porcentagem 4 9" xfId="23032"/>
    <cellStyle name="Porcentagem 5" xfId="23033"/>
    <cellStyle name="Porcentagem 5 10" xfId="23034"/>
    <cellStyle name="Porcentagem 5 11" xfId="23035"/>
    <cellStyle name="Porcentagem 5 12" xfId="23036"/>
    <cellStyle name="Porcentagem 5 13" xfId="23037"/>
    <cellStyle name="Porcentagem 5 14" xfId="23038"/>
    <cellStyle name="Porcentagem 5 15" xfId="23039"/>
    <cellStyle name="Porcentagem 5 16" xfId="23040"/>
    <cellStyle name="Porcentagem 5 17" xfId="23041"/>
    <cellStyle name="Porcentagem 5 18" xfId="23042"/>
    <cellStyle name="Porcentagem 5 19" xfId="23043"/>
    <cellStyle name="Porcentagem 5 2" xfId="23044"/>
    <cellStyle name="Porcentagem 5 2 10" xfId="23045"/>
    <cellStyle name="Porcentagem 5 2 11" xfId="23046"/>
    <cellStyle name="Porcentagem 5 2 12" xfId="23047"/>
    <cellStyle name="Porcentagem 5 2 13" xfId="23048"/>
    <cellStyle name="Porcentagem 5 2 14" xfId="23049"/>
    <cellStyle name="Porcentagem 5 2 15" xfId="23050"/>
    <cellStyle name="Porcentagem 5 2 16" xfId="23051"/>
    <cellStyle name="Porcentagem 5 2 2" xfId="23052"/>
    <cellStyle name="Porcentagem 5 2 3" xfId="23053"/>
    <cellStyle name="Porcentagem 5 2 4" xfId="23054"/>
    <cellStyle name="Porcentagem 5 2 5" xfId="23055"/>
    <cellStyle name="Porcentagem 5 2 6" xfId="23056"/>
    <cellStyle name="Porcentagem 5 2 7" xfId="23057"/>
    <cellStyle name="Porcentagem 5 2 8" xfId="23058"/>
    <cellStyle name="Porcentagem 5 2 9" xfId="23059"/>
    <cellStyle name="Porcentagem 5 20" xfId="23060"/>
    <cellStyle name="Porcentagem 5 21" xfId="23061"/>
    <cellStyle name="Porcentagem 5 22" xfId="23062"/>
    <cellStyle name="Porcentagem 5 23" xfId="23063"/>
    <cellStyle name="Porcentagem 5 24" xfId="23064"/>
    <cellStyle name="Porcentagem 5 3" xfId="23065"/>
    <cellStyle name="Porcentagem 5 3 2" xfId="23066"/>
    <cellStyle name="Porcentagem 5 4" xfId="23067"/>
    <cellStyle name="Porcentagem 5 4 2" xfId="23068"/>
    <cellStyle name="Porcentagem 5 5" xfId="23069"/>
    <cellStyle name="Porcentagem 5 5 2" xfId="23070"/>
    <cellStyle name="Porcentagem 5 6" xfId="23071"/>
    <cellStyle name="Porcentagem 5 7" xfId="23072"/>
    <cellStyle name="Porcentagem 5 8" xfId="23073"/>
    <cellStyle name="Porcentagem 5 9" xfId="23074"/>
    <cellStyle name="Porcentagem 6" xfId="23075"/>
    <cellStyle name="Porcentagem 6 2" xfId="23076"/>
    <cellStyle name="Porcentagem 6 3" xfId="23077"/>
    <cellStyle name="Porcentagem 7" xfId="23078"/>
    <cellStyle name="Porcentagem 7 2" xfId="23079"/>
    <cellStyle name="Porcentagem 7 3" xfId="23080"/>
    <cellStyle name="Porcentagem 8" xfId="23081"/>
    <cellStyle name="Porcentagem 8 2" xfId="23082"/>
    <cellStyle name="Porcentagem 8 3" xfId="23083"/>
    <cellStyle name="Porcentagem 9" xfId="23084"/>
    <cellStyle name="Porcentagem 9 2" xfId="23085"/>
    <cellStyle name="Porcentagem 9 3" xfId="23086"/>
    <cellStyle name="Saída 10" xfId="23087"/>
    <cellStyle name="Saída 10 2" xfId="29271"/>
    <cellStyle name="Saída 10 2 2" xfId="40844"/>
    <cellStyle name="Saída 10 3" xfId="40843"/>
    <cellStyle name="Saída 100" xfId="23088"/>
    <cellStyle name="Saída 100 2" xfId="38551"/>
    <cellStyle name="Saída 101" xfId="23089"/>
    <cellStyle name="Saída 101 2" xfId="38552"/>
    <cellStyle name="Saída 102" xfId="23090"/>
    <cellStyle name="Saída 102 2" xfId="38553"/>
    <cellStyle name="Saída 103" xfId="23091"/>
    <cellStyle name="Saída 103 2" xfId="38554"/>
    <cellStyle name="Saída 104" xfId="23092"/>
    <cellStyle name="Saída 104 2" xfId="38555"/>
    <cellStyle name="Saída 105" xfId="23093"/>
    <cellStyle name="Saída 105 2" xfId="38556"/>
    <cellStyle name="Saída 106" xfId="23094"/>
    <cellStyle name="Saída 106 2" xfId="38557"/>
    <cellStyle name="Saída 107" xfId="23095"/>
    <cellStyle name="Saída 107 2" xfId="38558"/>
    <cellStyle name="Saída 108" xfId="23096"/>
    <cellStyle name="Saída 108 2" xfId="38559"/>
    <cellStyle name="Saída 109" xfId="23097"/>
    <cellStyle name="Saída 109 2" xfId="38560"/>
    <cellStyle name="Saída 11" xfId="23098"/>
    <cellStyle name="Saída 11 2" xfId="29272"/>
    <cellStyle name="Saída 11 2 2" xfId="40846"/>
    <cellStyle name="Saída 11 3" xfId="40845"/>
    <cellStyle name="Saída 110" xfId="23099"/>
    <cellStyle name="Saída 110 2" xfId="38561"/>
    <cellStyle name="Saída 111" xfId="23100"/>
    <cellStyle name="Saída 111 2" xfId="38562"/>
    <cellStyle name="Saída 112" xfId="23101"/>
    <cellStyle name="Saída 112 2" xfId="38563"/>
    <cellStyle name="Saída 113" xfId="23102"/>
    <cellStyle name="Saída 113 2" xfId="38564"/>
    <cellStyle name="Saída 114" xfId="23103"/>
    <cellStyle name="Saída 114 2" xfId="38565"/>
    <cellStyle name="Saída 115" xfId="23104"/>
    <cellStyle name="Saída 115 2" xfId="38566"/>
    <cellStyle name="Saída 116" xfId="23105"/>
    <cellStyle name="Saída 116 2" xfId="38567"/>
    <cellStyle name="Saída 117" xfId="23106"/>
    <cellStyle name="Saída 117 2" xfId="38568"/>
    <cellStyle name="Saída 118" xfId="23107"/>
    <cellStyle name="Saída 118 2" xfId="38569"/>
    <cellStyle name="Saída 119" xfId="23108"/>
    <cellStyle name="Saída 119 2" xfId="38570"/>
    <cellStyle name="Saída 12" xfId="23109"/>
    <cellStyle name="Saída 12 2" xfId="29273"/>
    <cellStyle name="Saída 12 2 2" xfId="40848"/>
    <cellStyle name="Saída 12 3" xfId="40847"/>
    <cellStyle name="Saída 120" xfId="23110"/>
    <cellStyle name="Saída 120 2" xfId="38571"/>
    <cellStyle name="Saída 121" xfId="23111"/>
    <cellStyle name="Saída 121 2" xfId="38572"/>
    <cellStyle name="Saída 122" xfId="23112"/>
    <cellStyle name="Saída 122 2" xfId="38573"/>
    <cellStyle name="Saída 123" xfId="23113"/>
    <cellStyle name="Saída 123 2" xfId="38574"/>
    <cellStyle name="Saída 124" xfId="23114"/>
    <cellStyle name="Saída 124 2" xfId="38575"/>
    <cellStyle name="Saída 125" xfId="23115"/>
    <cellStyle name="Saída 125 2" xfId="38576"/>
    <cellStyle name="Saída 126" xfId="23116"/>
    <cellStyle name="Saída 126 2" xfId="38577"/>
    <cellStyle name="Saída 127" xfId="23117"/>
    <cellStyle name="Saída 127 2" xfId="38578"/>
    <cellStyle name="Saída 128" xfId="23118"/>
    <cellStyle name="Saída 128 2" xfId="38579"/>
    <cellStyle name="Saída 129" xfId="23119"/>
    <cellStyle name="Saída 129 2" xfId="38580"/>
    <cellStyle name="Saída 13" xfId="23120"/>
    <cellStyle name="Saída 13 2" xfId="29274"/>
    <cellStyle name="Saída 13 2 2" xfId="40850"/>
    <cellStyle name="Saída 13 3" xfId="40849"/>
    <cellStyle name="Saída 130" xfId="23121"/>
    <cellStyle name="Saída 130 2" xfId="38581"/>
    <cellStyle name="Saída 131" xfId="23122"/>
    <cellStyle name="Saída 131 2" xfId="38582"/>
    <cellStyle name="Saída 132" xfId="23123"/>
    <cellStyle name="Saída 132 2" xfId="38583"/>
    <cellStyle name="Saída 133" xfId="23124"/>
    <cellStyle name="Saída 133 2" xfId="38584"/>
    <cellStyle name="Saída 134" xfId="23125"/>
    <cellStyle name="Saída 134 2" xfId="38585"/>
    <cellStyle name="Saída 135" xfId="23126"/>
    <cellStyle name="Saída 135 2" xfId="38586"/>
    <cellStyle name="Saída 136" xfId="23127"/>
    <cellStyle name="Saída 136 2" xfId="38587"/>
    <cellStyle name="Saída 137" xfId="23128"/>
    <cellStyle name="Saída 137 2" xfId="38588"/>
    <cellStyle name="Saída 138" xfId="23129"/>
    <cellStyle name="Saída 138 2" xfId="38589"/>
    <cellStyle name="Saída 139" xfId="23130"/>
    <cellStyle name="Saída 139 2" xfId="38590"/>
    <cellStyle name="Saída 14" xfId="23131"/>
    <cellStyle name="Saída 14 2" xfId="29275"/>
    <cellStyle name="Saída 14 2 2" xfId="40851"/>
    <cellStyle name="Saída 140" xfId="23132"/>
    <cellStyle name="Saída 140 2" xfId="38591"/>
    <cellStyle name="Saída 141" xfId="23133"/>
    <cellStyle name="Saída 141 2" xfId="38592"/>
    <cellStyle name="Saída 142" xfId="23134"/>
    <cellStyle name="Saída 142 2" xfId="38593"/>
    <cellStyle name="Saída 143" xfId="23135"/>
    <cellStyle name="Saída 143 2" xfId="38594"/>
    <cellStyle name="Saída 144" xfId="23136"/>
    <cellStyle name="Saída 144 2" xfId="38595"/>
    <cellStyle name="Saída 145" xfId="23137"/>
    <cellStyle name="Saída 145 2" xfId="38596"/>
    <cellStyle name="Saída 146" xfId="23138"/>
    <cellStyle name="Saída 146 2" xfId="38597"/>
    <cellStyle name="Saída 147" xfId="23139"/>
    <cellStyle name="Saída 147 2" xfId="38598"/>
    <cellStyle name="Saída 148" xfId="23140"/>
    <cellStyle name="Saída 148 2" xfId="38599"/>
    <cellStyle name="Saída 149" xfId="23141"/>
    <cellStyle name="Saída 149 2" xfId="38600"/>
    <cellStyle name="Saída 15" xfId="23142"/>
    <cellStyle name="Saída 15 2" xfId="23143"/>
    <cellStyle name="Saída 15 2 2" xfId="38601"/>
    <cellStyle name="Saída 15 3" xfId="23144"/>
    <cellStyle name="Saída 15 3 2" xfId="38602"/>
    <cellStyle name="Saída 15 4" xfId="29276"/>
    <cellStyle name="Saída 15 4 2" xfId="40852"/>
    <cellStyle name="Saída 150" xfId="23145"/>
    <cellStyle name="Saída 150 2" xfId="38603"/>
    <cellStyle name="Saída 151" xfId="23146"/>
    <cellStyle name="Saída 151 2" xfId="38604"/>
    <cellStyle name="Saída 152" xfId="23147"/>
    <cellStyle name="Saída 152 2" xfId="38605"/>
    <cellStyle name="Saída 153" xfId="23148"/>
    <cellStyle name="Saída 153 2" xfId="38606"/>
    <cellStyle name="Saída 154" xfId="23149"/>
    <cellStyle name="Saída 154 2" xfId="38607"/>
    <cellStyle name="Saída 155" xfId="23150"/>
    <cellStyle name="Saída 155 2" xfId="38608"/>
    <cellStyle name="Saída 156" xfId="23151"/>
    <cellStyle name="Saída 156 2" xfId="38609"/>
    <cellStyle name="Saída 157" xfId="23152"/>
    <cellStyle name="Saída 157 2" xfId="38610"/>
    <cellStyle name="Saída 158" xfId="23153"/>
    <cellStyle name="Saída 158 2" xfId="38611"/>
    <cellStyle name="Saída 159" xfId="23154"/>
    <cellStyle name="Saída 159 2" xfId="38612"/>
    <cellStyle name="Saída 16" xfId="23155"/>
    <cellStyle name="Saída 16 2" xfId="23156"/>
    <cellStyle name="Saída 16 2 2" xfId="38613"/>
    <cellStyle name="Saída 16 3" xfId="23157"/>
    <cellStyle name="Saída 16 3 2" xfId="38614"/>
    <cellStyle name="Saída 16 4" xfId="29277"/>
    <cellStyle name="Saída 16 4 2" xfId="40853"/>
    <cellStyle name="Saída 160" xfId="23158"/>
    <cellStyle name="Saída 160 2" xfId="38615"/>
    <cellStyle name="Saída 161" xfId="23159"/>
    <cellStyle name="Saída 161 2" xfId="38616"/>
    <cellStyle name="Saída 162" xfId="23160"/>
    <cellStyle name="Saída 162 2" xfId="38617"/>
    <cellStyle name="Saída 163" xfId="23161"/>
    <cellStyle name="Saída 163 2" xfId="38618"/>
    <cellStyle name="Saída 164" xfId="23162"/>
    <cellStyle name="Saída 164 2" xfId="38619"/>
    <cellStyle name="Saída 165" xfId="23163"/>
    <cellStyle name="Saída 165 2" xfId="38620"/>
    <cellStyle name="Saída 166" xfId="23164"/>
    <cellStyle name="Saída 166 2" xfId="38621"/>
    <cellStyle name="Saída 167" xfId="23165"/>
    <cellStyle name="Saída 167 2" xfId="38622"/>
    <cellStyle name="Saída 168" xfId="23166"/>
    <cellStyle name="Saída 168 2" xfId="38623"/>
    <cellStyle name="Saída 169" xfId="23167"/>
    <cellStyle name="Saída 169 2" xfId="38624"/>
    <cellStyle name="Saída 17" xfId="23168"/>
    <cellStyle name="Saída 17 2" xfId="23169"/>
    <cellStyle name="Saída 17 2 2" xfId="38625"/>
    <cellStyle name="Saída 17 3" xfId="23170"/>
    <cellStyle name="Saída 17 3 2" xfId="38626"/>
    <cellStyle name="Saída 17 4" xfId="29278"/>
    <cellStyle name="Saída 17 4 2" xfId="40854"/>
    <cellStyle name="Saída 170" xfId="23171"/>
    <cellStyle name="Saída 170 2" xfId="38627"/>
    <cellStyle name="Saída 171" xfId="23172"/>
    <cellStyle name="Saída 171 2" xfId="38628"/>
    <cellStyle name="Saída 172" xfId="23173"/>
    <cellStyle name="Saída 172 2" xfId="38629"/>
    <cellStyle name="Saída 173" xfId="23174"/>
    <cellStyle name="Saída 173 2" xfId="38630"/>
    <cellStyle name="Saída 174" xfId="23175"/>
    <cellStyle name="Saída 174 2" xfId="38631"/>
    <cellStyle name="Saída 175" xfId="23176"/>
    <cellStyle name="Saída 175 2" xfId="38632"/>
    <cellStyle name="Saída 176" xfId="23177"/>
    <cellStyle name="Saída 176 2" xfId="38633"/>
    <cellStyle name="Saída 177" xfId="23178"/>
    <cellStyle name="Saída 177 2" xfId="38634"/>
    <cellStyle name="Saída 178" xfId="23179"/>
    <cellStyle name="Saída 178 2" xfId="38635"/>
    <cellStyle name="Saída 179" xfId="23180"/>
    <cellStyle name="Saída 179 2" xfId="38636"/>
    <cellStyle name="Saída 18" xfId="23181"/>
    <cellStyle name="Saída 18 2" xfId="23182"/>
    <cellStyle name="Saída 18 2 2" xfId="38637"/>
    <cellStyle name="Saída 18 3" xfId="23183"/>
    <cellStyle name="Saída 18 3 2" xfId="38638"/>
    <cellStyle name="Saída 18 4" xfId="29279"/>
    <cellStyle name="Saída 18 4 2" xfId="40855"/>
    <cellStyle name="Saída 180" xfId="23184"/>
    <cellStyle name="Saída 180 2" xfId="38639"/>
    <cellStyle name="Saída 181" xfId="23185"/>
    <cellStyle name="Saída 181 2" xfId="38640"/>
    <cellStyle name="Saída 182" xfId="23186"/>
    <cellStyle name="Saída 182 2" xfId="38641"/>
    <cellStyle name="Saída 183" xfId="23187"/>
    <cellStyle name="Saída 183 2" xfId="38642"/>
    <cellStyle name="Saída 184" xfId="23188"/>
    <cellStyle name="Saída 184 2" xfId="38643"/>
    <cellStyle name="Saída 185" xfId="23189"/>
    <cellStyle name="Saída 185 2" xfId="38644"/>
    <cellStyle name="Saída 186" xfId="23190"/>
    <cellStyle name="Saída 186 2" xfId="38645"/>
    <cellStyle name="Saída 187" xfId="23191"/>
    <cellStyle name="Saída 187 2" xfId="38646"/>
    <cellStyle name="Saída 188" xfId="23192"/>
    <cellStyle name="Saída 188 2" xfId="38647"/>
    <cellStyle name="Saída 189" xfId="23193"/>
    <cellStyle name="Saída 189 2" xfId="38648"/>
    <cellStyle name="Saída 19" xfId="23194"/>
    <cellStyle name="Saída 19 2" xfId="23195"/>
    <cellStyle name="Saída 19 2 2" xfId="38649"/>
    <cellStyle name="Saída 19 3" xfId="23196"/>
    <cellStyle name="Saída 19 3 2" xfId="38650"/>
    <cellStyle name="Saída 19 4" xfId="29280"/>
    <cellStyle name="Saída 19 4 2" xfId="40856"/>
    <cellStyle name="Saída 190" xfId="23197"/>
    <cellStyle name="Saída 190 2" xfId="38651"/>
    <cellStyle name="Saída 191" xfId="40469"/>
    <cellStyle name="Saída 2" xfId="23198"/>
    <cellStyle name="Saída 2 10" xfId="23199"/>
    <cellStyle name="Saída 2 10 2" xfId="23200"/>
    <cellStyle name="Saída 2 10 2 2" xfId="38653"/>
    <cellStyle name="Saída 2 10 3" xfId="23201"/>
    <cellStyle name="Saída 2 10 3 2" xfId="38654"/>
    <cellStyle name="Saída 2 10 4" xfId="23202"/>
    <cellStyle name="Saída 2 10 4 2" xfId="38655"/>
    <cellStyle name="Saída 2 10 5" xfId="23203"/>
    <cellStyle name="Saída 2 10 5 2" xfId="38656"/>
    <cellStyle name="Saída 2 10 6" xfId="23204"/>
    <cellStyle name="Saída 2 10 6 2" xfId="38657"/>
    <cellStyle name="Saída 2 10 7" xfId="23205"/>
    <cellStyle name="Saída 2 10 7 2" xfId="38658"/>
    <cellStyle name="Saída 2 10 8" xfId="38652"/>
    <cellStyle name="Saída 2 11" xfId="23206"/>
    <cellStyle name="Saída 2 11 2" xfId="23207"/>
    <cellStyle name="Saída 2 11 2 2" xfId="38660"/>
    <cellStyle name="Saída 2 11 3" xfId="23208"/>
    <cellStyle name="Saída 2 11 3 2" xfId="38661"/>
    <cellStyle name="Saída 2 11 4" xfId="23209"/>
    <cellStyle name="Saída 2 11 4 2" xfId="38662"/>
    <cellStyle name="Saída 2 11 5" xfId="23210"/>
    <cellStyle name="Saída 2 11 5 2" xfId="38663"/>
    <cellStyle name="Saída 2 11 6" xfId="23211"/>
    <cellStyle name="Saída 2 11 6 2" xfId="38664"/>
    <cellStyle name="Saída 2 11 7" xfId="23212"/>
    <cellStyle name="Saída 2 11 7 2" xfId="38665"/>
    <cellStyle name="Saída 2 11 8" xfId="38659"/>
    <cellStyle name="Saída 2 12" xfId="23213"/>
    <cellStyle name="Saída 2 12 2" xfId="38666"/>
    <cellStyle name="Saída 2 13" xfId="23214"/>
    <cellStyle name="Saída 2 13 2" xfId="38667"/>
    <cellStyle name="Saída 2 14" xfId="23215"/>
    <cellStyle name="Saída 2 14 2" xfId="38668"/>
    <cellStyle name="Saída 2 15" xfId="23216"/>
    <cellStyle name="Saída 2 15 2" xfId="38669"/>
    <cellStyle name="Saída 2 16" xfId="23217"/>
    <cellStyle name="Saída 2 16 2" xfId="38670"/>
    <cellStyle name="Saída 2 17" xfId="23218"/>
    <cellStyle name="Saída 2 17 2" xfId="38671"/>
    <cellStyle name="Saída 2 18" xfId="23219"/>
    <cellStyle name="Saída 2 18 2" xfId="38672"/>
    <cellStyle name="Saída 2 19" xfId="23220"/>
    <cellStyle name="Saída 2 19 2" xfId="38673"/>
    <cellStyle name="Saída 2 2" xfId="23221"/>
    <cellStyle name="Saída 2 2 2" xfId="29281"/>
    <cellStyle name="Saída 2 2 2 2" xfId="40857"/>
    <cellStyle name="Saída 2 20" xfId="23222"/>
    <cellStyle name="Saída 2 20 2" xfId="38674"/>
    <cellStyle name="Saída 2 21" xfId="23223"/>
    <cellStyle name="Saída 2 21 2" xfId="38675"/>
    <cellStyle name="Saída 2 22" xfId="23224"/>
    <cellStyle name="Saída 2 22 2" xfId="38676"/>
    <cellStyle name="Saída 2 23" xfId="23225"/>
    <cellStyle name="Saída 2 23 2" xfId="38677"/>
    <cellStyle name="Saída 2 24" xfId="23226"/>
    <cellStyle name="Saída 2 24 2" xfId="38678"/>
    <cellStyle name="Saída 2 25" xfId="23227"/>
    <cellStyle name="Saída 2 25 2" xfId="38679"/>
    <cellStyle name="Saída 2 26" xfId="23228"/>
    <cellStyle name="Saída 2 26 2" xfId="38680"/>
    <cellStyle name="Saída 2 27" xfId="23229"/>
    <cellStyle name="Saída 2 27 2" xfId="38681"/>
    <cellStyle name="Saída 2 28" xfId="23230"/>
    <cellStyle name="Saída 2 28 2" xfId="38682"/>
    <cellStyle name="Saída 2 29" xfId="23231"/>
    <cellStyle name="Saída 2 29 2" xfId="38683"/>
    <cellStyle name="Saída 2 3" xfId="23232"/>
    <cellStyle name="Saída 2 3 2" xfId="29282"/>
    <cellStyle name="Saída 2 3 2 2" xfId="40858"/>
    <cellStyle name="Saída 2 30" xfId="23233"/>
    <cellStyle name="Saída 2 30 2" xfId="38684"/>
    <cellStyle name="Saída 2 31" xfId="23234"/>
    <cellStyle name="Saída 2 31 2" xfId="38685"/>
    <cellStyle name="Saída 2 32" xfId="23235"/>
    <cellStyle name="Saída 2 32 2" xfId="38686"/>
    <cellStyle name="Saída 2 33" xfId="23236"/>
    <cellStyle name="Saída 2 33 2" xfId="38687"/>
    <cellStyle name="Saída 2 34" xfId="23237"/>
    <cellStyle name="Saída 2 34 2" xfId="38688"/>
    <cellStyle name="Saída 2 35" xfId="23238"/>
    <cellStyle name="Saída 2 35 2" xfId="38689"/>
    <cellStyle name="Saída 2 36" xfId="29393"/>
    <cellStyle name="Saída 2 36 2" xfId="40473"/>
    <cellStyle name="Saída 2 4" xfId="23239"/>
    <cellStyle name="Saída 2 4 2" xfId="29283"/>
    <cellStyle name="Saída 2 4 2 2" xfId="40859"/>
    <cellStyle name="Saída 2 5" xfId="23240"/>
    <cellStyle name="Saída 2 5 2" xfId="29284"/>
    <cellStyle name="Saída 2 5 2 2" xfId="40860"/>
    <cellStyle name="Saída 2 6" xfId="23241"/>
    <cellStyle name="Saída 2 6 2" xfId="29285"/>
    <cellStyle name="Saída 2 6 2 2" xfId="40861"/>
    <cellStyle name="Saída 2 7" xfId="23242"/>
    <cellStyle name="Saída 2 7 2" xfId="29286"/>
    <cellStyle name="Saída 2 7 2 2" xfId="40862"/>
    <cellStyle name="Saída 2 8" xfId="23243"/>
    <cellStyle name="Saída 2 8 2" xfId="23244"/>
    <cellStyle name="Saída 2 8 2 2" xfId="38691"/>
    <cellStyle name="Saída 2 8 3" xfId="23245"/>
    <cellStyle name="Saída 2 8 3 2" xfId="38692"/>
    <cellStyle name="Saída 2 8 4" xfId="23246"/>
    <cellStyle name="Saída 2 8 4 2" xfId="38693"/>
    <cellStyle name="Saída 2 8 5" xfId="23247"/>
    <cellStyle name="Saída 2 8 5 2" xfId="38694"/>
    <cellStyle name="Saída 2 8 6" xfId="23248"/>
    <cellStyle name="Saída 2 8 6 2" xfId="38695"/>
    <cellStyle name="Saída 2 8 7" xfId="23249"/>
    <cellStyle name="Saída 2 8 7 2" xfId="38696"/>
    <cellStyle name="Saída 2 8 8" xfId="41059"/>
    <cellStyle name="Saída 2 8 9" xfId="38690"/>
    <cellStyle name="Saída 2 9" xfId="23250"/>
    <cellStyle name="Saída 2 9 2" xfId="23251"/>
    <cellStyle name="Saída 2 9 2 2" xfId="38698"/>
    <cellStyle name="Saída 2 9 3" xfId="23252"/>
    <cellStyle name="Saída 2 9 3 2" xfId="38699"/>
    <cellStyle name="Saída 2 9 4" xfId="23253"/>
    <cellStyle name="Saída 2 9 4 2" xfId="38700"/>
    <cellStyle name="Saída 2 9 5" xfId="23254"/>
    <cellStyle name="Saída 2 9 5 2" xfId="38701"/>
    <cellStyle name="Saída 2 9 6" xfId="23255"/>
    <cellStyle name="Saída 2 9 6 2" xfId="38702"/>
    <cellStyle name="Saída 2 9 7" xfId="23256"/>
    <cellStyle name="Saída 2 9 7 2" xfId="38703"/>
    <cellStyle name="Saída 2 9 8" xfId="38697"/>
    <cellStyle name="Saída 20" xfId="23257"/>
    <cellStyle name="Saída 20 2" xfId="23258"/>
    <cellStyle name="Saída 20 2 2" xfId="38704"/>
    <cellStyle name="Saída 20 3" xfId="23259"/>
    <cellStyle name="Saída 20 3 2" xfId="38705"/>
    <cellStyle name="Saída 20 4" xfId="29287"/>
    <cellStyle name="Saída 20 4 2" xfId="40863"/>
    <cellStyle name="Saída 21" xfId="23260"/>
    <cellStyle name="Saída 21 2" xfId="29288"/>
    <cellStyle name="Saída 21 2 2" xfId="40864"/>
    <cellStyle name="Saída 22" xfId="23261"/>
    <cellStyle name="Saída 22 2" xfId="29289"/>
    <cellStyle name="Saída 22 2 2" xfId="40865"/>
    <cellStyle name="Saída 23" xfId="23262"/>
    <cellStyle name="Saída 23 2" xfId="29290"/>
    <cellStyle name="Saída 23 2 2" xfId="40866"/>
    <cellStyle name="Saída 24" xfId="23263"/>
    <cellStyle name="Saída 24 2" xfId="29291"/>
    <cellStyle name="Saída 24 2 2" xfId="40974"/>
    <cellStyle name="Saída 25" xfId="23264"/>
    <cellStyle name="Saída 25 2" xfId="29292"/>
    <cellStyle name="Saída 25 2 2" xfId="41009"/>
    <cellStyle name="Saída 26" xfId="23265"/>
    <cellStyle name="Saída 26 10" xfId="23266"/>
    <cellStyle name="Saída 26 10 2" xfId="38707"/>
    <cellStyle name="Saída 26 11" xfId="23267"/>
    <cellStyle name="Saída 26 11 2" xfId="38708"/>
    <cellStyle name="Saída 26 12" xfId="23268"/>
    <cellStyle name="Saída 26 12 2" xfId="38709"/>
    <cellStyle name="Saída 26 13" xfId="23269"/>
    <cellStyle name="Saída 26 13 2" xfId="38710"/>
    <cellStyle name="Saída 26 14" xfId="23270"/>
    <cellStyle name="Saída 26 14 2" xfId="38711"/>
    <cellStyle name="Saída 26 15" xfId="23271"/>
    <cellStyle name="Saída 26 15 2" xfId="38712"/>
    <cellStyle name="Saída 26 16" xfId="23272"/>
    <cellStyle name="Saída 26 16 2" xfId="38713"/>
    <cellStyle name="Saída 26 17" xfId="41019"/>
    <cellStyle name="Saída 26 18" xfId="38706"/>
    <cellStyle name="Saída 26 2" xfId="23273"/>
    <cellStyle name="Saída 26 2 2" xfId="38714"/>
    <cellStyle name="Saída 26 3" xfId="23274"/>
    <cellStyle name="Saída 26 3 2" xfId="38715"/>
    <cellStyle name="Saída 26 4" xfId="23275"/>
    <cellStyle name="Saída 26 4 2" xfId="38716"/>
    <cellStyle name="Saída 26 5" xfId="23276"/>
    <cellStyle name="Saída 26 5 2" xfId="38717"/>
    <cellStyle name="Saída 26 6" xfId="23277"/>
    <cellStyle name="Saída 26 6 2" xfId="38718"/>
    <cellStyle name="Saída 26 7" xfId="23278"/>
    <cellStyle name="Saída 26 7 2" xfId="38719"/>
    <cellStyle name="Saída 26 8" xfId="23279"/>
    <cellStyle name="Saída 26 8 2" xfId="38720"/>
    <cellStyle name="Saída 26 9" xfId="23280"/>
    <cellStyle name="Saída 26 9 2" xfId="38721"/>
    <cellStyle name="Saída 27" xfId="23281"/>
    <cellStyle name="Saída 27 10" xfId="23282"/>
    <cellStyle name="Saída 27 10 2" xfId="38723"/>
    <cellStyle name="Saída 27 11" xfId="23283"/>
    <cellStyle name="Saída 27 11 2" xfId="38724"/>
    <cellStyle name="Saída 27 12" xfId="23284"/>
    <cellStyle name="Saída 27 12 2" xfId="38725"/>
    <cellStyle name="Saída 27 13" xfId="23285"/>
    <cellStyle name="Saída 27 13 2" xfId="38726"/>
    <cellStyle name="Saída 27 14" xfId="23286"/>
    <cellStyle name="Saída 27 14 2" xfId="38727"/>
    <cellStyle name="Saída 27 15" xfId="23287"/>
    <cellStyle name="Saída 27 15 2" xfId="38728"/>
    <cellStyle name="Saída 27 16" xfId="23288"/>
    <cellStyle name="Saída 27 16 2" xfId="38729"/>
    <cellStyle name="Saída 27 17" xfId="38722"/>
    <cellStyle name="Saída 27 2" xfId="23289"/>
    <cellStyle name="Saída 27 2 2" xfId="38730"/>
    <cellStyle name="Saída 27 3" xfId="23290"/>
    <cellStyle name="Saída 27 3 2" xfId="38731"/>
    <cellStyle name="Saída 27 4" xfId="23291"/>
    <cellStyle name="Saída 27 4 2" xfId="38732"/>
    <cellStyle name="Saída 27 5" xfId="23292"/>
    <cellStyle name="Saída 27 5 2" xfId="38733"/>
    <cellStyle name="Saída 27 6" xfId="23293"/>
    <cellStyle name="Saída 27 6 2" xfId="38734"/>
    <cellStyle name="Saída 27 7" xfId="23294"/>
    <cellStyle name="Saída 27 7 2" xfId="38735"/>
    <cellStyle name="Saída 27 8" xfId="23295"/>
    <cellStyle name="Saída 27 8 2" xfId="38736"/>
    <cellStyle name="Saída 27 9" xfId="23296"/>
    <cellStyle name="Saída 27 9 2" xfId="38737"/>
    <cellStyle name="Saída 28" xfId="23297"/>
    <cellStyle name="Saída 28 10" xfId="23298"/>
    <cellStyle name="Saída 28 10 2" xfId="38739"/>
    <cellStyle name="Saída 28 11" xfId="23299"/>
    <cellStyle name="Saída 28 11 2" xfId="38740"/>
    <cellStyle name="Saída 28 12" xfId="23300"/>
    <cellStyle name="Saída 28 12 2" xfId="38741"/>
    <cellStyle name="Saída 28 13" xfId="23301"/>
    <cellStyle name="Saída 28 13 2" xfId="38742"/>
    <cellStyle name="Saída 28 14" xfId="23302"/>
    <cellStyle name="Saída 28 14 2" xfId="38743"/>
    <cellStyle name="Saída 28 15" xfId="23303"/>
    <cellStyle name="Saída 28 15 2" xfId="38744"/>
    <cellStyle name="Saída 28 16" xfId="23304"/>
    <cellStyle name="Saída 28 16 2" xfId="38745"/>
    <cellStyle name="Saída 28 17" xfId="38738"/>
    <cellStyle name="Saída 28 2" xfId="23305"/>
    <cellStyle name="Saída 28 2 2" xfId="38746"/>
    <cellStyle name="Saída 28 3" xfId="23306"/>
    <cellStyle name="Saída 28 3 2" xfId="38747"/>
    <cellStyle name="Saída 28 4" xfId="23307"/>
    <cellStyle name="Saída 28 4 2" xfId="38748"/>
    <cellStyle name="Saída 28 5" xfId="23308"/>
    <cellStyle name="Saída 28 5 2" xfId="38749"/>
    <cellStyle name="Saída 28 6" xfId="23309"/>
    <cellStyle name="Saída 28 6 2" xfId="38750"/>
    <cellStyle name="Saída 28 7" xfId="23310"/>
    <cellStyle name="Saída 28 7 2" xfId="38751"/>
    <cellStyle name="Saída 28 8" xfId="23311"/>
    <cellStyle name="Saída 28 8 2" xfId="38752"/>
    <cellStyle name="Saída 28 9" xfId="23312"/>
    <cellStyle name="Saída 28 9 2" xfId="38753"/>
    <cellStyle name="Saída 29" xfId="23313"/>
    <cellStyle name="Saída 29 10" xfId="23314"/>
    <cellStyle name="Saída 29 10 2" xfId="38755"/>
    <cellStyle name="Saída 29 11" xfId="23315"/>
    <cellStyle name="Saída 29 11 2" xfId="38756"/>
    <cellStyle name="Saída 29 12" xfId="23316"/>
    <cellStyle name="Saída 29 12 2" xfId="38757"/>
    <cellStyle name="Saída 29 13" xfId="23317"/>
    <cellStyle name="Saída 29 13 2" xfId="38758"/>
    <cellStyle name="Saída 29 14" xfId="23318"/>
    <cellStyle name="Saída 29 14 2" xfId="38759"/>
    <cellStyle name="Saída 29 15" xfId="23319"/>
    <cellStyle name="Saída 29 15 2" xfId="38760"/>
    <cellStyle name="Saída 29 16" xfId="23320"/>
    <cellStyle name="Saída 29 16 2" xfId="38761"/>
    <cellStyle name="Saída 29 17" xfId="38754"/>
    <cellStyle name="Saída 29 2" xfId="23321"/>
    <cellStyle name="Saída 29 2 2" xfId="38762"/>
    <cellStyle name="Saída 29 3" xfId="23322"/>
    <cellStyle name="Saída 29 3 2" xfId="38763"/>
    <cellStyle name="Saída 29 4" xfId="23323"/>
    <cellStyle name="Saída 29 4 2" xfId="38764"/>
    <cellStyle name="Saída 29 5" xfId="23324"/>
    <cellStyle name="Saída 29 5 2" xfId="38765"/>
    <cellStyle name="Saída 29 6" xfId="23325"/>
    <cellStyle name="Saída 29 6 2" xfId="38766"/>
    <cellStyle name="Saída 29 7" xfId="23326"/>
    <cellStyle name="Saída 29 7 2" xfId="38767"/>
    <cellStyle name="Saída 29 8" xfId="23327"/>
    <cellStyle name="Saída 29 8 2" xfId="38768"/>
    <cellStyle name="Saída 29 9" xfId="23328"/>
    <cellStyle name="Saída 29 9 2" xfId="38769"/>
    <cellStyle name="Saída 3" xfId="23329"/>
    <cellStyle name="Saída 3 10" xfId="23330"/>
    <cellStyle name="Saída 3 10 2" xfId="38770"/>
    <cellStyle name="Saída 3 11" xfId="23331"/>
    <cellStyle name="Saída 3 11 2" xfId="38771"/>
    <cellStyle name="Saída 3 12" xfId="40867"/>
    <cellStyle name="Saída 3 2" xfId="23332"/>
    <cellStyle name="Saída 3 2 2" xfId="29293"/>
    <cellStyle name="Saída 3 2 2 2" xfId="40868"/>
    <cellStyle name="Saída 3 3" xfId="23333"/>
    <cellStyle name="Saída 3 3 2" xfId="29294"/>
    <cellStyle name="Saída 3 3 2 2" xfId="40869"/>
    <cellStyle name="Saída 3 4" xfId="23334"/>
    <cellStyle name="Saída 3 4 2" xfId="29295"/>
    <cellStyle name="Saída 3 4 2 2" xfId="40870"/>
    <cellStyle name="Saída 3 5" xfId="23335"/>
    <cellStyle name="Saída 3 5 2" xfId="29296"/>
    <cellStyle name="Saída 3 6" xfId="23336"/>
    <cellStyle name="Saída 3 6 2" xfId="29297"/>
    <cellStyle name="Saída 3 7" xfId="23337"/>
    <cellStyle name="Saída 3 7 2" xfId="29298"/>
    <cellStyle name="Saída 3 8" xfId="23338"/>
    <cellStyle name="Saída 3 8 2" xfId="38772"/>
    <cellStyle name="Saída 3 9" xfId="23339"/>
    <cellStyle name="Saída 3 9 2" xfId="38773"/>
    <cellStyle name="Saída 30" xfId="23340"/>
    <cellStyle name="Saída 30 2" xfId="38774"/>
    <cellStyle name="Saída 31" xfId="23341"/>
    <cellStyle name="Saída 31 2" xfId="38775"/>
    <cellStyle name="Saída 32" xfId="23342"/>
    <cellStyle name="Saída 32 2" xfId="38776"/>
    <cellStyle name="Saída 33" xfId="23343"/>
    <cellStyle name="Saída 33 2" xfId="38777"/>
    <cellStyle name="Saída 34" xfId="23344"/>
    <cellStyle name="Saída 34 2" xfId="38778"/>
    <cellStyle name="Saída 35" xfId="23345"/>
    <cellStyle name="Saída 35 2" xfId="38779"/>
    <cellStyle name="Saída 36" xfId="23346"/>
    <cellStyle name="Saída 36 2" xfId="38780"/>
    <cellStyle name="Saída 37" xfId="23347"/>
    <cellStyle name="Saída 37 2" xfId="38781"/>
    <cellStyle name="Saída 38" xfId="23348"/>
    <cellStyle name="Saída 38 2" xfId="38782"/>
    <cellStyle name="Saída 39" xfId="23349"/>
    <cellStyle name="Saída 39 2" xfId="38783"/>
    <cellStyle name="Saída 4" xfId="23350"/>
    <cellStyle name="Saída 4 10" xfId="23351"/>
    <cellStyle name="Saída 4 10 2" xfId="38784"/>
    <cellStyle name="Saída 4 11" xfId="23352"/>
    <cellStyle name="Saída 4 11 2" xfId="38785"/>
    <cellStyle name="Saída 4 12" xfId="40871"/>
    <cellStyle name="Saída 4 2" xfId="23353"/>
    <cellStyle name="Saída 4 2 2" xfId="29299"/>
    <cellStyle name="Saída 4 2 2 2" xfId="40872"/>
    <cellStyle name="Saída 4 3" xfId="23354"/>
    <cellStyle name="Saída 4 3 2" xfId="29300"/>
    <cellStyle name="Saída 4 3 2 2" xfId="40873"/>
    <cellStyle name="Saída 4 4" xfId="23355"/>
    <cellStyle name="Saída 4 4 2" xfId="29301"/>
    <cellStyle name="Saída 4 4 2 2" xfId="40874"/>
    <cellStyle name="Saída 4 5" xfId="23356"/>
    <cellStyle name="Saída 4 5 2" xfId="29302"/>
    <cellStyle name="Saída 4 6" xfId="23357"/>
    <cellStyle name="Saída 4 6 2" xfId="29303"/>
    <cellStyle name="Saída 4 7" xfId="23358"/>
    <cellStyle name="Saída 4 7 2" xfId="29304"/>
    <cellStyle name="Saída 4 8" xfId="23359"/>
    <cellStyle name="Saída 4 8 2" xfId="38786"/>
    <cellStyle name="Saída 4 9" xfId="23360"/>
    <cellStyle name="Saída 4 9 2" xfId="38787"/>
    <cellStyle name="Saída 40" xfId="23361"/>
    <cellStyle name="Saída 40 2" xfId="38788"/>
    <cellStyle name="Saída 41" xfId="23362"/>
    <cellStyle name="Saída 41 2" xfId="38789"/>
    <cellStyle name="Saída 42" xfId="23363"/>
    <cellStyle name="Saída 42 2" xfId="38790"/>
    <cellStyle name="Saída 43" xfId="23364"/>
    <cellStyle name="Saída 43 2" xfId="38791"/>
    <cellStyle name="Saída 44" xfId="23365"/>
    <cellStyle name="Saída 44 2" xfId="38792"/>
    <cellStyle name="Saída 45" xfId="23366"/>
    <cellStyle name="Saída 45 2" xfId="38793"/>
    <cellStyle name="Saída 46" xfId="23367"/>
    <cellStyle name="Saída 46 2" xfId="38794"/>
    <cellStyle name="Saída 47" xfId="23368"/>
    <cellStyle name="Saída 47 2" xfId="38795"/>
    <cellStyle name="Saída 48" xfId="23369"/>
    <cellStyle name="Saída 48 2" xfId="38796"/>
    <cellStyle name="Saída 49" xfId="23370"/>
    <cellStyle name="Saída 49 2" xfId="38797"/>
    <cellStyle name="Saída 5" xfId="23371"/>
    <cellStyle name="Saída 5 2" xfId="23372"/>
    <cellStyle name="Saída 5 2 2" xfId="29306"/>
    <cellStyle name="Saída 5 3" xfId="23373"/>
    <cellStyle name="Saída 5 3 2" xfId="29307"/>
    <cellStyle name="Saída 5 4" xfId="23374"/>
    <cellStyle name="Saída 5 4 2" xfId="29308"/>
    <cellStyle name="Saída 5 5" xfId="29305"/>
    <cellStyle name="Saída 5 5 2" xfId="40875"/>
    <cellStyle name="Saída 50" xfId="23375"/>
    <cellStyle name="Saída 50 2" xfId="38798"/>
    <cellStyle name="Saída 51" xfId="23376"/>
    <cellStyle name="Saída 51 2" xfId="38799"/>
    <cellStyle name="Saída 52" xfId="23377"/>
    <cellStyle name="Saída 52 2" xfId="38800"/>
    <cellStyle name="Saída 53" xfId="23378"/>
    <cellStyle name="Saída 53 2" xfId="38801"/>
    <cellStyle name="Saída 54" xfId="23379"/>
    <cellStyle name="Saída 54 2" xfId="38802"/>
    <cellStyle name="Saída 55" xfId="23380"/>
    <cellStyle name="Saída 55 2" xfId="38803"/>
    <cellStyle name="Saída 56" xfId="23381"/>
    <cellStyle name="Saída 56 2" xfId="38804"/>
    <cellStyle name="Saída 57" xfId="23382"/>
    <cellStyle name="Saída 57 2" xfId="38805"/>
    <cellStyle name="Saída 58" xfId="23383"/>
    <cellStyle name="Saída 58 2" xfId="38806"/>
    <cellStyle name="Saída 59" xfId="23384"/>
    <cellStyle name="Saída 59 2" xfId="38807"/>
    <cellStyle name="Saída 6" xfId="23385"/>
    <cellStyle name="Saída 6 2" xfId="23386"/>
    <cellStyle name="Saída 6 2 2" xfId="29310"/>
    <cellStyle name="Saída 6 3" xfId="23387"/>
    <cellStyle name="Saída 6 3 2" xfId="29311"/>
    <cellStyle name="Saída 6 4" xfId="23388"/>
    <cellStyle name="Saída 6 4 2" xfId="29312"/>
    <cellStyle name="Saída 6 5" xfId="29309"/>
    <cellStyle name="Saída 6 5 2" xfId="40876"/>
    <cellStyle name="Saída 60" xfId="23389"/>
    <cellStyle name="Saída 60 2" xfId="38808"/>
    <cellStyle name="Saída 61" xfId="23390"/>
    <cellStyle name="Saída 61 2" xfId="38809"/>
    <cellStyle name="Saída 62" xfId="23391"/>
    <cellStyle name="Saída 62 2" xfId="38810"/>
    <cellStyle name="Saída 63" xfId="23392"/>
    <cellStyle name="Saída 63 2" xfId="38811"/>
    <cellStyle name="Saída 64" xfId="23393"/>
    <cellStyle name="Saída 64 2" xfId="38812"/>
    <cellStyle name="Saída 65" xfId="23394"/>
    <cellStyle name="Saída 65 2" xfId="38813"/>
    <cellStyle name="Saída 66" xfId="23395"/>
    <cellStyle name="Saída 66 2" xfId="38814"/>
    <cellStyle name="Saída 67" xfId="23396"/>
    <cellStyle name="Saída 67 2" xfId="38815"/>
    <cellStyle name="Saída 68" xfId="23397"/>
    <cellStyle name="Saída 68 2" xfId="38816"/>
    <cellStyle name="Saída 69" xfId="23398"/>
    <cellStyle name="Saída 69 2" xfId="38817"/>
    <cellStyle name="Saída 7" xfId="23399"/>
    <cellStyle name="Saída 7 2" xfId="23400"/>
    <cellStyle name="Saída 7 2 2" xfId="29314"/>
    <cellStyle name="Saída 7 3" xfId="23401"/>
    <cellStyle name="Saída 7 3 2" xfId="29315"/>
    <cellStyle name="Saída 7 4" xfId="23402"/>
    <cellStyle name="Saída 7 4 2" xfId="29316"/>
    <cellStyle name="Saída 7 5" xfId="29313"/>
    <cellStyle name="Saída 7 5 2" xfId="40877"/>
    <cellStyle name="Saída 70" xfId="23403"/>
    <cellStyle name="Saída 70 2" xfId="38818"/>
    <cellStyle name="Saída 71" xfId="23404"/>
    <cellStyle name="Saída 71 2" xfId="38819"/>
    <cellStyle name="Saída 72" xfId="23405"/>
    <cellStyle name="Saída 72 2" xfId="38820"/>
    <cellStyle name="Saída 73" xfId="23406"/>
    <cellStyle name="Saída 73 2" xfId="38821"/>
    <cellStyle name="Saída 74" xfId="23407"/>
    <cellStyle name="Saída 74 2" xfId="38822"/>
    <cellStyle name="Saída 75" xfId="23408"/>
    <cellStyle name="Saída 75 2" xfId="38823"/>
    <cellStyle name="Saída 76" xfId="23409"/>
    <cellStyle name="Saída 76 2" xfId="38824"/>
    <cellStyle name="Saída 77" xfId="23410"/>
    <cellStyle name="Saída 77 2" xfId="38825"/>
    <cellStyle name="Saída 78" xfId="23411"/>
    <cellStyle name="Saída 78 2" xfId="38826"/>
    <cellStyle name="Saída 79" xfId="23412"/>
    <cellStyle name="Saída 79 2" xfId="38827"/>
    <cellStyle name="Saída 8" xfId="23413"/>
    <cellStyle name="Saída 8 2" xfId="23414"/>
    <cellStyle name="Saída 8 2 2" xfId="29318"/>
    <cellStyle name="Saída 8 3" xfId="23415"/>
    <cellStyle name="Saída 8 3 2" xfId="29319"/>
    <cellStyle name="Saída 8 4" xfId="23416"/>
    <cellStyle name="Saída 8 4 2" xfId="29320"/>
    <cellStyle name="Saída 8 5" xfId="29317"/>
    <cellStyle name="Saída 8 5 2" xfId="40878"/>
    <cellStyle name="Saída 80" xfId="23417"/>
    <cellStyle name="Saída 80 2" xfId="38828"/>
    <cellStyle name="Saída 81" xfId="23418"/>
    <cellStyle name="Saída 81 2" xfId="38829"/>
    <cellStyle name="Saída 82" xfId="23419"/>
    <cellStyle name="Saída 82 2" xfId="38830"/>
    <cellStyle name="Saída 83" xfId="23420"/>
    <cellStyle name="Saída 83 2" xfId="38831"/>
    <cellStyle name="Saída 84" xfId="23421"/>
    <cellStyle name="Saída 84 2" xfId="38832"/>
    <cellStyle name="Saída 85" xfId="23422"/>
    <cellStyle name="Saída 85 2" xfId="38833"/>
    <cellStyle name="Saída 86" xfId="23423"/>
    <cellStyle name="Saída 86 2" xfId="38834"/>
    <cellStyle name="Saída 87" xfId="23424"/>
    <cellStyle name="Saída 87 2" xfId="38835"/>
    <cellStyle name="Saída 88" xfId="23425"/>
    <cellStyle name="Saída 88 2" xfId="38836"/>
    <cellStyle name="Saída 89" xfId="23426"/>
    <cellStyle name="Saída 89 2" xfId="38837"/>
    <cellStyle name="Saída 9" xfId="23427"/>
    <cellStyle name="Saída 9 2" xfId="29321"/>
    <cellStyle name="Saída 9 2 2" xfId="40879"/>
    <cellStyle name="Saída 90" xfId="23428"/>
    <cellStyle name="Saída 90 2" xfId="38838"/>
    <cellStyle name="Saída 91" xfId="23429"/>
    <cellStyle name="Saída 91 2" xfId="38839"/>
    <cellStyle name="Saída 92" xfId="23430"/>
    <cellStyle name="Saída 92 2" xfId="38840"/>
    <cellStyle name="Saída 93" xfId="23431"/>
    <cellStyle name="Saída 93 2" xfId="38841"/>
    <cellStyle name="Saída 94" xfId="23432"/>
    <cellStyle name="Saída 94 2" xfId="38842"/>
    <cellStyle name="Saída 95" xfId="23433"/>
    <cellStyle name="Saída 95 2" xfId="38843"/>
    <cellStyle name="Saída 96" xfId="23434"/>
    <cellStyle name="Saída 96 2" xfId="38844"/>
    <cellStyle name="Saída 97" xfId="23435"/>
    <cellStyle name="Saída 97 2" xfId="38845"/>
    <cellStyle name="Saída 98" xfId="23436"/>
    <cellStyle name="Saída 98 2" xfId="38846"/>
    <cellStyle name="Saída 99" xfId="23437"/>
    <cellStyle name="Saída 99 2" xfId="38847"/>
    <cellStyle name="Separador de milhares 10" xfId="23"/>
    <cellStyle name="Separador de milhares 10 2" xfId="23438"/>
    <cellStyle name="Separador de milhares 10 2 2" xfId="23439"/>
    <cellStyle name="Separador de milhares 10 2 3" xfId="23440"/>
    <cellStyle name="Separador de milhares 10 2 4" xfId="23441"/>
    <cellStyle name="Separador de milhares 10 2 5" xfId="23442"/>
    <cellStyle name="Separador de milhares 10 2 6" xfId="23443"/>
    <cellStyle name="Separador de milhares 10 2 7" xfId="23444"/>
    <cellStyle name="Separador de milhares 10 3" xfId="23445"/>
    <cellStyle name="Separador de milhares 10 4" xfId="23446"/>
    <cellStyle name="Separador de milhares 10 5" xfId="23447"/>
    <cellStyle name="Separador de milhares 10 6" xfId="23448"/>
    <cellStyle name="Separador de milhares 10 7" xfId="41079"/>
    <cellStyle name="Separador de milhares 11" xfId="23449"/>
    <cellStyle name="Separador de milhares 11 2" xfId="23450"/>
    <cellStyle name="Separador de milhares 11 3" xfId="23451"/>
    <cellStyle name="Separador de milhares 12" xfId="23452"/>
    <cellStyle name="Separador de milhares 13" xfId="23453"/>
    <cellStyle name="Separador de milhares 14" xfId="23454"/>
    <cellStyle name="Separador de milhares 15" xfId="23455"/>
    <cellStyle name="Separador de milhares 16" xfId="23456"/>
    <cellStyle name="Separador de milhares 17" xfId="23457"/>
    <cellStyle name="Separador de milhares 18" xfId="23458"/>
    <cellStyle name="Separador de milhares 19" xfId="23459"/>
    <cellStyle name="Separador de milhares 2" xfId="44"/>
    <cellStyle name="Separador de milhares 2 10" xfId="23460"/>
    <cellStyle name="Separador de milhares 2 10 10" xfId="23461"/>
    <cellStyle name="Separador de milhares 2 10 11" xfId="23462"/>
    <cellStyle name="Separador de milhares 2 10 2" xfId="23463"/>
    <cellStyle name="Separador de milhares 2 10 2 2" xfId="23464"/>
    <cellStyle name="Separador de milhares 2 10 2 3" xfId="23465"/>
    <cellStyle name="Separador de milhares 2 10 2 4" xfId="23466"/>
    <cellStyle name="Separador de milhares 2 10 2 5" xfId="23467"/>
    <cellStyle name="Separador de milhares 2 10 2 6" xfId="23468"/>
    <cellStyle name="Separador de milhares 2 10 2 7" xfId="23469"/>
    <cellStyle name="Separador de milhares 2 10 3" xfId="23470"/>
    <cellStyle name="Separador de milhares 2 10 4" xfId="23471"/>
    <cellStyle name="Separador de milhares 2 10 5" xfId="23472"/>
    <cellStyle name="Separador de milhares 2 10 6" xfId="23473"/>
    <cellStyle name="Separador de milhares 2 10 7" xfId="23474"/>
    <cellStyle name="Separador de milhares 2 10 8" xfId="23475"/>
    <cellStyle name="Separador de milhares 2 10 9" xfId="23476"/>
    <cellStyle name="Separador de milhares 2 100" xfId="23477"/>
    <cellStyle name="Separador de milhares 2 100 2" xfId="23478"/>
    <cellStyle name="Separador de milhares 2 101" xfId="23479"/>
    <cellStyle name="Separador de milhares 2 101 2" xfId="23480"/>
    <cellStyle name="Separador de milhares 2 102" xfId="23481"/>
    <cellStyle name="Separador de milhares 2 102 2" xfId="23482"/>
    <cellStyle name="Separador de milhares 2 103" xfId="23483"/>
    <cellStyle name="Separador de milhares 2 103 2" xfId="23484"/>
    <cellStyle name="Separador de milhares 2 104" xfId="23485"/>
    <cellStyle name="Separador de milhares 2 104 2" xfId="23486"/>
    <cellStyle name="Separador de milhares 2 105" xfId="23487"/>
    <cellStyle name="Separador de milhares 2 105 2" xfId="23488"/>
    <cellStyle name="Separador de milhares 2 106" xfId="23489"/>
    <cellStyle name="Separador de milhares 2 106 2" xfId="23490"/>
    <cellStyle name="Separador de milhares 2 107" xfId="23491"/>
    <cellStyle name="Separador de milhares 2 107 2" xfId="23492"/>
    <cellStyle name="Separador de milhares 2 108" xfId="23493"/>
    <cellStyle name="Separador de milhares 2 108 2" xfId="23494"/>
    <cellStyle name="Separador de milhares 2 109" xfId="23495"/>
    <cellStyle name="Separador de milhares 2 109 2" xfId="23496"/>
    <cellStyle name="Separador de milhares 2 11" xfId="23497"/>
    <cellStyle name="Separador de milhares 2 11 10" xfId="23498"/>
    <cellStyle name="Separador de milhares 2 11 11" xfId="23499"/>
    <cellStyle name="Separador de milhares 2 11 2" xfId="23500"/>
    <cellStyle name="Separador de milhares 2 11 2 2" xfId="23501"/>
    <cellStyle name="Separador de milhares 2 11 2 3" xfId="23502"/>
    <cellStyle name="Separador de milhares 2 11 2 4" xfId="23503"/>
    <cellStyle name="Separador de milhares 2 11 2 5" xfId="23504"/>
    <cellStyle name="Separador de milhares 2 11 2 6" xfId="23505"/>
    <cellStyle name="Separador de milhares 2 11 2 7" xfId="23506"/>
    <cellStyle name="Separador de milhares 2 11 3" xfId="23507"/>
    <cellStyle name="Separador de milhares 2 11 4" xfId="23508"/>
    <cellStyle name="Separador de milhares 2 11 5" xfId="23509"/>
    <cellStyle name="Separador de milhares 2 11 6" xfId="23510"/>
    <cellStyle name="Separador de milhares 2 11 7" xfId="23511"/>
    <cellStyle name="Separador de milhares 2 11 8" xfId="23512"/>
    <cellStyle name="Separador de milhares 2 11 9" xfId="23513"/>
    <cellStyle name="Separador de milhares 2 110" xfId="23514"/>
    <cellStyle name="Separador de milhares 2 110 2" xfId="23515"/>
    <cellStyle name="Separador de milhares 2 111" xfId="23516"/>
    <cellStyle name="Separador de milhares 2 112" xfId="23517"/>
    <cellStyle name="Separador de milhares 2 113" xfId="23518"/>
    <cellStyle name="Separador de milhares 2 114" xfId="23519"/>
    <cellStyle name="Separador de milhares 2 115" xfId="23520"/>
    <cellStyle name="Separador de milhares 2 116" xfId="23521"/>
    <cellStyle name="Separador de milhares 2 117" xfId="23522"/>
    <cellStyle name="Separador de milhares 2 118" xfId="23523"/>
    <cellStyle name="Separador de milhares 2 119" xfId="23524"/>
    <cellStyle name="Separador de milhares 2 12" xfId="23525"/>
    <cellStyle name="Separador de milhares 2 12 10" xfId="23526"/>
    <cellStyle name="Separador de milhares 2 12 11" xfId="23527"/>
    <cellStyle name="Separador de milhares 2 12 2" xfId="23528"/>
    <cellStyle name="Separador de milhares 2 12 2 2" xfId="23529"/>
    <cellStyle name="Separador de milhares 2 12 2 3" xfId="23530"/>
    <cellStyle name="Separador de milhares 2 12 2 4" xfId="23531"/>
    <cellStyle name="Separador de milhares 2 12 2 5" xfId="23532"/>
    <cellStyle name="Separador de milhares 2 12 2 6" xfId="23533"/>
    <cellStyle name="Separador de milhares 2 12 2 7" xfId="23534"/>
    <cellStyle name="Separador de milhares 2 12 3" xfId="23535"/>
    <cellStyle name="Separador de milhares 2 12 4" xfId="23536"/>
    <cellStyle name="Separador de milhares 2 12 5" xfId="23537"/>
    <cellStyle name="Separador de milhares 2 12 6" xfId="23538"/>
    <cellStyle name="Separador de milhares 2 12 7" xfId="23539"/>
    <cellStyle name="Separador de milhares 2 12 8" xfId="23540"/>
    <cellStyle name="Separador de milhares 2 12 9" xfId="23541"/>
    <cellStyle name="Separador de milhares 2 120" xfId="23542"/>
    <cellStyle name="Separador de milhares 2 121" xfId="23543"/>
    <cellStyle name="Separador de milhares 2 122" xfId="23544"/>
    <cellStyle name="Separador de milhares 2 123" xfId="23545"/>
    <cellStyle name="Separador de milhares 2 124" xfId="23546"/>
    <cellStyle name="Separador de milhares 2 125" xfId="23547"/>
    <cellStyle name="Separador de milhares 2 126" xfId="23548"/>
    <cellStyle name="Separador de milhares 2 127" xfId="23549"/>
    <cellStyle name="Separador de milhares 2 128" xfId="23550"/>
    <cellStyle name="Separador de milhares 2 129" xfId="23551"/>
    <cellStyle name="Separador de milhares 2 13" xfId="23552"/>
    <cellStyle name="Separador de milhares 2 13 10" xfId="23553"/>
    <cellStyle name="Separador de milhares 2 13 11" xfId="23554"/>
    <cellStyle name="Separador de milhares 2 13 12" xfId="23555"/>
    <cellStyle name="Separador de milhares 2 13 13" xfId="23556"/>
    <cellStyle name="Separador de milhares 2 13 14" xfId="23557"/>
    <cellStyle name="Separador de milhares 2 13 15" xfId="23558"/>
    <cellStyle name="Separador de milhares 2 13 16" xfId="23559"/>
    <cellStyle name="Separador de milhares 2 13 17" xfId="23560"/>
    <cellStyle name="Separador de milhares 2 13 18" xfId="23561"/>
    <cellStyle name="Separador de milhares 2 13 19" xfId="23562"/>
    <cellStyle name="Separador de milhares 2 13 2" xfId="23563"/>
    <cellStyle name="Separador de milhares 2 13 20" xfId="23564"/>
    <cellStyle name="Separador de milhares 2 13 3" xfId="23565"/>
    <cellStyle name="Separador de milhares 2 13 4" xfId="23566"/>
    <cellStyle name="Separador de milhares 2 13 5" xfId="23567"/>
    <cellStyle name="Separador de milhares 2 13 6" xfId="23568"/>
    <cellStyle name="Separador de milhares 2 13 7" xfId="23569"/>
    <cellStyle name="Separador de milhares 2 13 8" xfId="23570"/>
    <cellStyle name="Separador de milhares 2 13 9" xfId="23571"/>
    <cellStyle name="Separador de milhares 2 130" xfId="23572"/>
    <cellStyle name="Separador de milhares 2 131" xfId="23573"/>
    <cellStyle name="Separador de milhares 2 132" xfId="23574"/>
    <cellStyle name="Separador de milhares 2 133" xfId="23575"/>
    <cellStyle name="Separador de milhares 2 134" xfId="23576"/>
    <cellStyle name="Separador de milhares 2 135" xfId="23577"/>
    <cellStyle name="Separador de milhares 2 136" xfId="23578"/>
    <cellStyle name="Separador de milhares 2 137" xfId="23579"/>
    <cellStyle name="Separador de milhares 2 138" xfId="23580"/>
    <cellStyle name="Separador de milhares 2 139" xfId="23581"/>
    <cellStyle name="Separador de milhares 2 14" xfId="23582"/>
    <cellStyle name="Separador de milhares 2 14 2" xfId="23583"/>
    <cellStyle name="Separador de milhares 2 14 3" xfId="23584"/>
    <cellStyle name="Separador de milhares 2 140" xfId="23585"/>
    <cellStyle name="Separador de milhares 2 141" xfId="23586"/>
    <cellStyle name="Separador de milhares 2 142" xfId="23587"/>
    <cellStyle name="Separador de milhares 2 143" xfId="23588"/>
    <cellStyle name="Separador de milhares 2 144" xfId="23589"/>
    <cellStyle name="Separador de milhares 2 145" xfId="23590"/>
    <cellStyle name="Separador de milhares 2 146" xfId="23591"/>
    <cellStyle name="Separador de milhares 2 147" xfId="23592"/>
    <cellStyle name="Separador de milhares 2 148" xfId="23593"/>
    <cellStyle name="Separador de milhares 2 149" xfId="23594"/>
    <cellStyle name="Separador de milhares 2 15" xfId="23595"/>
    <cellStyle name="Separador de milhares 2 15 2" xfId="23596"/>
    <cellStyle name="Separador de milhares 2 15 3" xfId="23597"/>
    <cellStyle name="Separador de milhares 2 150" xfId="23598"/>
    <cellStyle name="Separador de milhares 2 151" xfId="23599"/>
    <cellStyle name="Separador de milhares 2 152" xfId="23600"/>
    <cellStyle name="Separador de milhares 2 153" xfId="23601"/>
    <cellStyle name="Separador de milhares 2 154" xfId="23602"/>
    <cellStyle name="Separador de milhares 2 155" xfId="23603"/>
    <cellStyle name="Separador de milhares 2 156" xfId="23604"/>
    <cellStyle name="Separador de milhares 2 157" xfId="23605"/>
    <cellStyle name="Separador de milhares 2 158" xfId="23606"/>
    <cellStyle name="Separador de milhares 2 159" xfId="23607"/>
    <cellStyle name="Separador de milhares 2 16" xfId="23608"/>
    <cellStyle name="Separador de milhares 2 16 2" xfId="23609"/>
    <cellStyle name="Separador de milhares 2 16 3" xfId="23610"/>
    <cellStyle name="Separador de milhares 2 160" xfId="23611"/>
    <cellStyle name="Separador de milhares 2 161" xfId="23612"/>
    <cellStyle name="Separador de milhares 2 162" xfId="23613"/>
    <cellStyle name="Separador de milhares 2 163" xfId="23614"/>
    <cellStyle name="Separador de milhares 2 164" xfId="23615"/>
    <cellStyle name="Separador de milhares 2 165" xfId="23616"/>
    <cellStyle name="Separador de milhares 2 166" xfId="23617"/>
    <cellStyle name="Separador de milhares 2 167" xfId="23618"/>
    <cellStyle name="Separador de milhares 2 168" xfId="23619"/>
    <cellStyle name="Separador de milhares 2 169" xfId="23620"/>
    <cellStyle name="Separador de milhares 2 17" xfId="23621"/>
    <cellStyle name="Separador de milhares 2 17 2" xfId="23622"/>
    <cellStyle name="Separador de milhares 2 17 3" xfId="23623"/>
    <cellStyle name="Separador de milhares 2 170" xfId="23624"/>
    <cellStyle name="Separador de milhares 2 171" xfId="23625"/>
    <cellStyle name="Separador de milhares 2 172" xfId="23626"/>
    <cellStyle name="Separador de milhares 2 173" xfId="23627"/>
    <cellStyle name="Separador de milhares 2 174" xfId="23628"/>
    <cellStyle name="Separador de milhares 2 175" xfId="23629"/>
    <cellStyle name="Separador de milhares 2 176" xfId="23630"/>
    <cellStyle name="Separador de milhares 2 177" xfId="23631"/>
    <cellStyle name="Separador de milhares 2 178" xfId="23632"/>
    <cellStyle name="Separador de milhares 2 179" xfId="23633"/>
    <cellStyle name="Separador de milhares 2 18" xfId="23634"/>
    <cellStyle name="Separador de milhares 2 18 2" xfId="23635"/>
    <cellStyle name="Separador de milhares 2 18 3" xfId="23636"/>
    <cellStyle name="Separador de milhares 2 180" xfId="23637"/>
    <cellStyle name="Separador de milhares 2 181" xfId="23638"/>
    <cellStyle name="Separador de milhares 2 182" xfId="23639"/>
    <cellStyle name="Separador de milhares 2 183" xfId="23640"/>
    <cellStyle name="Separador de milhares 2 184" xfId="23641"/>
    <cellStyle name="Separador de milhares 2 185" xfId="23642"/>
    <cellStyle name="Separador de milhares 2 186" xfId="23643"/>
    <cellStyle name="Separador de milhares 2 187" xfId="23644"/>
    <cellStyle name="Separador de milhares 2 188" xfId="23645"/>
    <cellStyle name="Separador de milhares 2 189" xfId="23646"/>
    <cellStyle name="Separador de milhares 2 19" xfId="23647"/>
    <cellStyle name="Separador de milhares 2 19 2" xfId="23648"/>
    <cellStyle name="Separador de milhares 2 19 3" xfId="23649"/>
    <cellStyle name="Separador de milhares 2 190" xfId="23650"/>
    <cellStyle name="Separador de milhares 2 191" xfId="23651"/>
    <cellStyle name="Separador de milhares 2 192" xfId="23652"/>
    <cellStyle name="Separador de milhares 2 193" xfId="23653"/>
    <cellStyle name="Separador de milhares 2 194" xfId="23654"/>
    <cellStyle name="Separador de milhares 2 195" xfId="23655"/>
    <cellStyle name="Separador de milhares 2 196" xfId="23656"/>
    <cellStyle name="Separador de milhares 2 197" xfId="23657"/>
    <cellStyle name="Separador de milhares 2 198" xfId="23658"/>
    <cellStyle name="Separador de milhares 2 199" xfId="23659"/>
    <cellStyle name="Separador de milhares 2 2" xfId="23660"/>
    <cellStyle name="Separador de milhares 2 2 10" xfId="23661"/>
    <cellStyle name="Separador de milhares 2 2 10 2" xfId="23662"/>
    <cellStyle name="Separador de milhares 2 2 11" xfId="23663"/>
    <cellStyle name="Separador de milhares 2 2 11 2" xfId="23664"/>
    <cellStyle name="Separador de milhares 2 2 12" xfId="23665"/>
    <cellStyle name="Separador de milhares 2 2 12 2" xfId="23666"/>
    <cellStyle name="Separador de milhares 2 2 13" xfId="23667"/>
    <cellStyle name="Separador de milhares 2 2 13 2" xfId="23668"/>
    <cellStyle name="Separador de milhares 2 2 14" xfId="23669"/>
    <cellStyle name="Separador de milhares 2 2 15" xfId="23670"/>
    <cellStyle name="Separador de milhares 2 2 16" xfId="23671"/>
    <cellStyle name="Separador de milhares 2 2 17" xfId="23672"/>
    <cellStyle name="Separador de milhares 2 2 18" xfId="23673"/>
    <cellStyle name="Separador de milhares 2 2 19" xfId="23674"/>
    <cellStyle name="Separador de milhares 2 2 2" xfId="23675"/>
    <cellStyle name="Separador de milhares 2 2 2 10" xfId="23676"/>
    <cellStyle name="Separador de milhares 2 2 2 11" xfId="23677"/>
    <cellStyle name="Separador de milhares 2 2 2 12" xfId="23678"/>
    <cellStyle name="Separador de milhares 2 2 2 13" xfId="23679"/>
    <cellStyle name="Separador de milhares 2 2 2 14" xfId="23680"/>
    <cellStyle name="Separador de milhares 2 2 2 15" xfId="23681"/>
    <cellStyle name="Separador de milhares 2 2 2 16" xfId="23682"/>
    <cellStyle name="Separador de milhares 2 2 2 17" xfId="23683"/>
    <cellStyle name="Separador de milhares 2 2 2 18" xfId="23684"/>
    <cellStyle name="Separador de milhares 2 2 2 19" xfId="23685"/>
    <cellStyle name="Separador de milhares 2 2 2 2" xfId="23686"/>
    <cellStyle name="Separador de milhares 2 2 2 2 2" xfId="23687"/>
    <cellStyle name="Separador de milhares 2 2 2 2 3" xfId="23688"/>
    <cellStyle name="Separador de milhares 2 2 2 2 4" xfId="23689"/>
    <cellStyle name="Separador de milhares 2 2 2 2 5" xfId="23690"/>
    <cellStyle name="Separador de milhares 2 2 2 2 6" xfId="23691"/>
    <cellStyle name="Separador de milhares 2 2 2 2 7" xfId="23692"/>
    <cellStyle name="Separador de milhares 2 2 2 20" xfId="23693"/>
    <cellStyle name="Separador de milhares 2 2 2 21" xfId="23694"/>
    <cellStyle name="Separador de milhares 2 2 2 22" xfId="23695"/>
    <cellStyle name="Separador de milhares 2 2 2 23" xfId="23696"/>
    <cellStyle name="Separador de milhares 2 2 2 3" xfId="23697"/>
    <cellStyle name="Separador de milhares 2 2 2 4" xfId="23698"/>
    <cellStyle name="Separador de milhares 2 2 2 5" xfId="23699"/>
    <cellStyle name="Separador de milhares 2 2 2 6" xfId="23700"/>
    <cellStyle name="Separador de milhares 2 2 2 7" xfId="23701"/>
    <cellStyle name="Separador de milhares 2 2 2 8" xfId="23702"/>
    <cellStyle name="Separador de milhares 2 2 2 9" xfId="23703"/>
    <cellStyle name="Separador de milhares 2 2 20" xfId="23704"/>
    <cellStyle name="Separador de milhares 2 2 21" xfId="23705"/>
    <cellStyle name="Separador de milhares 2 2 22" xfId="23706"/>
    <cellStyle name="Separador de milhares 2 2 23" xfId="23707"/>
    <cellStyle name="Separador de milhares 2 2 3" xfId="23708"/>
    <cellStyle name="Separador de milhares 2 2 3 2" xfId="41060"/>
    <cellStyle name="Separador de milhares 2 2 4" xfId="23709"/>
    <cellStyle name="Separador de milhares 2 2 4 10" xfId="23710"/>
    <cellStyle name="Separador de milhares 2 2 4 11" xfId="23711"/>
    <cellStyle name="Separador de milhares 2 2 4 12" xfId="23712"/>
    <cellStyle name="Separador de milhares 2 2 4 13" xfId="23713"/>
    <cellStyle name="Separador de milhares 2 2 4 14" xfId="23714"/>
    <cellStyle name="Separador de milhares 2 2 4 15" xfId="23715"/>
    <cellStyle name="Separador de milhares 2 2 4 16" xfId="23716"/>
    <cellStyle name="Separador de milhares 2 2 4 2" xfId="23717"/>
    <cellStyle name="Separador de milhares 2 2 4 3" xfId="23718"/>
    <cellStyle name="Separador de milhares 2 2 4 4" xfId="23719"/>
    <cellStyle name="Separador de milhares 2 2 4 5" xfId="23720"/>
    <cellStyle name="Separador de milhares 2 2 4 6" xfId="23721"/>
    <cellStyle name="Separador de milhares 2 2 4 7" xfId="23722"/>
    <cellStyle name="Separador de milhares 2 2 4 8" xfId="23723"/>
    <cellStyle name="Separador de milhares 2 2 4 9" xfId="23724"/>
    <cellStyle name="Separador de milhares 2 2 5" xfId="23725"/>
    <cellStyle name="Separador de milhares 2 2 5 2" xfId="23726"/>
    <cellStyle name="Separador de milhares 2 2 6" xfId="23727"/>
    <cellStyle name="Separador de milhares 2 2 6 2" xfId="23728"/>
    <cellStyle name="Separador de milhares 2 2 7" xfId="23729"/>
    <cellStyle name="Separador de milhares 2 2 7 2" xfId="23730"/>
    <cellStyle name="Separador de milhares 2 2 8" xfId="23731"/>
    <cellStyle name="Separador de milhares 2 2 8 2" xfId="23732"/>
    <cellStyle name="Separador de milhares 2 2 9" xfId="23733"/>
    <cellStyle name="Separador de milhares 2 2 9 2" xfId="23734"/>
    <cellStyle name="Separador de milhares 2 20" xfId="23735"/>
    <cellStyle name="Separador de milhares 2 20 2" xfId="23736"/>
    <cellStyle name="Separador de milhares 2 20 3" xfId="23737"/>
    <cellStyle name="Separador de milhares 2 200" xfId="23738"/>
    <cellStyle name="Separador de milhares 2 201" xfId="23739"/>
    <cellStyle name="Separador de milhares 2 202" xfId="23740"/>
    <cellStyle name="Separador de milhares 2 203" xfId="23741"/>
    <cellStyle name="Separador de milhares 2 204" xfId="23742"/>
    <cellStyle name="Separador de milhares 2 205" xfId="23743"/>
    <cellStyle name="Separador de milhares 2 206" xfId="23744"/>
    <cellStyle name="Separador de milhares 2 207" xfId="23745"/>
    <cellStyle name="Separador de milhares 2 208" xfId="23746"/>
    <cellStyle name="Separador de milhares 2 209" xfId="23747"/>
    <cellStyle name="Separador de milhares 2 21" xfId="23748"/>
    <cellStyle name="Separador de milhares 2 21 2" xfId="23749"/>
    <cellStyle name="Separador de milhares 2 21 3" xfId="23750"/>
    <cellStyle name="Separador de milhares 2 210" xfId="23751"/>
    <cellStyle name="Separador de milhares 2 211" xfId="23752"/>
    <cellStyle name="Separador de milhares 2 212" xfId="23753"/>
    <cellStyle name="Separador de milhares 2 213" xfId="23754"/>
    <cellStyle name="Separador de milhares 2 214" xfId="23755"/>
    <cellStyle name="Separador de milhares 2 215" xfId="23756"/>
    <cellStyle name="Separador de milhares 2 22" xfId="23757"/>
    <cellStyle name="Separador de milhares 2 22 2" xfId="23758"/>
    <cellStyle name="Separador de milhares 2 22 3" xfId="23759"/>
    <cellStyle name="Separador de milhares 2 23" xfId="23760"/>
    <cellStyle name="Separador de milhares 2 24" xfId="23761"/>
    <cellStyle name="Separador de milhares 2 25" xfId="23762"/>
    <cellStyle name="Separador de milhares 2 26" xfId="23763"/>
    <cellStyle name="Separador de milhares 2 27" xfId="23764"/>
    <cellStyle name="Separador de milhares 2 28" xfId="23765"/>
    <cellStyle name="Separador de milhares 2 29" xfId="23766"/>
    <cellStyle name="Separador de milhares 2 3" xfId="23767"/>
    <cellStyle name="Separador de milhares 2 3 10" xfId="23768"/>
    <cellStyle name="Separador de milhares 2 3 11" xfId="23769"/>
    <cellStyle name="Separador de milhares 2 3 12" xfId="23770"/>
    <cellStyle name="Separador de milhares 2 3 13" xfId="23771"/>
    <cellStyle name="Separador de milhares 2 3 14" xfId="23772"/>
    <cellStyle name="Separador de milhares 2 3 15" xfId="23773"/>
    <cellStyle name="Separador de milhares 2 3 16" xfId="23774"/>
    <cellStyle name="Separador de milhares 2 3 17" xfId="23775"/>
    <cellStyle name="Separador de milhares 2 3 18" xfId="23776"/>
    <cellStyle name="Separador de milhares 2 3 19" xfId="23777"/>
    <cellStyle name="Separador de milhares 2 3 2" xfId="23778"/>
    <cellStyle name="Separador de milhares 2 3 20" xfId="23779"/>
    <cellStyle name="Separador de milhares 2 3 3" xfId="23780"/>
    <cellStyle name="Separador de milhares 2 3 4" xfId="23781"/>
    <cellStyle name="Separador de milhares 2 3 5" xfId="23782"/>
    <cellStyle name="Separador de milhares 2 3 6" xfId="23783"/>
    <cellStyle name="Separador de milhares 2 3 7" xfId="23784"/>
    <cellStyle name="Separador de milhares 2 3 8" xfId="23785"/>
    <cellStyle name="Separador de milhares 2 3 9" xfId="23786"/>
    <cellStyle name="Separador de milhares 2 30" xfId="23787"/>
    <cellStyle name="Separador de milhares 2 31" xfId="23788"/>
    <cellStyle name="Separador de milhares 2 32" xfId="23789"/>
    <cellStyle name="Separador de milhares 2 33" xfId="23790"/>
    <cellStyle name="Separador de milhares 2 33 2" xfId="23791"/>
    <cellStyle name="Separador de milhares 2 33 3" xfId="23792"/>
    <cellStyle name="Separador de milhares 2 33 4" xfId="23793"/>
    <cellStyle name="Separador de milhares 2 33 5" xfId="23794"/>
    <cellStyle name="Separador de milhares 2 33 6" xfId="23795"/>
    <cellStyle name="Separador de milhares 2 33 7" xfId="23796"/>
    <cellStyle name="Separador de milhares 2 34" xfId="23797"/>
    <cellStyle name="Separador de milhares 2 35" xfId="23798"/>
    <cellStyle name="Separador de milhares 2 36" xfId="23799"/>
    <cellStyle name="Separador de milhares 2 37" xfId="23800"/>
    <cellStyle name="Separador de milhares 2 37 10" xfId="23801"/>
    <cellStyle name="Separador de milhares 2 37 11" xfId="23802"/>
    <cellStyle name="Separador de milhares 2 37 12" xfId="23803"/>
    <cellStyle name="Separador de milhares 2 37 13" xfId="23804"/>
    <cellStyle name="Separador de milhares 2 37 14" xfId="23805"/>
    <cellStyle name="Separador de milhares 2 37 15" xfId="23806"/>
    <cellStyle name="Separador de milhares 2 37 16" xfId="23807"/>
    <cellStyle name="Separador de milhares 2 37 2" xfId="23808"/>
    <cellStyle name="Separador de milhares 2 37 3" xfId="23809"/>
    <cellStyle name="Separador de milhares 2 37 4" xfId="23810"/>
    <cellStyle name="Separador de milhares 2 37 5" xfId="23811"/>
    <cellStyle name="Separador de milhares 2 37 6" xfId="23812"/>
    <cellStyle name="Separador de milhares 2 37 7" xfId="23813"/>
    <cellStyle name="Separador de milhares 2 37 8" xfId="23814"/>
    <cellStyle name="Separador de milhares 2 37 9" xfId="23815"/>
    <cellStyle name="Separador de milhares 2 38" xfId="23816"/>
    <cellStyle name="Separador de milhares 2 39" xfId="23817"/>
    <cellStyle name="Separador de milhares 2 39 10" xfId="23818"/>
    <cellStyle name="Separador de milhares 2 39 10 2" xfId="23819"/>
    <cellStyle name="Separador de milhares 2 39 10 2 2" xfId="38850"/>
    <cellStyle name="Separador de milhares 2 39 10 3" xfId="23820"/>
    <cellStyle name="Separador de milhares 2 39 10 3 2" xfId="38851"/>
    <cellStyle name="Separador de milhares 2 39 10 4" xfId="23821"/>
    <cellStyle name="Separador de milhares 2 39 10 4 2" xfId="38852"/>
    <cellStyle name="Separador de milhares 2 39 10 5" xfId="23822"/>
    <cellStyle name="Separador de milhares 2 39 10 5 2" xfId="38853"/>
    <cellStyle name="Separador de milhares 2 39 10 6" xfId="38849"/>
    <cellStyle name="Separador de milhares 2 39 11" xfId="23823"/>
    <cellStyle name="Separador de milhares 2 39 11 2" xfId="23824"/>
    <cellStyle name="Separador de milhares 2 39 11 2 2" xfId="38855"/>
    <cellStyle name="Separador de milhares 2 39 11 3" xfId="23825"/>
    <cellStyle name="Separador de milhares 2 39 11 3 2" xfId="38856"/>
    <cellStyle name="Separador de milhares 2 39 11 4" xfId="23826"/>
    <cellStyle name="Separador de milhares 2 39 11 4 2" xfId="38857"/>
    <cellStyle name="Separador de milhares 2 39 11 5" xfId="23827"/>
    <cellStyle name="Separador de milhares 2 39 11 5 2" xfId="38858"/>
    <cellStyle name="Separador de milhares 2 39 11 6" xfId="38854"/>
    <cellStyle name="Separador de milhares 2 39 12" xfId="23828"/>
    <cellStyle name="Separador de milhares 2 39 12 2" xfId="23829"/>
    <cellStyle name="Separador de milhares 2 39 12 2 2" xfId="38860"/>
    <cellStyle name="Separador de milhares 2 39 12 3" xfId="23830"/>
    <cellStyle name="Separador de milhares 2 39 12 3 2" xfId="38861"/>
    <cellStyle name="Separador de milhares 2 39 12 4" xfId="23831"/>
    <cellStyle name="Separador de milhares 2 39 12 4 2" xfId="38862"/>
    <cellStyle name="Separador de milhares 2 39 12 5" xfId="23832"/>
    <cellStyle name="Separador de milhares 2 39 12 5 2" xfId="38863"/>
    <cellStyle name="Separador de milhares 2 39 12 6" xfId="38859"/>
    <cellStyle name="Separador de milhares 2 39 13" xfId="23833"/>
    <cellStyle name="Separador de milhares 2 39 13 2" xfId="23834"/>
    <cellStyle name="Separador de milhares 2 39 13 2 2" xfId="38865"/>
    <cellStyle name="Separador de milhares 2 39 13 3" xfId="23835"/>
    <cellStyle name="Separador de milhares 2 39 13 3 2" xfId="38866"/>
    <cellStyle name="Separador de milhares 2 39 13 4" xfId="23836"/>
    <cellStyle name="Separador de milhares 2 39 13 4 2" xfId="38867"/>
    <cellStyle name="Separador de milhares 2 39 13 5" xfId="23837"/>
    <cellStyle name="Separador de milhares 2 39 13 5 2" xfId="38868"/>
    <cellStyle name="Separador de milhares 2 39 13 6" xfId="38864"/>
    <cellStyle name="Separador de milhares 2 39 14" xfId="23838"/>
    <cellStyle name="Separador de milhares 2 39 14 2" xfId="23839"/>
    <cellStyle name="Separador de milhares 2 39 14 2 2" xfId="38870"/>
    <cellStyle name="Separador de milhares 2 39 14 3" xfId="23840"/>
    <cellStyle name="Separador de milhares 2 39 14 3 2" xfId="38871"/>
    <cellStyle name="Separador de milhares 2 39 14 4" xfId="23841"/>
    <cellStyle name="Separador de milhares 2 39 14 4 2" xfId="38872"/>
    <cellStyle name="Separador de milhares 2 39 14 5" xfId="23842"/>
    <cellStyle name="Separador de milhares 2 39 14 5 2" xfId="38873"/>
    <cellStyle name="Separador de milhares 2 39 14 6" xfId="38869"/>
    <cellStyle name="Separador de milhares 2 39 15" xfId="23843"/>
    <cellStyle name="Separador de milhares 2 39 15 2" xfId="23844"/>
    <cellStyle name="Separador de milhares 2 39 15 2 2" xfId="38875"/>
    <cellStyle name="Separador de milhares 2 39 15 3" xfId="23845"/>
    <cellStyle name="Separador de milhares 2 39 15 3 2" xfId="38876"/>
    <cellStyle name="Separador de milhares 2 39 15 4" xfId="23846"/>
    <cellStyle name="Separador de milhares 2 39 15 4 2" xfId="38877"/>
    <cellStyle name="Separador de milhares 2 39 15 5" xfId="23847"/>
    <cellStyle name="Separador de milhares 2 39 15 5 2" xfId="38878"/>
    <cellStyle name="Separador de milhares 2 39 15 6" xfId="38874"/>
    <cellStyle name="Separador de milhares 2 39 16" xfId="23848"/>
    <cellStyle name="Separador de milhares 2 39 16 2" xfId="23849"/>
    <cellStyle name="Separador de milhares 2 39 16 2 2" xfId="38880"/>
    <cellStyle name="Separador de milhares 2 39 16 3" xfId="23850"/>
    <cellStyle name="Separador de milhares 2 39 16 3 2" xfId="38881"/>
    <cellStyle name="Separador de milhares 2 39 16 4" xfId="23851"/>
    <cellStyle name="Separador de milhares 2 39 16 4 2" xfId="38882"/>
    <cellStyle name="Separador de milhares 2 39 16 5" xfId="23852"/>
    <cellStyle name="Separador de milhares 2 39 16 5 2" xfId="38883"/>
    <cellStyle name="Separador de milhares 2 39 16 6" xfId="38879"/>
    <cellStyle name="Separador de milhares 2 39 17" xfId="23853"/>
    <cellStyle name="Separador de milhares 2 39 17 2" xfId="38884"/>
    <cellStyle name="Separador de milhares 2 39 18" xfId="23854"/>
    <cellStyle name="Separador de milhares 2 39 18 2" xfId="38885"/>
    <cellStyle name="Separador de milhares 2 39 19" xfId="23855"/>
    <cellStyle name="Separador de milhares 2 39 19 2" xfId="38886"/>
    <cellStyle name="Separador de milhares 2 39 2" xfId="23856"/>
    <cellStyle name="Separador de milhares 2 39 2 10" xfId="23857"/>
    <cellStyle name="Separador de milhares 2 39 2 10 2" xfId="38888"/>
    <cellStyle name="Separador de milhares 2 39 2 11" xfId="23858"/>
    <cellStyle name="Separador de milhares 2 39 2 11 2" xfId="38889"/>
    <cellStyle name="Separador de milhares 2 39 2 12" xfId="38887"/>
    <cellStyle name="Separador de milhares 2 39 2 2" xfId="23859"/>
    <cellStyle name="Separador de milhares 2 39 2 2 2" xfId="23860"/>
    <cellStyle name="Separador de milhares 2 39 2 2 2 2" xfId="38891"/>
    <cellStyle name="Separador de milhares 2 39 2 2 3" xfId="23861"/>
    <cellStyle name="Separador de milhares 2 39 2 2 3 2" xfId="38892"/>
    <cellStyle name="Separador de milhares 2 39 2 2 4" xfId="23862"/>
    <cellStyle name="Separador de milhares 2 39 2 2 4 2" xfId="38893"/>
    <cellStyle name="Separador de milhares 2 39 2 2 5" xfId="23863"/>
    <cellStyle name="Separador de milhares 2 39 2 2 5 2" xfId="38894"/>
    <cellStyle name="Separador de milhares 2 39 2 2 6" xfId="38890"/>
    <cellStyle name="Separador de milhares 2 39 2 3" xfId="23864"/>
    <cellStyle name="Separador de milhares 2 39 2 3 2" xfId="23865"/>
    <cellStyle name="Separador de milhares 2 39 2 3 2 2" xfId="38896"/>
    <cellStyle name="Separador de milhares 2 39 2 3 3" xfId="23866"/>
    <cellStyle name="Separador de milhares 2 39 2 3 3 2" xfId="38897"/>
    <cellStyle name="Separador de milhares 2 39 2 3 4" xfId="23867"/>
    <cellStyle name="Separador de milhares 2 39 2 3 4 2" xfId="38898"/>
    <cellStyle name="Separador de milhares 2 39 2 3 5" xfId="23868"/>
    <cellStyle name="Separador de milhares 2 39 2 3 5 2" xfId="38899"/>
    <cellStyle name="Separador de milhares 2 39 2 3 6" xfId="38895"/>
    <cellStyle name="Separador de milhares 2 39 2 4" xfId="23869"/>
    <cellStyle name="Separador de milhares 2 39 2 4 2" xfId="23870"/>
    <cellStyle name="Separador de milhares 2 39 2 4 2 2" xfId="38901"/>
    <cellStyle name="Separador de milhares 2 39 2 4 3" xfId="23871"/>
    <cellStyle name="Separador de milhares 2 39 2 4 3 2" xfId="38902"/>
    <cellStyle name="Separador de milhares 2 39 2 4 4" xfId="23872"/>
    <cellStyle name="Separador de milhares 2 39 2 4 4 2" xfId="38903"/>
    <cellStyle name="Separador de milhares 2 39 2 4 5" xfId="23873"/>
    <cellStyle name="Separador de milhares 2 39 2 4 5 2" xfId="38904"/>
    <cellStyle name="Separador de milhares 2 39 2 4 6" xfId="38900"/>
    <cellStyle name="Separador de milhares 2 39 2 5" xfId="23874"/>
    <cellStyle name="Separador de milhares 2 39 2 5 2" xfId="23875"/>
    <cellStyle name="Separador de milhares 2 39 2 5 2 2" xfId="38906"/>
    <cellStyle name="Separador de milhares 2 39 2 5 3" xfId="23876"/>
    <cellStyle name="Separador de milhares 2 39 2 5 3 2" xfId="38907"/>
    <cellStyle name="Separador de milhares 2 39 2 5 4" xfId="23877"/>
    <cellStyle name="Separador de milhares 2 39 2 5 4 2" xfId="38908"/>
    <cellStyle name="Separador de milhares 2 39 2 5 5" xfId="23878"/>
    <cellStyle name="Separador de milhares 2 39 2 5 5 2" xfId="38909"/>
    <cellStyle name="Separador de milhares 2 39 2 5 6" xfId="38905"/>
    <cellStyle name="Separador de milhares 2 39 2 6" xfId="23879"/>
    <cellStyle name="Separador de milhares 2 39 2 6 2" xfId="23880"/>
    <cellStyle name="Separador de milhares 2 39 2 6 2 2" xfId="38911"/>
    <cellStyle name="Separador de milhares 2 39 2 6 3" xfId="23881"/>
    <cellStyle name="Separador de milhares 2 39 2 6 3 2" xfId="38912"/>
    <cellStyle name="Separador de milhares 2 39 2 6 4" xfId="23882"/>
    <cellStyle name="Separador de milhares 2 39 2 6 4 2" xfId="38913"/>
    <cellStyle name="Separador de milhares 2 39 2 6 5" xfId="23883"/>
    <cellStyle name="Separador de milhares 2 39 2 6 5 2" xfId="38914"/>
    <cellStyle name="Separador de milhares 2 39 2 6 6" xfId="38910"/>
    <cellStyle name="Separador de milhares 2 39 2 7" xfId="23884"/>
    <cellStyle name="Separador de milhares 2 39 2 7 2" xfId="23885"/>
    <cellStyle name="Separador de milhares 2 39 2 7 2 2" xfId="38916"/>
    <cellStyle name="Separador de milhares 2 39 2 7 3" xfId="23886"/>
    <cellStyle name="Separador de milhares 2 39 2 7 3 2" xfId="38917"/>
    <cellStyle name="Separador de milhares 2 39 2 7 4" xfId="23887"/>
    <cellStyle name="Separador de milhares 2 39 2 7 4 2" xfId="38918"/>
    <cellStyle name="Separador de milhares 2 39 2 7 5" xfId="23888"/>
    <cellStyle name="Separador de milhares 2 39 2 7 5 2" xfId="38919"/>
    <cellStyle name="Separador de milhares 2 39 2 7 6" xfId="38915"/>
    <cellStyle name="Separador de milhares 2 39 2 8" xfId="23889"/>
    <cellStyle name="Separador de milhares 2 39 2 8 2" xfId="38920"/>
    <cellStyle name="Separador de milhares 2 39 2 9" xfId="23890"/>
    <cellStyle name="Separador de milhares 2 39 2 9 2" xfId="38921"/>
    <cellStyle name="Separador de milhares 2 39 20" xfId="23891"/>
    <cellStyle name="Separador de milhares 2 39 20 2" xfId="38922"/>
    <cellStyle name="Separador de milhares 2 39 21" xfId="38848"/>
    <cellStyle name="Separador de milhares 2 39 3" xfId="23892"/>
    <cellStyle name="Separador de milhares 2 39 3 2" xfId="23893"/>
    <cellStyle name="Separador de milhares 2 39 3 2 2" xfId="23894"/>
    <cellStyle name="Separador de milhares 2 39 3 2 2 2" xfId="38925"/>
    <cellStyle name="Separador de milhares 2 39 3 2 3" xfId="23895"/>
    <cellStyle name="Separador de milhares 2 39 3 2 3 2" xfId="38926"/>
    <cellStyle name="Separador de milhares 2 39 3 2 4" xfId="23896"/>
    <cellStyle name="Separador de milhares 2 39 3 2 4 2" xfId="38927"/>
    <cellStyle name="Separador de milhares 2 39 3 2 5" xfId="23897"/>
    <cellStyle name="Separador de milhares 2 39 3 2 5 2" xfId="38928"/>
    <cellStyle name="Separador de milhares 2 39 3 2 6" xfId="38924"/>
    <cellStyle name="Separador de milhares 2 39 3 3" xfId="23898"/>
    <cellStyle name="Separador de milhares 2 39 3 3 2" xfId="38929"/>
    <cellStyle name="Separador de milhares 2 39 3 4" xfId="23899"/>
    <cellStyle name="Separador de milhares 2 39 3 4 2" xfId="38930"/>
    <cellStyle name="Separador de milhares 2 39 3 5" xfId="23900"/>
    <cellStyle name="Separador de milhares 2 39 3 5 2" xfId="38931"/>
    <cellStyle name="Separador de milhares 2 39 3 6" xfId="23901"/>
    <cellStyle name="Separador de milhares 2 39 3 6 2" xfId="38932"/>
    <cellStyle name="Separador de milhares 2 39 3 7" xfId="38923"/>
    <cellStyle name="Separador de milhares 2 39 4" xfId="23902"/>
    <cellStyle name="Separador de milhares 2 39 4 2" xfId="23903"/>
    <cellStyle name="Separador de milhares 2 39 4 2 2" xfId="23904"/>
    <cellStyle name="Separador de milhares 2 39 4 2 2 2" xfId="38935"/>
    <cellStyle name="Separador de milhares 2 39 4 2 3" xfId="23905"/>
    <cellStyle name="Separador de milhares 2 39 4 2 3 2" xfId="38936"/>
    <cellStyle name="Separador de milhares 2 39 4 2 4" xfId="23906"/>
    <cellStyle name="Separador de milhares 2 39 4 2 4 2" xfId="38937"/>
    <cellStyle name="Separador de milhares 2 39 4 2 5" xfId="23907"/>
    <cellStyle name="Separador de milhares 2 39 4 2 5 2" xfId="38938"/>
    <cellStyle name="Separador de milhares 2 39 4 2 6" xfId="38934"/>
    <cellStyle name="Separador de milhares 2 39 4 3" xfId="23908"/>
    <cellStyle name="Separador de milhares 2 39 4 3 2" xfId="38939"/>
    <cellStyle name="Separador de milhares 2 39 4 4" xfId="23909"/>
    <cellStyle name="Separador de milhares 2 39 4 4 2" xfId="38940"/>
    <cellStyle name="Separador de milhares 2 39 4 5" xfId="23910"/>
    <cellStyle name="Separador de milhares 2 39 4 5 2" xfId="38941"/>
    <cellStyle name="Separador de milhares 2 39 4 6" xfId="23911"/>
    <cellStyle name="Separador de milhares 2 39 4 6 2" xfId="38942"/>
    <cellStyle name="Separador de milhares 2 39 4 7" xfId="38933"/>
    <cellStyle name="Separador de milhares 2 39 5" xfId="23912"/>
    <cellStyle name="Separador de milhares 2 39 5 2" xfId="23913"/>
    <cellStyle name="Separador de milhares 2 39 5 2 2" xfId="38944"/>
    <cellStyle name="Separador de milhares 2 39 5 3" xfId="23914"/>
    <cellStyle name="Separador de milhares 2 39 5 3 2" xfId="38945"/>
    <cellStyle name="Separador de milhares 2 39 5 4" xfId="23915"/>
    <cellStyle name="Separador de milhares 2 39 5 4 2" xfId="38946"/>
    <cellStyle name="Separador de milhares 2 39 5 5" xfId="23916"/>
    <cellStyle name="Separador de milhares 2 39 5 5 2" xfId="38947"/>
    <cellStyle name="Separador de milhares 2 39 5 6" xfId="38943"/>
    <cellStyle name="Separador de milhares 2 39 6" xfId="23917"/>
    <cellStyle name="Separador de milhares 2 39 6 2" xfId="23918"/>
    <cellStyle name="Separador de milhares 2 39 6 2 2" xfId="38949"/>
    <cellStyle name="Separador de milhares 2 39 6 3" xfId="23919"/>
    <cellStyle name="Separador de milhares 2 39 6 3 2" xfId="38950"/>
    <cellStyle name="Separador de milhares 2 39 6 4" xfId="23920"/>
    <cellStyle name="Separador de milhares 2 39 6 4 2" xfId="38951"/>
    <cellStyle name="Separador de milhares 2 39 6 5" xfId="23921"/>
    <cellStyle name="Separador de milhares 2 39 6 5 2" xfId="38952"/>
    <cellStyle name="Separador de milhares 2 39 6 6" xfId="38948"/>
    <cellStyle name="Separador de milhares 2 39 7" xfId="23922"/>
    <cellStyle name="Separador de milhares 2 39 7 2" xfId="23923"/>
    <cellStyle name="Separador de milhares 2 39 7 2 2" xfId="38954"/>
    <cellStyle name="Separador de milhares 2 39 7 3" xfId="23924"/>
    <cellStyle name="Separador de milhares 2 39 7 3 2" xfId="38955"/>
    <cellStyle name="Separador de milhares 2 39 7 4" xfId="23925"/>
    <cellStyle name="Separador de milhares 2 39 7 4 2" xfId="38956"/>
    <cellStyle name="Separador de milhares 2 39 7 5" xfId="23926"/>
    <cellStyle name="Separador de milhares 2 39 7 5 2" xfId="38957"/>
    <cellStyle name="Separador de milhares 2 39 7 6" xfId="38953"/>
    <cellStyle name="Separador de milhares 2 39 8" xfId="23927"/>
    <cellStyle name="Separador de milhares 2 39 8 2" xfId="23928"/>
    <cellStyle name="Separador de milhares 2 39 8 2 2" xfId="38959"/>
    <cellStyle name="Separador de milhares 2 39 8 3" xfId="23929"/>
    <cellStyle name="Separador de milhares 2 39 8 3 2" xfId="38960"/>
    <cellStyle name="Separador de milhares 2 39 8 4" xfId="23930"/>
    <cellStyle name="Separador de milhares 2 39 8 4 2" xfId="38961"/>
    <cellStyle name="Separador de milhares 2 39 8 5" xfId="23931"/>
    <cellStyle name="Separador de milhares 2 39 8 5 2" xfId="38962"/>
    <cellStyle name="Separador de milhares 2 39 8 6" xfId="38958"/>
    <cellStyle name="Separador de milhares 2 39 9" xfId="23932"/>
    <cellStyle name="Separador de milhares 2 39 9 2" xfId="23933"/>
    <cellStyle name="Separador de milhares 2 39 9 2 2" xfId="38964"/>
    <cellStyle name="Separador de milhares 2 39 9 3" xfId="23934"/>
    <cellStyle name="Separador de milhares 2 39 9 3 2" xfId="38965"/>
    <cellStyle name="Separador de milhares 2 39 9 4" xfId="23935"/>
    <cellStyle name="Separador de milhares 2 39 9 4 2" xfId="38966"/>
    <cellStyle name="Separador de milhares 2 39 9 5" xfId="23936"/>
    <cellStyle name="Separador de milhares 2 39 9 5 2" xfId="38967"/>
    <cellStyle name="Separador de milhares 2 39 9 6" xfId="38963"/>
    <cellStyle name="Separador de milhares 2 4" xfId="23937"/>
    <cellStyle name="Separador de milhares 2 4 10" xfId="23938"/>
    <cellStyle name="Separador de milhares 2 4 11" xfId="23939"/>
    <cellStyle name="Separador de milhares 2 4 12" xfId="23940"/>
    <cellStyle name="Separador de milhares 2 4 13" xfId="23941"/>
    <cellStyle name="Separador de milhares 2 4 14" xfId="23942"/>
    <cellStyle name="Separador de milhares 2 4 15" xfId="23943"/>
    <cellStyle name="Separador de milhares 2 4 16" xfId="23944"/>
    <cellStyle name="Separador de milhares 2 4 17" xfId="23945"/>
    <cellStyle name="Separador de milhares 2 4 18" xfId="23946"/>
    <cellStyle name="Separador de milhares 2 4 19" xfId="23947"/>
    <cellStyle name="Separador de milhares 2 4 2" xfId="23948"/>
    <cellStyle name="Separador de milhares 2 4 2 2" xfId="23949"/>
    <cellStyle name="Separador de milhares 2 4 2 3" xfId="23950"/>
    <cellStyle name="Separador de milhares 2 4 2 4" xfId="23951"/>
    <cellStyle name="Separador de milhares 2 4 2 5" xfId="23952"/>
    <cellStyle name="Separador de milhares 2 4 2 6" xfId="23953"/>
    <cellStyle name="Separador de milhares 2 4 2 7" xfId="23954"/>
    <cellStyle name="Separador de milhares 2 4 20" xfId="23955"/>
    <cellStyle name="Separador de milhares 2 4 21" xfId="23956"/>
    <cellStyle name="Separador de milhares 2 4 22" xfId="23957"/>
    <cellStyle name="Separador de milhares 2 4 23" xfId="23958"/>
    <cellStyle name="Separador de milhares 2 4 24" xfId="23959"/>
    <cellStyle name="Separador de milhares 2 4 25" xfId="23960"/>
    <cellStyle name="Separador de milhares 2 4 3" xfId="23961"/>
    <cellStyle name="Separador de milhares 2 4 4" xfId="23962"/>
    <cellStyle name="Separador de milhares 2 4 5" xfId="23963"/>
    <cellStyle name="Separador de milhares 2 4 6" xfId="23964"/>
    <cellStyle name="Separador de milhares 2 4 7" xfId="23965"/>
    <cellStyle name="Separador de milhares 2 4 8" xfId="23966"/>
    <cellStyle name="Separador de milhares 2 4 9" xfId="23967"/>
    <cellStyle name="Separador de milhares 2 40" xfId="23968"/>
    <cellStyle name="Separador de milhares 2 40 10" xfId="23969"/>
    <cellStyle name="Separador de milhares 2 40 10 2" xfId="23970"/>
    <cellStyle name="Separador de milhares 2 40 10 2 2" xfId="38970"/>
    <cellStyle name="Separador de milhares 2 40 10 3" xfId="23971"/>
    <cellStyle name="Separador de milhares 2 40 10 3 2" xfId="38971"/>
    <cellStyle name="Separador de milhares 2 40 10 4" xfId="23972"/>
    <cellStyle name="Separador de milhares 2 40 10 4 2" xfId="38972"/>
    <cellStyle name="Separador de milhares 2 40 10 5" xfId="23973"/>
    <cellStyle name="Separador de milhares 2 40 10 5 2" xfId="38973"/>
    <cellStyle name="Separador de milhares 2 40 10 6" xfId="38969"/>
    <cellStyle name="Separador de milhares 2 40 11" xfId="23974"/>
    <cellStyle name="Separador de milhares 2 40 11 2" xfId="23975"/>
    <cellStyle name="Separador de milhares 2 40 11 2 2" xfId="38975"/>
    <cellStyle name="Separador de milhares 2 40 11 3" xfId="23976"/>
    <cellStyle name="Separador de milhares 2 40 11 3 2" xfId="38976"/>
    <cellStyle name="Separador de milhares 2 40 11 4" xfId="23977"/>
    <cellStyle name="Separador de milhares 2 40 11 4 2" xfId="38977"/>
    <cellStyle name="Separador de milhares 2 40 11 5" xfId="23978"/>
    <cellStyle name="Separador de milhares 2 40 11 5 2" xfId="38978"/>
    <cellStyle name="Separador de milhares 2 40 11 6" xfId="38974"/>
    <cellStyle name="Separador de milhares 2 40 12" xfId="23979"/>
    <cellStyle name="Separador de milhares 2 40 12 2" xfId="23980"/>
    <cellStyle name="Separador de milhares 2 40 12 2 2" xfId="38980"/>
    <cellStyle name="Separador de milhares 2 40 12 3" xfId="23981"/>
    <cellStyle name="Separador de milhares 2 40 12 3 2" xfId="38981"/>
    <cellStyle name="Separador de milhares 2 40 12 4" xfId="23982"/>
    <cellStyle name="Separador de milhares 2 40 12 4 2" xfId="38982"/>
    <cellStyle name="Separador de milhares 2 40 12 5" xfId="23983"/>
    <cellStyle name="Separador de milhares 2 40 12 5 2" xfId="38983"/>
    <cellStyle name="Separador de milhares 2 40 12 6" xfId="38979"/>
    <cellStyle name="Separador de milhares 2 40 13" xfId="23984"/>
    <cellStyle name="Separador de milhares 2 40 13 2" xfId="23985"/>
    <cellStyle name="Separador de milhares 2 40 13 2 2" xfId="38985"/>
    <cellStyle name="Separador de milhares 2 40 13 3" xfId="23986"/>
    <cellStyle name="Separador de milhares 2 40 13 3 2" xfId="38986"/>
    <cellStyle name="Separador de milhares 2 40 13 4" xfId="23987"/>
    <cellStyle name="Separador de milhares 2 40 13 4 2" xfId="38987"/>
    <cellStyle name="Separador de milhares 2 40 13 5" xfId="23988"/>
    <cellStyle name="Separador de milhares 2 40 13 5 2" xfId="38988"/>
    <cellStyle name="Separador de milhares 2 40 13 6" xfId="38984"/>
    <cellStyle name="Separador de milhares 2 40 14" xfId="23989"/>
    <cellStyle name="Separador de milhares 2 40 14 2" xfId="23990"/>
    <cellStyle name="Separador de milhares 2 40 14 2 2" xfId="38990"/>
    <cellStyle name="Separador de milhares 2 40 14 3" xfId="23991"/>
    <cellStyle name="Separador de milhares 2 40 14 3 2" xfId="38991"/>
    <cellStyle name="Separador de milhares 2 40 14 4" xfId="23992"/>
    <cellStyle name="Separador de milhares 2 40 14 4 2" xfId="38992"/>
    <cellStyle name="Separador de milhares 2 40 14 5" xfId="23993"/>
    <cellStyle name="Separador de milhares 2 40 14 5 2" xfId="38993"/>
    <cellStyle name="Separador de milhares 2 40 14 6" xfId="38989"/>
    <cellStyle name="Separador de milhares 2 40 15" xfId="23994"/>
    <cellStyle name="Separador de milhares 2 40 15 2" xfId="23995"/>
    <cellStyle name="Separador de milhares 2 40 15 2 2" xfId="38995"/>
    <cellStyle name="Separador de milhares 2 40 15 3" xfId="23996"/>
    <cellStyle name="Separador de milhares 2 40 15 3 2" xfId="38996"/>
    <cellStyle name="Separador de milhares 2 40 15 4" xfId="23997"/>
    <cellStyle name="Separador de milhares 2 40 15 4 2" xfId="38997"/>
    <cellStyle name="Separador de milhares 2 40 15 5" xfId="23998"/>
    <cellStyle name="Separador de milhares 2 40 15 5 2" xfId="38998"/>
    <cellStyle name="Separador de milhares 2 40 15 6" xfId="38994"/>
    <cellStyle name="Separador de milhares 2 40 16" xfId="23999"/>
    <cellStyle name="Separador de milhares 2 40 16 2" xfId="24000"/>
    <cellStyle name="Separador de milhares 2 40 16 2 2" xfId="39000"/>
    <cellStyle name="Separador de milhares 2 40 16 3" xfId="24001"/>
    <cellStyle name="Separador de milhares 2 40 16 3 2" xfId="39001"/>
    <cellStyle name="Separador de milhares 2 40 16 4" xfId="24002"/>
    <cellStyle name="Separador de milhares 2 40 16 4 2" xfId="39002"/>
    <cellStyle name="Separador de milhares 2 40 16 5" xfId="24003"/>
    <cellStyle name="Separador de milhares 2 40 16 5 2" xfId="39003"/>
    <cellStyle name="Separador de milhares 2 40 16 6" xfId="38999"/>
    <cellStyle name="Separador de milhares 2 40 17" xfId="24004"/>
    <cellStyle name="Separador de milhares 2 40 17 2" xfId="39004"/>
    <cellStyle name="Separador de milhares 2 40 18" xfId="24005"/>
    <cellStyle name="Separador de milhares 2 40 18 2" xfId="39005"/>
    <cellStyle name="Separador de milhares 2 40 19" xfId="24006"/>
    <cellStyle name="Separador de milhares 2 40 19 2" xfId="39006"/>
    <cellStyle name="Separador de milhares 2 40 2" xfId="24007"/>
    <cellStyle name="Separador de milhares 2 40 2 10" xfId="24008"/>
    <cellStyle name="Separador de milhares 2 40 2 10 2" xfId="39008"/>
    <cellStyle name="Separador de milhares 2 40 2 11" xfId="24009"/>
    <cellStyle name="Separador de milhares 2 40 2 11 2" xfId="39009"/>
    <cellStyle name="Separador de milhares 2 40 2 12" xfId="39007"/>
    <cellStyle name="Separador de milhares 2 40 2 2" xfId="24010"/>
    <cellStyle name="Separador de milhares 2 40 2 2 2" xfId="24011"/>
    <cellStyle name="Separador de milhares 2 40 2 2 2 2" xfId="39011"/>
    <cellStyle name="Separador de milhares 2 40 2 2 3" xfId="24012"/>
    <cellStyle name="Separador de milhares 2 40 2 2 3 2" xfId="39012"/>
    <cellStyle name="Separador de milhares 2 40 2 2 4" xfId="24013"/>
    <cellStyle name="Separador de milhares 2 40 2 2 4 2" xfId="39013"/>
    <cellStyle name="Separador de milhares 2 40 2 2 5" xfId="24014"/>
    <cellStyle name="Separador de milhares 2 40 2 2 5 2" xfId="39014"/>
    <cellStyle name="Separador de milhares 2 40 2 2 6" xfId="39010"/>
    <cellStyle name="Separador de milhares 2 40 2 3" xfId="24015"/>
    <cellStyle name="Separador de milhares 2 40 2 3 2" xfId="24016"/>
    <cellStyle name="Separador de milhares 2 40 2 3 2 2" xfId="39016"/>
    <cellStyle name="Separador de milhares 2 40 2 3 3" xfId="24017"/>
    <cellStyle name="Separador de milhares 2 40 2 3 3 2" xfId="39017"/>
    <cellStyle name="Separador de milhares 2 40 2 3 4" xfId="24018"/>
    <cellStyle name="Separador de milhares 2 40 2 3 4 2" xfId="39018"/>
    <cellStyle name="Separador de milhares 2 40 2 3 5" xfId="24019"/>
    <cellStyle name="Separador de milhares 2 40 2 3 5 2" xfId="39019"/>
    <cellStyle name="Separador de milhares 2 40 2 3 6" xfId="39015"/>
    <cellStyle name="Separador de milhares 2 40 2 4" xfId="24020"/>
    <cellStyle name="Separador de milhares 2 40 2 4 2" xfId="24021"/>
    <cellStyle name="Separador de milhares 2 40 2 4 2 2" xfId="39021"/>
    <cellStyle name="Separador de milhares 2 40 2 4 3" xfId="24022"/>
    <cellStyle name="Separador de milhares 2 40 2 4 3 2" xfId="39022"/>
    <cellStyle name="Separador de milhares 2 40 2 4 4" xfId="24023"/>
    <cellStyle name="Separador de milhares 2 40 2 4 4 2" xfId="39023"/>
    <cellStyle name="Separador de milhares 2 40 2 4 5" xfId="24024"/>
    <cellStyle name="Separador de milhares 2 40 2 4 5 2" xfId="39024"/>
    <cellStyle name="Separador de milhares 2 40 2 4 6" xfId="39020"/>
    <cellStyle name="Separador de milhares 2 40 2 5" xfId="24025"/>
    <cellStyle name="Separador de milhares 2 40 2 5 2" xfId="24026"/>
    <cellStyle name="Separador de milhares 2 40 2 5 2 2" xfId="39026"/>
    <cellStyle name="Separador de milhares 2 40 2 5 3" xfId="24027"/>
    <cellStyle name="Separador de milhares 2 40 2 5 3 2" xfId="39027"/>
    <cellStyle name="Separador de milhares 2 40 2 5 4" xfId="24028"/>
    <cellStyle name="Separador de milhares 2 40 2 5 4 2" xfId="39028"/>
    <cellStyle name="Separador de milhares 2 40 2 5 5" xfId="24029"/>
    <cellStyle name="Separador de milhares 2 40 2 5 5 2" xfId="39029"/>
    <cellStyle name="Separador de milhares 2 40 2 5 6" xfId="39025"/>
    <cellStyle name="Separador de milhares 2 40 2 6" xfId="24030"/>
    <cellStyle name="Separador de milhares 2 40 2 6 2" xfId="24031"/>
    <cellStyle name="Separador de milhares 2 40 2 6 2 2" xfId="39031"/>
    <cellStyle name="Separador de milhares 2 40 2 6 3" xfId="24032"/>
    <cellStyle name="Separador de milhares 2 40 2 6 3 2" xfId="39032"/>
    <cellStyle name="Separador de milhares 2 40 2 6 4" xfId="24033"/>
    <cellStyle name="Separador de milhares 2 40 2 6 4 2" xfId="39033"/>
    <cellStyle name="Separador de milhares 2 40 2 6 5" xfId="24034"/>
    <cellStyle name="Separador de milhares 2 40 2 6 5 2" xfId="39034"/>
    <cellStyle name="Separador de milhares 2 40 2 6 6" xfId="39030"/>
    <cellStyle name="Separador de milhares 2 40 2 7" xfId="24035"/>
    <cellStyle name="Separador de milhares 2 40 2 7 2" xfId="24036"/>
    <cellStyle name="Separador de milhares 2 40 2 7 2 2" xfId="39036"/>
    <cellStyle name="Separador de milhares 2 40 2 7 3" xfId="24037"/>
    <cellStyle name="Separador de milhares 2 40 2 7 3 2" xfId="39037"/>
    <cellStyle name="Separador de milhares 2 40 2 7 4" xfId="24038"/>
    <cellStyle name="Separador de milhares 2 40 2 7 4 2" xfId="39038"/>
    <cellStyle name="Separador de milhares 2 40 2 7 5" xfId="24039"/>
    <cellStyle name="Separador de milhares 2 40 2 7 5 2" xfId="39039"/>
    <cellStyle name="Separador de milhares 2 40 2 7 6" xfId="39035"/>
    <cellStyle name="Separador de milhares 2 40 2 8" xfId="24040"/>
    <cellStyle name="Separador de milhares 2 40 2 8 2" xfId="39040"/>
    <cellStyle name="Separador de milhares 2 40 2 9" xfId="24041"/>
    <cellStyle name="Separador de milhares 2 40 2 9 2" xfId="39041"/>
    <cellStyle name="Separador de milhares 2 40 20" xfId="24042"/>
    <cellStyle name="Separador de milhares 2 40 20 2" xfId="39042"/>
    <cellStyle name="Separador de milhares 2 40 21" xfId="38968"/>
    <cellStyle name="Separador de milhares 2 40 3" xfId="24043"/>
    <cellStyle name="Separador de milhares 2 40 3 2" xfId="24044"/>
    <cellStyle name="Separador de milhares 2 40 3 2 2" xfId="24045"/>
    <cellStyle name="Separador de milhares 2 40 3 2 2 2" xfId="39045"/>
    <cellStyle name="Separador de milhares 2 40 3 2 3" xfId="24046"/>
    <cellStyle name="Separador de milhares 2 40 3 2 3 2" xfId="39046"/>
    <cellStyle name="Separador de milhares 2 40 3 2 4" xfId="24047"/>
    <cellStyle name="Separador de milhares 2 40 3 2 4 2" xfId="39047"/>
    <cellStyle name="Separador de milhares 2 40 3 2 5" xfId="24048"/>
    <cellStyle name="Separador de milhares 2 40 3 2 5 2" xfId="39048"/>
    <cellStyle name="Separador de milhares 2 40 3 2 6" xfId="39044"/>
    <cellStyle name="Separador de milhares 2 40 3 3" xfId="24049"/>
    <cellStyle name="Separador de milhares 2 40 3 3 2" xfId="39049"/>
    <cellStyle name="Separador de milhares 2 40 3 4" xfId="24050"/>
    <cellStyle name="Separador de milhares 2 40 3 4 2" xfId="39050"/>
    <cellStyle name="Separador de milhares 2 40 3 5" xfId="24051"/>
    <cellStyle name="Separador de milhares 2 40 3 5 2" xfId="39051"/>
    <cellStyle name="Separador de milhares 2 40 3 6" xfId="24052"/>
    <cellStyle name="Separador de milhares 2 40 3 6 2" xfId="39052"/>
    <cellStyle name="Separador de milhares 2 40 3 7" xfId="39043"/>
    <cellStyle name="Separador de milhares 2 40 4" xfId="24053"/>
    <cellStyle name="Separador de milhares 2 40 4 2" xfId="24054"/>
    <cellStyle name="Separador de milhares 2 40 4 2 2" xfId="24055"/>
    <cellStyle name="Separador de milhares 2 40 4 2 2 2" xfId="39055"/>
    <cellStyle name="Separador de milhares 2 40 4 2 3" xfId="24056"/>
    <cellStyle name="Separador de milhares 2 40 4 2 3 2" xfId="39056"/>
    <cellStyle name="Separador de milhares 2 40 4 2 4" xfId="24057"/>
    <cellStyle name="Separador de milhares 2 40 4 2 4 2" xfId="39057"/>
    <cellStyle name="Separador de milhares 2 40 4 2 5" xfId="24058"/>
    <cellStyle name="Separador de milhares 2 40 4 2 5 2" xfId="39058"/>
    <cellStyle name="Separador de milhares 2 40 4 2 6" xfId="39054"/>
    <cellStyle name="Separador de milhares 2 40 4 3" xfId="24059"/>
    <cellStyle name="Separador de milhares 2 40 4 3 2" xfId="39059"/>
    <cellStyle name="Separador de milhares 2 40 4 4" xfId="24060"/>
    <cellStyle name="Separador de milhares 2 40 4 4 2" xfId="39060"/>
    <cellStyle name="Separador de milhares 2 40 4 5" xfId="24061"/>
    <cellStyle name="Separador de milhares 2 40 4 5 2" xfId="39061"/>
    <cellStyle name="Separador de milhares 2 40 4 6" xfId="24062"/>
    <cellStyle name="Separador de milhares 2 40 4 6 2" xfId="39062"/>
    <cellStyle name="Separador de milhares 2 40 4 7" xfId="39053"/>
    <cellStyle name="Separador de milhares 2 40 5" xfId="24063"/>
    <cellStyle name="Separador de milhares 2 40 5 2" xfId="24064"/>
    <cellStyle name="Separador de milhares 2 40 5 2 2" xfId="39064"/>
    <cellStyle name="Separador de milhares 2 40 5 3" xfId="24065"/>
    <cellStyle name="Separador de milhares 2 40 5 3 2" xfId="39065"/>
    <cellStyle name="Separador de milhares 2 40 5 4" xfId="24066"/>
    <cellStyle name="Separador de milhares 2 40 5 4 2" xfId="39066"/>
    <cellStyle name="Separador de milhares 2 40 5 5" xfId="24067"/>
    <cellStyle name="Separador de milhares 2 40 5 5 2" xfId="39067"/>
    <cellStyle name="Separador de milhares 2 40 5 6" xfId="39063"/>
    <cellStyle name="Separador de milhares 2 40 6" xfId="24068"/>
    <cellStyle name="Separador de milhares 2 40 6 2" xfId="24069"/>
    <cellStyle name="Separador de milhares 2 40 6 2 2" xfId="39069"/>
    <cellStyle name="Separador de milhares 2 40 6 3" xfId="24070"/>
    <cellStyle name="Separador de milhares 2 40 6 3 2" xfId="39070"/>
    <cellStyle name="Separador de milhares 2 40 6 4" xfId="24071"/>
    <cellStyle name="Separador de milhares 2 40 6 4 2" xfId="39071"/>
    <cellStyle name="Separador de milhares 2 40 6 5" xfId="24072"/>
    <cellStyle name="Separador de milhares 2 40 6 5 2" xfId="39072"/>
    <cellStyle name="Separador de milhares 2 40 6 6" xfId="39068"/>
    <cellStyle name="Separador de milhares 2 40 7" xfId="24073"/>
    <cellStyle name="Separador de milhares 2 40 7 2" xfId="24074"/>
    <cellStyle name="Separador de milhares 2 40 7 2 2" xfId="39074"/>
    <cellStyle name="Separador de milhares 2 40 7 3" xfId="24075"/>
    <cellStyle name="Separador de milhares 2 40 7 3 2" xfId="39075"/>
    <cellStyle name="Separador de milhares 2 40 7 4" xfId="24076"/>
    <cellStyle name="Separador de milhares 2 40 7 4 2" xfId="39076"/>
    <cellStyle name="Separador de milhares 2 40 7 5" xfId="24077"/>
    <cellStyle name="Separador de milhares 2 40 7 5 2" xfId="39077"/>
    <cellStyle name="Separador de milhares 2 40 7 6" xfId="39073"/>
    <cellStyle name="Separador de milhares 2 40 8" xfId="24078"/>
    <cellStyle name="Separador de milhares 2 40 8 2" xfId="24079"/>
    <cellStyle name="Separador de milhares 2 40 8 2 2" xfId="39079"/>
    <cellStyle name="Separador de milhares 2 40 8 3" xfId="24080"/>
    <cellStyle name="Separador de milhares 2 40 8 3 2" xfId="39080"/>
    <cellStyle name="Separador de milhares 2 40 8 4" xfId="24081"/>
    <cellStyle name="Separador de milhares 2 40 8 4 2" xfId="39081"/>
    <cellStyle name="Separador de milhares 2 40 8 5" xfId="24082"/>
    <cellStyle name="Separador de milhares 2 40 8 5 2" xfId="39082"/>
    <cellStyle name="Separador de milhares 2 40 8 6" xfId="39078"/>
    <cellStyle name="Separador de milhares 2 40 9" xfId="24083"/>
    <cellStyle name="Separador de milhares 2 40 9 2" xfId="24084"/>
    <cellStyle name="Separador de milhares 2 40 9 2 2" xfId="39084"/>
    <cellStyle name="Separador de milhares 2 40 9 3" xfId="24085"/>
    <cellStyle name="Separador de milhares 2 40 9 3 2" xfId="39085"/>
    <cellStyle name="Separador de milhares 2 40 9 4" xfId="24086"/>
    <cellStyle name="Separador de milhares 2 40 9 4 2" xfId="39086"/>
    <cellStyle name="Separador de milhares 2 40 9 5" xfId="24087"/>
    <cellStyle name="Separador de milhares 2 40 9 5 2" xfId="39087"/>
    <cellStyle name="Separador de milhares 2 40 9 6" xfId="39083"/>
    <cellStyle name="Separador de milhares 2 41" xfId="24088"/>
    <cellStyle name="Separador de milhares 2 42" xfId="24089"/>
    <cellStyle name="Separador de milhares 2 43" xfId="24090"/>
    <cellStyle name="Separador de milhares 2 44" xfId="24091"/>
    <cellStyle name="Separador de milhares 2 45" xfId="24092"/>
    <cellStyle name="Separador de milhares 2 46" xfId="24093"/>
    <cellStyle name="Separador de milhares 2 47" xfId="24094"/>
    <cellStyle name="Separador de milhares 2 48" xfId="24095"/>
    <cellStyle name="Separador de milhares 2 49" xfId="24096"/>
    <cellStyle name="Separador de milhares 2 5" xfId="24097"/>
    <cellStyle name="Separador de milhares 2 5 10" xfId="24098"/>
    <cellStyle name="Separador de milhares 2 5 11" xfId="24099"/>
    <cellStyle name="Separador de milhares 2 5 12" xfId="24100"/>
    <cellStyle name="Separador de milhares 2 5 13" xfId="24101"/>
    <cellStyle name="Separador de milhares 2 5 14" xfId="24102"/>
    <cellStyle name="Separador de milhares 2 5 15" xfId="24103"/>
    <cellStyle name="Separador de milhares 2 5 16" xfId="24104"/>
    <cellStyle name="Separador de milhares 2 5 17" xfId="24105"/>
    <cellStyle name="Separador de milhares 2 5 18" xfId="24106"/>
    <cellStyle name="Separador de milhares 2 5 19" xfId="24107"/>
    <cellStyle name="Separador de milhares 2 5 2" xfId="24108"/>
    <cellStyle name="Separador de milhares 2 5 2 2" xfId="24109"/>
    <cellStyle name="Separador de milhares 2 5 2 3" xfId="24110"/>
    <cellStyle name="Separador de milhares 2 5 2 4" xfId="24111"/>
    <cellStyle name="Separador de milhares 2 5 2 5" xfId="24112"/>
    <cellStyle name="Separador de milhares 2 5 2 6" xfId="24113"/>
    <cellStyle name="Separador de milhares 2 5 2 7" xfId="24114"/>
    <cellStyle name="Separador de milhares 2 5 20" xfId="24115"/>
    <cellStyle name="Separador de milhares 2 5 21" xfId="24116"/>
    <cellStyle name="Separador de milhares 2 5 22" xfId="24117"/>
    <cellStyle name="Separador de milhares 2 5 23" xfId="24118"/>
    <cellStyle name="Separador de milhares 2 5 24" xfId="24119"/>
    <cellStyle name="Separador de milhares 2 5 25" xfId="24120"/>
    <cellStyle name="Separador de milhares 2 5 26" xfId="24121"/>
    <cellStyle name="Separador de milhares 2 5 27" xfId="24122"/>
    <cellStyle name="Separador de milhares 2 5 3" xfId="24123"/>
    <cellStyle name="Separador de milhares 2 5 4" xfId="24124"/>
    <cellStyle name="Separador de milhares 2 5 5" xfId="24125"/>
    <cellStyle name="Separador de milhares 2 5 6" xfId="24126"/>
    <cellStyle name="Separador de milhares 2 5 7" xfId="24127"/>
    <cellStyle name="Separador de milhares 2 5 8" xfId="24128"/>
    <cellStyle name="Separador de milhares 2 5 9" xfId="24129"/>
    <cellStyle name="Separador de milhares 2 50" xfId="24130"/>
    <cellStyle name="Separador de milhares 2 51" xfId="24131"/>
    <cellStyle name="Separador de milhares 2 51 10" xfId="24132"/>
    <cellStyle name="Separador de milhares 2 51 11" xfId="24133"/>
    <cellStyle name="Separador de milhares 2 51 12" xfId="24134"/>
    <cellStyle name="Separador de milhares 2 51 13" xfId="24135"/>
    <cellStyle name="Separador de milhares 2 51 14" xfId="24136"/>
    <cellStyle name="Separador de milhares 2 51 15" xfId="24137"/>
    <cellStyle name="Separador de milhares 2 51 16" xfId="24138"/>
    <cellStyle name="Separador de milhares 2 51 2" xfId="24139"/>
    <cellStyle name="Separador de milhares 2 51 3" xfId="24140"/>
    <cellStyle name="Separador de milhares 2 51 4" xfId="24141"/>
    <cellStyle name="Separador de milhares 2 51 5" xfId="24142"/>
    <cellStyle name="Separador de milhares 2 51 6" xfId="24143"/>
    <cellStyle name="Separador de milhares 2 51 7" xfId="24144"/>
    <cellStyle name="Separador de milhares 2 51 8" xfId="24145"/>
    <cellStyle name="Separador de milhares 2 51 9" xfId="24146"/>
    <cellStyle name="Separador de milhares 2 52" xfId="24147"/>
    <cellStyle name="Separador de milhares 2 52 10" xfId="24148"/>
    <cellStyle name="Separador de milhares 2 52 11" xfId="24149"/>
    <cellStyle name="Separador de milhares 2 52 12" xfId="24150"/>
    <cellStyle name="Separador de milhares 2 52 13" xfId="24151"/>
    <cellStyle name="Separador de milhares 2 52 14" xfId="24152"/>
    <cellStyle name="Separador de milhares 2 52 15" xfId="24153"/>
    <cellStyle name="Separador de milhares 2 52 16" xfId="24154"/>
    <cellStyle name="Separador de milhares 2 52 2" xfId="24155"/>
    <cellStyle name="Separador de milhares 2 52 3" xfId="24156"/>
    <cellStyle name="Separador de milhares 2 52 4" xfId="24157"/>
    <cellStyle name="Separador de milhares 2 52 5" xfId="24158"/>
    <cellStyle name="Separador de milhares 2 52 6" xfId="24159"/>
    <cellStyle name="Separador de milhares 2 52 7" xfId="24160"/>
    <cellStyle name="Separador de milhares 2 52 8" xfId="24161"/>
    <cellStyle name="Separador de milhares 2 52 9" xfId="24162"/>
    <cellStyle name="Separador de milhares 2 53" xfId="24163"/>
    <cellStyle name="Separador de milhares 2 53 10" xfId="24164"/>
    <cellStyle name="Separador de milhares 2 53 11" xfId="24165"/>
    <cellStyle name="Separador de milhares 2 53 12" xfId="24166"/>
    <cellStyle name="Separador de milhares 2 53 13" xfId="24167"/>
    <cellStyle name="Separador de milhares 2 53 14" xfId="24168"/>
    <cellStyle name="Separador de milhares 2 53 15" xfId="24169"/>
    <cellStyle name="Separador de milhares 2 53 16" xfId="24170"/>
    <cellStyle name="Separador de milhares 2 53 2" xfId="24171"/>
    <cellStyle name="Separador de milhares 2 53 3" xfId="24172"/>
    <cellStyle name="Separador de milhares 2 53 4" xfId="24173"/>
    <cellStyle name="Separador de milhares 2 53 5" xfId="24174"/>
    <cellStyle name="Separador de milhares 2 53 6" xfId="24175"/>
    <cellStyle name="Separador de milhares 2 53 7" xfId="24176"/>
    <cellStyle name="Separador de milhares 2 53 8" xfId="24177"/>
    <cellStyle name="Separador de milhares 2 53 9" xfId="24178"/>
    <cellStyle name="Separador de milhares 2 54" xfId="24179"/>
    <cellStyle name="Separador de milhares 2 54 10" xfId="24180"/>
    <cellStyle name="Separador de milhares 2 54 11" xfId="24181"/>
    <cellStyle name="Separador de milhares 2 54 12" xfId="24182"/>
    <cellStyle name="Separador de milhares 2 54 13" xfId="24183"/>
    <cellStyle name="Separador de milhares 2 54 14" xfId="24184"/>
    <cellStyle name="Separador de milhares 2 54 15" xfId="24185"/>
    <cellStyle name="Separador de milhares 2 54 16" xfId="24186"/>
    <cellStyle name="Separador de milhares 2 54 2" xfId="24187"/>
    <cellStyle name="Separador de milhares 2 54 3" xfId="24188"/>
    <cellStyle name="Separador de milhares 2 54 4" xfId="24189"/>
    <cellStyle name="Separador de milhares 2 54 5" xfId="24190"/>
    <cellStyle name="Separador de milhares 2 54 6" xfId="24191"/>
    <cellStyle name="Separador de milhares 2 54 7" xfId="24192"/>
    <cellStyle name="Separador de milhares 2 54 8" xfId="24193"/>
    <cellStyle name="Separador de milhares 2 54 9" xfId="24194"/>
    <cellStyle name="Separador de milhares 2 55" xfId="24195"/>
    <cellStyle name="Separador de milhares 2 55 10" xfId="24196"/>
    <cellStyle name="Separador de milhares 2 55 11" xfId="24197"/>
    <cellStyle name="Separador de milhares 2 55 12" xfId="24198"/>
    <cellStyle name="Separador de milhares 2 55 13" xfId="24199"/>
    <cellStyle name="Separador de milhares 2 55 14" xfId="24200"/>
    <cellStyle name="Separador de milhares 2 55 15" xfId="24201"/>
    <cellStyle name="Separador de milhares 2 55 16" xfId="24202"/>
    <cellStyle name="Separador de milhares 2 55 2" xfId="24203"/>
    <cellStyle name="Separador de milhares 2 55 3" xfId="24204"/>
    <cellStyle name="Separador de milhares 2 55 4" xfId="24205"/>
    <cellStyle name="Separador de milhares 2 55 5" xfId="24206"/>
    <cellStyle name="Separador de milhares 2 55 6" xfId="24207"/>
    <cellStyle name="Separador de milhares 2 55 7" xfId="24208"/>
    <cellStyle name="Separador de milhares 2 55 8" xfId="24209"/>
    <cellStyle name="Separador de milhares 2 55 9" xfId="24210"/>
    <cellStyle name="Separador de milhares 2 56" xfId="24211"/>
    <cellStyle name="Separador de milhares 2 56 10" xfId="24212"/>
    <cellStyle name="Separador de milhares 2 56 11" xfId="24213"/>
    <cellStyle name="Separador de milhares 2 56 12" xfId="24214"/>
    <cellStyle name="Separador de milhares 2 56 13" xfId="24215"/>
    <cellStyle name="Separador de milhares 2 56 14" xfId="24216"/>
    <cellStyle name="Separador de milhares 2 56 15" xfId="24217"/>
    <cellStyle name="Separador de milhares 2 56 16" xfId="24218"/>
    <cellStyle name="Separador de milhares 2 56 2" xfId="24219"/>
    <cellStyle name="Separador de milhares 2 56 3" xfId="24220"/>
    <cellStyle name="Separador de milhares 2 56 4" xfId="24221"/>
    <cellStyle name="Separador de milhares 2 56 5" xfId="24222"/>
    <cellStyle name="Separador de milhares 2 56 6" xfId="24223"/>
    <cellStyle name="Separador de milhares 2 56 7" xfId="24224"/>
    <cellStyle name="Separador de milhares 2 56 8" xfId="24225"/>
    <cellStyle name="Separador de milhares 2 56 9" xfId="24226"/>
    <cellStyle name="Separador de milhares 2 57" xfId="24227"/>
    <cellStyle name="Separador de milhares 2 57 10" xfId="24228"/>
    <cellStyle name="Separador de milhares 2 57 11" xfId="24229"/>
    <cellStyle name="Separador de milhares 2 57 12" xfId="24230"/>
    <cellStyle name="Separador de milhares 2 57 13" xfId="24231"/>
    <cellStyle name="Separador de milhares 2 57 14" xfId="24232"/>
    <cellStyle name="Separador de milhares 2 57 15" xfId="24233"/>
    <cellStyle name="Separador de milhares 2 57 16" xfId="24234"/>
    <cellStyle name="Separador de milhares 2 57 2" xfId="24235"/>
    <cellStyle name="Separador de milhares 2 57 3" xfId="24236"/>
    <cellStyle name="Separador de milhares 2 57 4" xfId="24237"/>
    <cellStyle name="Separador de milhares 2 57 5" xfId="24238"/>
    <cellStyle name="Separador de milhares 2 57 6" xfId="24239"/>
    <cellStyle name="Separador de milhares 2 57 7" xfId="24240"/>
    <cellStyle name="Separador de milhares 2 57 8" xfId="24241"/>
    <cellStyle name="Separador de milhares 2 57 9" xfId="24242"/>
    <cellStyle name="Separador de milhares 2 58" xfId="24243"/>
    <cellStyle name="Separador de milhares 2 58 10" xfId="24244"/>
    <cellStyle name="Separador de milhares 2 58 11" xfId="24245"/>
    <cellStyle name="Separador de milhares 2 58 12" xfId="24246"/>
    <cellStyle name="Separador de milhares 2 58 13" xfId="24247"/>
    <cellStyle name="Separador de milhares 2 58 14" xfId="24248"/>
    <cellStyle name="Separador de milhares 2 58 15" xfId="24249"/>
    <cellStyle name="Separador de milhares 2 58 16" xfId="24250"/>
    <cellStyle name="Separador de milhares 2 58 2" xfId="24251"/>
    <cellStyle name="Separador de milhares 2 58 3" xfId="24252"/>
    <cellStyle name="Separador de milhares 2 58 4" xfId="24253"/>
    <cellStyle name="Separador de milhares 2 58 5" xfId="24254"/>
    <cellStyle name="Separador de milhares 2 58 6" xfId="24255"/>
    <cellStyle name="Separador de milhares 2 58 7" xfId="24256"/>
    <cellStyle name="Separador de milhares 2 58 8" xfId="24257"/>
    <cellStyle name="Separador de milhares 2 58 9" xfId="24258"/>
    <cellStyle name="Separador de milhares 2 59" xfId="24259"/>
    <cellStyle name="Separador de milhares 2 59 10" xfId="24260"/>
    <cellStyle name="Separador de milhares 2 59 11" xfId="24261"/>
    <cellStyle name="Separador de milhares 2 59 12" xfId="24262"/>
    <cellStyle name="Separador de milhares 2 59 13" xfId="24263"/>
    <cellStyle name="Separador de milhares 2 59 14" xfId="24264"/>
    <cellStyle name="Separador de milhares 2 59 15" xfId="24265"/>
    <cellStyle name="Separador de milhares 2 59 16" xfId="24266"/>
    <cellStyle name="Separador de milhares 2 59 2" xfId="24267"/>
    <cellStyle name="Separador de milhares 2 59 3" xfId="24268"/>
    <cellStyle name="Separador de milhares 2 59 4" xfId="24269"/>
    <cellStyle name="Separador de milhares 2 59 5" xfId="24270"/>
    <cellStyle name="Separador de milhares 2 59 6" xfId="24271"/>
    <cellStyle name="Separador de milhares 2 59 7" xfId="24272"/>
    <cellStyle name="Separador de milhares 2 59 8" xfId="24273"/>
    <cellStyle name="Separador de milhares 2 59 9" xfId="24274"/>
    <cellStyle name="Separador de milhares 2 6" xfId="24275"/>
    <cellStyle name="Separador de milhares 2 6 10" xfId="24276"/>
    <cellStyle name="Separador de milhares 2 6 11" xfId="24277"/>
    <cellStyle name="Separador de milhares 2 6 12" xfId="24278"/>
    <cellStyle name="Separador de milhares 2 6 13" xfId="24279"/>
    <cellStyle name="Separador de milhares 2 6 14" xfId="24280"/>
    <cellStyle name="Separador de milhares 2 6 15" xfId="24281"/>
    <cellStyle name="Separador de milhares 2 6 16" xfId="24282"/>
    <cellStyle name="Separador de milhares 2 6 17" xfId="24283"/>
    <cellStyle name="Separador de milhares 2 6 18" xfId="24284"/>
    <cellStyle name="Separador de milhares 2 6 19" xfId="24285"/>
    <cellStyle name="Separador de milhares 2 6 2" xfId="24286"/>
    <cellStyle name="Separador de milhares 2 6 2 2" xfId="24287"/>
    <cellStyle name="Separador de milhares 2 6 2 3" xfId="24288"/>
    <cellStyle name="Separador de milhares 2 6 2 4" xfId="24289"/>
    <cellStyle name="Separador de milhares 2 6 2 5" xfId="24290"/>
    <cellStyle name="Separador de milhares 2 6 2 6" xfId="24291"/>
    <cellStyle name="Separador de milhares 2 6 2 7" xfId="24292"/>
    <cellStyle name="Separador de milhares 2 6 20" xfId="24293"/>
    <cellStyle name="Separador de milhares 2 6 21" xfId="24294"/>
    <cellStyle name="Separador de milhares 2 6 22" xfId="24295"/>
    <cellStyle name="Separador de milhares 2 6 23" xfId="24296"/>
    <cellStyle name="Separador de milhares 2 6 24" xfId="24297"/>
    <cellStyle name="Separador de milhares 2 6 25" xfId="24298"/>
    <cellStyle name="Separador de milhares 2 6 3" xfId="24299"/>
    <cellStyle name="Separador de milhares 2 6 4" xfId="24300"/>
    <cellStyle name="Separador de milhares 2 6 5" xfId="24301"/>
    <cellStyle name="Separador de milhares 2 6 6" xfId="24302"/>
    <cellStyle name="Separador de milhares 2 6 7" xfId="24303"/>
    <cellStyle name="Separador de milhares 2 6 8" xfId="24304"/>
    <cellStyle name="Separador de milhares 2 6 9" xfId="24305"/>
    <cellStyle name="Separador de milhares 2 60" xfId="24306"/>
    <cellStyle name="Separador de milhares 2 61" xfId="24307"/>
    <cellStyle name="Separador de milhares 2 62" xfId="24308"/>
    <cellStyle name="Separador de milhares 2 63" xfId="24309"/>
    <cellStyle name="Separador de milhares 2 64" xfId="24310"/>
    <cellStyle name="Separador de milhares 2 65" xfId="24311"/>
    <cellStyle name="Separador de milhares 2 66" xfId="24312"/>
    <cellStyle name="Separador de milhares 2 67" xfId="24313"/>
    <cellStyle name="Separador de milhares 2 68" xfId="24314"/>
    <cellStyle name="Separador de milhares 2 69" xfId="24315"/>
    <cellStyle name="Separador de milhares 2 7" xfId="24316"/>
    <cellStyle name="Separador de milhares 2 7 10" xfId="24317"/>
    <cellStyle name="Separador de milhares 2 7 11" xfId="24318"/>
    <cellStyle name="Separador de milhares 2 7 12" xfId="24319"/>
    <cellStyle name="Separador de milhares 2 7 13" xfId="24320"/>
    <cellStyle name="Separador de milhares 2 7 14" xfId="24321"/>
    <cellStyle name="Separador de milhares 2 7 15" xfId="24322"/>
    <cellStyle name="Separador de milhares 2 7 16" xfId="24323"/>
    <cellStyle name="Separador de milhares 2 7 17" xfId="24324"/>
    <cellStyle name="Separador de milhares 2 7 18" xfId="24325"/>
    <cellStyle name="Separador de milhares 2 7 19" xfId="24326"/>
    <cellStyle name="Separador de milhares 2 7 2" xfId="24327"/>
    <cellStyle name="Separador de milhares 2 7 2 2" xfId="24328"/>
    <cellStyle name="Separador de milhares 2 7 2 3" xfId="24329"/>
    <cellStyle name="Separador de milhares 2 7 2 4" xfId="24330"/>
    <cellStyle name="Separador de milhares 2 7 2 5" xfId="24331"/>
    <cellStyle name="Separador de milhares 2 7 2 6" xfId="24332"/>
    <cellStyle name="Separador de milhares 2 7 2 7" xfId="24333"/>
    <cellStyle name="Separador de milhares 2 7 20" xfId="24334"/>
    <cellStyle name="Separador de milhares 2 7 21" xfId="24335"/>
    <cellStyle name="Separador de milhares 2 7 22" xfId="24336"/>
    <cellStyle name="Separador de milhares 2 7 23" xfId="24337"/>
    <cellStyle name="Separador de milhares 2 7 24" xfId="24338"/>
    <cellStyle name="Separador de milhares 2 7 25" xfId="24339"/>
    <cellStyle name="Separador de milhares 2 7 3" xfId="24340"/>
    <cellStyle name="Separador de milhares 2 7 4" xfId="24341"/>
    <cellStyle name="Separador de milhares 2 7 5" xfId="24342"/>
    <cellStyle name="Separador de milhares 2 7 6" xfId="24343"/>
    <cellStyle name="Separador de milhares 2 7 7" xfId="24344"/>
    <cellStyle name="Separador de milhares 2 7 8" xfId="24345"/>
    <cellStyle name="Separador de milhares 2 7 9" xfId="24346"/>
    <cellStyle name="Separador de milhares 2 70" xfId="24347"/>
    <cellStyle name="Separador de milhares 2 71" xfId="24348"/>
    <cellStyle name="Separador de milhares 2 72" xfId="24349"/>
    <cellStyle name="Separador de milhares 2 73" xfId="24350"/>
    <cellStyle name="Separador de milhares 2 74" xfId="24351"/>
    <cellStyle name="Separador de milhares 2 74 10" xfId="24352"/>
    <cellStyle name="Separador de milhares 2 74 11" xfId="24353"/>
    <cellStyle name="Separador de milhares 2 74 12" xfId="24354"/>
    <cellStyle name="Separador de milhares 2 74 13" xfId="24355"/>
    <cellStyle name="Separador de milhares 2 74 14" xfId="24356"/>
    <cellStyle name="Separador de milhares 2 74 15" xfId="24357"/>
    <cellStyle name="Separador de milhares 2 74 16" xfId="24358"/>
    <cellStyle name="Separador de milhares 2 74 2" xfId="24359"/>
    <cellStyle name="Separador de milhares 2 74 3" xfId="24360"/>
    <cellStyle name="Separador de milhares 2 74 4" xfId="24361"/>
    <cellStyle name="Separador de milhares 2 74 5" xfId="24362"/>
    <cellStyle name="Separador de milhares 2 74 6" xfId="24363"/>
    <cellStyle name="Separador de milhares 2 74 7" xfId="24364"/>
    <cellStyle name="Separador de milhares 2 74 8" xfId="24365"/>
    <cellStyle name="Separador de milhares 2 74 9" xfId="24366"/>
    <cellStyle name="Separador de milhares 2 75" xfId="24367"/>
    <cellStyle name="Separador de milhares 2 75 10" xfId="24368"/>
    <cellStyle name="Separador de milhares 2 75 11" xfId="24369"/>
    <cellStyle name="Separador de milhares 2 75 12" xfId="24370"/>
    <cellStyle name="Separador de milhares 2 75 13" xfId="24371"/>
    <cellStyle name="Separador de milhares 2 75 14" xfId="24372"/>
    <cellStyle name="Separador de milhares 2 75 15" xfId="24373"/>
    <cellStyle name="Separador de milhares 2 75 16" xfId="24374"/>
    <cellStyle name="Separador de milhares 2 75 2" xfId="24375"/>
    <cellStyle name="Separador de milhares 2 75 3" xfId="24376"/>
    <cellStyle name="Separador de milhares 2 75 4" xfId="24377"/>
    <cellStyle name="Separador de milhares 2 75 5" xfId="24378"/>
    <cellStyle name="Separador de milhares 2 75 6" xfId="24379"/>
    <cellStyle name="Separador de milhares 2 75 7" xfId="24380"/>
    <cellStyle name="Separador de milhares 2 75 8" xfId="24381"/>
    <cellStyle name="Separador de milhares 2 75 9" xfId="24382"/>
    <cellStyle name="Separador de milhares 2 76" xfId="24383"/>
    <cellStyle name="Separador de milhares 2 76 10" xfId="24384"/>
    <cellStyle name="Separador de milhares 2 76 11" xfId="24385"/>
    <cellStyle name="Separador de milhares 2 76 12" xfId="24386"/>
    <cellStyle name="Separador de milhares 2 76 13" xfId="24387"/>
    <cellStyle name="Separador de milhares 2 76 14" xfId="24388"/>
    <cellStyle name="Separador de milhares 2 76 15" xfId="24389"/>
    <cellStyle name="Separador de milhares 2 76 16" xfId="24390"/>
    <cellStyle name="Separador de milhares 2 76 2" xfId="24391"/>
    <cellStyle name="Separador de milhares 2 76 3" xfId="24392"/>
    <cellStyle name="Separador de milhares 2 76 4" xfId="24393"/>
    <cellStyle name="Separador de milhares 2 76 5" xfId="24394"/>
    <cellStyle name="Separador de milhares 2 76 6" xfId="24395"/>
    <cellStyle name="Separador de milhares 2 76 7" xfId="24396"/>
    <cellStyle name="Separador de milhares 2 76 8" xfId="24397"/>
    <cellStyle name="Separador de milhares 2 76 9" xfId="24398"/>
    <cellStyle name="Separador de milhares 2 77" xfId="24399"/>
    <cellStyle name="Separador de milhares 2 77 10" xfId="24400"/>
    <cellStyle name="Separador de milhares 2 77 11" xfId="24401"/>
    <cellStyle name="Separador de milhares 2 77 12" xfId="24402"/>
    <cellStyle name="Separador de milhares 2 77 13" xfId="24403"/>
    <cellStyle name="Separador de milhares 2 77 14" xfId="24404"/>
    <cellStyle name="Separador de milhares 2 77 15" xfId="24405"/>
    <cellStyle name="Separador de milhares 2 77 16" xfId="24406"/>
    <cellStyle name="Separador de milhares 2 77 2" xfId="24407"/>
    <cellStyle name="Separador de milhares 2 77 3" xfId="24408"/>
    <cellStyle name="Separador de milhares 2 77 4" xfId="24409"/>
    <cellStyle name="Separador de milhares 2 77 5" xfId="24410"/>
    <cellStyle name="Separador de milhares 2 77 6" xfId="24411"/>
    <cellStyle name="Separador de milhares 2 77 7" xfId="24412"/>
    <cellStyle name="Separador de milhares 2 77 8" xfId="24413"/>
    <cellStyle name="Separador de milhares 2 77 9" xfId="24414"/>
    <cellStyle name="Separador de milhares 2 78" xfId="24415"/>
    <cellStyle name="Separador de milhares 2 79" xfId="24416"/>
    <cellStyle name="Separador de milhares 2 8" xfId="24417"/>
    <cellStyle name="Separador de milhares 2 8 10" xfId="24418"/>
    <cellStyle name="Separador de milhares 2 8 11" xfId="24419"/>
    <cellStyle name="Separador de milhares 2 8 2" xfId="24420"/>
    <cellStyle name="Separador de milhares 2 8 2 2" xfId="24421"/>
    <cellStyle name="Separador de milhares 2 8 2 3" xfId="24422"/>
    <cellStyle name="Separador de milhares 2 8 2 4" xfId="24423"/>
    <cellStyle name="Separador de milhares 2 8 2 5" xfId="24424"/>
    <cellStyle name="Separador de milhares 2 8 2 6" xfId="24425"/>
    <cellStyle name="Separador de milhares 2 8 2 7" xfId="24426"/>
    <cellStyle name="Separador de milhares 2 8 3" xfId="24427"/>
    <cellStyle name="Separador de milhares 2 8 4" xfId="24428"/>
    <cellStyle name="Separador de milhares 2 8 5" xfId="24429"/>
    <cellStyle name="Separador de milhares 2 8 6" xfId="24430"/>
    <cellStyle name="Separador de milhares 2 8 7" xfId="24431"/>
    <cellStyle name="Separador de milhares 2 8 8" xfId="24432"/>
    <cellStyle name="Separador de milhares 2 8 9" xfId="24433"/>
    <cellStyle name="Separador de milhares 2 80" xfId="24434"/>
    <cellStyle name="Separador de milhares 2 81" xfId="24435"/>
    <cellStyle name="Separador de milhares 2 82" xfId="24436"/>
    <cellStyle name="Separador de milhares 2 83" xfId="24437"/>
    <cellStyle name="Separador de milhares 2 84" xfId="24438"/>
    <cellStyle name="Separador de milhares 2 85" xfId="24439"/>
    <cellStyle name="Separador de milhares 2 86" xfId="24440"/>
    <cellStyle name="Separador de milhares 2 87" xfId="24441"/>
    <cellStyle name="Separador de milhares 2 88" xfId="24442"/>
    <cellStyle name="Separador de milhares 2 89" xfId="24443"/>
    <cellStyle name="Separador de milhares 2 9" xfId="24444"/>
    <cellStyle name="Separador de milhares 2 9 10" xfId="24445"/>
    <cellStyle name="Separador de milhares 2 9 11" xfId="24446"/>
    <cellStyle name="Separador de milhares 2 9 2" xfId="24447"/>
    <cellStyle name="Separador de milhares 2 9 2 2" xfId="24448"/>
    <cellStyle name="Separador de milhares 2 9 2 3" xfId="24449"/>
    <cellStyle name="Separador de milhares 2 9 2 4" xfId="24450"/>
    <cellStyle name="Separador de milhares 2 9 2 5" xfId="24451"/>
    <cellStyle name="Separador de milhares 2 9 2 6" xfId="24452"/>
    <cellStyle name="Separador de milhares 2 9 2 7" xfId="24453"/>
    <cellStyle name="Separador de milhares 2 9 3" xfId="24454"/>
    <cellStyle name="Separador de milhares 2 9 4" xfId="24455"/>
    <cellStyle name="Separador de milhares 2 9 5" xfId="24456"/>
    <cellStyle name="Separador de milhares 2 9 6" xfId="24457"/>
    <cellStyle name="Separador de milhares 2 9 7" xfId="24458"/>
    <cellStyle name="Separador de milhares 2 9 8" xfId="24459"/>
    <cellStyle name="Separador de milhares 2 9 9" xfId="24460"/>
    <cellStyle name="Separador de milhares 2 90" xfId="24461"/>
    <cellStyle name="Separador de milhares 2 91" xfId="24462"/>
    <cellStyle name="Separador de milhares 2 92" xfId="24463"/>
    <cellStyle name="Separador de milhares 2 93" xfId="24464"/>
    <cellStyle name="Separador de milhares 2 94" xfId="24465"/>
    <cellStyle name="Separador de milhares 2 95" xfId="24466"/>
    <cellStyle name="Separador de milhares 2 96" xfId="24467"/>
    <cellStyle name="Separador de milhares 2 97" xfId="24468"/>
    <cellStyle name="Separador de milhares 2 97 2" xfId="24469"/>
    <cellStyle name="Separador de milhares 2 98" xfId="24470"/>
    <cellStyle name="Separador de milhares 2 98 2" xfId="24471"/>
    <cellStyle name="Separador de milhares 2 99" xfId="24472"/>
    <cellStyle name="Separador de milhares 2 99 2" xfId="24473"/>
    <cellStyle name="Separador de milhares 20" xfId="24474"/>
    <cellStyle name="Separador de milhares 21" xfId="24475"/>
    <cellStyle name="Separador de milhares 22" xfId="24476"/>
    <cellStyle name="Separador de milhares 23" xfId="29322"/>
    <cellStyle name="Separador de milhares 24" xfId="24477"/>
    <cellStyle name="Separador de milhares 25" xfId="24478"/>
    <cellStyle name="Separador de milhares 26" xfId="24479"/>
    <cellStyle name="Separador de milhares 27" xfId="24480"/>
    <cellStyle name="Separador de milhares 28" xfId="29374"/>
    <cellStyle name="Separador de milhares 3" xfId="24481"/>
    <cellStyle name="Separador de milhares 3 10" xfId="24482"/>
    <cellStyle name="Separador de milhares 3 10 2" xfId="24483"/>
    <cellStyle name="Separador de milhares 3 11" xfId="24484"/>
    <cellStyle name="Separador de milhares 3 11 2" xfId="24485"/>
    <cellStyle name="Separador de milhares 3 12" xfId="24486"/>
    <cellStyle name="Separador de milhares 3 12 2" xfId="24487"/>
    <cellStyle name="Separador de milhares 3 13" xfId="24488"/>
    <cellStyle name="Separador de milhares 3 13 2" xfId="24489"/>
    <cellStyle name="Separador de milhares 3 14" xfId="24490"/>
    <cellStyle name="Separador de milhares 3 14 2" xfId="24491"/>
    <cellStyle name="Separador de milhares 3 15" xfId="24492"/>
    <cellStyle name="Separador de milhares 3 15 2" xfId="24493"/>
    <cellStyle name="Separador de milhares 3 16" xfId="24494"/>
    <cellStyle name="Separador de milhares 3 16 2" xfId="24495"/>
    <cellStyle name="Separador de milhares 3 17" xfId="24496"/>
    <cellStyle name="Separador de milhares 3 18" xfId="24497"/>
    <cellStyle name="Separador de milhares 3 19" xfId="24498"/>
    <cellStyle name="Separador de milhares 3 2" xfId="24499"/>
    <cellStyle name="Separador de milhares 3 2 2" xfId="24500"/>
    <cellStyle name="Separador de milhares 3 2 3" xfId="24501"/>
    <cellStyle name="Separador de milhares 3 20" xfId="24502"/>
    <cellStyle name="Separador de milhares 3 21" xfId="24503"/>
    <cellStyle name="Separador de milhares 3 21 2" xfId="24504"/>
    <cellStyle name="Separador de milhares 3 22" xfId="24505"/>
    <cellStyle name="Separador de milhares 3 22 2" xfId="24506"/>
    <cellStyle name="Separador de milhares 3 23" xfId="24507"/>
    <cellStyle name="Separador de milhares 3 23 2" xfId="24508"/>
    <cellStyle name="Separador de milhares 3 24" xfId="24509"/>
    <cellStyle name="Separador de milhares 3 24 2" xfId="24510"/>
    <cellStyle name="Separador de milhares 3 25" xfId="24511"/>
    <cellStyle name="Separador de milhares 3 26" xfId="24512"/>
    <cellStyle name="Separador de milhares 3 27" xfId="24513"/>
    <cellStyle name="Separador de milhares 3 28" xfId="24514"/>
    <cellStyle name="Separador de milhares 3 29" xfId="24515"/>
    <cellStyle name="Separador de milhares 3 3" xfId="24516"/>
    <cellStyle name="Separador de milhares 3 3 2" xfId="24517"/>
    <cellStyle name="Separador de milhares 3 3 3" xfId="24518"/>
    <cellStyle name="Separador de milhares 3 3 4" xfId="24519"/>
    <cellStyle name="Separador de milhares 3 3 5" xfId="24520"/>
    <cellStyle name="Separador de milhares 3 3 6" xfId="24521"/>
    <cellStyle name="Separador de milhares 3 3 7" xfId="24522"/>
    <cellStyle name="Separador de milhares 3 30" xfId="24523"/>
    <cellStyle name="Separador de milhares 3 31" xfId="24524"/>
    <cellStyle name="Separador de milhares 3 32" xfId="24525"/>
    <cellStyle name="Separador de milhares 3 33" xfId="24526"/>
    <cellStyle name="Separador de milhares 3 34" xfId="24527"/>
    <cellStyle name="Separador de milhares 3 35" xfId="24528"/>
    <cellStyle name="Separador de milhares 3 36" xfId="24529"/>
    <cellStyle name="Separador de milhares 3 37" xfId="24530"/>
    <cellStyle name="Separador de milhares 3 4" xfId="24531"/>
    <cellStyle name="Separador de milhares 3 5" xfId="24532"/>
    <cellStyle name="Separador de milhares 3 6" xfId="24533"/>
    <cellStyle name="Separador de milhares 3 6 10" xfId="24534"/>
    <cellStyle name="Separador de milhares 3 6 10 2" xfId="24535"/>
    <cellStyle name="Separador de milhares 3 6 10 2 2" xfId="39090"/>
    <cellStyle name="Separador de milhares 3 6 10 3" xfId="24536"/>
    <cellStyle name="Separador de milhares 3 6 10 3 2" xfId="39091"/>
    <cellStyle name="Separador de milhares 3 6 10 4" xfId="24537"/>
    <cellStyle name="Separador de milhares 3 6 10 4 2" xfId="39092"/>
    <cellStyle name="Separador de milhares 3 6 10 5" xfId="24538"/>
    <cellStyle name="Separador de milhares 3 6 10 5 2" xfId="39093"/>
    <cellStyle name="Separador de milhares 3 6 10 6" xfId="39089"/>
    <cellStyle name="Separador de milhares 3 6 11" xfId="24539"/>
    <cellStyle name="Separador de milhares 3 6 11 2" xfId="24540"/>
    <cellStyle name="Separador de milhares 3 6 11 2 2" xfId="39095"/>
    <cellStyle name="Separador de milhares 3 6 11 3" xfId="24541"/>
    <cellStyle name="Separador de milhares 3 6 11 3 2" xfId="39096"/>
    <cellStyle name="Separador de milhares 3 6 11 4" xfId="24542"/>
    <cellStyle name="Separador de milhares 3 6 11 4 2" xfId="39097"/>
    <cellStyle name="Separador de milhares 3 6 11 5" xfId="24543"/>
    <cellStyle name="Separador de milhares 3 6 11 5 2" xfId="39098"/>
    <cellStyle name="Separador de milhares 3 6 11 6" xfId="39094"/>
    <cellStyle name="Separador de milhares 3 6 12" xfId="24544"/>
    <cellStyle name="Separador de milhares 3 6 12 2" xfId="24545"/>
    <cellStyle name="Separador de milhares 3 6 12 2 2" xfId="39100"/>
    <cellStyle name="Separador de milhares 3 6 12 3" xfId="24546"/>
    <cellStyle name="Separador de milhares 3 6 12 3 2" xfId="39101"/>
    <cellStyle name="Separador de milhares 3 6 12 4" xfId="24547"/>
    <cellStyle name="Separador de milhares 3 6 12 4 2" xfId="39102"/>
    <cellStyle name="Separador de milhares 3 6 12 5" xfId="24548"/>
    <cellStyle name="Separador de milhares 3 6 12 5 2" xfId="39103"/>
    <cellStyle name="Separador de milhares 3 6 12 6" xfId="39099"/>
    <cellStyle name="Separador de milhares 3 6 13" xfId="24549"/>
    <cellStyle name="Separador de milhares 3 6 13 2" xfId="24550"/>
    <cellStyle name="Separador de milhares 3 6 13 2 2" xfId="39105"/>
    <cellStyle name="Separador de milhares 3 6 13 3" xfId="24551"/>
    <cellStyle name="Separador de milhares 3 6 13 3 2" xfId="39106"/>
    <cellStyle name="Separador de milhares 3 6 13 4" xfId="24552"/>
    <cellStyle name="Separador de milhares 3 6 13 4 2" xfId="39107"/>
    <cellStyle name="Separador de milhares 3 6 13 5" xfId="24553"/>
    <cellStyle name="Separador de milhares 3 6 13 5 2" xfId="39108"/>
    <cellStyle name="Separador de milhares 3 6 13 6" xfId="39104"/>
    <cellStyle name="Separador de milhares 3 6 14" xfId="24554"/>
    <cellStyle name="Separador de milhares 3 6 14 2" xfId="24555"/>
    <cellStyle name="Separador de milhares 3 6 14 2 2" xfId="39110"/>
    <cellStyle name="Separador de milhares 3 6 14 3" xfId="24556"/>
    <cellStyle name="Separador de milhares 3 6 14 3 2" xfId="39111"/>
    <cellStyle name="Separador de milhares 3 6 14 4" xfId="24557"/>
    <cellStyle name="Separador de milhares 3 6 14 4 2" xfId="39112"/>
    <cellStyle name="Separador de milhares 3 6 14 5" xfId="24558"/>
    <cellStyle name="Separador de milhares 3 6 14 5 2" xfId="39113"/>
    <cellStyle name="Separador de milhares 3 6 14 6" xfId="39109"/>
    <cellStyle name="Separador de milhares 3 6 15" xfId="24559"/>
    <cellStyle name="Separador de milhares 3 6 15 2" xfId="24560"/>
    <cellStyle name="Separador de milhares 3 6 15 2 2" xfId="39115"/>
    <cellStyle name="Separador de milhares 3 6 15 3" xfId="24561"/>
    <cellStyle name="Separador de milhares 3 6 15 3 2" xfId="39116"/>
    <cellStyle name="Separador de milhares 3 6 15 4" xfId="24562"/>
    <cellStyle name="Separador de milhares 3 6 15 4 2" xfId="39117"/>
    <cellStyle name="Separador de milhares 3 6 15 5" xfId="24563"/>
    <cellStyle name="Separador de milhares 3 6 15 5 2" xfId="39118"/>
    <cellStyle name="Separador de milhares 3 6 15 6" xfId="39114"/>
    <cellStyle name="Separador de milhares 3 6 16" xfId="24564"/>
    <cellStyle name="Separador de milhares 3 6 16 2" xfId="24565"/>
    <cellStyle name="Separador de milhares 3 6 16 2 2" xfId="39120"/>
    <cellStyle name="Separador de milhares 3 6 16 3" xfId="24566"/>
    <cellStyle name="Separador de milhares 3 6 16 3 2" xfId="39121"/>
    <cellStyle name="Separador de milhares 3 6 16 4" xfId="24567"/>
    <cellStyle name="Separador de milhares 3 6 16 4 2" xfId="39122"/>
    <cellStyle name="Separador de milhares 3 6 16 5" xfId="24568"/>
    <cellStyle name="Separador de milhares 3 6 16 5 2" xfId="39123"/>
    <cellStyle name="Separador de milhares 3 6 16 6" xfId="39119"/>
    <cellStyle name="Separador de milhares 3 6 17" xfId="24569"/>
    <cellStyle name="Separador de milhares 3 6 17 2" xfId="39124"/>
    <cellStyle name="Separador de milhares 3 6 18" xfId="24570"/>
    <cellStyle name="Separador de milhares 3 6 18 2" xfId="39125"/>
    <cellStyle name="Separador de milhares 3 6 19" xfId="24571"/>
    <cellStyle name="Separador de milhares 3 6 19 2" xfId="39126"/>
    <cellStyle name="Separador de milhares 3 6 2" xfId="24572"/>
    <cellStyle name="Separador de milhares 3 6 2 10" xfId="24573"/>
    <cellStyle name="Separador de milhares 3 6 2 10 2" xfId="39128"/>
    <cellStyle name="Separador de milhares 3 6 2 11" xfId="24574"/>
    <cellStyle name="Separador de milhares 3 6 2 11 2" xfId="39129"/>
    <cellStyle name="Separador de milhares 3 6 2 12" xfId="39127"/>
    <cellStyle name="Separador de milhares 3 6 2 2" xfId="24575"/>
    <cellStyle name="Separador de milhares 3 6 2 2 2" xfId="24576"/>
    <cellStyle name="Separador de milhares 3 6 2 2 2 2" xfId="39131"/>
    <cellStyle name="Separador de milhares 3 6 2 2 3" xfId="24577"/>
    <cellStyle name="Separador de milhares 3 6 2 2 3 2" xfId="39132"/>
    <cellStyle name="Separador de milhares 3 6 2 2 4" xfId="24578"/>
    <cellStyle name="Separador de milhares 3 6 2 2 4 2" xfId="39133"/>
    <cellStyle name="Separador de milhares 3 6 2 2 5" xfId="24579"/>
    <cellStyle name="Separador de milhares 3 6 2 2 5 2" xfId="39134"/>
    <cellStyle name="Separador de milhares 3 6 2 2 6" xfId="39130"/>
    <cellStyle name="Separador de milhares 3 6 2 3" xfId="24580"/>
    <cellStyle name="Separador de milhares 3 6 2 3 2" xfId="24581"/>
    <cellStyle name="Separador de milhares 3 6 2 3 2 2" xfId="39136"/>
    <cellStyle name="Separador de milhares 3 6 2 3 3" xfId="24582"/>
    <cellStyle name="Separador de milhares 3 6 2 3 3 2" xfId="39137"/>
    <cellStyle name="Separador de milhares 3 6 2 3 4" xfId="24583"/>
    <cellStyle name="Separador de milhares 3 6 2 3 4 2" xfId="39138"/>
    <cellStyle name="Separador de milhares 3 6 2 3 5" xfId="24584"/>
    <cellStyle name="Separador de milhares 3 6 2 3 5 2" xfId="39139"/>
    <cellStyle name="Separador de milhares 3 6 2 3 6" xfId="39135"/>
    <cellStyle name="Separador de milhares 3 6 2 4" xfId="24585"/>
    <cellStyle name="Separador de milhares 3 6 2 4 2" xfId="24586"/>
    <cellStyle name="Separador de milhares 3 6 2 4 2 2" xfId="39141"/>
    <cellStyle name="Separador de milhares 3 6 2 4 3" xfId="24587"/>
    <cellStyle name="Separador de milhares 3 6 2 4 3 2" xfId="39142"/>
    <cellStyle name="Separador de milhares 3 6 2 4 4" xfId="24588"/>
    <cellStyle name="Separador de milhares 3 6 2 4 4 2" xfId="39143"/>
    <cellStyle name="Separador de milhares 3 6 2 4 5" xfId="24589"/>
    <cellStyle name="Separador de milhares 3 6 2 4 5 2" xfId="39144"/>
    <cellStyle name="Separador de milhares 3 6 2 4 6" xfId="39140"/>
    <cellStyle name="Separador de milhares 3 6 2 5" xfId="24590"/>
    <cellStyle name="Separador de milhares 3 6 2 5 2" xfId="24591"/>
    <cellStyle name="Separador de milhares 3 6 2 5 2 2" xfId="39146"/>
    <cellStyle name="Separador de milhares 3 6 2 5 3" xfId="24592"/>
    <cellStyle name="Separador de milhares 3 6 2 5 3 2" xfId="39147"/>
    <cellStyle name="Separador de milhares 3 6 2 5 4" xfId="24593"/>
    <cellStyle name="Separador de milhares 3 6 2 5 4 2" xfId="39148"/>
    <cellStyle name="Separador de milhares 3 6 2 5 5" xfId="24594"/>
    <cellStyle name="Separador de milhares 3 6 2 5 5 2" xfId="39149"/>
    <cellStyle name="Separador de milhares 3 6 2 5 6" xfId="39145"/>
    <cellStyle name="Separador de milhares 3 6 2 6" xfId="24595"/>
    <cellStyle name="Separador de milhares 3 6 2 6 2" xfId="24596"/>
    <cellStyle name="Separador de milhares 3 6 2 6 2 2" xfId="39151"/>
    <cellStyle name="Separador de milhares 3 6 2 6 3" xfId="24597"/>
    <cellStyle name="Separador de milhares 3 6 2 6 3 2" xfId="39152"/>
    <cellStyle name="Separador de milhares 3 6 2 6 4" xfId="24598"/>
    <cellStyle name="Separador de milhares 3 6 2 6 4 2" xfId="39153"/>
    <cellStyle name="Separador de milhares 3 6 2 6 5" xfId="24599"/>
    <cellStyle name="Separador de milhares 3 6 2 6 5 2" xfId="39154"/>
    <cellStyle name="Separador de milhares 3 6 2 6 6" xfId="39150"/>
    <cellStyle name="Separador de milhares 3 6 2 7" xfId="24600"/>
    <cellStyle name="Separador de milhares 3 6 2 7 2" xfId="24601"/>
    <cellStyle name="Separador de milhares 3 6 2 7 2 2" xfId="39156"/>
    <cellStyle name="Separador de milhares 3 6 2 7 3" xfId="24602"/>
    <cellStyle name="Separador de milhares 3 6 2 7 3 2" xfId="39157"/>
    <cellStyle name="Separador de milhares 3 6 2 7 4" xfId="24603"/>
    <cellStyle name="Separador de milhares 3 6 2 7 4 2" xfId="39158"/>
    <cellStyle name="Separador de milhares 3 6 2 7 5" xfId="24604"/>
    <cellStyle name="Separador de milhares 3 6 2 7 5 2" xfId="39159"/>
    <cellStyle name="Separador de milhares 3 6 2 7 6" xfId="39155"/>
    <cellStyle name="Separador de milhares 3 6 2 8" xfId="24605"/>
    <cellStyle name="Separador de milhares 3 6 2 8 2" xfId="39160"/>
    <cellStyle name="Separador de milhares 3 6 2 9" xfId="24606"/>
    <cellStyle name="Separador de milhares 3 6 2 9 2" xfId="39161"/>
    <cellStyle name="Separador de milhares 3 6 20" xfId="24607"/>
    <cellStyle name="Separador de milhares 3 6 20 2" xfId="39162"/>
    <cellStyle name="Separador de milhares 3 6 21" xfId="41016"/>
    <cellStyle name="Separador de milhares 3 6 22" xfId="39088"/>
    <cellStyle name="Separador de milhares 3 6 3" xfId="24608"/>
    <cellStyle name="Separador de milhares 3 6 3 2" xfId="24609"/>
    <cellStyle name="Separador de milhares 3 6 3 2 2" xfId="24610"/>
    <cellStyle name="Separador de milhares 3 6 3 2 2 2" xfId="39165"/>
    <cellStyle name="Separador de milhares 3 6 3 2 3" xfId="24611"/>
    <cellStyle name="Separador de milhares 3 6 3 2 3 2" xfId="39166"/>
    <cellStyle name="Separador de milhares 3 6 3 2 4" xfId="24612"/>
    <cellStyle name="Separador de milhares 3 6 3 2 4 2" xfId="39167"/>
    <cellStyle name="Separador de milhares 3 6 3 2 5" xfId="24613"/>
    <cellStyle name="Separador de milhares 3 6 3 2 5 2" xfId="39168"/>
    <cellStyle name="Separador de milhares 3 6 3 2 6" xfId="39164"/>
    <cellStyle name="Separador de milhares 3 6 3 3" xfId="24614"/>
    <cellStyle name="Separador de milhares 3 6 3 3 2" xfId="39169"/>
    <cellStyle name="Separador de milhares 3 6 3 4" xfId="24615"/>
    <cellStyle name="Separador de milhares 3 6 3 4 2" xfId="39170"/>
    <cellStyle name="Separador de milhares 3 6 3 5" xfId="24616"/>
    <cellStyle name="Separador de milhares 3 6 3 5 2" xfId="39171"/>
    <cellStyle name="Separador de milhares 3 6 3 6" xfId="24617"/>
    <cellStyle name="Separador de milhares 3 6 3 6 2" xfId="39172"/>
    <cellStyle name="Separador de milhares 3 6 3 7" xfId="39163"/>
    <cellStyle name="Separador de milhares 3 6 4" xfId="24618"/>
    <cellStyle name="Separador de milhares 3 6 4 2" xfId="24619"/>
    <cellStyle name="Separador de milhares 3 6 4 2 2" xfId="24620"/>
    <cellStyle name="Separador de milhares 3 6 4 2 2 2" xfId="39175"/>
    <cellStyle name="Separador de milhares 3 6 4 2 3" xfId="24621"/>
    <cellStyle name="Separador de milhares 3 6 4 2 3 2" xfId="39176"/>
    <cellStyle name="Separador de milhares 3 6 4 2 4" xfId="24622"/>
    <cellStyle name="Separador de milhares 3 6 4 2 4 2" xfId="39177"/>
    <cellStyle name="Separador de milhares 3 6 4 2 5" xfId="24623"/>
    <cellStyle name="Separador de milhares 3 6 4 2 5 2" xfId="39178"/>
    <cellStyle name="Separador de milhares 3 6 4 2 6" xfId="39174"/>
    <cellStyle name="Separador de milhares 3 6 4 3" xfId="24624"/>
    <cellStyle name="Separador de milhares 3 6 4 3 2" xfId="39179"/>
    <cellStyle name="Separador de milhares 3 6 4 4" xfId="24625"/>
    <cellStyle name="Separador de milhares 3 6 4 4 2" xfId="39180"/>
    <cellStyle name="Separador de milhares 3 6 4 5" xfId="24626"/>
    <cellStyle name="Separador de milhares 3 6 4 5 2" xfId="39181"/>
    <cellStyle name="Separador de milhares 3 6 4 6" xfId="24627"/>
    <cellStyle name="Separador de milhares 3 6 4 6 2" xfId="39182"/>
    <cellStyle name="Separador de milhares 3 6 4 7" xfId="39173"/>
    <cellStyle name="Separador de milhares 3 6 5" xfId="24628"/>
    <cellStyle name="Separador de milhares 3 6 5 2" xfId="24629"/>
    <cellStyle name="Separador de milhares 3 6 5 2 2" xfId="39184"/>
    <cellStyle name="Separador de milhares 3 6 5 3" xfId="24630"/>
    <cellStyle name="Separador de milhares 3 6 5 3 2" xfId="39185"/>
    <cellStyle name="Separador de milhares 3 6 5 4" xfId="24631"/>
    <cellStyle name="Separador de milhares 3 6 5 4 2" xfId="39186"/>
    <cellStyle name="Separador de milhares 3 6 5 5" xfId="24632"/>
    <cellStyle name="Separador de milhares 3 6 5 5 2" xfId="39187"/>
    <cellStyle name="Separador de milhares 3 6 5 6" xfId="39183"/>
    <cellStyle name="Separador de milhares 3 6 6" xfId="24633"/>
    <cellStyle name="Separador de milhares 3 6 6 2" xfId="24634"/>
    <cellStyle name="Separador de milhares 3 6 6 2 2" xfId="39189"/>
    <cellStyle name="Separador de milhares 3 6 6 3" xfId="24635"/>
    <cellStyle name="Separador de milhares 3 6 6 3 2" xfId="39190"/>
    <cellStyle name="Separador de milhares 3 6 6 4" xfId="24636"/>
    <cellStyle name="Separador de milhares 3 6 6 4 2" xfId="39191"/>
    <cellStyle name="Separador de milhares 3 6 6 5" xfId="24637"/>
    <cellStyle name="Separador de milhares 3 6 6 5 2" xfId="39192"/>
    <cellStyle name="Separador de milhares 3 6 6 6" xfId="39188"/>
    <cellStyle name="Separador de milhares 3 6 7" xfId="24638"/>
    <cellStyle name="Separador de milhares 3 6 7 2" xfId="24639"/>
    <cellStyle name="Separador de milhares 3 6 7 2 2" xfId="39194"/>
    <cellStyle name="Separador de milhares 3 6 7 3" xfId="24640"/>
    <cellStyle name="Separador de milhares 3 6 7 3 2" xfId="39195"/>
    <cellStyle name="Separador de milhares 3 6 7 4" xfId="24641"/>
    <cellStyle name="Separador de milhares 3 6 7 4 2" xfId="39196"/>
    <cellStyle name="Separador de milhares 3 6 7 5" xfId="24642"/>
    <cellStyle name="Separador de milhares 3 6 7 5 2" xfId="39197"/>
    <cellStyle name="Separador de milhares 3 6 7 6" xfId="39193"/>
    <cellStyle name="Separador de milhares 3 6 8" xfId="24643"/>
    <cellStyle name="Separador de milhares 3 6 8 2" xfId="24644"/>
    <cellStyle name="Separador de milhares 3 6 8 2 2" xfId="39199"/>
    <cellStyle name="Separador de milhares 3 6 8 3" xfId="24645"/>
    <cellStyle name="Separador de milhares 3 6 8 3 2" xfId="39200"/>
    <cellStyle name="Separador de milhares 3 6 8 4" xfId="24646"/>
    <cellStyle name="Separador de milhares 3 6 8 4 2" xfId="39201"/>
    <cellStyle name="Separador de milhares 3 6 8 5" xfId="24647"/>
    <cellStyle name="Separador de milhares 3 6 8 5 2" xfId="39202"/>
    <cellStyle name="Separador de milhares 3 6 8 6" xfId="39198"/>
    <cellStyle name="Separador de milhares 3 6 9" xfId="24648"/>
    <cellStyle name="Separador de milhares 3 6 9 2" xfId="24649"/>
    <cellStyle name="Separador de milhares 3 6 9 2 2" xfId="39204"/>
    <cellStyle name="Separador de milhares 3 6 9 3" xfId="24650"/>
    <cellStyle name="Separador de milhares 3 6 9 3 2" xfId="39205"/>
    <cellStyle name="Separador de milhares 3 6 9 4" xfId="24651"/>
    <cellStyle name="Separador de milhares 3 6 9 4 2" xfId="39206"/>
    <cellStyle name="Separador de milhares 3 6 9 5" xfId="24652"/>
    <cellStyle name="Separador de milhares 3 6 9 5 2" xfId="39207"/>
    <cellStyle name="Separador de milhares 3 6 9 6" xfId="39203"/>
    <cellStyle name="Separador de milhares 3 7" xfId="24653"/>
    <cellStyle name="Separador de milhares 3 7 10" xfId="24654"/>
    <cellStyle name="Separador de milhares 3 7 10 2" xfId="24655"/>
    <cellStyle name="Separador de milhares 3 7 10 2 2" xfId="39210"/>
    <cellStyle name="Separador de milhares 3 7 10 3" xfId="24656"/>
    <cellStyle name="Separador de milhares 3 7 10 3 2" xfId="39211"/>
    <cellStyle name="Separador de milhares 3 7 10 4" xfId="24657"/>
    <cellStyle name="Separador de milhares 3 7 10 4 2" xfId="39212"/>
    <cellStyle name="Separador de milhares 3 7 10 5" xfId="24658"/>
    <cellStyle name="Separador de milhares 3 7 10 5 2" xfId="39213"/>
    <cellStyle name="Separador de milhares 3 7 10 6" xfId="39209"/>
    <cellStyle name="Separador de milhares 3 7 11" xfId="24659"/>
    <cellStyle name="Separador de milhares 3 7 11 2" xfId="24660"/>
    <cellStyle name="Separador de milhares 3 7 11 2 2" xfId="39215"/>
    <cellStyle name="Separador de milhares 3 7 11 3" xfId="24661"/>
    <cellStyle name="Separador de milhares 3 7 11 3 2" xfId="39216"/>
    <cellStyle name="Separador de milhares 3 7 11 4" xfId="24662"/>
    <cellStyle name="Separador de milhares 3 7 11 4 2" xfId="39217"/>
    <cellStyle name="Separador de milhares 3 7 11 5" xfId="24663"/>
    <cellStyle name="Separador de milhares 3 7 11 5 2" xfId="39218"/>
    <cellStyle name="Separador de milhares 3 7 11 6" xfId="39214"/>
    <cellStyle name="Separador de milhares 3 7 12" xfId="24664"/>
    <cellStyle name="Separador de milhares 3 7 12 2" xfId="24665"/>
    <cellStyle name="Separador de milhares 3 7 12 2 2" xfId="39220"/>
    <cellStyle name="Separador de milhares 3 7 12 3" xfId="24666"/>
    <cellStyle name="Separador de milhares 3 7 12 3 2" xfId="39221"/>
    <cellStyle name="Separador de milhares 3 7 12 4" xfId="24667"/>
    <cellStyle name="Separador de milhares 3 7 12 4 2" xfId="39222"/>
    <cellStyle name="Separador de milhares 3 7 12 5" xfId="24668"/>
    <cellStyle name="Separador de milhares 3 7 12 5 2" xfId="39223"/>
    <cellStyle name="Separador de milhares 3 7 12 6" xfId="39219"/>
    <cellStyle name="Separador de milhares 3 7 13" xfId="24669"/>
    <cellStyle name="Separador de milhares 3 7 13 2" xfId="24670"/>
    <cellStyle name="Separador de milhares 3 7 13 2 2" xfId="39225"/>
    <cellStyle name="Separador de milhares 3 7 13 3" xfId="24671"/>
    <cellStyle name="Separador de milhares 3 7 13 3 2" xfId="39226"/>
    <cellStyle name="Separador de milhares 3 7 13 4" xfId="24672"/>
    <cellStyle name="Separador de milhares 3 7 13 4 2" xfId="39227"/>
    <cellStyle name="Separador de milhares 3 7 13 5" xfId="24673"/>
    <cellStyle name="Separador de milhares 3 7 13 5 2" xfId="39228"/>
    <cellStyle name="Separador de milhares 3 7 13 6" xfId="39224"/>
    <cellStyle name="Separador de milhares 3 7 14" xfId="24674"/>
    <cellStyle name="Separador de milhares 3 7 14 2" xfId="24675"/>
    <cellStyle name="Separador de milhares 3 7 14 2 2" xfId="39230"/>
    <cellStyle name="Separador de milhares 3 7 14 3" xfId="24676"/>
    <cellStyle name="Separador de milhares 3 7 14 3 2" xfId="39231"/>
    <cellStyle name="Separador de milhares 3 7 14 4" xfId="24677"/>
    <cellStyle name="Separador de milhares 3 7 14 4 2" xfId="39232"/>
    <cellStyle name="Separador de milhares 3 7 14 5" xfId="24678"/>
    <cellStyle name="Separador de milhares 3 7 14 5 2" xfId="39233"/>
    <cellStyle name="Separador de milhares 3 7 14 6" xfId="39229"/>
    <cellStyle name="Separador de milhares 3 7 15" xfId="24679"/>
    <cellStyle name="Separador de milhares 3 7 15 2" xfId="24680"/>
    <cellStyle name="Separador de milhares 3 7 15 2 2" xfId="39235"/>
    <cellStyle name="Separador de milhares 3 7 15 3" xfId="24681"/>
    <cellStyle name="Separador de milhares 3 7 15 3 2" xfId="39236"/>
    <cellStyle name="Separador de milhares 3 7 15 4" xfId="24682"/>
    <cellStyle name="Separador de milhares 3 7 15 4 2" xfId="39237"/>
    <cellStyle name="Separador de milhares 3 7 15 5" xfId="24683"/>
    <cellStyle name="Separador de milhares 3 7 15 5 2" xfId="39238"/>
    <cellStyle name="Separador de milhares 3 7 15 6" xfId="39234"/>
    <cellStyle name="Separador de milhares 3 7 16" xfId="24684"/>
    <cellStyle name="Separador de milhares 3 7 16 2" xfId="24685"/>
    <cellStyle name="Separador de milhares 3 7 16 2 2" xfId="39240"/>
    <cellStyle name="Separador de milhares 3 7 16 3" xfId="24686"/>
    <cellStyle name="Separador de milhares 3 7 16 3 2" xfId="39241"/>
    <cellStyle name="Separador de milhares 3 7 16 4" xfId="24687"/>
    <cellStyle name="Separador de milhares 3 7 16 4 2" xfId="39242"/>
    <cellStyle name="Separador de milhares 3 7 16 5" xfId="24688"/>
    <cellStyle name="Separador de milhares 3 7 16 5 2" xfId="39243"/>
    <cellStyle name="Separador de milhares 3 7 16 6" xfId="39239"/>
    <cellStyle name="Separador de milhares 3 7 17" xfId="24689"/>
    <cellStyle name="Separador de milhares 3 7 17 2" xfId="39244"/>
    <cellStyle name="Separador de milhares 3 7 18" xfId="24690"/>
    <cellStyle name="Separador de milhares 3 7 18 2" xfId="39245"/>
    <cellStyle name="Separador de milhares 3 7 19" xfId="24691"/>
    <cellStyle name="Separador de milhares 3 7 19 2" xfId="39246"/>
    <cellStyle name="Separador de milhares 3 7 2" xfId="24692"/>
    <cellStyle name="Separador de milhares 3 7 2 10" xfId="24693"/>
    <cellStyle name="Separador de milhares 3 7 2 10 2" xfId="39248"/>
    <cellStyle name="Separador de milhares 3 7 2 11" xfId="24694"/>
    <cellStyle name="Separador de milhares 3 7 2 11 2" xfId="39249"/>
    <cellStyle name="Separador de milhares 3 7 2 12" xfId="39247"/>
    <cellStyle name="Separador de milhares 3 7 2 2" xfId="24695"/>
    <cellStyle name="Separador de milhares 3 7 2 2 2" xfId="24696"/>
    <cellStyle name="Separador de milhares 3 7 2 2 2 2" xfId="39251"/>
    <cellStyle name="Separador de milhares 3 7 2 2 3" xfId="24697"/>
    <cellStyle name="Separador de milhares 3 7 2 2 3 2" xfId="39252"/>
    <cellStyle name="Separador de milhares 3 7 2 2 4" xfId="24698"/>
    <cellStyle name="Separador de milhares 3 7 2 2 4 2" xfId="39253"/>
    <cellStyle name="Separador de milhares 3 7 2 2 5" xfId="24699"/>
    <cellStyle name="Separador de milhares 3 7 2 2 5 2" xfId="39254"/>
    <cellStyle name="Separador de milhares 3 7 2 2 6" xfId="39250"/>
    <cellStyle name="Separador de milhares 3 7 2 3" xfId="24700"/>
    <cellStyle name="Separador de milhares 3 7 2 3 2" xfId="24701"/>
    <cellStyle name="Separador de milhares 3 7 2 3 2 2" xfId="39256"/>
    <cellStyle name="Separador de milhares 3 7 2 3 3" xfId="24702"/>
    <cellStyle name="Separador de milhares 3 7 2 3 3 2" xfId="39257"/>
    <cellStyle name="Separador de milhares 3 7 2 3 4" xfId="24703"/>
    <cellStyle name="Separador de milhares 3 7 2 3 4 2" xfId="39258"/>
    <cellStyle name="Separador de milhares 3 7 2 3 5" xfId="24704"/>
    <cellStyle name="Separador de milhares 3 7 2 3 5 2" xfId="39259"/>
    <cellStyle name="Separador de milhares 3 7 2 3 6" xfId="39255"/>
    <cellStyle name="Separador de milhares 3 7 2 4" xfId="24705"/>
    <cellStyle name="Separador de milhares 3 7 2 4 2" xfId="24706"/>
    <cellStyle name="Separador de milhares 3 7 2 4 2 2" xfId="39261"/>
    <cellStyle name="Separador de milhares 3 7 2 4 3" xfId="24707"/>
    <cellStyle name="Separador de milhares 3 7 2 4 3 2" xfId="39262"/>
    <cellStyle name="Separador de milhares 3 7 2 4 4" xfId="24708"/>
    <cellStyle name="Separador de milhares 3 7 2 4 4 2" xfId="39263"/>
    <cellStyle name="Separador de milhares 3 7 2 4 5" xfId="24709"/>
    <cellStyle name="Separador de milhares 3 7 2 4 5 2" xfId="39264"/>
    <cellStyle name="Separador de milhares 3 7 2 4 6" xfId="39260"/>
    <cellStyle name="Separador de milhares 3 7 2 5" xfId="24710"/>
    <cellStyle name="Separador de milhares 3 7 2 5 2" xfId="24711"/>
    <cellStyle name="Separador de milhares 3 7 2 5 2 2" xfId="39266"/>
    <cellStyle name="Separador de milhares 3 7 2 5 3" xfId="24712"/>
    <cellStyle name="Separador de milhares 3 7 2 5 3 2" xfId="39267"/>
    <cellStyle name="Separador de milhares 3 7 2 5 4" xfId="24713"/>
    <cellStyle name="Separador de milhares 3 7 2 5 4 2" xfId="39268"/>
    <cellStyle name="Separador de milhares 3 7 2 5 5" xfId="24714"/>
    <cellStyle name="Separador de milhares 3 7 2 5 5 2" xfId="39269"/>
    <cellStyle name="Separador de milhares 3 7 2 5 6" xfId="39265"/>
    <cellStyle name="Separador de milhares 3 7 2 6" xfId="24715"/>
    <cellStyle name="Separador de milhares 3 7 2 6 2" xfId="24716"/>
    <cellStyle name="Separador de milhares 3 7 2 6 2 2" xfId="39271"/>
    <cellStyle name="Separador de milhares 3 7 2 6 3" xfId="24717"/>
    <cellStyle name="Separador de milhares 3 7 2 6 3 2" xfId="39272"/>
    <cellStyle name="Separador de milhares 3 7 2 6 4" xfId="24718"/>
    <cellStyle name="Separador de milhares 3 7 2 6 4 2" xfId="39273"/>
    <cellStyle name="Separador de milhares 3 7 2 6 5" xfId="24719"/>
    <cellStyle name="Separador de milhares 3 7 2 6 5 2" xfId="39274"/>
    <cellStyle name="Separador de milhares 3 7 2 6 6" xfId="39270"/>
    <cellStyle name="Separador de milhares 3 7 2 7" xfId="24720"/>
    <cellStyle name="Separador de milhares 3 7 2 7 2" xfId="24721"/>
    <cellStyle name="Separador de milhares 3 7 2 7 2 2" xfId="39276"/>
    <cellStyle name="Separador de milhares 3 7 2 7 3" xfId="24722"/>
    <cellStyle name="Separador de milhares 3 7 2 7 3 2" xfId="39277"/>
    <cellStyle name="Separador de milhares 3 7 2 7 4" xfId="24723"/>
    <cellStyle name="Separador de milhares 3 7 2 7 4 2" xfId="39278"/>
    <cellStyle name="Separador de milhares 3 7 2 7 5" xfId="24724"/>
    <cellStyle name="Separador de milhares 3 7 2 7 5 2" xfId="39279"/>
    <cellStyle name="Separador de milhares 3 7 2 7 6" xfId="39275"/>
    <cellStyle name="Separador de milhares 3 7 2 8" xfId="24725"/>
    <cellStyle name="Separador de milhares 3 7 2 8 2" xfId="39280"/>
    <cellStyle name="Separador de milhares 3 7 2 9" xfId="24726"/>
    <cellStyle name="Separador de milhares 3 7 2 9 2" xfId="39281"/>
    <cellStyle name="Separador de milhares 3 7 20" xfId="24727"/>
    <cellStyle name="Separador de milhares 3 7 20 2" xfId="39282"/>
    <cellStyle name="Separador de milhares 3 7 21" xfId="41061"/>
    <cellStyle name="Separador de milhares 3 7 22" xfId="39208"/>
    <cellStyle name="Separador de milhares 3 7 3" xfId="24728"/>
    <cellStyle name="Separador de milhares 3 7 3 2" xfId="24729"/>
    <cellStyle name="Separador de milhares 3 7 3 2 2" xfId="24730"/>
    <cellStyle name="Separador de milhares 3 7 3 2 2 2" xfId="39285"/>
    <cellStyle name="Separador de milhares 3 7 3 2 3" xfId="24731"/>
    <cellStyle name="Separador de milhares 3 7 3 2 3 2" xfId="39286"/>
    <cellStyle name="Separador de milhares 3 7 3 2 4" xfId="24732"/>
    <cellStyle name="Separador de milhares 3 7 3 2 4 2" xfId="39287"/>
    <cellStyle name="Separador de milhares 3 7 3 2 5" xfId="24733"/>
    <cellStyle name="Separador de milhares 3 7 3 2 5 2" xfId="39288"/>
    <cellStyle name="Separador de milhares 3 7 3 2 6" xfId="39284"/>
    <cellStyle name="Separador de milhares 3 7 3 3" xfId="24734"/>
    <cellStyle name="Separador de milhares 3 7 3 3 2" xfId="39289"/>
    <cellStyle name="Separador de milhares 3 7 3 4" xfId="24735"/>
    <cellStyle name="Separador de milhares 3 7 3 4 2" xfId="39290"/>
    <cellStyle name="Separador de milhares 3 7 3 5" xfId="24736"/>
    <cellStyle name="Separador de milhares 3 7 3 5 2" xfId="39291"/>
    <cellStyle name="Separador de milhares 3 7 3 6" xfId="24737"/>
    <cellStyle name="Separador de milhares 3 7 3 6 2" xfId="39292"/>
    <cellStyle name="Separador de milhares 3 7 3 7" xfId="39283"/>
    <cellStyle name="Separador de milhares 3 7 4" xfId="24738"/>
    <cellStyle name="Separador de milhares 3 7 4 2" xfId="24739"/>
    <cellStyle name="Separador de milhares 3 7 4 2 2" xfId="24740"/>
    <cellStyle name="Separador de milhares 3 7 4 2 2 2" xfId="39295"/>
    <cellStyle name="Separador de milhares 3 7 4 2 3" xfId="24741"/>
    <cellStyle name="Separador de milhares 3 7 4 2 3 2" xfId="39296"/>
    <cellStyle name="Separador de milhares 3 7 4 2 4" xfId="24742"/>
    <cellStyle name="Separador de milhares 3 7 4 2 4 2" xfId="39297"/>
    <cellStyle name="Separador de milhares 3 7 4 2 5" xfId="24743"/>
    <cellStyle name="Separador de milhares 3 7 4 2 5 2" xfId="39298"/>
    <cellStyle name="Separador de milhares 3 7 4 2 6" xfId="39294"/>
    <cellStyle name="Separador de milhares 3 7 4 3" xfId="24744"/>
    <cellStyle name="Separador de milhares 3 7 4 3 2" xfId="39299"/>
    <cellStyle name="Separador de milhares 3 7 4 4" xfId="24745"/>
    <cellStyle name="Separador de milhares 3 7 4 4 2" xfId="39300"/>
    <cellStyle name="Separador de milhares 3 7 4 5" xfId="24746"/>
    <cellStyle name="Separador de milhares 3 7 4 5 2" xfId="39301"/>
    <cellStyle name="Separador de milhares 3 7 4 6" xfId="24747"/>
    <cellStyle name="Separador de milhares 3 7 4 6 2" xfId="39302"/>
    <cellStyle name="Separador de milhares 3 7 4 7" xfId="39293"/>
    <cellStyle name="Separador de milhares 3 7 5" xfId="24748"/>
    <cellStyle name="Separador de milhares 3 7 5 2" xfId="24749"/>
    <cellStyle name="Separador de milhares 3 7 5 2 2" xfId="39304"/>
    <cellStyle name="Separador de milhares 3 7 5 3" xfId="24750"/>
    <cellStyle name="Separador de milhares 3 7 5 3 2" xfId="39305"/>
    <cellStyle name="Separador de milhares 3 7 5 4" xfId="24751"/>
    <cellStyle name="Separador de milhares 3 7 5 4 2" xfId="39306"/>
    <cellStyle name="Separador de milhares 3 7 5 5" xfId="24752"/>
    <cellStyle name="Separador de milhares 3 7 5 5 2" xfId="39307"/>
    <cellStyle name="Separador de milhares 3 7 5 6" xfId="39303"/>
    <cellStyle name="Separador de milhares 3 7 6" xfId="24753"/>
    <cellStyle name="Separador de milhares 3 7 6 2" xfId="24754"/>
    <cellStyle name="Separador de milhares 3 7 6 2 2" xfId="39309"/>
    <cellStyle name="Separador de milhares 3 7 6 3" xfId="24755"/>
    <cellStyle name="Separador de milhares 3 7 6 3 2" xfId="39310"/>
    <cellStyle name="Separador de milhares 3 7 6 4" xfId="24756"/>
    <cellStyle name="Separador de milhares 3 7 6 4 2" xfId="39311"/>
    <cellStyle name="Separador de milhares 3 7 6 5" xfId="24757"/>
    <cellStyle name="Separador de milhares 3 7 6 5 2" xfId="39312"/>
    <cellStyle name="Separador de milhares 3 7 6 6" xfId="39308"/>
    <cellStyle name="Separador de milhares 3 7 7" xfId="24758"/>
    <cellStyle name="Separador de milhares 3 7 7 2" xfId="24759"/>
    <cellStyle name="Separador de milhares 3 7 7 2 2" xfId="39314"/>
    <cellStyle name="Separador de milhares 3 7 7 3" xfId="24760"/>
    <cellStyle name="Separador de milhares 3 7 7 3 2" xfId="39315"/>
    <cellStyle name="Separador de milhares 3 7 7 4" xfId="24761"/>
    <cellStyle name="Separador de milhares 3 7 7 4 2" xfId="39316"/>
    <cellStyle name="Separador de milhares 3 7 7 5" xfId="24762"/>
    <cellStyle name="Separador de milhares 3 7 7 5 2" xfId="39317"/>
    <cellStyle name="Separador de milhares 3 7 7 6" xfId="39313"/>
    <cellStyle name="Separador de milhares 3 7 8" xfId="24763"/>
    <cellStyle name="Separador de milhares 3 7 8 2" xfId="24764"/>
    <cellStyle name="Separador de milhares 3 7 8 2 2" xfId="39319"/>
    <cellStyle name="Separador de milhares 3 7 8 3" xfId="24765"/>
    <cellStyle name="Separador de milhares 3 7 8 3 2" xfId="39320"/>
    <cellStyle name="Separador de milhares 3 7 8 4" xfId="24766"/>
    <cellStyle name="Separador de milhares 3 7 8 4 2" xfId="39321"/>
    <cellStyle name="Separador de milhares 3 7 8 5" xfId="24767"/>
    <cellStyle name="Separador de milhares 3 7 8 5 2" xfId="39322"/>
    <cellStyle name="Separador de milhares 3 7 8 6" xfId="39318"/>
    <cellStyle name="Separador de milhares 3 7 9" xfId="24768"/>
    <cellStyle name="Separador de milhares 3 7 9 2" xfId="24769"/>
    <cellStyle name="Separador de milhares 3 7 9 2 2" xfId="39324"/>
    <cellStyle name="Separador de milhares 3 7 9 3" xfId="24770"/>
    <cellStyle name="Separador de milhares 3 7 9 3 2" xfId="39325"/>
    <cellStyle name="Separador de milhares 3 7 9 4" xfId="24771"/>
    <cellStyle name="Separador de milhares 3 7 9 4 2" xfId="39326"/>
    <cellStyle name="Separador de milhares 3 7 9 5" xfId="24772"/>
    <cellStyle name="Separador de milhares 3 7 9 5 2" xfId="39327"/>
    <cellStyle name="Separador de milhares 3 7 9 6" xfId="39323"/>
    <cellStyle name="Separador de milhares 3 8" xfId="24773"/>
    <cellStyle name="Separador de milhares 3 8 2" xfId="24774"/>
    <cellStyle name="Separador de milhares 3 9" xfId="24775"/>
    <cellStyle name="Separador de milhares 3 9 2" xfId="24776"/>
    <cellStyle name="Separador de milhares 30" xfId="24777"/>
    <cellStyle name="Separador de milhares 32" xfId="24778"/>
    <cellStyle name="Separador de milhares 32 2" xfId="24779"/>
    <cellStyle name="Separador de milhares 32 2 2" xfId="24780"/>
    <cellStyle name="Separador de milhares 32 2 3" xfId="24781"/>
    <cellStyle name="Separador de milhares 32 2 4" xfId="24782"/>
    <cellStyle name="Separador de milhares 32 2 5" xfId="24783"/>
    <cellStyle name="Separador de milhares 32 2 6" xfId="24784"/>
    <cellStyle name="Separador de milhares 33" xfId="24785"/>
    <cellStyle name="Separador de milhares 34" xfId="24786"/>
    <cellStyle name="Separador de milhares 35" xfId="24787"/>
    <cellStyle name="Separador de milhares 36" xfId="24788"/>
    <cellStyle name="Separador de milhares 37" xfId="24789"/>
    <cellStyle name="Separador de milhares 38" xfId="24790"/>
    <cellStyle name="Separador de milhares 39" xfId="24791"/>
    <cellStyle name="Separador de milhares 4" xfId="24792"/>
    <cellStyle name="Separador de milhares 4 10" xfId="24793"/>
    <cellStyle name="Separador de milhares 4 10 2" xfId="24794"/>
    <cellStyle name="Separador de milhares 4 10 2 2" xfId="24795"/>
    <cellStyle name="Separador de milhares 4 10 2 3" xfId="24796"/>
    <cellStyle name="Separador de milhares 4 10 2 4" xfId="24797"/>
    <cellStyle name="Separador de milhares 4 10 2 5" xfId="24798"/>
    <cellStyle name="Separador de milhares 4 10 2 6" xfId="24799"/>
    <cellStyle name="Separador de milhares 4 10 2 7" xfId="24800"/>
    <cellStyle name="Separador de milhares 4 10 2 8" xfId="39328"/>
    <cellStyle name="Separador de milhares 4 10 3" xfId="24801"/>
    <cellStyle name="Separador de milhares 4 10 3 2" xfId="39329"/>
    <cellStyle name="Separador de milhares 4 10 4" xfId="24802"/>
    <cellStyle name="Separador de milhares 4 10 4 2" xfId="39330"/>
    <cellStyle name="Separador de milhares 4 10 5" xfId="24803"/>
    <cellStyle name="Separador de milhares 4 10 5 2" xfId="39331"/>
    <cellStyle name="Separador de milhares 4 10 6" xfId="24804"/>
    <cellStyle name="Separador de milhares 4 10 6 2" xfId="39332"/>
    <cellStyle name="Separador de milhares 4 10 7" xfId="24805"/>
    <cellStyle name="Separador de milhares 4 10 7 2" xfId="39333"/>
    <cellStyle name="Separador de milhares 4 11" xfId="24806"/>
    <cellStyle name="Separador de milhares 4 11 2" xfId="24807"/>
    <cellStyle name="Separador de milhares 4 11 2 2" xfId="24808"/>
    <cellStyle name="Separador de milhares 4 11 2 3" xfId="24809"/>
    <cellStyle name="Separador de milhares 4 11 2 4" xfId="24810"/>
    <cellStyle name="Separador de milhares 4 11 2 5" xfId="24811"/>
    <cellStyle name="Separador de milhares 4 11 2 6" xfId="24812"/>
    <cellStyle name="Separador de milhares 4 11 2 7" xfId="24813"/>
    <cellStyle name="Separador de milhares 4 11 3" xfId="24814"/>
    <cellStyle name="Separador de milhares 4 11 4" xfId="24815"/>
    <cellStyle name="Separador de milhares 4 11 5" xfId="24816"/>
    <cellStyle name="Separador de milhares 4 11 6" xfId="24817"/>
    <cellStyle name="Separador de milhares 4 11 7" xfId="24818"/>
    <cellStyle name="Separador de milhares 4 12" xfId="24819"/>
    <cellStyle name="Separador de milhares 4 13" xfId="24820"/>
    <cellStyle name="Separador de milhares 4 14" xfId="24821"/>
    <cellStyle name="Separador de milhares 4 14 10" xfId="24822"/>
    <cellStyle name="Separador de milhares 4 14 11" xfId="24823"/>
    <cellStyle name="Separador de milhares 4 14 12" xfId="24824"/>
    <cellStyle name="Separador de milhares 4 14 13" xfId="24825"/>
    <cellStyle name="Separador de milhares 4 14 14" xfId="24826"/>
    <cellStyle name="Separador de milhares 4 14 15" xfId="24827"/>
    <cellStyle name="Separador de milhares 4 14 2" xfId="24828"/>
    <cellStyle name="Separador de milhares 4 14 3" xfId="24829"/>
    <cellStyle name="Separador de milhares 4 14 4" xfId="24830"/>
    <cellStyle name="Separador de milhares 4 14 5" xfId="24831"/>
    <cellStyle name="Separador de milhares 4 14 6" xfId="24832"/>
    <cellStyle name="Separador de milhares 4 14 7" xfId="24833"/>
    <cellStyle name="Separador de milhares 4 14 8" xfId="24834"/>
    <cellStyle name="Separador de milhares 4 14 9" xfId="24835"/>
    <cellStyle name="Separador de milhares 4 15" xfId="24836"/>
    <cellStyle name="Separador de milhares 4 15 10" xfId="24837"/>
    <cellStyle name="Separador de milhares 4 15 11" xfId="24838"/>
    <cellStyle name="Separador de milhares 4 15 12" xfId="24839"/>
    <cellStyle name="Separador de milhares 4 15 13" xfId="24840"/>
    <cellStyle name="Separador de milhares 4 15 14" xfId="24841"/>
    <cellStyle name="Separador de milhares 4 15 15" xfId="24842"/>
    <cellStyle name="Separador de milhares 4 15 2" xfId="24843"/>
    <cellStyle name="Separador de milhares 4 15 3" xfId="24844"/>
    <cellStyle name="Separador de milhares 4 15 4" xfId="24845"/>
    <cellStyle name="Separador de milhares 4 15 5" xfId="24846"/>
    <cellStyle name="Separador de milhares 4 15 6" xfId="24847"/>
    <cellStyle name="Separador de milhares 4 15 7" xfId="24848"/>
    <cellStyle name="Separador de milhares 4 15 8" xfId="24849"/>
    <cellStyle name="Separador de milhares 4 15 9" xfId="24850"/>
    <cellStyle name="Separador de milhares 4 16" xfId="24851"/>
    <cellStyle name="Separador de milhares 4 16 10" xfId="24852"/>
    <cellStyle name="Separador de milhares 4 16 11" xfId="24853"/>
    <cellStyle name="Separador de milhares 4 16 12" xfId="24854"/>
    <cellStyle name="Separador de milhares 4 16 13" xfId="24855"/>
    <cellStyle name="Separador de milhares 4 16 14" xfId="24856"/>
    <cellStyle name="Separador de milhares 4 16 15" xfId="24857"/>
    <cellStyle name="Separador de milhares 4 16 2" xfId="24858"/>
    <cellStyle name="Separador de milhares 4 16 3" xfId="24859"/>
    <cellStyle name="Separador de milhares 4 16 4" xfId="24860"/>
    <cellStyle name="Separador de milhares 4 16 5" xfId="24861"/>
    <cellStyle name="Separador de milhares 4 16 6" xfId="24862"/>
    <cellStyle name="Separador de milhares 4 16 7" xfId="24863"/>
    <cellStyle name="Separador de milhares 4 16 8" xfId="24864"/>
    <cellStyle name="Separador de milhares 4 16 9" xfId="24865"/>
    <cellStyle name="Separador de milhares 4 17" xfId="24866"/>
    <cellStyle name="Separador de milhares 4 18" xfId="24867"/>
    <cellStyle name="Separador de milhares 4 18 2" xfId="24868"/>
    <cellStyle name="Separador de milhares 4 18 3" xfId="24869"/>
    <cellStyle name="Separador de milhares 4 18 4" xfId="24870"/>
    <cellStyle name="Separador de milhares 4 18 5" xfId="24871"/>
    <cellStyle name="Separador de milhares 4 18 6" xfId="24872"/>
    <cellStyle name="Separador de milhares 4 18 7" xfId="24873"/>
    <cellStyle name="Separador de milhares 4 19" xfId="24874"/>
    <cellStyle name="Separador de milhares 4 19 2" xfId="24875"/>
    <cellStyle name="Separador de milhares 4 19 3" xfId="24876"/>
    <cellStyle name="Separador de milhares 4 19 4" xfId="24877"/>
    <cellStyle name="Separador de milhares 4 19 5" xfId="24878"/>
    <cellStyle name="Separador de milhares 4 19 6" xfId="24879"/>
    <cellStyle name="Separador de milhares 4 19 7" xfId="24880"/>
    <cellStyle name="Separador de milhares 4 2" xfId="24881"/>
    <cellStyle name="Separador de milhares 4 2 10" xfId="24882"/>
    <cellStyle name="Separador de milhares 4 2 10 2" xfId="24883"/>
    <cellStyle name="Separador de milhares 4 2 10 2 2" xfId="39335"/>
    <cellStyle name="Separador de milhares 4 2 10 3" xfId="24884"/>
    <cellStyle name="Separador de milhares 4 2 10 3 2" xfId="39336"/>
    <cellStyle name="Separador de milhares 4 2 10 4" xfId="24885"/>
    <cellStyle name="Separador de milhares 4 2 10 4 2" xfId="39337"/>
    <cellStyle name="Separador de milhares 4 2 10 5" xfId="24886"/>
    <cellStyle name="Separador de milhares 4 2 10 5 2" xfId="39338"/>
    <cellStyle name="Separador de milhares 4 2 10 6" xfId="39334"/>
    <cellStyle name="Separador de milhares 4 2 11" xfId="24887"/>
    <cellStyle name="Separador de milhares 4 2 11 2" xfId="24888"/>
    <cellStyle name="Separador de milhares 4 2 11 2 2" xfId="39340"/>
    <cellStyle name="Separador de milhares 4 2 11 3" xfId="24889"/>
    <cellStyle name="Separador de milhares 4 2 11 3 2" xfId="39341"/>
    <cellStyle name="Separador de milhares 4 2 11 4" xfId="24890"/>
    <cellStyle name="Separador de milhares 4 2 11 4 2" xfId="39342"/>
    <cellStyle name="Separador de milhares 4 2 11 5" xfId="24891"/>
    <cellStyle name="Separador de milhares 4 2 11 5 2" xfId="39343"/>
    <cellStyle name="Separador de milhares 4 2 11 6" xfId="39339"/>
    <cellStyle name="Separador de milhares 4 2 12" xfId="24892"/>
    <cellStyle name="Separador de milhares 4 2 12 2" xfId="24893"/>
    <cellStyle name="Separador de milhares 4 2 12 2 2" xfId="39345"/>
    <cellStyle name="Separador de milhares 4 2 12 3" xfId="24894"/>
    <cellStyle name="Separador de milhares 4 2 12 3 2" xfId="39346"/>
    <cellStyle name="Separador de milhares 4 2 12 4" xfId="24895"/>
    <cellStyle name="Separador de milhares 4 2 12 4 2" xfId="39347"/>
    <cellStyle name="Separador de milhares 4 2 12 5" xfId="24896"/>
    <cellStyle name="Separador de milhares 4 2 12 5 2" xfId="39348"/>
    <cellStyle name="Separador de milhares 4 2 12 6" xfId="39344"/>
    <cellStyle name="Separador de milhares 4 2 13" xfId="24897"/>
    <cellStyle name="Separador de milhares 4 2 13 2" xfId="24898"/>
    <cellStyle name="Separador de milhares 4 2 13 2 2" xfId="39350"/>
    <cellStyle name="Separador de milhares 4 2 13 3" xfId="24899"/>
    <cellStyle name="Separador de milhares 4 2 13 3 2" xfId="39351"/>
    <cellStyle name="Separador de milhares 4 2 13 4" xfId="24900"/>
    <cellStyle name="Separador de milhares 4 2 13 4 2" xfId="39352"/>
    <cellStyle name="Separador de milhares 4 2 13 5" xfId="24901"/>
    <cellStyle name="Separador de milhares 4 2 13 5 2" xfId="39353"/>
    <cellStyle name="Separador de milhares 4 2 13 6" xfId="39349"/>
    <cellStyle name="Separador de milhares 4 2 14" xfId="24902"/>
    <cellStyle name="Separador de milhares 4 2 14 2" xfId="24903"/>
    <cellStyle name="Separador de milhares 4 2 14 2 2" xfId="39355"/>
    <cellStyle name="Separador de milhares 4 2 14 3" xfId="24904"/>
    <cellStyle name="Separador de milhares 4 2 14 3 2" xfId="39356"/>
    <cellStyle name="Separador de milhares 4 2 14 4" xfId="24905"/>
    <cellStyle name="Separador de milhares 4 2 14 4 2" xfId="39357"/>
    <cellStyle name="Separador de milhares 4 2 14 5" xfId="24906"/>
    <cellStyle name="Separador de milhares 4 2 14 5 2" xfId="39358"/>
    <cellStyle name="Separador de milhares 4 2 14 6" xfId="39354"/>
    <cellStyle name="Separador de milhares 4 2 15" xfId="24907"/>
    <cellStyle name="Separador de milhares 4 2 15 2" xfId="24908"/>
    <cellStyle name="Separador de milhares 4 2 15 2 2" xfId="39360"/>
    <cellStyle name="Separador de milhares 4 2 15 3" xfId="24909"/>
    <cellStyle name="Separador de milhares 4 2 15 3 2" xfId="39361"/>
    <cellStyle name="Separador de milhares 4 2 15 4" xfId="24910"/>
    <cellStyle name="Separador de milhares 4 2 15 4 2" xfId="39362"/>
    <cellStyle name="Separador de milhares 4 2 15 5" xfId="24911"/>
    <cellStyle name="Separador de milhares 4 2 15 5 2" xfId="39363"/>
    <cellStyle name="Separador de milhares 4 2 15 6" xfId="39359"/>
    <cellStyle name="Separador de milhares 4 2 16" xfId="24912"/>
    <cellStyle name="Separador de milhares 4 2 16 2" xfId="24913"/>
    <cellStyle name="Separador de milhares 4 2 16 2 2" xfId="39365"/>
    <cellStyle name="Separador de milhares 4 2 16 3" xfId="24914"/>
    <cellStyle name="Separador de milhares 4 2 16 3 2" xfId="39366"/>
    <cellStyle name="Separador de milhares 4 2 16 4" xfId="24915"/>
    <cellStyle name="Separador de milhares 4 2 16 4 2" xfId="39367"/>
    <cellStyle name="Separador de milhares 4 2 16 5" xfId="24916"/>
    <cellStyle name="Separador de milhares 4 2 16 5 2" xfId="39368"/>
    <cellStyle name="Separador de milhares 4 2 16 6" xfId="39364"/>
    <cellStyle name="Separador de milhares 4 2 17" xfId="24917"/>
    <cellStyle name="Separador de milhares 4 2 17 2" xfId="24918"/>
    <cellStyle name="Separador de milhares 4 2 17 2 2" xfId="39370"/>
    <cellStyle name="Separador de milhares 4 2 17 3" xfId="24919"/>
    <cellStyle name="Separador de milhares 4 2 17 3 2" xfId="39371"/>
    <cellStyle name="Separador de milhares 4 2 17 4" xfId="24920"/>
    <cellStyle name="Separador de milhares 4 2 17 4 2" xfId="39372"/>
    <cellStyle name="Separador de milhares 4 2 17 5" xfId="24921"/>
    <cellStyle name="Separador de milhares 4 2 17 5 2" xfId="39373"/>
    <cellStyle name="Separador de milhares 4 2 17 6" xfId="39369"/>
    <cellStyle name="Separador de milhares 4 2 18" xfId="24922"/>
    <cellStyle name="Separador de milhares 4 2 18 2" xfId="24923"/>
    <cellStyle name="Separador de milhares 4 2 18 2 2" xfId="39375"/>
    <cellStyle name="Separador de milhares 4 2 18 3" xfId="24924"/>
    <cellStyle name="Separador de milhares 4 2 18 3 2" xfId="39376"/>
    <cellStyle name="Separador de milhares 4 2 18 4" xfId="24925"/>
    <cellStyle name="Separador de milhares 4 2 18 4 2" xfId="39377"/>
    <cellStyle name="Separador de milhares 4 2 18 5" xfId="24926"/>
    <cellStyle name="Separador de milhares 4 2 18 5 2" xfId="39378"/>
    <cellStyle name="Separador de milhares 4 2 18 6" xfId="39374"/>
    <cellStyle name="Separador de milhares 4 2 19" xfId="24927"/>
    <cellStyle name="Separador de milhares 4 2 19 2" xfId="24928"/>
    <cellStyle name="Separador de milhares 4 2 19 2 2" xfId="39380"/>
    <cellStyle name="Separador de milhares 4 2 19 3" xfId="24929"/>
    <cellStyle name="Separador de milhares 4 2 19 3 2" xfId="39381"/>
    <cellStyle name="Separador de milhares 4 2 19 4" xfId="24930"/>
    <cellStyle name="Separador de milhares 4 2 19 4 2" xfId="39382"/>
    <cellStyle name="Separador de milhares 4 2 19 5" xfId="24931"/>
    <cellStyle name="Separador de milhares 4 2 19 5 2" xfId="39383"/>
    <cellStyle name="Separador de milhares 4 2 19 6" xfId="39379"/>
    <cellStyle name="Separador de milhares 4 2 2" xfId="24932"/>
    <cellStyle name="Separador de milhares 4 2 2 2" xfId="24933"/>
    <cellStyle name="Separador de milhares 4 2 2 3" xfId="24934"/>
    <cellStyle name="Separador de milhares 4 2 2 4" xfId="24935"/>
    <cellStyle name="Separador de milhares 4 2 2 5" xfId="24936"/>
    <cellStyle name="Separador de milhares 4 2 2 6" xfId="24937"/>
    <cellStyle name="Separador de milhares 4 2 2 7" xfId="24938"/>
    <cellStyle name="Separador de milhares 4 2 2 8" xfId="39384"/>
    <cellStyle name="Separador de milhares 4 2 20" xfId="24939"/>
    <cellStyle name="Separador de milhares 4 2 20 2" xfId="24940"/>
    <cellStyle name="Separador de milhares 4 2 20 2 2" xfId="39386"/>
    <cellStyle name="Separador de milhares 4 2 20 3" xfId="24941"/>
    <cellStyle name="Separador de milhares 4 2 20 3 2" xfId="39387"/>
    <cellStyle name="Separador de milhares 4 2 20 4" xfId="24942"/>
    <cellStyle name="Separador de milhares 4 2 20 4 2" xfId="39388"/>
    <cellStyle name="Separador de milhares 4 2 20 5" xfId="24943"/>
    <cellStyle name="Separador de milhares 4 2 20 5 2" xfId="39389"/>
    <cellStyle name="Separador de milhares 4 2 20 6" xfId="39385"/>
    <cellStyle name="Separador de milhares 4 2 21" xfId="24944"/>
    <cellStyle name="Separador de milhares 4 2 21 2" xfId="39390"/>
    <cellStyle name="Separador de milhares 4 2 22" xfId="24945"/>
    <cellStyle name="Separador de milhares 4 2 22 2" xfId="39391"/>
    <cellStyle name="Separador de milhares 4 2 23" xfId="24946"/>
    <cellStyle name="Separador de milhares 4 2 23 2" xfId="39392"/>
    <cellStyle name="Separador de milhares 4 2 24" xfId="24947"/>
    <cellStyle name="Separador de milhares 4 2 24 2" xfId="39393"/>
    <cellStyle name="Separador de milhares 4 2 25" xfId="24948"/>
    <cellStyle name="Separador de milhares 4 2 25 2" xfId="39394"/>
    <cellStyle name="Separador de milhares 4 2 3" xfId="24949"/>
    <cellStyle name="Separador de milhares 4 2 3 2" xfId="24950"/>
    <cellStyle name="Separador de milhares 4 2 4" xfId="24951"/>
    <cellStyle name="Separador de milhares 4 2 4 2" xfId="24952"/>
    <cellStyle name="Separador de milhares 4 2 5" xfId="24953"/>
    <cellStyle name="Separador de milhares 4 2 5 2" xfId="24954"/>
    <cellStyle name="Separador de milhares 4 2 6" xfId="24955"/>
    <cellStyle name="Separador de milhares 4 2 6 2" xfId="24956"/>
    <cellStyle name="Separador de milhares 4 2 6 3" xfId="24957"/>
    <cellStyle name="Separador de milhares 4 2 6 3 2" xfId="39396"/>
    <cellStyle name="Separador de milhares 4 2 6 4" xfId="24958"/>
    <cellStyle name="Separador de milhares 4 2 6 4 2" xfId="39397"/>
    <cellStyle name="Separador de milhares 4 2 6 5" xfId="24959"/>
    <cellStyle name="Separador de milhares 4 2 6 5 2" xfId="39398"/>
    <cellStyle name="Separador de milhares 4 2 6 6" xfId="24960"/>
    <cellStyle name="Separador de milhares 4 2 6 6 2" xfId="39399"/>
    <cellStyle name="Separador de milhares 4 2 6 7" xfId="39395"/>
    <cellStyle name="Separador de milhares 4 2 7" xfId="24961"/>
    <cellStyle name="Separador de milhares 4 2 7 2" xfId="24962"/>
    <cellStyle name="Separador de milhares 4 2 7 2 2" xfId="24963"/>
    <cellStyle name="Separador de milhares 4 2 7 2 2 2" xfId="39402"/>
    <cellStyle name="Separador de milhares 4 2 7 2 3" xfId="24964"/>
    <cellStyle name="Separador de milhares 4 2 7 2 3 2" xfId="39403"/>
    <cellStyle name="Separador de milhares 4 2 7 2 4" xfId="24965"/>
    <cellStyle name="Separador de milhares 4 2 7 2 4 2" xfId="39404"/>
    <cellStyle name="Separador de milhares 4 2 7 2 5" xfId="24966"/>
    <cellStyle name="Separador de milhares 4 2 7 2 5 2" xfId="39405"/>
    <cellStyle name="Separador de milhares 4 2 7 2 6" xfId="39401"/>
    <cellStyle name="Separador de milhares 4 2 7 3" xfId="24967"/>
    <cellStyle name="Separador de milhares 4 2 7 3 2" xfId="39406"/>
    <cellStyle name="Separador de milhares 4 2 7 4" xfId="24968"/>
    <cellStyle name="Separador de milhares 4 2 7 4 2" xfId="39407"/>
    <cellStyle name="Separador de milhares 4 2 7 5" xfId="24969"/>
    <cellStyle name="Separador de milhares 4 2 7 5 2" xfId="39408"/>
    <cellStyle name="Separador de milhares 4 2 7 6" xfId="24970"/>
    <cellStyle name="Separador de milhares 4 2 7 6 2" xfId="39409"/>
    <cellStyle name="Separador de milhares 4 2 7 7" xfId="39400"/>
    <cellStyle name="Separador de milhares 4 2 8" xfId="24971"/>
    <cellStyle name="Separador de milhares 4 2 8 2" xfId="24972"/>
    <cellStyle name="Separador de milhares 4 2 8 2 2" xfId="24973"/>
    <cellStyle name="Separador de milhares 4 2 8 2 2 2" xfId="39412"/>
    <cellStyle name="Separador de milhares 4 2 8 2 3" xfId="24974"/>
    <cellStyle name="Separador de milhares 4 2 8 2 3 2" xfId="39413"/>
    <cellStyle name="Separador de milhares 4 2 8 2 4" xfId="24975"/>
    <cellStyle name="Separador de milhares 4 2 8 2 4 2" xfId="39414"/>
    <cellStyle name="Separador de milhares 4 2 8 2 5" xfId="24976"/>
    <cellStyle name="Separador de milhares 4 2 8 2 5 2" xfId="39415"/>
    <cellStyle name="Separador de milhares 4 2 8 2 6" xfId="39411"/>
    <cellStyle name="Separador de milhares 4 2 8 3" xfId="24977"/>
    <cellStyle name="Separador de milhares 4 2 8 3 2" xfId="39416"/>
    <cellStyle name="Separador de milhares 4 2 8 4" xfId="24978"/>
    <cellStyle name="Separador de milhares 4 2 8 4 2" xfId="39417"/>
    <cellStyle name="Separador de milhares 4 2 8 5" xfId="24979"/>
    <cellStyle name="Separador de milhares 4 2 8 5 2" xfId="39418"/>
    <cellStyle name="Separador de milhares 4 2 8 6" xfId="24980"/>
    <cellStyle name="Separador de milhares 4 2 8 6 2" xfId="39419"/>
    <cellStyle name="Separador de milhares 4 2 8 7" xfId="39410"/>
    <cellStyle name="Separador de milhares 4 2 9" xfId="24981"/>
    <cellStyle name="Separador de milhares 4 2 9 2" xfId="24982"/>
    <cellStyle name="Separador de milhares 4 2 9 2 2" xfId="24983"/>
    <cellStyle name="Separador de milhares 4 2 9 2 2 2" xfId="39421"/>
    <cellStyle name="Separador de milhares 4 2 9 2 3" xfId="24984"/>
    <cellStyle name="Separador de milhares 4 2 9 2 3 2" xfId="39422"/>
    <cellStyle name="Separador de milhares 4 2 9 2 4" xfId="24985"/>
    <cellStyle name="Separador de milhares 4 2 9 2 4 2" xfId="39423"/>
    <cellStyle name="Separador de milhares 4 2 9 2 5" xfId="24986"/>
    <cellStyle name="Separador de milhares 4 2 9 2 5 2" xfId="39424"/>
    <cellStyle name="Separador de milhares 4 2 9 2 6" xfId="39420"/>
    <cellStyle name="Separador de milhares 4 20" xfId="24987"/>
    <cellStyle name="Separador de milhares 4 20 2" xfId="24988"/>
    <cellStyle name="Separador de milhares 4 20 3" xfId="24989"/>
    <cellStyle name="Separador de milhares 4 20 4" xfId="24990"/>
    <cellStyle name="Separador de milhares 4 20 5" xfId="24991"/>
    <cellStyle name="Separador de milhares 4 20 6" xfId="24992"/>
    <cellStyle name="Separador de milhares 4 20 7" xfId="24993"/>
    <cellStyle name="Separador de milhares 4 21" xfId="24994"/>
    <cellStyle name="Separador de milhares 4 21 2" xfId="24995"/>
    <cellStyle name="Separador de milhares 4 21 3" xfId="24996"/>
    <cellStyle name="Separador de milhares 4 21 4" xfId="24997"/>
    <cellStyle name="Separador de milhares 4 21 5" xfId="24998"/>
    <cellStyle name="Separador de milhares 4 21 6" xfId="24999"/>
    <cellStyle name="Separador de milhares 4 21 7" xfId="25000"/>
    <cellStyle name="Separador de milhares 4 22" xfId="25001"/>
    <cellStyle name="Separador de milhares 4 22 2" xfId="25002"/>
    <cellStyle name="Separador de milhares 4 22 3" xfId="25003"/>
    <cellStyle name="Separador de milhares 4 22 4" xfId="25004"/>
    <cellStyle name="Separador de milhares 4 22 5" xfId="25005"/>
    <cellStyle name="Separador de milhares 4 22 6" xfId="25006"/>
    <cellStyle name="Separador de milhares 4 22 7" xfId="25007"/>
    <cellStyle name="Separador de milhares 4 23" xfId="25008"/>
    <cellStyle name="Separador de milhares 4 23 2" xfId="25009"/>
    <cellStyle name="Separador de milhares 4 23 3" xfId="25010"/>
    <cellStyle name="Separador de milhares 4 23 4" xfId="25011"/>
    <cellStyle name="Separador de milhares 4 23 5" xfId="25012"/>
    <cellStyle name="Separador de milhares 4 23 6" xfId="25013"/>
    <cellStyle name="Separador de milhares 4 23 7" xfId="25014"/>
    <cellStyle name="Separador de milhares 4 24" xfId="25015"/>
    <cellStyle name="Separador de milhares 4 24 2" xfId="25016"/>
    <cellStyle name="Separador de milhares 4 24 3" xfId="25017"/>
    <cellStyle name="Separador de milhares 4 24 4" xfId="25018"/>
    <cellStyle name="Separador de milhares 4 24 5" xfId="25019"/>
    <cellStyle name="Separador de milhares 4 24 6" xfId="25020"/>
    <cellStyle name="Separador de milhares 4 24 7" xfId="25021"/>
    <cellStyle name="Separador de milhares 4 25" xfId="25022"/>
    <cellStyle name="Separador de milhares 4 25 2" xfId="25023"/>
    <cellStyle name="Separador de milhares 4 25 3" xfId="25024"/>
    <cellStyle name="Separador de milhares 4 25 4" xfId="25025"/>
    <cellStyle name="Separador de milhares 4 25 5" xfId="25026"/>
    <cellStyle name="Separador de milhares 4 25 6" xfId="25027"/>
    <cellStyle name="Separador de milhares 4 25 7" xfId="25028"/>
    <cellStyle name="Separador de milhares 4 26" xfId="25029"/>
    <cellStyle name="Separador de milhares 4 26 2" xfId="25030"/>
    <cellStyle name="Separador de milhares 4 26 3" xfId="25031"/>
    <cellStyle name="Separador de milhares 4 26 4" xfId="25032"/>
    <cellStyle name="Separador de milhares 4 26 5" xfId="25033"/>
    <cellStyle name="Separador de milhares 4 26 6" xfId="25034"/>
    <cellStyle name="Separador de milhares 4 26 7" xfId="25035"/>
    <cellStyle name="Separador de milhares 4 27" xfId="25036"/>
    <cellStyle name="Separador de milhares 4 27 2" xfId="25037"/>
    <cellStyle name="Separador de milhares 4 27 3" xfId="25038"/>
    <cellStyle name="Separador de milhares 4 27 4" xfId="25039"/>
    <cellStyle name="Separador de milhares 4 27 5" xfId="25040"/>
    <cellStyle name="Separador de milhares 4 27 6" xfId="25041"/>
    <cellStyle name="Separador de milhares 4 27 7" xfId="25042"/>
    <cellStyle name="Separador de milhares 4 28" xfId="25043"/>
    <cellStyle name="Separador de milhares 4 28 2" xfId="25044"/>
    <cellStyle name="Separador de milhares 4 28 3" xfId="25045"/>
    <cellStyle name="Separador de milhares 4 28 4" xfId="25046"/>
    <cellStyle name="Separador de milhares 4 28 5" xfId="25047"/>
    <cellStyle name="Separador de milhares 4 28 6" xfId="25048"/>
    <cellStyle name="Separador de milhares 4 28 7" xfId="25049"/>
    <cellStyle name="Separador de milhares 4 29" xfId="25050"/>
    <cellStyle name="Separador de milhares 4 29 2" xfId="25051"/>
    <cellStyle name="Separador de milhares 4 29 3" xfId="25052"/>
    <cellStyle name="Separador de milhares 4 29 4" xfId="25053"/>
    <cellStyle name="Separador de milhares 4 29 5" xfId="25054"/>
    <cellStyle name="Separador de milhares 4 29 6" xfId="25055"/>
    <cellStyle name="Separador de milhares 4 29 7" xfId="25056"/>
    <cellStyle name="Separador de milhares 4 3" xfId="25057"/>
    <cellStyle name="Separador de milhares 4 3 10" xfId="25058"/>
    <cellStyle name="Separador de milhares 4 3 10 2" xfId="25059"/>
    <cellStyle name="Separador de milhares 4 3 10 2 2" xfId="39426"/>
    <cellStyle name="Separador de milhares 4 3 10 3" xfId="25060"/>
    <cellStyle name="Separador de milhares 4 3 10 3 2" xfId="39427"/>
    <cellStyle name="Separador de milhares 4 3 10 4" xfId="25061"/>
    <cellStyle name="Separador de milhares 4 3 10 4 2" xfId="39428"/>
    <cellStyle name="Separador de milhares 4 3 10 5" xfId="25062"/>
    <cellStyle name="Separador de milhares 4 3 10 5 2" xfId="39429"/>
    <cellStyle name="Separador de milhares 4 3 10 6" xfId="39425"/>
    <cellStyle name="Separador de milhares 4 3 11" xfId="25063"/>
    <cellStyle name="Separador de milhares 4 3 11 2" xfId="25064"/>
    <cellStyle name="Separador de milhares 4 3 11 2 2" xfId="39431"/>
    <cellStyle name="Separador de milhares 4 3 11 3" xfId="25065"/>
    <cellStyle name="Separador de milhares 4 3 11 3 2" xfId="39432"/>
    <cellStyle name="Separador de milhares 4 3 11 4" xfId="25066"/>
    <cellStyle name="Separador de milhares 4 3 11 4 2" xfId="39433"/>
    <cellStyle name="Separador de milhares 4 3 11 5" xfId="25067"/>
    <cellStyle name="Separador de milhares 4 3 11 5 2" xfId="39434"/>
    <cellStyle name="Separador de milhares 4 3 11 6" xfId="39430"/>
    <cellStyle name="Separador de milhares 4 3 12" xfId="25068"/>
    <cellStyle name="Separador de milhares 4 3 12 2" xfId="25069"/>
    <cellStyle name="Separador de milhares 4 3 12 2 2" xfId="39436"/>
    <cellStyle name="Separador de milhares 4 3 12 3" xfId="25070"/>
    <cellStyle name="Separador de milhares 4 3 12 3 2" xfId="39437"/>
    <cellStyle name="Separador de milhares 4 3 12 4" xfId="25071"/>
    <cellStyle name="Separador de milhares 4 3 12 4 2" xfId="39438"/>
    <cellStyle name="Separador de milhares 4 3 12 5" xfId="25072"/>
    <cellStyle name="Separador de milhares 4 3 12 5 2" xfId="39439"/>
    <cellStyle name="Separador de milhares 4 3 12 6" xfId="39435"/>
    <cellStyle name="Separador de milhares 4 3 13" xfId="25073"/>
    <cellStyle name="Separador de milhares 4 3 13 2" xfId="25074"/>
    <cellStyle name="Separador de milhares 4 3 13 2 2" xfId="39441"/>
    <cellStyle name="Separador de milhares 4 3 13 3" xfId="25075"/>
    <cellStyle name="Separador de milhares 4 3 13 3 2" xfId="39442"/>
    <cellStyle name="Separador de milhares 4 3 13 4" xfId="25076"/>
    <cellStyle name="Separador de milhares 4 3 13 4 2" xfId="39443"/>
    <cellStyle name="Separador de milhares 4 3 13 5" xfId="25077"/>
    <cellStyle name="Separador de milhares 4 3 13 5 2" xfId="39444"/>
    <cellStyle name="Separador de milhares 4 3 13 6" xfId="39440"/>
    <cellStyle name="Separador de milhares 4 3 14" xfId="25078"/>
    <cellStyle name="Separador de milhares 4 3 14 2" xfId="25079"/>
    <cellStyle name="Separador de milhares 4 3 14 2 2" xfId="39446"/>
    <cellStyle name="Separador de milhares 4 3 14 3" xfId="25080"/>
    <cellStyle name="Separador de milhares 4 3 14 3 2" xfId="39447"/>
    <cellStyle name="Separador de milhares 4 3 14 4" xfId="25081"/>
    <cellStyle name="Separador de milhares 4 3 14 4 2" xfId="39448"/>
    <cellStyle name="Separador de milhares 4 3 14 5" xfId="25082"/>
    <cellStyle name="Separador de milhares 4 3 14 5 2" xfId="39449"/>
    <cellStyle name="Separador de milhares 4 3 14 6" xfId="39445"/>
    <cellStyle name="Separador de milhares 4 3 15" xfId="25083"/>
    <cellStyle name="Separador de milhares 4 3 15 2" xfId="25084"/>
    <cellStyle name="Separador de milhares 4 3 15 2 2" xfId="39451"/>
    <cellStyle name="Separador de milhares 4 3 15 3" xfId="25085"/>
    <cellStyle name="Separador de milhares 4 3 15 3 2" xfId="39452"/>
    <cellStyle name="Separador de milhares 4 3 15 4" xfId="25086"/>
    <cellStyle name="Separador de milhares 4 3 15 4 2" xfId="39453"/>
    <cellStyle name="Separador de milhares 4 3 15 5" xfId="25087"/>
    <cellStyle name="Separador de milhares 4 3 15 5 2" xfId="39454"/>
    <cellStyle name="Separador de milhares 4 3 15 6" xfId="39450"/>
    <cellStyle name="Separador de milhares 4 3 16" xfId="25088"/>
    <cellStyle name="Separador de milhares 4 3 16 2" xfId="25089"/>
    <cellStyle name="Separador de milhares 4 3 16 2 2" xfId="39456"/>
    <cellStyle name="Separador de milhares 4 3 16 3" xfId="25090"/>
    <cellStyle name="Separador de milhares 4 3 16 3 2" xfId="39457"/>
    <cellStyle name="Separador de milhares 4 3 16 4" xfId="25091"/>
    <cellStyle name="Separador de milhares 4 3 16 4 2" xfId="39458"/>
    <cellStyle name="Separador de milhares 4 3 16 5" xfId="25092"/>
    <cellStyle name="Separador de milhares 4 3 16 5 2" xfId="39459"/>
    <cellStyle name="Separador de milhares 4 3 16 6" xfId="39455"/>
    <cellStyle name="Separador de milhares 4 3 17" xfId="25093"/>
    <cellStyle name="Separador de milhares 4 3 17 2" xfId="25094"/>
    <cellStyle name="Separador de milhares 4 3 17 2 2" xfId="39461"/>
    <cellStyle name="Separador de milhares 4 3 17 3" xfId="25095"/>
    <cellStyle name="Separador de milhares 4 3 17 3 2" xfId="39462"/>
    <cellStyle name="Separador de milhares 4 3 17 4" xfId="25096"/>
    <cellStyle name="Separador de milhares 4 3 17 4 2" xfId="39463"/>
    <cellStyle name="Separador de milhares 4 3 17 5" xfId="25097"/>
    <cellStyle name="Separador de milhares 4 3 17 5 2" xfId="39464"/>
    <cellStyle name="Separador de milhares 4 3 17 6" xfId="39460"/>
    <cellStyle name="Separador de milhares 4 3 18" xfId="25098"/>
    <cellStyle name="Separador de milhares 4 3 18 2" xfId="25099"/>
    <cellStyle name="Separador de milhares 4 3 18 2 2" xfId="39466"/>
    <cellStyle name="Separador de milhares 4 3 18 3" xfId="25100"/>
    <cellStyle name="Separador de milhares 4 3 18 3 2" xfId="39467"/>
    <cellStyle name="Separador de milhares 4 3 18 4" xfId="25101"/>
    <cellStyle name="Separador de milhares 4 3 18 4 2" xfId="39468"/>
    <cellStyle name="Separador de milhares 4 3 18 5" xfId="25102"/>
    <cellStyle name="Separador de milhares 4 3 18 5 2" xfId="39469"/>
    <cellStyle name="Separador de milhares 4 3 18 6" xfId="39465"/>
    <cellStyle name="Separador de milhares 4 3 19" xfId="25103"/>
    <cellStyle name="Separador de milhares 4 3 19 2" xfId="25104"/>
    <cellStyle name="Separador de milhares 4 3 19 2 2" xfId="39471"/>
    <cellStyle name="Separador de milhares 4 3 19 3" xfId="25105"/>
    <cellStyle name="Separador de milhares 4 3 19 3 2" xfId="39472"/>
    <cellStyle name="Separador de milhares 4 3 19 4" xfId="25106"/>
    <cellStyle name="Separador de milhares 4 3 19 4 2" xfId="39473"/>
    <cellStyle name="Separador de milhares 4 3 19 5" xfId="25107"/>
    <cellStyle name="Separador de milhares 4 3 19 5 2" xfId="39474"/>
    <cellStyle name="Separador de milhares 4 3 19 6" xfId="39470"/>
    <cellStyle name="Separador de milhares 4 3 2" xfId="25108"/>
    <cellStyle name="Separador de milhares 4 3 2 10" xfId="25109"/>
    <cellStyle name="Separador de milhares 4 3 2 10 2" xfId="25110"/>
    <cellStyle name="Separador de milhares 4 3 2 10 2 2" xfId="39477"/>
    <cellStyle name="Separador de milhares 4 3 2 10 3" xfId="25111"/>
    <cellStyle name="Separador de milhares 4 3 2 10 3 2" xfId="39478"/>
    <cellStyle name="Separador de milhares 4 3 2 10 4" xfId="25112"/>
    <cellStyle name="Separador de milhares 4 3 2 10 4 2" xfId="39479"/>
    <cellStyle name="Separador de milhares 4 3 2 10 5" xfId="25113"/>
    <cellStyle name="Separador de milhares 4 3 2 10 5 2" xfId="39480"/>
    <cellStyle name="Separador de milhares 4 3 2 10 6" xfId="39476"/>
    <cellStyle name="Separador de milhares 4 3 2 11" xfId="25114"/>
    <cellStyle name="Separador de milhares 4 3 2 11 2" xfId="25115"/>
    <cellStyle name="Separador de milhares 4 3 2 11 2 2" xfId="39482"/>
    <cellStyle name="Separador de milhares 4 3 2 11 3" xfId="25116"/>
    <cellStyle name="Separador de milhares 4 3 2 11 3 2" xfId="39483"/>
    <cellStyle name="Separador de milhares 4 3 2 11 4" xfId="25117"/>
    <cellStyle name="Separador de milhares 4 3 2 11 4 2" xfId="39484"/>
    <cellStyle name="Separador de milhares 4 3 2 11 5" xfId="25118"/>
    <cellStyle name="Separador de milhares 4 3 2 11 5 2" xfId="39485"/>
    <cellStyle name="Separador de milhares 4 3 2 11 6" xfId="39481"/>
    <cellStyle name="Separador de milhares 4 3 2 12" xfId="25119"/>
    <cellStyle name="Separador de milhares 4 3 2 12 2" xfId="25120"/>
    <cellStyle name="Separador de milhares 4 3 2 12 2 2" xfId="39487"/>
    <cellStyle name="Separador de milhares 4 3 2 12 3" xfId="25121"/>
    <cellStyle name="Separador de milhares 4 3 2 12 3 2" xfId="39488"/>
    <cellStyle name="Separador de milhares 4 3 2 12 4" xfId="25122"/>
    <cellStyle name="Separador de milhares 4 3 2 12 4 2" xfId="39489"/>
    <cellStyle name="Separador de milhares 4 3 2 12 5" xfId="25123"/>
    <cellStyle name="Separador de milhares 4 3 2 12 5 2" xfId="39490"/>
    <cellStyle name="Separador de milhares 4 3 2 12 6" xfId="39486"/>
    <cellStyle name="Separador de milhares 4 3 2 13" xfId="25124"/>
    <cellStyle name="Separador de milhares 4 3 2 13 2" xfId="25125"/>
    <cellStyle name="Separador de milhares 4 3 2 13 2 2" xfId="39492"/>
    <cellStyle name="Separador de milhares 4 3 2 13 3" xfId="25126"/>
    <cellStyle name="Separador de milhares 4 3 2 13 3 2" xfId="39493"/>
    <cellStyle name="Separador de milhares 4 3 2 13 4" xfId="25127"/>
    <cellStyle name="Separador de milhares 4 3 2 13 4 2" xfId="39494"/>
    <cellStyle name="Separador de milhares 4 3 2 13 5" xfId="25128"/>
    <cellStyle name="Separador de milhares 4 3 2 13 5 2" xfId="39495"/>
    <cellStyle name="Separador de milhares 4 3 2 13 6" xfId="39491"/>
    <cellStyle name="Separador de milhares 4 3 2 14" xfId="25129"/>
    <cellStyle name="Separador de milhares 4 3 2 14 2" xfId="25130"/>
    <cellStyle name="Separador de milhares 4 3 2 14 2 2" xfId="39497"/>
    <cellStyle name="Separador de milhares 4 3 2 14 3" xfId="25131"/>
    <cellStyle name="Separador de milhares 4 3 2 14 3 2" xfId="39498"/>
    <cellStyle name="Separador de milhares 4 3 2 14 4" xfId="25132"/>
    <cellStyle name="Separador de milhares 4 3 2 14 4 2" xfId="39499"/>
    <cellStyle name="Separador de milhares 4 3 2 14 5" xfId="25133"/>
    <cellStyle name="Separador de milhares 4 3 2 14 5 2" xfId="39500"/>
    <cellStyle name="Separador de milhares 4 3 2 14 6" xfId="39496"/>
    <cellStyle name="Separador de milhares 4 3 2 15" xfId="25134"/>
    <cellStyle name="Separador de milhares 4 3 2 15 2" xfId="25135"/>
    <cellStyle name="Separador de milhares 4 3 2 15 2 2" xfId="39502"/>
    <cellStyle name="Separador de milhares 4 3 2 15 3" xfId="25136"/>
    <cellStyle name="Separador de milhares 4 3 2 15 3 2" xfId="39503"/>
    <cellStyle name="Separador de milhares 4 3 2 15 4" xfId="25137"/>
    <cellStyle name="Separador de milhares 4 3 2 15 4 2" xfId="39504"/>
    <cellStyle name="Separador de milhares 4 3 2 15 5" xfId="25138"/>
    <cellStyle name="Separador de milhares 4 3 2 15 5 2" xfId="39505"/>
    <cellStyle name="Separador de milhares 4 3 2 15 6" xfId="39501"/>
    <cellStyle name="Separador de milhares 4 3 2 16" xfId="25139"/>
    <cellStyle name="Separador de milhares 4 3 2 16 2" xfId="25140"/>
    <cellStyle name="Separador de milhares 4 3 2 16 2 2" xfId="39507"/>
    <cellStyle name="Separador de milhares 4 3 2 16 3" xfId="25141"/>
    <cellStyle name="Separador de milhares 4 3 2 16 3 2" xfId="39508"/>
    <cellStyle name="Separador de milhares 4 3 2 16 4" xfId="25142"/>
    <cellStyle name="Separador de milhares 4 3 2 16 4 2" xfId="39509"/>
    <cellStyle name="Separador de milhares 4 3 2 16 5" xfId="25143"/>
    <cellStyle name="Separador de milhares 4 3 2 16 5 2" xfId="39510"/>
    <cellStyle name="Separador de milhares 4 3 2 16 6" xfId="39506"/>
    <cellStyle name="Separador de milhares 4 3 2 17" xfId="25144"/>
    <cellStyle name="Separador de milhares 4 3 2 17 2" xfId="39511"/>
    <cellStyle name="Separador de milhares 4 3 2 18" xfId="25145"/>
    <cellStyle name="Separador de milhares 4 3 2 18 2" xfId="39512"/>
    <cellStyle name="Separador de milhares 4 3 2 19" xfId="25146"/>
    <cellStyle name="Separador de milhares 4 3 2 19 2" xfId="39513"/>
    <cellStyle name="Separador de milhares 4 3 2 2" xfId="25147"/>
    <cellStyle name="Separador de milhares 4 3 2 20" xfId="25148"/>
    <cellStyle name="Separador de milhares 4 3 2 20 2" xfId="39514"/>
    <cellStyle name="Separador de milhares 4 3 2 21" xfId="39475"/>
    <cellStyle name="Separador de milhares 4 3 2 3" xfId="25149"/>
    <cellStyle name="Separador de milhares 4 3 2 3 2" xfId="25150"/>
    <cellStyle name="Separador de milhares 4 3 2 3 2 2" xfId="39516"/>
    <cellStyle name="Separador de milhares 4 3 2 3 3" xfId="25151"/>
    <cellStyle name="Separador de milhares 4 3 2 3 3 2" xfId="39517"/>
    <cellStyle name="Separador de milhares 4 3 2 3 4" xfId="25152"/>
    <cellStyle name="Separador de milhares 4 3 2 3 4 2" xfId="39518"/>
    <cellStyle name="Separador de milhares 4 3 2 3 5" xfId="25153"/>
    <cellStyle name="Separador de milhares 4 3 2 3 5 2" xfId="39519"/>
    <cellStyle name="Separador de milhares 4 3 2 3 6" xfId="39515"/>
    <cellStyle name="Separador de milhares 4 3 2 4" xfId="25154"/>
    <cellStyle name="Separador de milhares 4 3 2 4 2" xfId="25155"/>
    <cellStyle name="Separador de milhares 4 3 2 4 2 2" xfId="39521"/>
    <cellStyle name="Separador de milhares 4 3 2 4 3" xfId="25156"/>
    <cellStyle name="Separador de milhares 4 3 2 4 3 2" xfId="39522"/>
    <cellStyle name="Separador de milhares 4 3 2 4 4" xfId="25157"/>
    <cellStyle name="Separador de milhares 4 3 2 4 4 2" xfId="39523"/>
    <cellStyle name="Separador de milhares 4 3 2 4 5" xfId="25158"/>
    <cellStyle name="Separador de milhares 4 3 2 4 5 2" xfId="39524"/>
    <cellStyle name="Separador de milhares 4 3 2 4 6" xfId="39520"/>
    <cellStyle name="Separador de milhares 4 3 2 5" xfId="25159"/>
    <cellStyle name="Separador de milhares 4 3 2 5 2" xfId="25160"/>
    <cellStyle name="Separador de milhares 4 3 2 5 2 2" xfId="39526"/>
    <cellStyle name="Separador de milhares 4 3 2 5 3" xfId="25161"/>
    <cellStyle name="Separador de milhares 4 3 2 5 3 2" xfId="39527"/>
    <cellStyle name="Separador de milhares 4 3 2 5 4" xfId="25162"/>
    <cellStyle name="Separador de milhares 4 3 2 5 4 2" xfId="39528"/>
    <cellStyle name="Separador de milhares 4 3 2 5 5" xfId="25163"/>
    <cellStyle name="Separador de milhares 4 3 2 5 5 2" xfId="39529"/>
    <cellStyle name="Separador de milhares 4 3 2 5 6" xfId="39525"/>
    <cellStyle name="Separador de milhares 4 3 2 6" xfId="25164"/>
    <cellStyle name="Separador de milhares 4 3 2 6 2" xfId="25165"/>
    <cellStyle name="Separador de milhares 4 3 2 6 2 2" xfId="39531"/>
    <cellStyle name="Separador de milhares 4 3 2 6 3" xfId="25166"/>
    <cellStyle name="Separador de milhares 4 3 2 6 3 2" xfId="39532"/>
    <cellStyle name="Separador de milhares 4 3 2 6 4" xfId="25167"/>
    <cellStyle name="Separador de milhares 4 3 2 6 4 2" xfId="39533"/>
    <cellStyle name="Separador de milhares 4 3 2 6 5" xfId="25168"/>
    <cellStyle name="Separador de milhares 4 3 2 6 5 2" xfId="39534"/>
    <cellStyle name="Separador de milhares 4 3 2 6 6" xfId="39530"/>
    <cellStyle name="Separador de milhares 4 3 2 7" xfId="25169"/>
    <cellStyle name="Separador de milhares 4 3 2 7 2" xfId="25170"/>
    <cellStyle name="Separador de milhares 4 3 2 7 2 2" xfId="39536"/>
    <cellStyle name="Separador de milhares 4 3 2 7 3" xfId="25171"/>
    <cellStyle name="Separador de milhares 4 3 2 7 3 2" xfId="39537"/>
    <cellStyle name="Separador de milhares 4 3 2 7 4" xfId="25172"/>
    <cellStyle name="Separador de milhares 4 3 2 7 4 2" xfId="39538"/>
    <cellStyle name="Separador de milhares 4 3 2 7 5" xfId="25173"/>
    <cellStyle name="Separador de milhares 4 3 2 7 5 2" xfId="39539"/>
    <cellStyle name="Separador de milhares 4 3 2 7 6" xfId="39535"/>
    <cellStyle name="Separador de milhares 4 3 2 8" xfId="25174"/>
    <cellStyle name="Separador de milhares 4 3 2 8 2" xfId="25175"/>
    <cellStyle name="Separador de milhares 4 3 2 8 2 2" xfId="39541"/>
    <cellStyle name="Separador de milhares 4 3 2 8 3" xfId="25176"/>
    <cellStyle name="Separador de milhares 4 3 2 8 3 2" xfId="39542"/>
    <cellStyle name="Separador de milhares 4 3 2 8 4" xfId="25177"/>
    <cellStyle name="Separador de milhares 4 3 2 8 4 2" xfId="39543"/>
    <cellStyle name="Separador de milhares 4 3 2 8 5" xfId="25178"/>
    <cellStyle name="Separador de milhares 4 3 2 8 5 2" xfId="39544"/>
    <cellStyle name="Separador de milhares 4 3 2 8 6" xfId="39540"/>
    <cellStyle name="Separador de milhares 4 3 2 9" xfId="25179"/>
    <cellStyle name="Separador de milhares 4 3 2 9 2" xfId="25180"/>
    <cellStyle name="Separador de milhares 4 3 2 9 2 2" xfId="39546"/>
    <cellStyle name="Separador de milhares 4 3 2 9 3" xfId="25181"/>
    <cellStyle name="Separador de milhares 4 3 2 9 3 2" xfId="39547"/>
    <cellStyle name="Separador de milhares 4 3 2 9 4" xfId="25182"/>
    <cellStyle name="Separador de milhares 4 3 2 9 4 2" xfId="39548"/>
    <cellStyle name="Separador de milhares 4 3 2 9 5" xfId="25183"/>
    <cellStyle name="Separador de milhares 4 3 2 9 5 2" xfId="39549"/>
    <cellStyle name="Separador de milhares 4 3 2 9 6" xfId="39545"/>
    <cellStyle name="Separador de milhares 4 3 20" xfId="25184"/>
    <cellStyle name="Separador de milhares 4 3 20 2" xfId="39550"/>
    <cellStyle name="Separador de milhares 4 3 21" xfId="25185"/>
    <cellStyle name="Separador de milhares 4 3 21 2" xfId="39551"/>
    <cellStyle name="Separador de milhares 4 3 22" xfId="25186"/>
    <cellStyle name="Separador de milhares 4 3 22 2" xfId="39552"/>
    <cellStyle name="Separador de milhares 4 3 23" xfId="25187"/>
    <cellStyle name="Separador de milhares 4 3 23 2" xfId="39553"/>
    <cellStyle name="Separador de milhares 4 3 24" xfId="25188"/>
    <cellStyle name="Separador de milhares 4 3 24 2" xfId="39554"/>
    <cellStyle name="Separador de milhares 4 3 3" xfId="25189"/>
    <cellStyle name="Separador de milhares 4 3 3 2" xfId="25190"/>
    <cellStyle name="Separador de milhares 4 3 3 3" xfId="25191"/>
    <cellStyle name="Separador de milhares 4 3 3 3 2" xfId="39556"/>
    <cellStyle name="Separador de milhares 4 3 3 4" xfId="25192"/>
    <cellStyle name="Separador de milhares 4 3 3 4 2" xfId="39557"/>
    <cellStyle name="Separador de milhares 4 3 3 5" xfId="25193"/>
    <cellStyle name="Separador de milhares 4 3 3 5 2" xfId="39558"/>
    <cellStyle name="Separador de milhares 4 3 3 6" xfId="25194"/>
    <cellStyle name="Separador de milhares 4 3 3 6 2" xfId="39559"/>
    <cellStyle name="Separador de milhares 4 3 3 7" xfId="39555"/>
    <cellStyle name="Separador de milhares 4 3 4" xfId="25195"/>
    <cellStyle name="Separador de milhares 4 3 4 2" xfId="25196"/>
    <cellStyle name="Separador de milhares 4 3 4 3" xfId="25197"/>
    <cellStyle name="Separador de milhares 4 3 4 3 2" xfId="39561"/>
    <cellStyle name="Separador de milhares 4 3 4 4" xfId="25198"/>
    <cellStyle name="Separador de milhares 4 3 4 4 2" xfId="39562"/>
    <cellStyle name="Separador de milhares 4 3 4 5" xfId="25199"/>
    <cellStyle name="Separador de milhares 4 3 4 5 2" xfId="39563"/>
    <cellStyle name="Separador de milhares 4 3 4 6" xfId="25200"/>
    <cellStyle name="Separador de milhares 4 3 4 6 2" xfId="39564"/>
    <cellStyle name="Separador de milhares 4 3 4 7" xfId="39560"/>
    <cellStyle name="Separador de milhares 4 3 5" xfId="25201"/>
    <cellStyle name="Separador de milhares 4 3 5 2" xfId="25202"/>
    <cellStyle name="Separador de milhares 4 3 5 3" xfId="25203"/>
    <cellStyle name="Separador de milhares 4 3 5 3 2" xfId="39566"/>
    <cellStyle name="Separador de milhares 4 3 5 4" xfId="25204"/>
    <cellStyle name="Separador de milhares 4 3 5 4 2" xfId="39567"/>
    <cellStyle name="Separador de milhares 4 3 5 5" xfId="25205"/>
    <cellStyle name="Separador de milhares 4 3 5 5 2" xfId="39568"/>
    <cellStyle name="Separador de milhares 4 3 5 6" xfId="25206"/>
    <cellStyle name="Separador de milhares 4 3 5 6 2" xfId="39569"/>
    <cellStyle name="Separador de milhares 4 3 5 7" xfId="39565"/>
    <cellStyle name="Separador de milhares 4 3 6" xfId="25207"/>
    <cellStyle name="Separador de milhares 4 3 6 2" xfId="25208"/>
    <cellStyle name="Separador de milhares 4 3 6 2 2" xfId="39571"/>
    <cellStyle name="Separador de milhares 4 3 6 3" xfId="25209"/>
    <cellStyle name="Separador de milhares 4 3 6 3 2" xfId="39572"/>
    <cellStyle name="Separador de milhares 4 3 6 4" xfId="25210"/>
    <cellStyle name="Separador de milhares 4 3 6 4 2" xfId="39573"/>
    <cellStyle name="Separador de milhares 4 3 6 5" xfId="25211"/>
    <cellStyle name="Separador de milhares 4 3 6 5 2" xfId="39574"/>
    <cellStyle name="Separador de milhares 4 3 6 6" xfId="39570"/>
    <cellStyle name="Separador de milhares 4 3 7" xfId="25212"/>
    <cellStyle name="Separador de milhares 4 3 7 2" xfId="25213"/>
    <cellStyle name="Separador de milhares 4 3 7 2 2" xfId="39576"/>
    <cellStyle name="Separador de milhares 4 3 7 3" xfId="25214"/>
    <cellStyle name="Separador de milhares 4 3 7 3 2" xfId="39577"/>
    <cellStyle name="Separador de milhares 4 3 7 4" xfId="25215"/>
    <cellStyle name="Separador de milhares 4 3 7 4 2" xfId="39578"/>
    <cellStyle name="Separador de milhares 4 3 7 5" xfId="25216"/>
    <cellStyle name="Separador de milhares 4 3 7 5 2" xfId="39579"/>
    <cellStyle name="Separador de milhares 4 3 7 6" xfId="39575"/>
    <cellStyle name="Separador de milhares 4 3 8" xfId="25217"/>
    <cellStyle name="Separador de milhares 4 3 8 2" xfId="25218"/>
    <cellStyle name="Separador de milhares 4 3 8 2 2" xfId="39581"/>
    <cellStyle name="Separador de milhares 4 3 8 3" xfId="25219"/>
    <cellStyle name="Separador de milhares 4 3 8 3 2" xfId="39582"/>
    <cellStyle name="Separador de milhares 4 3 8 4" xfId="25220"/>
    <cellStyle name="Separador de milhares 4 3 8 4 2" xfId="39583"/>
    <cellStyle name="Separador de milhares 4 3 8 5" xfId="25221"/>
    <cellStyle name="Separador de milhares 4 3 8 5 2" xfId="39584"/>
    <cellStyle name="Separador de milhares 4 3 8 6" xfId="39580"/>
    <cellStyle name="Separador de milhares 4 3 9" xfId="25222"/>
    <cellStyle name="Separador de milhares 4 3 9 2" xfId="25223"/>
    <cellStyle name="Separador de milhares 4 3 9 2 2" xfId="39586"/>
    <cellStyle name="Separador de milhares 4 3 9 3" xfId="25224"/>
    <cellStyle name="Separador de milhares 4 3 9 3 2" xfId="39587"/>
    <cellStyle name="Separador de milhares 4 3 9 4" xfId="25225"/>
    <cellStyle name="Separador de milhares 4 3 9 4 2" xfId="39588"/>
    <cellStyle name="Separador de milhares 4 3 9 5" xfId="25226"/>
    <cellStyle name="Separador de milhares 4 3 9 5 2" xfId="39589"/>
    <cellStyle name="Separador de milhares 4 3 9 6" xfId="39585"/>
    <cellStyle name="Separador de milhares 4 30" xfId="25227"/>
    <cellStyle name="Separador de milhares 4 30 2" xfId="25228"/>
    <cellStyle name="Separador de milhares 4 30 3" xfId="25229"/>
    <cellStyle name="Separador de milhares 4 30 4" xfId="25230"/>
    <cellStyle name="Separador de milhares 4 30 5" xfId="25231"/>
    <cellStyle name="Separador de milhares 4 30 6" xfId="25232"/>
    <cellStyle name="Separador de milhares 4 30 7" xfId="25233"/>
    <cellStyle name="Separador de milhares 4 31" xfId="25234"/>
    <cellStyle name="Separador de milhares 4 31 2" xfId="25235"/>
    <cellStyle name="Separador de milhares 4 31 3" xfId="25236"/>
    <cellStyle name="Separador de milhares 4 31 4" xfId="25237"/>
    <cellStyle name="Separador de milhares 4 31 5" xfId="25238"/>
    <cellStyle name="Separador de milhares 4 31 6" xfId="25239"/>
    <cellStyle name="Separador de milhares 4 31 7" xfId="25240"/>
    <cellStyle name="Separador de milhares 4 32" xfId="25241"/>
    <cellStyle name="Separador de milhares 4 33" xfId="25242"/>
    <cellStyle name="Separador de milhares 4 34" xfId="25243"/>
    <cellStyle name="Separador de milhares 4 35" xfId="25244"/>
    <cellStyle name="Separador de milhares 4 36" xfId="25245"/>
    <cellStyle name="Separador de milhares 4 37" xfId="25246"/>
    <cellStyle name="Separador de milhares 4 38" xfId="25247"/>
    <cellStyle name="Separador de milhares 4 39" xfId="25248"/>
    <cellStyle name="Separador de milhares 4 4" xfId="25249"/>
    <cellStyle name="Separador de milhares 4 4 10" xfId="25250"/>
    <cellStyle name="Separador de milhares 4 4 11" xfId="25251"/>
    <cellStyle name="Separador de milhares 4 4 12" xfId="25252"/>
    <cellStyle name="Separador de milhares 4 4 13" xfId="25253"/>
    <cellStyle name="Separador de milhares 4 4 14" xfId="25254"/>
    <cellStyle name="Separador de milhares 4 4 15" xfId="25255"/>
    <cellStyle name="Separador de milhares 4 4 16" xfId="25256"/>
    <cellStyle name="Separador de milhares 4 4 17" xfId="25257"/>
    <cellStyle name="Separador de milhares 4 4 18" xfId="25258"/>
    <cellStyle name="Separador de milhares 4 4 19" xfId="25259"/>
    <cellStyle name="Separador de milhares 4 4 2" xfId="25260"/>
    <cellStyle name="Separador de milhares 4 4 2 10" xfId="25261"/>
    <cellStyle name="Separador de milhares 4 4 2 11" xfId="25262"/>
    <cellStyle name="Separador de milhares 4 4 2 12" xfId="25263"/>
    <cellStyle name="Separador de milhares 4 4 2 13" xfId="25264"/>
    <cellStyle name="Separador de milhares 4 4 2 14" xfId="25265"/>
    <cellStyle name="Separador de milhares 4 4 2 15" xfId="25266"/>
    <cellStyle name="Separador de milhares 4 4 2 16" xfId="25267"/>
    <cellStyle name="Separador de milhares 4 4 2 2" xfId="25268"/>
    <cellStyle name="Separador de milhares 4 4 2 3" xfId="25269"/>
    <cellStyle name="Separador de milhares 4 4 2 4" xfId="25270"/>
    <cellStyle name="Separador de milhares 4 4 2 5" xfId="25271"/>
    <cellStyle name="Separador de milhares 4 4 2 6" xfId="25272"/>
    <cellStyle name="Separador de milhares 4 4 2 7" xfId="25273"/>
    <cellStyle name="Separador de milhares 4 4 2 8" xfId="25274"/>
    <cellStyle name="Separador de milhares 4 4 2 9" xfId="25275"/>
    <cellStyle name="Separador de milhares 4 4 3" xfId="25276"/>
    <cellStyle name="Separador de milhares 4 4 4" xfId="25277"/>
    <cellStyle name="Separador de milhares 4 4 5" xfId="25278"/>
    <cellStyle name="Separador de milhares 4 4 6" xfId="25279"/>
    <cellStyle name="Separador de milhares 4 4 7" xfId="25280"/>
    <cellStyle name="Separador de milhares 4 4 8" xfId="25281"/>
    <cellStyle name="Separador de milhares 4 4 9" xfId="25282"/>
    <cellStyle name="Separador de milhares 4 40" xfId="25283"/>
    <cellStyle name="Separador de milhares 4 41" xfId="25284"/>
    <cellStyle name="Separador de milhares 4 42" xfId="25285"/>
    <cellStyle name="Separador de milhares 4 43" xfId="25286"/>
    <cellStyle name="Separador de milhares 4 5" xfId="25287"/>
    <cellStyle name="Separador de milhares 4 5 10" xfId="25288"/>
    <cellStyle name="Separador de milhares 4 5 11" xfId="25289"/>
    <cellStyle name="Separador de milhares 4 5 12" xfId="25290"/>
    <cellStyle name="Separador de milhares 4 5 13" xfId="25291"/>
    <cellStyle name="Separador de milhares 4 5 14" xfId="25292"/>
    <cellStyle name="Separador de milhares 4 5 15" xfId="25293"/>
    <cellStyle name="Separador de milhares 4 5 16" xfId="25294"/>
    <cellStyle name="Separador de milhares 4 5 17" xfId="25295"/>
    <cellStyle name="Separador de milhares 4 5 18" xfId="25296"/>
    <cellStyle name="Separador de milhares 4 5 19" xfId="25297"/>
    <cellStyle name="Separador de milhares 4 5 2" xfId="25298"/>
    <cellStyle name="Separador de milhares 4 5 2 2" xfId="25299"/>
    <cellStyle name="Separador de milhares 4 5 2 3" xfId="25300"/>
    <cellStyle name="Separador de milhares 4 5 2 4" xfId="25301"/>
    <cellStyle name="Separador de milhares 4 5 2 5" xfId="25302"/>
    <cellStyle name="Separador de milhares 4 5 2 6" xfId="25303"/>
    <cellStyle name="Separador de milhares 4 5 2 7" xfId="25304"/>
    <cellStyle name="Separador de milhares 4 5 20" xfId="25305"/>
    <cellStyle name="Separador de milhares 4 5 21" xfId="25306"/>
    <cellStyle name="Separador de milhares 4 5 22" xfId="25307"/>
    <cellStyle name="Separador de milhares 4 5 23" xfId="25308"/>
    <cellStyle name="Separador de milhares 4 5 24" xfId="25309"/>
    <cellStyle name="Separador de milhares 4 5 3" xfId="25310"/>
    <cellStyle name="Separador de milhares 4 5 4" xfId="25311"/>
    <cellStyle name="Separador de milhares 4 5 5" xfId="25312"/>
    <cellStyle name="Separador de milhares 4 5 6" xfId="25313"/>
    <cellStyle name="Separador de milhares 4 5 7" xfId="25314"/>
    <cellStyle name="Separador de milhares 4 5 8" xfId="25315"/>
    <cellStyle name="Separador de milhares 4 5 9" xfId="25316"/>
    <cellStyle name="Separador de milhares 4 6" xfId="25317"/>
    <cellStyle name="Separador de milhares 4 6 2" xfId="25318"/>
    <cellStyle name="Separador de milhares 4 6 2 2" xfId="25319"/>
    <cellStyle name="Separador de milhares 4 6 2 3" xfId="25320"/>
    <cellStyle name="Separador de milhares 4 6 2 4" xfId="25321"/>
    <cellStyle name="Separador de milhares 4 6 2 5" xfId="25322"/>
    <cellStyle name="Separador de milhares 4 6 2 6" xfId="25323"/>
    <cellStyle name="Separador de milhares 4 6 2 7" xfId="25324"/>
    <cellStyle name="Separador de milhares 4 6 3" xfId="25325"/>
    <cellStyle name="Separador de milhares 4 6 4" xfId="25326"/>
    <cellStyle name="Separador de milhares 4 6 5" xfId="25327"/>
    <cellStyle name="Separador de milhares 4 6 6" xfId="25328"/>
    <cellStyle name="Separador de milhares 4 6 7" xfId="25329"/>
    <cellStyle name="Separador de milhares 4 7" xfId="25330"/>
    <cellStyle name="Separador de milhares 4 7 2" xfId="25331"/>
    <cellStyle name="Separador de milhares 4 7 2 2" xfId="25332"/>
    <cellStyle name="Separador de milhares 4 7 2 3" xfId="25333"/>
    <cellStyle name="Separador de milhares 4 7 2 4" xfId="25334"/>
    <cellStyle name="Separador de milhares 4 7 2 5" xfId="25335"/>
    <cellStyle name="Separador de milhares 4 7 2 6" xfId="25336"/>
    <cellStyle name="Separador de milhares 4 7 2 7" xfId="25337"/>
    <cellStyle name="Separador de milhares 4 7 3" xfId="25338"/>
    <cellStyle name="Separador de milhares 4 7 4" xfId="25339"/>
    <cellStyle name="Separador de milhares 4 7 5" xfId="25340"/>
    <cellStyle name="Separador de milhares 4 7 6" xfId="25341"/>
    <cellStyle name="Separador de milhares 4 7 7" xfId="25342"/>
    <cellStyle name="Separador de milhares 4 8" xfId="25343"/>
    <cellStyle name="Separador de milhares 4 8 2" xfId="25344"/>
    <cellStyle name="Separador de milhares 4 8 2 2" xfId="25345"/>
    <cellStyle name="Separador de milhares 4 8 2 3" xfId="25346"/>
    <cellStyle name="Separador de milhares 4 8 2 4" xfId="25347"/>
    <cellStyle name="Separador de milhares 4 8 2 5" xfId="25348"/>
    <cellStyle name="Separador de milhares 4 8 2 6" xfId="25349"/>
    <cellStyle name="Separador de milhares 4 8 2 7" xfId="25350"/>
    <cellStyle name="Separador de milhares 4 8 3" xfId="25351"/>
    <cellStyle name="Separador de milhares 4 8 4" xfId="25352"/>
    <cellStyle name="Separador de milhares 4 8 5" xfId="25353"/>
    <cellStyle name="Separador de milhares 4 8 6" xfId="25354"/>
    <cellStyle name="Separador de milhares 4 8 7" xfId="25355"/>
    <cellStyle name="Separador de milhares 4 9" xfId="25356"/>
    <cellStyle name="Separador de milhares 4 9 2" xfId="25357"/>
    <cellStyle name="Separador de milhares 4 9 2 2" xfId="25358"/>
    <cellStyle name="Separador de milhares 4 9 2 3" xfId="25359"/>
    <cellStyle name="Separador de milhares 4 9 2 4" xfId="25360"/>
    <cellStyle name="Separador de milhares 4 9 2 5" xfId="25361"/>
    <cellStyle name="Separador de milhares 4 9 2 6" xfId="25362"/>
    <cellStyle name="Separador de milhares 4 9 2 7" xfId="25363"/>
    <cellStyle name="Separador de milhares 4 9 2 8" xfId="39590"/>
    <cellStyle name="Separador de milhares 4 9 3" xfId="25364"/>
    <cellStyle name="Separador de milhares 4 9 3 2" xfId="39591"/>
    <cellStyle name="Separador de milhares 4 9 4" xfId="25365"/>
    <cellStyle name="Separador de milhares 4 9 4 2" xfId="39592"/>
    <cellStyle name="Separador de milhares 4 9 5" xfId="25366"/>
    <cellStyle name="Separador de milhares 4 9 5 2" xfId="39593"/>
    <cellStyle name="Separador de milhares 4 9 6" xfId="25367"/>
    <cellStyle name="Separador de milhares 4 9 6 2" xfId="39594"/>
    <cellStyle name="Separador de milhares 4 9 7" xfId="25368"/>
    <cellStyle name="Separador de milhares 4 9 7 2" xfId="39595"/>
    <cellStyle name="Separador de milhares 40" xfId="25369"/>
    <cellStyle name="Separador de milhares 41" xfId="25370"/>
    <cellStyle name="Separador de milhares 42" xfId="25371"/>
    <cellStyle name="Separador de milhares 43" xfId="25372"/>
    <cellStyle name="Separador de milhares 44" xfId="25373"/>
    <cellStyle name="Separador de milhares 45" xfId="25374"/>
    <cellStyle name="Separador de milhares 46" xfId="25375"/>
    <cellStyle name="Separador de milhares 47" xfId="25376"/>
    <cellStyle name="Separador de milhares 47 2" xfId="25377"/>
    <cellStyle name="Separador de milhares 48" xfId="25378"/>
    <cellStyle name="Separador de milhares 49" xfId="25379"/>
    <cellStyle name="Separador de milhares 5" xfId="25380"/>
    <cellStyle name="Separador de milhares 5 10" xfId="25381"/>
    <cellStyle name="Separador de milhares 5 11" xfId="25382"/>
    <cellStyle name="Separador de milhares 5 12" xfId="25383"/>
    <cellStyle name="Separador de milhares 5 13" xfId="25384"/>
    <cellStyle name="Separador de milhares 5 14" xfId="25385"/>
    <cellStyle name="Separador de milhares 5 15" xfId="25386"/>
    <cellStyle name="Separador de milhares 5 16" xfId="25387"/>
    <cellStyle name="Separador de milhares 5 17" xfId="25388"/>
    <cellStyle name="Separador de milhares 5 18" xfId="25389"/>
    <cellStyle name="Separador de milhares 5 19" xfId="25390"/>
    <cellStyle name="Separador de milhares 5 2" xfId="25391"/>
    <cellStyle name="Separador de milhares 5 2 10" xfId="25392"/>
    <cellStyle name="Separador de milhares 5 2 10 2" xfId="25393"/>
    <cellStyle name="Separador de milhares 5 2 10 2 2" xfId="39597"/>
    <cellStyle name="Separador de milhares 5 2 10 3" xfId="25394"/>
    <cellStyle name="Separador de milhares 5 2 10 3 2" xfId="39598"/>
    <cellStyle name="Separador de milhares 5 2 10 4" xfId="25395"/>
    <cellStyle name="Separador de milhares 5 2 10 4 2" xfId="39599"/>
    <cellStyle name="Separador de milhares 5 2 10 5" xfId="25396"/>
    <cellStyle name="Separador de milhares 5 2 10 5 2" xfId="39600"/>
    <cellStyle name="Separador de milhares 5 2 10 6" xfId="39596"/>
    <cellStyle name="Separador de milhares 5 2 11" xfId="25397"/>
    <cellStyle name="Separador de milhares 5 2 11 2" xfId="25398"/>
    <cellStyle name="Separador de milhares 5 2 11 2 2" xfId="39602"/>
    <cellStyle name="Separador de milhares 5 2 11 3" xfId="25399"/>
    <cellStyle name="Separador de milhares 5 2 11 3 2" xfId="39603"/>
    <cellStyle name="Separador de milhares 5 2 11 4" xfId="25400"/>
    <cellStyle name="Separador de milhares 5 2 11 4 2" xfId="39604"/>
    <cellStyle name="Separador de milhares 5 2 11 5" xfId="25401"/>
    <cellStyle name="Separador de milhares 5 2 11 5 2" xfId="39605"/>
    <cellStyle name="Separador de milhares 5 2 11 6" xfId="39601"/>
    <cellStyle name="Separador de milhares 5 2 12" xfId="25402"/>
    <cellStyle name="Separador de milhares 5 2 12 2" xfId="25403"/>
    <cellStyle name="Separador de milhares 5 2 12 2 2" xfId="39607"/>
    <cellStyle name="Separador de milhares 5 2 12 3" xfId="25404"/>
    <cellStyle name="Separador de milhares 5 2 12 3 2" xfId="39608"/>
    <cellStyle name="Separador de milhares 5 2 12 4" xfId="25405"/>
    <cellStyle name="Separador de milhares 5 2 12 4 2" xfId="39609"/>
    <cellStyle name="Separador de milhares 5 2 12 5" xfId="25406"/>
    <cellStyle name="Separador de milhares 5 2 12 5 2" xfId="39610"/>
    <cellStyle name="Separador de milhares 5 2 12 6" xfId="39606"/>
    <cellStyle name="Separador de milhares 5 2 13" xfId="25407"/>
    <cellStyle name="Separador de milhares 5 2 13 2" xfId="25408"/>
    <cellStyle name="Separador de milhares 5 2 13 2 2" xfId="39612"/>
    <cellStyle name="Separador de milhares 5 2 13 3" xfId="25409"/>
    <cellStyle name="Separador de milhares 5 2 13 3 2" xfId="39613"/>
    <cellStyle name="Separador de milhares 5 2 13 4" xfId="25410"/>
    <cellStyle name="Separador de milhares 5 2 13 4 2" xfId="39614"/>
    <cellStyle name="Separador de milhares 5 2 13 5" xfId="25411"/>
    <cellStyle name="Separador de milhares 5 2 13 5 2" xfId="39615"/>
    <cellStyle name="Separador de milhares 5 2 13 6" xfId="39611"/>
    <cellStyle name="Separador de milhares 5 2 14" xfId="25412"/>
    <cellStyle name="Separador de milhares 5 2 14 2" xfId="25413"/>
    <cellStyle name="Separador de milhares 5 2 14 2 2" xfId="39617"/>
    <cellStyle name="Separador de milhares 5 2 14 3" xfId="25414"/>
    <cellStyle name="Separador de milhares 5 2 14 3 2" xfId="39618"/>
    <cellStyle name="Separador de milhares 5 2 14 4" xfId="25415"/>
    <cellStyle name="Separador de milhares 5 2 14 4 2" xfId="39619"/>
    <cellStyle name="Separador de milhares 5 2 14 5" xfId="25416"/>
    <cellStyle name="Separador de milhares 5 2 14 5 2" xfId="39620"/>
    <cellStyle name="Separador de milhares 5 2 14 6" xfId="39616"/>
    <cellStyle name="Separador de milhares 5 2 15" xfId="25417"/>
    <cellStyle name="Separador de milhares 5 2 15 2" xfId="25418"/>
    <cellStyle name="Separador de milhares 5 2 15 2 2" xfId="39622"/>
    <cellStyle name="Separador de milhares 5 2 15 3" xfId="25419"/>
    <cellStyle name="Separador de milhares 5 2 15 3 2" xfId="39623"/>
    <cellStyle name="Separador de milhares 5 2 15 4" xfId="25420"/>
    <cellStyle name="Separador de milhares 5 2 15 4 2" xfId="39624"/>
    <cellStyle name="Separador de milhares 5 2 15 5" xfId="25421"/>
    <cellStyle name="Separador de milhares 5 2 15 5 2" xfId="39625"/>
    <cellStyle name="Separador de milhares 5 2 15 6" xfId="39621"/>
    <cellStyle name="Separador de milhares 5 2 16" xfId="25422"/>
    <cellStyle name="Separador de milhares 5 2 16 2" xfId="25423"/>
    <cellStyle name="Separador de milhares 5 2 16 2 2" xfId="39627"/>
    <cellStyle name="Separador de milhares 5 2 16 3" xfId="25424"/>
    <cellStyle name="Separador de milhares 5 2 16 3 2" xfId="39628"/>
    <cellStyle name="Separador de milhares 5 2 16 4" xfId="25425"/>
    <cellStyle name="Separador de milhares 5 2 16 4 2" xfId="39629"/>
    <cellStyle name="Separador de milhares 5 2 16 5" xfId="25426"/>
    <cellStyle name="Separador de milhares 5 2 16 5 2" xfId="39630"/>
    <cellStyle name="Separador de milhares 5 2 16 6" xfId="39626"/>
    <cellStyle name="Separador de milhares 5 2 17" xfId="25427"/>
    <cellStyle name="Separador de milhares 5 2 17 2" xfId="39631"/>
    <cellStyle name="Separador de milhares 5 2 18" xfId="25428"/>
    <cellStyle name="Separador de milhares 5 2 18 2" xfId="39632"/>
    <cellStyle name="Separador de milhares 5 2 19" xfId="25429"/>
    <cellStyle name="Separador de milhares 5 2 19 2" xfId="39633"/>
    <cellStyle name="Separador de milhares 5 2 2" xfId="25430"/>
    <cellStyle name="Separador de milhares 5 2 2 10" xfId="25431"/>
    <cellStyle name="Separador de milhares 5 2 2 10 2" xfId="39635"/>
    <cellStyle name="Separador de milhares 5 2 2 11" xfId="25432"/>
    <cellStyle name="Separador de milhares 5 2 2 11 2" xfId="39636"/>
    <cellStyle name="Separador de milhares 5 2 2 12" xfId="39634"/>
    <cellStyle name="Separador de milhares 5 2 2 2" xfId="25433"/>
    <cellStyle name="Separador de milhares 5 2 2 2 2" xfId="25434"/>
    <cellStyle name="Separador de milhares 5 2 2 2 2 2" xfId="39638"/>
    <cellStyle name="Separador de milhares 5 2 2 2 3" xfId="25435"/>
    <cellStyle name="Separador de milhares 5 2 2 2 3 2" xfId="39639"/>
    <cellStyle name="Separador de milhares 5 2 2 2 4" xfId="25436"/>
    <cellStyle name="Separador de milhares 5 2 2 2 4 2" xfId="39640"/>
    <cellStyle name="Separador de milhares 5 2 2 2 5" xfId="25437"/>
    <cellStyle name="Separador de milhares 5 2 2 2 5 2" xfId="39641"/>
    <cellStyle name="Separador de milhares 5 2 2 2 6" xfId="39637"/>
    <cellStyle name="Separador de milhares 5 2 2 3" xfId="25438"/>
    <cellStyle name="Separador de milhares 5 2 2 3 2" xfId="25439"/>
    <cellStyle name="Separador de milhares 5 2 2 3 2 2" xfId="39643"/>
    <cellStyle name="Separador de milhares 5 2 2 3 3" xfId="25440"/>
    <cellStyle name="Separador de milhares 5 2 2 3 3 2" xfId="39644"/>
    <cellStyle name="Separador de milhares 5 2 2 3 4" xfId="25441"/>
    <cellStyle name="Separador de milhares 5 2 2 3 4 2" xfId="39645"/>
    <cellStyle name="Separador de milhares 5 2 2 3 5" xfId="25442"/>
    <cellStyle name="Separador de milhares 5 2 2 3 5 2" xfId="39646"/>
    <cellStyle name="Separador de milhares 5 2 2 3 6" xfId="39642"/>
    <cellStyle name="Separador de milhares 5 2 2 4" xfId="25443"/>
    <cellStyle name="Separador de milhares 5 2 2 4 2" xfId="25444"/>
    <cellStyle name="Separador de milhares 5 2 2 4 2 2" xfId="39648"/>
    <cellStyle name="Separador de milhares 5 2 2 4 3" xfId="25445"/>
    <cellStyle name="Separador de milhares 5 2 2 4 3 2" xfId="39649"/>
    <cellStyle name="Separador de milhares 5 2 2 4 4" xfId="25446"/>
    <cellStyle name="Separador de milhares 5 2 2 4 4 2" xfId="39650"/>
    <cellStyle name="Separador de milhares 5 2 2 4 5" xfId="25447"/>
    <cellStyle name="Separador de milhares 5 2 2 4 5 2" xfId="39651"/>
    <cellStyle name="Separador de milhares 5 2 2 4 6" xfId="39647"/>
    <cellStyle name="Separador de milhares 5 2 2 5" xfId="25448"/>
    <cellStyle name="Separador de milhares 5 2 2 5 2" xfId="25449"/>
    <cellStyle name="Separador de milhares 5 2 2 5 2 2" xfId="39653"/>
    <cellStyle name="Separador de milhares 5 2 2 5 3" xfId="25450"/>
    <cellStyle name="Separador de milhares 5 2 2 5 3 2" xfId="39654"/>
    <cellStyle name="Separador de milhares 5 2 2 5 4" xfId="25451"/>
    <cellStyle name="Separador de milhares 5 2 2 5 4 2" xfId="39655"/>
    <cellStyle name="Separador de milhares 5 2 2 5 5" xfId="25452"/>
    <cellStyle name="Separador de milhares 5 2 2 5 5 2" xfId="39656"/>
    <cellStyle name="Separador de milhares 5 2 2 5 6" xfId="39652"/>
    <cellStyle name="Separador de milhares 5 2 2 6" xfId="25453"/>
    <cellStyle name="Separador de milhares 5 2 2 6 2" xfId="25454"/>
    <cellStyle name="Separador de milhares 5 2 2 6 2 2" xfId="39658"/>
    <cellStyle name="Separador de milhares 5 2 2 6 3" xfId="25455"/>
    <cellStyle name="Separador de milhares 5 2 2 6 3 2" xfId="39659"/>
    <cellStyle name="Separador de milhares 5 2 2 6 4" xfId="25456"/>
    <cellStyle name="Separador de milhares 5 2 2 6 4 2" xfId="39660"/>
    <cellStyle name="Separador de milhares 5 2 2 6 5" xfId="25457"/>
    <cellStyle name="Separador de milhares 5 2 2 6 5 2" xfId="39661"/>
    <cellStyle name="Separador de milhares 5 2 2 6 6" xfId="39657"/>
    <cellStyle name="Separador de milhares 5 2 2 7" xfId="25458"/>
    <cellStyle name="Separador de milhares 5 2 2 7 2" xfId="25459"/>
    <cellStyle name="Separador de milhares 5 2 2 7 2 2" xfId="39663"/>
    <cellStyle name="Separador de milhares 5 2 2 7 3" xfId="25460"/>
    <cellStyle name="Separador de milhares 5 2 2 7 3 2" xfId="39664"/>
    <cellStyle name="Separador de milhares 5 2 2 7 4" xfId="25461"/>
    <cellStyle name="Separador de milhares 5 2 2 7 4 2" xfId="39665"/>
    <cellStyle name="Separador de milhares 5 2 2 7 5" xfId="25462"/>
    <cellStyle name="Separador de milhares 5 2 2 7 5 2" xfId="39666"/>
    <cellStyle name="Separador de milhares 5 2 2 7 6" xfId="39662"/>
    <cellStyle name="Separador de milhares 5 2 2 8" xfId="25463"/>
    <cellStyle name="Separador de milhares 5 2 2 8 2" xfId="39667"/>
    <cellStyle name="Separador de milhares 5 2 2 9" xfId="25464"/>
    <cellStyle name="Separador de milhares 5 2 2 9 2" xfId="39668"/>
    <cellStyle name="Separador de milhares 5 2 20" xfId="25465"/>
    <cellStyle name="Separador de milhares 5 2 20 2" xfId="39669"/>
    <cellStyle name="Separador de milhares 5 2 21" xfId="25466"/>
    <cellStyle name="Separador de milhares 5 2 21 2" xfId="39670"/>
    <cellStyle name="Separador de milhares 5 2 3" xfId="25467"/>
    <cellStyle name="Separador de milhares 5 2 3 2" xfId="25468"/>
    <cellStyle name="Separador de milhares 5 2 3 2 2" xfId="25469"/>
    <cellStyle name="Separador de milhares 5 2 3 2 2 2" xfId="39673"/>
    <cellStyle name="Separador de milhares 5 2 3 2 3" xfId="25470"/>
    <cellStyle name="Separador de milhares 5 2 3 2 3 2" xfId="39674"/>
    <cellStyle name="Separador de milhares 5 2 3 2 4" xfId="25471"/>
    <cellStyle name="Separador de milhares 5 2 3 2 4 2" xfId="39675"/>
    <cellStyle name="Separador de milhares 5 2 3 2 5" xfId="25472"/>
    <cellStyle name="Separador de milhares 5 2 3 2 5 2" xfId="39676"/>
    <cellStyle name="Separador de milhares 5 2 3 2 6" xfId="39672"/>
    <cellStyle name="Separador de milhares 5 2 3 3" xfId="25473"/>
    <cellStyle name="Separador de milhares 5 2 3 3 2" xfId="39677"/>
    <cellStyle name="Separador de milhares 5 2 3 4" xfId="25474"/>
    <cellStyle name="Separador de milhares 5 2 3 4 2" xfId="39678"/>
    <cellStyle name="Separador de milhares 5 2 3 5" xfId="25475"/>
    <cellStyle name="Separador de milhares 5 2 3 5 2" xfId="39679"/>
    <cellStyle name="Separador de milhares 5 2 3 6" xfId="25476"/>
    <cellStyle name="Separador de milhares 5 2 3 6 2" xfId="39680"/>
    <cellStyle name="Separador de milhares 5 2 3 7" xfId="39671"/>
    <cellStyle name="Separador de milhares 5 2 4" xfId="25477"/>
    <cellStyle name="Separador de milhares 5 2 4 2" xfId="25478"/>
    <cellStyle name="Separador de milhares 5 2 4 2 2" xfId="25479"/>
    <cellStyle name="Separador de milhares 5 2 4 2 2 2" xfId="39683"/>
    <cellStyle name="Separador de milhares 5 2 4 2 3" xfId="25480"/>
    <cellStyle name="Separador de milhares 5 2 4 2 3 2" xfId="39684"/>
    <cellStyle name="Separador de milhares 5 2 4 2 4" xfId="25481"/>
    <cellStyle name="Separador de milhares 5 2 4 2 4 2" xfId="39685"/>
    <cellStyle name="Separador de milhares 5 2 4 2 5" xfId="25482"/>
    <cellStyle name="Separador de milhares 5 2 4 2 5 2" xfId="39686"/>
    <cellStyle name="Separador de milhares 5 2 4 2 6" xfId="39682"/>
    <cellStyle name="Separador de milhares 5 2 4 3" xfId="25483"/>
    <cellStyle name="Separador de milhares 5 2 4 3 2" xfId="39687"/>
    <cellStyle name="Separador de milhares 5 2 4 4" xfId="25484"/>
    <cellStyle name="Separador de milhares 5 2 4 4 2" xfId="39688"/>
    <cellStyle name="Separador de milhares 5 2 4 5" xfId="25485"/>
    <cellStyle name="Separador de milhares 5 2 4 5 2" xfId="39689"/>
    <cellStyle name="Separador de milhares 5 2 4 6" xfId="25486"/>
    <cellStyle name="Separador de milhares 5 2 4 6 2" xfId="39690"/>
    <cellStyle name="Separador de milhares 5 2 4 7" xfId="39681"/>
    <cellStyle name="Separador de milhares 5 2 5" xfId="25487"/>
    <cellStyle name="Separador de milhares 5 2 5 2" xfId="25488"/>
    <cellStyle name="Separador de milhares 5 2 5 2 2" xfId="39692"/>
    <cellStyle name="Separador de milhares 5 2 5 3" xfId="25489"/>
    <cellStyle name="Separador de milhares 5 2 5 3 2" xfId="39693"/>
    <cellStyle name="Separador de milhares 5 2 5 4" xfId="25490"/>
    <cellStyle name="Separador de milhares 5 2 5 4 2" xfId="39694"/>
    <cellStyle name="Separador de milhares 5 2 5 5" xfId="25491"/>
    <cellStyle name="Separador de milhares 5 2 5 5 2" xfId="39695"/>
    <cellStyle name="Separador de milhares 5 2 5 6" xfId="39691"/>
    <cellStyle name="Separador de milhares 5 2 6" xfId="25492"/>
    <cellStyle name="Separador de milhares 5 2 6 2" xfId="25493"/>
    <cellStyle name="Separador de milhares 5 2 6 2 2" xfId="39697"/>
    <cellStyle name="Separador de milhares 5 2 6 3" xfId="25494"/>
    <cellStyle name="Separador de milhares 5 2 6 3 2" xfId="39698"/>
    <cellStyle name="Separador de milhares 5 2 6 4" xfId="25495"/>
    <cellStyle name="Separador de milhares 5 2 6 4 2" xfId="39699"/>
    <cellStyle name="Separador de milhares 5 2 6 5" xfId="25496"/>
    <cellStyle name="Separador de milhares 5 2 6 5 2" xfId="39700"/>
    <cellStyle name="Separador de milhares 5 2 6 6" xfId="39696"/>
    <cellStyle name="Separador de milhares 5 2 7" xfId="25497"/>
    <cellStyle name="Separador de milhares 5 2 7 2" xfId="25498"/>
    <cellStyle name="Separador de milhares 5 2 7 2 2" xfId="39702"/>
    <cellStyle name="Separador de milhares 5 2 7 3" xfId="25499"/>
    <cellStyle name="Separador de milhares 5 2 7 3 2" xfId="39703"/>
    <cellStyle name="Separador de milhares 5 2 7 4" xfId="25500"/>
    <cellStyle name="Separador de milhares 5 2 7 4 2" xfId="39704"/>
    <cellStyle name="Separador de milhares 5 2 7 5" xfId="25501"/>
    <cellStyle name="Separador de milhares 5 2 7 5 2" xfId="39705"/>
    <cellStyle name="Separador de milhares 5 2 7 6" xfId="39701"/>
    <cellStyle name="Separador de milhares 5 2 8" xfId="25502"/>
    <cellStyle name="Separador de milhares 5 2 8 2" xfId="25503"/>
    <cellStyle name="Separador de milhares 5 2 8 2 2" xfId="39707"/>
    <cellStyle name="Separador de milhares 5 2 8 3" xfId="25504"/>
    <cellStyle name="Separador de milhares 5 2 8 3 2" xfId="39708"/>
    <cellStyle name="Separador de milhares 5 2 8 4" xfId="25505"/>
    <cellStyle name="Separador de milhares 5 2 8 4 2" xfId="39709"/>
    <cellStyle name="Separador de milhares 5 2 8 5" xfId="25506"/>
    <cellStyle name="Separador de milhares 5 2 8 5 2" xfId="39710"/>
    <cellStyle name="Separador de milhares 5 2 8 6" xfId="39706"/>
    <cellStyle name="Separador de milhares 5 2 9" xfId="25507"/>
    <cellStyle name="Separador de milhares 5 2 9 2" xfId="25508"/>
    <cellStyle name="Separador de milhares 5 2 9 2 2" xfId="39712"/>
    <cellStyle name="Separador de milhares 5 2 9 3" xfId="25509"/>
    <cellStyle name="Separador de milhares 5 2 9 3 2" xfId="39713"/>
    <cellStyle name="Separador de milhares 5 2 9 4" xfId="25510"/>
    <cellStyle name="Separador de milhares 5 2 9 4 2" xfId="39714"/>
    <cellStyle name="Separador de milhares 5 2 9 5" xfId="25511"/>
    <cellStyle name="Separador de milhares 5 2 9 5 2" xfId="39715"/>
    <cellStyle name="Separador de milhares 5 2 9 6" xfId="39711"/>
    <cellStyle name="Separador de milhares 5 20" xfId="25512"/>
    <cellStyle name="Separador de milhares 5 21" xfId="25513"/>
    <cellStyle name="Separador de milhares 5 22" xfId="25514"/>
    <cellStyle name="Separador de milhares 5 23" xfId="25515"/>
    <cellStyle name="Separador de milhares 5 3" xfId="25516"/>
    <cellStyle name="Separador de milhares 5 3 10" xfId="25517"/>
    <cellStyle name="Separador de milhares 5 3 10 2" xfId="25518"/>
    <cellStyle name="Separador de milhares 5 3 10 2 2" xfId="39718"/>
    <cellStyle name="Separador de milhares 5 3 10 3" xfId="25519"/>
    <cellStyle name="Separador de milhares 5 3 10 3 2" xfId="39719"/>
    <cellStyle name="Separador de milhares 5 3 10 4" xfId="25520"/>
    <cellStyle name="Separador de milhares 5 3 10 4 2" xfId="39720"/>
    <cellStyle name="Separador de milhares 5 3 10 5" xfId="25521"/>
    <cellStyle name="Separador de milhares 5 3 10 5 2" xfId="39721"/>
    <cellStyle name="Separador de milhares 5 3 10 6" xfId="39717"/>
    <cellStyle name="Separador de milhares 5 3 11" xfId="25522"/>
    <cellStyle name="Separador de milhares 5 3 11 2" xfId="25523"/>
    <cellStyle name="Separador de milhares 5 3 11 2 2" xfId="39723"/>
    <cellStyle name="Separador de milhares 5 3 11 3" xfId="25524"/>
    <cellStyle name="Separador de milhares 5 3 11 3 2" xfId="39724"/>
    <cellStyle name="Separador de milhares 5 3 11 4" xfId="25525"/>
    <cellStyle name="Separador de milhares 5 3 11 4 2" xfId="39725"/>
    <cellStyle name="Separador de milhares 5 3 11 5" xfId="25526"/>
    <cellStyle name="Separador de milhares 5 3 11 5 2" xfId="39726"/>
    <cellStyle name="Separador de milhares 5 3 11 6" xfId="39722"/>
    <cellStyle name="Separador de milhares 5 3 12" xfId="25527"/>
    <cellStyle name="Separador de milhares 5 3 12 2" xfId="25528"/>
    <cellStyle name="Separador de milhares 5 3 12 2 2" xfId="39728"/>
    <cellStyle name="Separador de milhares 5 3 12 3" xfId="25529"/>
    <cellStyle name="Separador de milhares 5 3 12 3 2" xfId="39729"/>
    <cellStyle name="Separador de milhares 5 3 12 4" xfId="25530"/>
    <cellStyle name="Separador de milhares 5 3 12 4 2" xfId="39730"/>
    <cellStyle name="Separador de milhares 5 3 12 5" xfId="25531"/>
    <cellStyle name="Separador de milhares 5 3 12 5 2" xfId="39731"/>
    <cellStyle name="Separador de milhares 5 3 12 6" xfId="39727"/>
    <cellStyle name="Separador de milhares 5 3 13" xfId="25532"/>
    <cellStyle name="Separador de milhares 5 3 13 2" xfId="25533"/>
    <cellStyle name="Separador de milhares 5 3 13 2 2" xfId="39733"/>
    <cellStyle name="Separador de milhares 5 3 13 3" xfId="25534"/>
    <cellStyle name="Separador de milhares 5 3 13 3 2" xfId="39734"/>
    <cellStyle name="Separador de milhares 5 3 13 4" xfId="25535"/>
    <cellStyle name="Separador de milhares 5 3 13 4 2" xfId="39735"/>
    <cellStyle name="Separador de milhares 5 3 13 5" xfId="25536"/>
    <cellStyle name="Separador de milhares 5 3 13 5 2" xfId="39736"/>
    <cellStyle name="Separador de milhares 5 3 13 6" xfId="39732"/>
    <cellStyle name="Separador de milhares 5 3 14" xfId="25537"/>
    <cellStyle name="Separador de milhares 5 3 14 2" xfId="25538"/>
    <cellStyle name="Separador de milhares 5 3 14 2 2" xfId="39738"/>
    <cellStyle name="Separador de milhares 5 3 14 3" xfId="25539"/>
    <cellStyle name="Separador de milhares 5 3 14 3 2" xfId="39739"/>
    <cellStyle name="Separador de milhares 5 3 14 4" xfId="25540"/>
    <cellStyle name="Separador de milhares 5 3 14 4 2" xfId="39740"/>
    <cellStyle name="Separador de milhares 5 3 14 5" xfId="25541"/>
    <cellStyle name="Separador de milhares 5 3 14 5 2" xfId="39741"/>
    <cellStyle name="Separador de milhares 5 3 14 6" xfId="39737"/>
    <cellStyle name="Separador de milhares 5 3 15" xfId="25542"/>
    <cellStyle name="Separador de milhares 5 3 15 2" xfId="25543"/>
    <cellStyle name="Separador de milhares 5 3 15 2 2" xfId="39743"/>
    <cellStyle name="Separador de milhares 5 3 15 3" xfId="25544"/>
    <cellStyle name="Separador de milhares 5 3 15 3 2" xfId="39744"/>
    <cellStyle name="Separador de milhares 5 3 15 4" xfId="25545"/>
    <cellStyle name="Separador de milhares 5 3 15 4 2" xfId="39745"/>
    <cellStyle name="Separador de milhares 5 3 15 5" xfId="25546"/>
    <cellStyle name="Separador de milhares 5 3 15 5 2" xfId="39746"/>
    <cellStyle name="Separador de milhares 5 3 15 6" xfId="39742"/>
    <cellStyle name="Separador de milhares 5 3 16" xfId="25547"/>
    <cellStyle name="Separador de milhares 5 3 16 2" xfId="25548"/>
    <cellStyle name="Separador de milhares 5 3 16 2 2" xfId="39748"/>
    <cellStyle name="Separador de milhares 5 3 16 3" xfId="25549"/>
    <cellStyle name="Separador de milhares 5 3 16 3 2" xfId="39749"/>
    <cellStyle name="Separador de milhares 5 3 16 4" xfId="25550"/>
    <cellStyle name="Separador de milhares 5 3 16 4 2" xfId="39750"/>
    <cellStyle name="Separador de milhares 5 3 16 5" xfId="25551"/>
    <cellStyle name="Separador de milhares 5 3 16 5 2" xfId="39751"/>
    <cellStyle name="Separador de milhares 5 3 16 6" xfId="39747"/>
    <cellStyle name="Separador de milhares 5 3 17" xfId="25552"/>
    <cellStyle name="Separador de milhares 5 3 17 2" xfId="39752"/>
    <cellStyle name="Separador de milhares 5 3 18" xfId="25553"/>
    <cellStyle name="Separador de milhares 5 3 18 2" xfId="39753"/>
    <cellStyle name="Separador de milhares 5 3 19" xfId="25554"/>
    <cellStyle name="Separador de milhares 5 3 19 2" xfId="39754"/>
    <cellStyle name="Separador de milhares 5 3 2" xfId="25555"/>
    <cellStyle name="Separador de milhares 5 3 2 10" xfId="25556"/>
    <cellStyle name="Separador de milhares 5 3 2 10 2" xfId="39756"/>
    <cellStyle name="Separador de milhares 5 3 2 11" xfId="25557"/>
    <cellStyle name="Separador de milhares 5 3 2 11 2" xfId="39757"/>
    <cellStyle name="Separador de milhares 5 3 2 12" xfId="39755"/>
    <cellStyle name="Separador de milhares 5 3 2 2" xfId="25558"/>
    <cellStyle name="Separador de milhares 5 3 2 2 2" xfId="25559"/>
    <cellStyle name="Separador de milhares 5 3 2 2 2 2" xfId="39759"/>
    <cellStyle name="Separador de milhares 5 3 2 2 3" xfId="25560"/>
    <cellStyle name="Separador de milhares 5 3 2 2 3 2" xfId="39760"/>
    <cellStyle name="Separador de milhares 5 3 2 2 4" xfId="25561"/>
    <cellStyle name="Separador de milhares 5 3 2 2 4 2" xfId="39761"/>
    <cellStyle name="Separador de milhares 5 3 2 2 5" xfId="25562"/>
    <cellStyle name="Separador de milhares 5 3 2 2 5 2" xfId="39762"/>
    <cellStyle name="Separador de milhares 5 3 2 2 6" xfId="39758"/>
    <cellStyle name="Separador de milhares 5 3 2 3" xfId="25563"/>
    <cellStyle name="Separador de milhares 5 3 2 3 2" xfId="25564"/>
    <cellStyle name="Separador de milhares 5 3 2 3 2 2" xfId="39764"/>
    <cellStyle name="Separador de milhares 5 3 2 3 3" xfId="25565"/>
    <cellStyle name="Separador de milhares 5 3 2 3 3 2" xfId="39765"/>
    <cellStyle name="Separador de milhares 5 3 2 3 4" xfId="25566"/>
    <cellStyle name="Separador de milhares 5 3 2 3 4 2" xfId="39766"/>
    <cellStyle name="Separador de milhares 5 3 2 3 5" xfId="25567"/>
    <cellStyle name="Separador de milhares 5 3 2 3 5 2" xfId="39767"/>
    <cellStyle name="Separador de milhares 5 3 2 3 6" xfId="39763"/>
    <cellStyle name="Separador de milhares 5 3 2 4" xfId="25568"/>
    <cellStyle name="Separador de milhares 5 3 2 4 2" xfId="25569"/>
    <cellStyle name="Separador de milhares 5 3 2 4 2 2" xfId="39769"/>
    <cellStyle name="Separador de milhares 5 3 2 4 3" xfId="25570"/>
    <cellStyle name="Separador de milhares 5 3 2 4 3 2" xfId="39770"/>
    <cellStyle name="Separador de milhares 5 3 2 4 4" xfId="25571"/>
    <cellStyle name="Separador de milhares 5 3 2 4 4 2" xfId="39771"/>
    <cellStyle name="Separador de milhares 5 3 2 4 5" xfId="25572"/>
    <cellStyle name="Separador de milhares 5 3 2 4 5 2" xfId="39772"/>
    <cellStyle name="Separador de milhares 5 3 2 4 6" xfId="39768"/>
    <cellStyle name="Separador de milhares 5 3 2 5" xfId="25573"/>
    <cellStyle name="Separador de milhares 5 3 2 5 2" xfId="25574"/>
    <cellStyle name="Separador de milhares 5 3 2 5 2 2" xfId="39774"/>
    <cellStyle name="Separador de milhares 5 3 2 5 3" xfId="25575"/>
    <cellStyle name="Separador de milhares 5 3 2 5 3 2" xfId="39775"/>
    <cellStyle name="Separador de milhares 5 3 2 5 4" xfId="25576"/>
    <cellStyle name="Separador de milhares 5 3 2 5 4 2" xfId="39776"/>
    <cellStyle name="Separador de milhares 5 3 2 5 5" xfId="25577"/>
    <cellStyle name="Separador de milhares 5 3 2 5 5 2" xfId="39777"/>
    <cellStyle name="Separador de milhares 5 3 2 5 6" xfId="39773"/>
    <cellStyle name="Separador de milhares 5 3 2 6" xfId="25578"/>
    <cellStyle name="Separador de milhares 5 3 2 6 2" xfId="25579"/>
    <cellStyle name="Separador de milhares 5 3 2 6 2 2" xfId="39779"/>
    <cellStyle name="Separador de milhares 5 3 2 6 3" xfId="25580"/>
    <cellStyle name="Separador de milhares 5 3 2 6 3 2" xfId="39780"/>
    <cellStyle name="Separador de milhares 5 3 2 6 4" xfId="25581"/>
    <cellStyle name="Separador de milhares 5 3 2 6 4 2" xfId="39781"/>
    <cellStyle name="Separador de milhares 5 3 2 6 5" xfId="25582"/>
    <cellStyle name="Separador de milhares 5 3 2 6 5 2" xfId="39782"/>
    <cellStyle name="Separador de milhares 5 3 2 6 6" xfId="39778"/>
    <cellStyle name="Separador de milhares 5 3 2 7" xfId="25583"/>
    <cellStyle name="Separador de milhares 5 3 2 7 2" xfId="25584"/>
    <cellStyle name="Separador de milhares 5 3 2 7 2 2" xfId="39784"/>
    <cellStyle name="Separador de milhares 5 3 2 7 3" xfId="25585"/>
    <cellStyle name="Separador de milhares 5 3 2 7 3 2" xfId="39785"/>
    <cellStyle name="Separador de milhares 5 3 2 7 4" xfId="25586"/>
    <cellStyle name="Separador de milhares 5 3 2 7 4 2" xfId="39786"/>
    <cellStyle name="Separador de milhares 5 3 2 7 5" xfId="25587"/>
    <cellStyle name="Separador de milhares 5 3 2 7 5 2" xfId="39787"/>
    <cellStyle name="Separador de milhares 5 3 2 7 6" xfId="39783"/>
    <cellStyle name="Separador de milhares 5 3 2 8" xfId="25588"/>
    <cellStyle name="Separador de milhares 5 3 2 8 2" xfId="39788"/>
    <cellStyle name="Separador de milhares 5 3 2 9" xfId="25589"/>
    <cellStyle name="Separador de milhares 5 3 2 9 2" xfId="39789"/>
    <cellStyle name="Separador de milhares 5 3 20" xfId="25590"/>
    <cellStyle name="Separador de milhares 5 3 20 2" xfId="39790"/>
    <cellStyle name="Separador de milhares 5 3 21" xfId="39716"/>
    <cellStyle name="Separador de milhares 5 3 3" xfId="25591"/>
    <cellStyle name="Separador de milhares 5 3 3 2" xfId="25592"/>
    <cellStyle name="Separador de milhares 5 3 3 2 2" xfId="25593"/>
    <cellStyle name="Separador de milhares 5 3 3 2 2 2" xfId="39793"/>
    <cellStyle name="Separador de milhares 5 3 3 2 3" xfId="25594"/>
    <cellStyle name="Separador de milhares 5 3 3 2 3 2" xfId="39794"/>
    <cellStyle name="Separador de milhares 5 3 3 2 4" xfId="25595"/>
    <cellStyle name="Separador de milhares 5 3 3 2 4 2" xfId="39795"/>
    <cellStyle name="Separador de milhares 5 3 3 2 5" xfId="25596"/>
    <cellStyle name="Separador de milhares 5 3 3 2 5 2" xfId="39796"/>
    <cellStyle name="Separador de milhares 5 3 3 2 6" xfId="39792"/>
    <cellStyle name="Separador de milhares 5 3 3 3" xfId="25597"/>
    <cellStyle name="Separador de milhares 5 3 3 3 2" xfId="39797"/>
    <cellStyle name="Separador de milhares 5 3 3 4" xfId="25598"/>
    <cellStyle name="Separador de milhares 5 3 3 4 2" xfId="39798"/>
    <cellStyle name="Separador de milhares 5 3 3 5" xfId="25599"/>
    <cellStyle name="Separador de milhares 5 3 3 5 2" xfId="39799"/>
    <cellStyle name="Separador de milhares 5 3 3 6" xfId="25600"/>
    <cellStyle name="Separador de milhares 5 3 3 6 2" xfId="39800"/>
    <cellStyle name="Separador de milhares 5 3 3 7" xfId="39791"/>
    <cellStyle name="Separador de milhares 5 3 4" xfId="25601"/>
    <cellStyle name="Separador de milhares 5 3 4 2" xfId="25602"/>
    <cellStyle name="Separador de milhares 5 3 4 2 2" xfId="25603"/>
    <cellStyle name="Separador de milhares 5 3 4 2 2 2" xfId="39803"/>
    <cellStyle name="Separador de milhares 5 3 4 2 3" xfId="25604"/>
    <cellStyle name="Separador de milhares 5 3 4 2 3 2" xfId="39804"/>
    <cellStyle name="Separador de milhares 5 3 4 2 4" xfId="25605"/>
    <cellStyle name="Separador de milhares 5 3 4 2 4 2" xfId="39805"/>
    <cellStyle name="Separador de milhares 5 3 4 2 5" xfId="25606"/>
    <cellStyle name="Separador de milhares 5 3 4 2 5 2" xfId="39806"/>
    <cellStyle name="Separador de milhares 5 3 4 2 6" xfId="39802"/>
    <cellStyle name="Separador de milhares 5 3 4 3" xfId="25607"/>
    <cellStyle name="Separador de milhares 5 3 4 3 2" xfId="39807"/>
    <cellStyle name="Separador de milhares 5 3 4 4" xfId="25608"/>
    <cellStyle name="Separador de milhares 5 3 4 4 2" xfId="39808"/>
    <cellStyle name="Separador de milhares 5 3 4 5" xfId="25609"/>
    <cellStyle name="Separador de milhares 5 3 4 5 2" xfId="39809"/>
    <cellStyle name="Separador de milhares 5 3 4 6" xfId="25610"/>
    <cellStyle name="Separador de milhares 5 3 4 6 2" xfId="39810"/>
    <cellStyle name="Separador de milhares 5 3 4 7" xfId="39801"/>
    <cellStyle name="Separador de milhares 5 3 5" xfId="25611"/>
    <cellStyle name="Separador de milhares 5 3 5 2" xfId="25612"/>
    <cellStyle name="Separador de milhares 5 3 5 2 2" xfId="39812"/>
    <cellStyle name="Separador de milhares 5 3 5 3" xfId="25613"/>
    <cellStyle name="Separador de milhares 5 3 5 3 2" xfId="39813"/>
    <cellStyle name="Separador de milhares 5 3 5 4" xfId="25614"/>
    <cellStyle name="Separador de milhares 5 3 5 4 2" xfId="39814"/>
    <cellStyle name="Separador de milhares 5 3 5 5" xfId="25615"/>
    <cellStyle name="Separador de milhares 5 3 5 5 2" xfId="39815"/>
    <cellStyle name="Separador de milhares 5 3 5 6" xfId="39811"/>
    <cellStyle name="Separador de milhares 5 3 6" xfId="25616"/>
    <cellStyle name="Separador de milhares 5 3 6 2" xfId="25617"/>
    <cellStyle name="Separador de milhares 5 3 6 2 2" xfId="39817"/>
    <cellStyle name="Separador de milhares 5 3 6 3" xfId="25618"/>
    <cellStyle name="Separador de milhares 5 3 6 3 2" xfId="39818"/>
    <cellStyle name="Separador de milhares 5 3 6 4" xfId="25619"/>
    <cellStyle name="Separador de milhares 5 3 6 4 2" xfId="39819"/>
    <cellStyle name="Separador de milhares 5 3 6 5" xfId="25620"/>
    <cellStyle name="Separador de milhares 5 3 6 5 2" xfId="39820"/>
    <cellStyle name="Separador de milhares 5 3 6 6" xfId="39816"/>
    <cellStyle name="Separador de milhares 5 3 7" xfId="25621"/>
    <cellStyle name="Separador de milhares 5 3 7 2" xfId="25622"/>
    <cellStyle name="Separador de milhares 5 3 7 2 2" xfId="39822"/>
    <cellStyle name="Separador de milhares 5 3 7 3" xfId="25623"/>
    <cellStyle name="Separador de milhares 5 3 7 3 2" xfId="39823"/>
    <cellStyle name="Separador de milhares 5 3 7 4" xfId="25624"/>
    <cellStyle name="Separador de milhares 5 3 7 4 2" xfId="39824"/>
    <cellStyle name="Separador de milhares 5 3 7 5" xfId="25625"/>
    <cellStyle name="Separador de milhares 5 3 7 5 2" xfId="39825"/>
    <cellStyle name="Separador de milhares 5 3 7 6" xfId="39821"/>
    <cellStyle name="Separador de milhares 5 3 8" xfId="25626"/>
    <cellStyle name="Separador de milhares 5 3 8 2" xfId="25627"/>
    <cellStyle name="Separador de milhares 5 3 8 2 2" xfId="39827"/>
    <cellStyle name="Separador de milhares 5 3 8 3" xfId="25628"/>
    <cellStyle name="Separador de milhares 5 3 8 3 2" xfId="39828"/>
    <cellStyle name="Separador de milhares 5 3 8 4" xfId="25629"/>
    <cellStyle name="Separador de milhares 5 3 8 4 2" xfId="39829"/>
    <cellStyle name="Separador de milhares 5 3 8 5" xfId="25630"/>
    <cellStyle name="Separador de milhares 5 3 8 5 2" xfId="39830"/>
    <cellStyle name="Separador de milhares 5 3 8 6" xfId="39826"/>
    <cellStyle name="Separador de milhares 5 3 9" xfId="25631"/>
    <cellStyle name="Separador de milhares 5 3 9 2" xfId="25632"/>
    <cellStyle name="Separador de milhares 5 3 9 2 2" xfId="39832"/>
    <cellStyle name="Separador de milhares 5 3 9 3" xfId="25633"/>
    <cellStyle name="Separador de milhares 5 3 9 3 2" xfId="39833"/>
    <cellStyle name="Separador de milhares 5 3 9 4" xfId="25634"/>
    <cellStyle name="Separador de milhares 5 3 9 4 2" xfId="39834"/>
    <cellStyle name="Separador de milhares 5 3 9 5" xfId="25635"/>
    <cellStyle name="Separador de milhares 5 3 9 5 2" xfId="39835"/>
    <cellStyle name="Separador de milhares 5 3 9 6" xfId="39831"/>
    <cellStyle name="Separador de milhares 5 4" xfId="25636"/>
    <cellStyle name="Separador de milhares 5 4 2" xfId="25637"/>
    <cellStyle name="Separador de milhares 5 5" xfId="25638"/>
    <cellStyle name="Separador de milhares 5 6" xfId="25639"/>
    <cellStyle name="Separador de milhares 5 7" xfId="25640"/>
    <cellStyle name="Separador de milhares 5 8" xfId="25641"/>
    <cellStyle name="Separador de milhares 5 8 2" xfId="25642"/>
    <cellStyle name="Separador de milhares 5 9" xfId="25643"/>
    <cellStyle name="Separador de milhares 50" xfId="25644"/>
    <cellStyle name="Separador de milhares 51" xfId="25645"/>
    <cellStyle name="Separador de milhares 53" xfId="25646"/>
    <cellStyle name="Separador de milhares 54" xfId="25647"/>
    <cellStyle name="Separador de milhares 56" xfId="41063"/>
    <cellStyle name="Separador de milhares 6" xfId="25648"/>
    <cellStyle name="Separador de milhares 6 10" xfId="25649"/>
    <cellStyle name="Separador de milhares 6 10 2" xfId="25650"/>
    <cellStyle name="Separador de milhares 6 10 2 2" xfId="39837"/>
    <cellStyle name="Separador de milhares 6 10 3" xfId="25651"/>
    <cellStyle name="Separador de milhares 6 10 3 2" xfId="39838"/>
    <cellStyle name="Separador de milhares 6 10 4" xfId="25652"/>
    <cellStyle name="Separador de milhares 6 10 4 2" xfId="39839"/>
    <cellStyle name="Separador de milhares 6 10 5" xfId="25653"/>
    <cellStyle name="Separador de milhares 6 10 5 2" xfId="39840"/>
    <cellStyle name="Separador de milhares 6 10 6" xfId="39836"/>
    <cellStyle name="Separador de milhares 6 11" xfId="25654"/>
    <cellStyle name="Separador de milhares 6 11 2" xfId="25655"/>
    <cellStyle name="Separador de milhares 6 11 2 2" xfId="39842"/>
    <cellStyle name="Separador de milhares 6 11 3" xfId="25656"/>
    <cellStyle name="Separador de milhares 6 11 3 2" xfId="39843"/>
    <cellStyle name="Separador de milhares 6 11 4" xfId="25657"/>
    <cellStyle name="Separador de milhares 6 11 4 2" xfId="39844"/>
    <cellStyle name="Separador de milhares 6 11 5" xfId="25658"/>
    <cellStyle name="Separador de milhares 6 11 5 2" xfId="39845"/>
    <cellStyle name="Separador de milhares 6 11 6" xfId="39841"/>
    <cellStyle name="Separador de milhares 6 12" xfId="25659"/>
    <cellStyle name="Separador de milhares 6 12 2" xfId="25660"/>
    <cellStyle name="Separador de milhares 6 12 2 2" xfId="39847"/>
    <cellStyle name="Separador de milhares 6 12 3" xfId="25661"/>
    <cellStyle name="Separador de milhares 6 12 3 2" xfId="39848"/>
    <cellStyle name="Separador de milhares 6 12 4" xfId="25662"/>
    <cellStyle name="Separador de milhares 6 12 4 2" xfId="39849"/>
    <cellStyle name="Separador de milhares 6 12 5" xfId="25663"/>
    <cellStyle name="Separador de milhares 6 12 5 2" xfId="39850"/>
    <cellStyle name="Separador de milhares 6 12 6" xfId="39846"/>
    <cellStyle name="Separador de milhares 6 13" xfId="25664"/>
    <cellStyle name="Separador de milhares 6 13 2" xfId="25665"/>
    <cellStyle name="Separador de milhares 6 13 2 2" xfId="39852"/>
    <cellStyle name="Separador de milhares 6 13 3" xfId="25666"/>
    <cellStyle name="Separador de milhares 6 13 3 2" xfId="39853"/>
    <cellStyle name="Separador de milhares 6 13 4" xfId="25667"/>
    <cellStyle name="Separador de milhares 6 13 4 2" xfId="39854"/>
    <cellStyle name="Separador de milhares 6 13 5" xfId="25668"/>
    <cellStyle name="Separador de milhares 6 13 5 2" xfId="39855"/>
    <cellStyle name="Separador de milhares 6 13 6" xfId="39851"/>
    <cellStyle name="Separador de milhares 6 14" xfId="25669"/>
    <cellStyle name="Separador de milhares 6 14 2" xfId="25670"/>
    <cellStyle name="Separador de milhares 6 14 2 2" xfId="39857"/>
    <cellStyle name="Separador de milhares 6 14 3" xfId="25671"/>
    <cellStyle name="Separador de milhares 6 14 3 2" xfId="39858"/>
    <cellStyle name="Separador de milhares 6 14 4" xfId="25672"/>
    <cellStyle name="Separador de milhares 6 14 4 2" xfId="39859"/>
    <cellStyle name="Separador de milhares 6 14 5" xfId="25673"/>
    <cellStyle name="Separador de milhares 6 14 5 2" xfId="39860"/>
    <cellStyle name="Separador de milhares 6 14 6" xfId="39856"/>
    <cellStyle name="Separador de milhares 6 15" xfId="25674"/>
    <cellStyle name="Separador de milhares 6 15 2" xfId="25675"/>
    <cellStyle name="Separador de milhares 6 15 2 2" xfId="39862"/>
    <cellStyle name="Separador de milhares 6 15 3" xfId="25676"/>
    <cellStyle name="Separador de milhares 6 15 3 2" xfId="39863"/>
    <cellStyle name="Separador de milhares 6 15 4" xfId="25677"/>
    <cellStyle name="Separador de milhares 6 15 4 2" xfId="39864"/>
    <cellStyle name="Separador de milhares 6 15 5" xfId="25678"/>
    <cellStyle name="Separador de milhares 6 15 5 2" xfId="39865"/>
    <cellStyle name="Separador de milhares 6 15 6" xfId="39861"/>
    <cellStyle name="Separador de milhares 6 16" xfId="25679"/>
    <cellStyle name="Separador de milhares 6 16 2" xfId="25680"/>
    <cellStyle name="Separador de milhares 6 16 2 2" xfId="39867"/>
    <cellStyle name="Separador de milhares 6 16 3" xfId="25681"/>
    <cellStyle name="Separador de milhares 6 16 3 2" xfId="39868"/>
    <cellStyle name="Separador de milhares 6 16 4" xfId="25682"/>
    <cellStyle name="Separador de milhares 6 16 4 2" xfId="39869"/>
    <cellStyle name="Separador de milhares 6 16 5" xfId="25683"/>
    <cellStyle name="Separador de milhares 6 16 5 2" xfId="39870"/>
    <cellStyle name="Separador de milhares 6 16 6" xfId="39866"/>
    <cellStyle name="Separador de milhares 6 17" xfId="25684"/>
    <cellStyle name="Separador de milhares 6 17 2" xfId="25685"/>
    <cellStyle name="Separador de milhares 6 17 2 2" xfId="39872"/>
    <cellStyle name="Separador de milhares 6 17 3" xfId="25686"/>
    <cellStyle name="Separador de milhares 6 17 3 2" xfId="39873"/>
    <cellStyle name="Separador de milhares 6 17 4" xfId="25687"/>
    <cellStyle name="Separador de milhares 6 17 4 2" xfId="39874"/>
    <cellStyle name="Separador de milhares 6 17 5" xfId="25688"/>
    <cellStyle name="Separador de milhares 6 17 5 2" xfId="39875"/>
    <cellStyle name="Separador de milhares 6 17 6" xfId="39871"/>
    <cellStyle name="Separador de milhares 6 18" xfId="25689"/>
    <cellStyle name="Separador de milhares 6 18 2" xfId="25690"/>
    <cellStyle name="Separador de milhares 6 18 2 2" xfId="39877"/>
    <cellStyle name="Separador de milhares 6 18 3" xfId="25691"/>
    <cellStyle name="Separador de milhares 6 18 3 2" xfId="39878"/>
    <cellStyle name="Separador de milhares 6 18 4" xfId="25692"/>
    <cellStyle name="Separador de milhares 6 18 4 2" xfId="39879"/>
    <cellStyle name="Separador de milhares 6 18 5" xfId="25693"/>
    <cellStyle name="Separador de milhares 6 18 5 2" xfId="39880"/>
    <cellStyle name="Separador de milhares 6 18 6" xfId="39876"/>
    <cellStyle name="Separador de milhares 6 19" xfId="25694"/>
    <cellStyle name="Separador de milhares 6 19 2" xfId="25695"/>
    <cellStyle name="Separador de milhares 6 19 2 2" xfId="39882"/>
    <cellStyle name="Separador de milhares 6 19 3" xfId="25696"/>
    <cellStyle name="Separador de milhares 6 19 3 2" xfId="39883"/>
    <cellStyle name="Separador de milhares 6 19 4" xfId="25697"/>
    <cellStyle name="Separador de milhares 6 19 4 2" xfId="39884"/>
    <cellStyle name="Separador de milhares 6 19 5" xfId="25698"/>
    <cellStyle name="Separador de milhares 6 19 5 2" xfId="39885"/>
    <cellStyle name="Separador de milhares 6 19 6" xfId="39881"/>
    <cellStyle name="Separador de milhares 6 2" xfId="25699"/>
    <cellStyle name="Separador de milhares 6 2 10" xfId="25700"/>
    <cellStyle name="Separador de milhares 6 2 10 2" xfId="25701"/>
    <cellStyle name="Separador de milhares 6 2 10 2 2" xfId="39888"/>
    <cellStyle name="Separador de milhares 6 2 10 3" xfId="25702"/>
    <cellStyle name="Separador de milhares 6 2 10 3 2" xfId="39889"/>
    <cellStyle name="Separador de milhares 6 2 10 4" xfId="25703"/>
    <cellStyle name="Separador de milhares 6 2 10 4 2" xfId="39890"/>
    <cellStyle name="Separador de milhares 6 2 10 5" xfId="25704"/>
    <cellStyle name="Separador de milhares 6 2 10 5 2" xfId="39891"/>
    <cellStyle name="Separador de milhares 6 2 10 6" xfId="39887"/>
    <cellStyle name="Separador de milhares 6 2 11" xfId="25705"/>
    <cellStyle name="Separador de milhares 6 2 11 2" xfId="25706"/>
    <cellStyle name="Separador de milhares 6 2 11 2 2" xfId="39893"/>
    <cellStyle name="Separador de milhares 6 2 11 3" xfId="25707"/>
    <cellStyle name="Separador de milhares 6 2 11 3 2" xfId="39894"/>
    <cellStyle name="Separador de milhares 6 2 11 4" xfId="25708"/>
    <cellStyle name="Separador de milhares 6 2 11 4 2" xfId="39895"/>
    <cellStyle name="Separador de milhares 6 2 11 5" xfId="25709"/>
    <cellStyle name="Separador de milhares 6 2 11 5 2" xfId="39896"/>
    <cellStyle name="Separador de milhares 6 2 11 6" xfId="39892"/>
    <cellStyle name="Separador de milhares 6 2 12" xfId="25710"/>
    <cellStyle name="Separador de milhares 6 2 12 2" xfId="25711"/>
    <cellStyle name="Separador de milhares 6 2 12 2 2" xfId="39898"/>
    <cellStyle name="Separador de milhares 6 2 12 3" xfId="25712"/>
    <cellStyle name="Separador de milhares 6 2 12 3 2" xfId="39899"/>
    <cellStyle name="Separador de milhares 6 2 12 4" xfId="25713"/>
    <cellStyle name="Separador de milhares 6 2 12 4 2" xfId="39900"/>
    <cellStyle name="Separador de milhares 6 2 12 5" xfId="25714"/>
    <cellStyle name="Separador de milhares 6 2 12 5 2" xfId="39901"/>
    <cellStyle name="Separador de milhares 6 2 12 6" xfId="39897"/>
    <cellStyle name="Separador de milhares 6 2 13" xfId="25715"/>
    <cellStyle name="Separador de milhares 6 2 13 2" xfId="25716"/>
    <cellStyle name="Separador de milhares 6 2 13 2 2" xfId="39903"/>
    <cellStyle name="Separador de milhares 6 2 13 3" xfId="25717"/>
    <cellStyle name="Separador de milhares 6 2 13 3 2" xfId="39904"/>
    <cellStyle name="Separador de milhares 6 2 13 4" xfId="25718"/>
    <cellStyle name="Separador de milhares 6 2 13 4 2" xfId="39905"/>
    <cellStyle name="Separador de milhares 6 2 13 5" xfId="25719"/>
    <cellStyle name="Separador de milhares 6 2 13 5 2" xfId="39906"/>
    <cellStyle name="Separador de milhares 6 2 13 6" xfId="39902"/>
    <cellStyle name="Separador de milhares 6 2 14" xfId="25720"/>
    <cellStyle name="Separador de milhares 6 2 14 2" xfId="25721"/>
    <cellStyle name="Separador de milhares 6 2 14 2 2" xfId="39908"/>
    <cellStyle name="Separador de milhares 6 2 14 3" xfId="25722"/>
    <cellStyle name="Separador de milhares 6 2 14 3 2" xfId="39909"/>
    <cellStyle name="Separador de milhares 6 2 14 4" xfId="25723"/>
    <cellStyle name="Separador de milhares 6 2 14 4 2" xfId="39910"/>
    <cellStyle name="Separador de milhares 6 2 14 5" xfId="25724"/>
    <cellStyle name="Separador de milhares 6 2 14 5 2" xfId="39911"/>
    <cellStyle name="Separador de milhares 6 2 14 6" xfId="39907"/>
    <cellStyle name="Separador de milhares 6 2 15" xfId="25725"/>
    <cellStyle name="Separador de milhares 6 2 15 2" xfId="25726"/>
    <cellStyle name="Separador de milhares 6 2 15 2 2" xfId="39913"/>
    <cellStyle name="Separador de milhares 6 2 15 3" xfId="25727"/>
    <cellStyle name="Separador de milhares 6 2 15 3 2" xfId="39914"/>
    <cellStyle name="Separador de milhares 6 2 15 4" xfId="25728"/>
    <cellStyle name="Separador de milhares 6 2 15 4 2" xfId="39915"/>
    <cellStyle name="Separador de milhares 6 2 15 5" xfId="25729"/>
    <cellStyle name="Separador de milhares 6 2 15 5 2" xfId="39916"/>
    <cellStyle name="Separador de milhares 6 2 15 6" xfId="39912"/>
    <cellStyle name="Separador de milhares 6 2 16" xfId="25730"/>
    <cellStyle name="Separador de milhares 6 2 16 2" xfId="25731"/>
    <cellStyle name="Separador de milhares 6 2 16 2 2" xfId="39918"/>
    <cellStyle name="Separador de milhares 6 2 16 3" xfId="25732"/>
    <cellStyle name="Separador de milhares 6 2 16 3 2" xfId="39919"/>
    <cellStyle name="Separador de milhares 6 2 16 4" xfId="25733"/>
    <cellStyle name="Separador de milhares 6 2 16 4 2" xfId="39920"/>
    <cellStyle name="Separador de milhares 6 2 16 5" xfId="25734"/>
    <cellStyle name="Separador de milhares 6 2 16 5 2" xfId="39921"/>
    <cellStyle name="Separador de milhares 6 2 16 6" xfId="39917"/>
    <cellStyle name="Separador de milhares 6 2 17" xfId="25735"/>
    <cellStyle name="Separador de milhares 6 2 17 2" xfId="39922"/>
    <cellStyle name="Separador de milhares 6 2 18" xfId="25736"/>
    <cellStyle name="Separador de milhares 6 2 18 2" xfId="39923"/>
    <cellStyle name="Separador de milhares 6 2 19" xfId="25737"/>
    <cellStyle name="Separador de milhares 6 2 19 2" xfId="39924"/>
    <cellStyle name="Separador de milhares 6 2 2" xfId="25738"/>
    <cellStyle name="Separador de milhares 6 2 20" xfId="25739"/>
    <cellStyle name="Separador de milhares 6 2 20 2" xfId="39925"/>
    <cellStyle name="Separador de milhares 6 2 21" xfId="39886"/>
    <cellStyle name="Separador de milhares 6 2 3" xfId="25740"/>
    <cellStyle name="Separador de milhares 6 2 3 2" xfId="25741"/>
    <cellStyle name="Separador de milhares 6 2 3 2 2" xfId="39927"/>
    <cellStyle name="Separador de milhares 6 2 3 3" xfId="25742"/>
    <cellStyle name="Separador de milhares 6 2 3 3 2" xfId="39928"/>
    <cellStyle name="Separador de milhares 6 2 3 4" xfId="25743"/>
    <cellStyle name="Separador de milhares 6 2 3 4 2" xfId="39929"/>
    <cellStyle name="Separador de milhares 6 2 3 5" xfId="25744"/>
    <cellStyle name="Separador de milhares 6 2 3 5 2" xfId="39930"/>
    <cellStyle name="Separador de milhares 6 2 3 6" xfId="39926"/>
    <cellStyle name="Separador de milhares 6 2 4" xfId="25745"/>
    <cellStyle name="Separador de milhares 6 2 4 2" xfId="25746"/>
    <cellStyle name="Separador de milhares 6 2 4 2 2" xfId="39932"/>
    <cellStyle name="Separador de milhares 6 2 4 3" xfId="25747"/>
    <cellStyle name="Separador de milhares 6 2 4 3 2" xfId="39933"/>
    <cellStyle name="Separador de milhares 6 2 4 4" xfId="25748"/>
    <cellStyle name="Separador de milhares 6 2 4 4 2" xfId="39934"/>
    <cellStyle name="Separador de milhares 6 2 4 5" xfId="25749"/>
    <cellStyle name="Separador de milhares 6 2 4 5 2" xfId="39935"/>
    <cellStyle name="Separador de milhares 6 2 4 6" xfId="39931"/>
    <cellStyle name="Separador de milhares 6 2 5" xfId="25750"/>
    <cellStyle name="Separador de milhares 6 2 5 2" xfId="25751"/>
    <cellStyle name="Separador de milhares 6 2 5 2 2" xfId="39937"/>
    <cellStyle name="Separador de milhares 6 2 5 3" xfId="25752"/>
    <cellStyle name="Separador de milhares 6 2 5 3 2" xfId="39938"/>
    <cellStyle name="Separador de milhares 6 2 5 4" xfId="25753"/>
    <cellStyle name="Separador de milhares 6 2 5 4 2" xfId="39939"/>
    <cellStyle name="Separador de milhares 6 2 5 5" xfId="25754"/>
    <cellStyle name="Separador de milhares 6 2 5 5 2" xfId="39940"/>
    <cellStyle name="Separador de milhares 6 2 5 6" xfId="39936"/>
    <cellStyle name="Separador de milhares 6 2 6" xfId="25755"/>
    <cellStyle name="Separador de milhares 6 2 6 2" xfId="25756"/>
    <cellStyle name="Separador de milhares 6 2 6 2 2" xfId="39942"/>
    <cellStyle name="Separador de milhares 6 2 6 3" xfId="25757"/>
    <cellStyle name="Separador de milhares 6 2 6 3 2" xfId="39943"/>
    <cellStyle name="Separador de milhares 6 2 6 4" xfId="25758"/>
    <cellStyle name="Separador de milhares 6 2 6 4 2" xfId="39944"/>
    <cellStyle name="Separador de milhares 6 2 6 5" xfId="25759"/>
    <cellStyle name="Separador de milhares 6 2 6 5 2" xfId="39945"/>
    <cellStyle name="Separador de milhares 6 2 6 6" xfId="39941"/>
    <cellStyle name="Separador de milhares 6 2 7" xfId="25760"/>
    <cellStyle name="Separador de milhares 6 2 7 2" xfId="25761"/>
    <cellStyle name="Separador de milhares 6 2 7 2 2" xfId="39947"/>
    <cellStyle name="Separador de milhares 6 2 7 3" xfId="25762"/>
    <cellStyle name="Separador de milhares 6 2 7 3 2" xfId="39948"/>
    <cellStyle name="Separador de milhares 6 2 7 4" xfId="25763"/>
    <cellStyle name="Separador de milhares 6 2 7 4 2" xfId="39949"/>
    <cellStyle name="Separador de milhares 6 2 7 5" xfId="25764"/>
    <cellStyle name="Separador de milhares 6 2 7 5 2" xfId="39950"/>
    <cellStyle name="Separador de milhares 6 2 7 6" xfId="39946"/>
    <cellStyle name="Separador de milhares 6 2 8" xfId="25765"/>
    <cellStyle name="Separador de milhares 6 2 8 2" xfId="25766"/>
    <cellStyle name="Separador de milhares 6 2 8 2 2" xfId="39952"/>
    <cellStyle name="Separador de milhares 6 2 8 3" xfId="25767"/>
    <cellStyle name="Separador de milhares 6 2 8 3 2" xfId="39953"/>
    <cellStyle name="Separador de milhares 6 2 8 4" xfId="25768"/>
    <cellStyle name="Separador de milhares 6 2 8 4 2" xfId="39954"/>
    <cellStyle name="Separador de milhares 6 2 8 5" xfId="25769"/>
    <cellStyle name="Separador de milhares 6 2 8 5 2" xfId="39955"/>
    <cellStyle name="Separador de milhares 6 2 8 6" xfId="39951"/>
    <cellStyle name="Separador de milhares 6 2 9" xfId="25770"/>
    <cellStyle name="Separador de milhares 6 2 9 2" xfId="25771"/>
    <cellStyle name="Separador de milhares 6 2 9 2 2" xfId="39957"/>
    <cellStyle name="Separador de milhares 6 2 9 3" xfId="25772"/>
    <cellStyle name="Separador de milhares 6 2 9 3 2" xfId="39958"/>
    <cellStyle name="Separador de milhares 6 2 9 4" xfId="25773"/>
    <cellStyle name="Separador de milhares 6 2 9 4 2" xfId="39959"/>
    <cellStyle name="Separador de milhares 6 2 9 5" xfId="25774"/>
    <cellStyle name="Separador de milhares 6 2 9 5 2" xfId="39960"/>
    <cellStyle name="Separador de milhares 6 2 9 6" xfId="39956"/>
    <cellStyle name="Separador de milhares 6 20" xfId="25775"/>
    <cellStyle name="Separador de milhares 6 20 2" xfId="39961"/>
    <cellStyle name="Separador de milhares 6 21" xfId="25776"/>
    <cellStyle name="Separador de milhares 6 21 2" xfId="39962"/>
    <cellStyle name="Separador de milhares 6 22" xfId="25777"/>
    <cellStyle name="Separador de milhares 6 22 2" xfId="39963"/>
    <cellStyle name="Separador de milhares 6 23" xfId="25778"/>
    <cellStyle name="Separador de milhares 6 23 2" xfId="39964"/>
    <cellStyle name="Separador de milhares 6 24" xfId="25779"/>
    <cellStyle name="Separador de milhares 6 24 2" xfId="39965"/>
    <cellStyle name="Separador de milhares 6 3" xfId="25780"/>
    <cellStyle name="Separador de milhares 6 3 2" xfId="25781"/>
    <cellStyle name="Separador de milhares 6 3 3" xfId="25782"/>
    <cellStyle name="Separador de milhares 6 3 3 2" xfId="39967"/>
    <cellStyle name="Separador de milhares 6 3 4" xfId="25783"/>
    <cellStyle name="Separador de milhares 6 3 4 2" xfId="39968"/>
    <cellStyle name="Separador de milhares 6 3 5" xfId="25784"/>
    <cellStyle name="Separador de milhares 6 3 5 2" xfId="39969"/>
    <cellStyle name="Separador de milhares 6 3 6" xfId="25785"/>
    <cellStyle name="Separador de milhares 6 3 6 2" xfId="39970"/>
    <cellStyle name="Separador de milhares 6 3 7" xfId="39966"/>
    <cellStyle name="Separador de milhares 6 4" xfId="25786"/>
    <cellStyle name="Separador de milhares 6 4 2" xfId="25787"/>
    <cellStyle name="Separador de milhares 6 4 3" xfId="25788"/>
    <cellStyle name="Separador de milhares 6 4 3 2" xfId="39972"/>
    <cellStyle name="Separador de milhares 6 4 4" xfId="25789"/>
    <cellStyle name="Separador de milhares 6 4 4 2" xfId="39973"/>
    <cellStyle name="Separador de milhares 6 4 5" xfId="25790"/>
    <cellStyle name="Separador de milhares 6 4 5 2" xfId="39974"/>
    <cellStyle name="Separador de milhares 6 4 6" xfId="25791"/>
    <cellStyle name="Separador de milhares 6 4 6 2" xfId="39975"/>
    <cellStyle name="Separador de milhares 6 4 7" xfId="39971"/>
    <cellStyle name="Separador de milhares 6 5" xfId="25792"/>
    <cellStyle name="Separador de milhares 6 5 2" xfId="25793"/>
    <cellStyle name="Separador de milhares 6 5 3" xfId="25794"/>
    <cellStyle name="Separador de milhares 6 5 3 2" xfId="39977"/>
    <cellStyle name="Separador de milhares 6 5 4" xfId="25795"/>
    <cellStyle name="Separador de milhares 6 5 4 2" xfId="39978"/>
    <cellStyle name="Separador de milhares 6 5 5" xfId="25796"/>
    <cellStyle name="Separador de milhares 6 5 5 2" xfId="39979"/>
    <cellStyle name="Separador de milhares 6 5 6" xfId="25797"/>
    <cellStyle name="Separador de milhares 6 5 6 2" xfId="39980"/>
    <cellStyle name="Separador de milhares 6 5 7" xfId="39976"/>
    <cellStyle name="Separador de milhares 6 6" xfId="25798"/>
    <cellStyle name="Separador de milhares 6 6 2" xfId="25799"/>
    <cellStyle name="Separador de milhares 6 6 2 2" xfId="39982"/>
    <cellStyle name="Separador de milhares 6 6 3" xfId="25800"/>
    <cellStyle name="Separador de milhares 6 6 3 2" xfId="39983"/>
    <cellStyle name="Separador de milhares 6 6 4" xfId="25801"/>
    <cellStyle name="Separador de milhares 6 6 4 2" xfId="39984"/>
    <cellStyle name="Separador de milhares 6 6 5" xfId="25802"/>
    <cellStyle name="Separador de milhares 6 6 5 2" xfId="39985"/>
    <cellStyle name="Separador de milhares 6 6 6" xfId="39981"/>
    <cellStyle name="Separador de milhares 6 7" xfId="25803"/>
    <cellStyle name="Separador de milhares 6 7 2" xfId="25804"/>
    <cellStyle name="Separador de milhares 6 7 2 2" xfId="39987"/>
    <cellStyle name="Separador de milhares 6 7 3" xfId="25805"/>
    <cellStyle name="Separador de milhares 6 7 3 2" xfId="39988"/>
    <cellStyle name="Separador de milhares 6 7 4" xfId="25806"/>
    <cellStyle name="Separador de milhares 6 7 4 2" xfId="39989"/>
    <cellStyle name="Separador de milhares 6 7 5" xfId="25807"/>
    <cellStyle name="Separador de milhares 6 7 5 2" xfId="39990"/>
    <cellStyle name="Separador de milhares 6 7 6" xfId="39986"/>
    <cellStyle name="Separador de milhares 6 8" xfId="25808"/>
    <cellStyle name="Separador de milhares 6 8 2" xfId="25809"/>
    <cellStyle name="Separador de milhares 6 8 2 2" xfId="39992"/>
    <cellStyle name="Separador de milhares 6 8 3" xfId="25810"/>
    <cellStyle name="Separador de milhares 6 8 3 2" xfId="39993"/>
    <cellStyle name="Separador de milhares 6 8 4" xfId="25811"/>
    <cellStyle name="Separador de milhares 6 8 4 2" xfId="39994"/>
    <cellStyle name="Separador de milhares 6 8 5" xfId="25812"/>
    <cellStyle name="Separador de milhares 6 8 5 2" xfId="39995"/>
    <cellStyle name="Separador de milhares 6 8 6" xfId="39991"/>
    <cellStyle name="Separador de milhares 6 9" xfId="25813"/>
    <cellStyle name="Separador de milhares 6 9 2" xfId="25814"/>
    <cellStyle name="Separador de milhares 6 9 2 2" xfId="39997"/>
    <cellStyle name="Separador de milhares 6 9 3" xfId="25815"/>
    <cellStyle name="Separador de milhares 6 9 3 2" xfId="39998"/>
    <cellStyle name="Separador de milhares 6 9 4" xfId="25816"/>
    <cellStyle name="Separador de milhares 6 9 4 2" xfId="39999"/>
    <cellStyle name="Separador de milhares 6 9 5" xfId="25817"/>
    <cellStyle name="Separador de milhares 6 9 5 2" xfId="40000"/>
    <cellStyle name="Separador de milhares 6 9 6" xfId="39996"/>
    <cellStyle name="Separador de milhares 7" xfId="25818"/>
    <cellStyle name="Separador de milhares 7 10" xfId="25819"/>
    <cellStyle name="Separador de milhares 7 10 2" xfId="25820"/>
    <cellStyle name="Separador de milhares 7 10 2 2" xfId="40003"/>
    <cellStyle name="Separador de milhares 7 10 3" xfId="25821"/>
    <cellStyle name="Separador de milhares 7 10 3 2" xfId="40004"/>
    <cellStyle name="Separador de milhares 7 10 4" xfId="25822"/>
    <cellStyle name="Separador de milhares 7 10 4 2" xfId="40005"/>
    <cellStyle name="Separador de milhares 7 10 5" xfId="25823"/>
    <cellStyle name="Separador de milhares 7 10 5 2" xfId="40006"/>
    <cellStyle name="Separador de milhares 7 10 6" xfId="40002"/>
    <cellStyle name="Separador de milhares 7 11" xfId="25824"/>
    <cellStyle name="Separador de milhares 7 11 2" xfId="25825"/>
    <cellStyle name="Separador de milhares 7 11 2 2" xfId="40008"/>
    <cellStyle name="Separador de milhares 7 11 3" xfId="25826"/>
    <cellStyle name="Separador de milhares 7 11 3 2" xfId="40009"/>
    <cellStyle name="Separador de milhares 7 11 4" xfId="25827"/>
    <cellStyle name="Separador de milhares 7 11 4 2" xfId="40010"/>
    <cellStyle name="Separador de milhares 7 11 5" xfId="25828"/>
    <cellStyle name="Separador de milhares 7 11 5 2" xfId="40011"/>
    <cellStyle name="Separador de milhares 7 11 6" xfId="40007"/>
    <cellStyle name="Separador de milhares 7 12" xfId="25829"/>
    <cellStyle name="Separador de milhares 7 12 2" xfId="25830"/>
    <cellStyle name="Separador de milhares 7 12 2 2" xfId="40013"/>
    <cellStyle name="Separador de milhares 7 12 3" xfId="25831"/>
    <cellStyle name="Separador de milhares 7 12 3 2" xfId="40014"/>
    <cellStyle name="Separador de milhares 7 12 4" xfId="25832"/>
    <cellStyle name="Separador de milhares 7 12 4 2" xfId="40015"/>
    <cellStyle name="Separador de milhares 7 12 5" xfId="25833"/>
    <cellStyle name="Separador de milhares 7 12 5 2" xfId="40016"/>
    <cellStyle name="Separador de milhares 7 12 6" xfId="40012"/>
    <cellStyle name="Separador de milhares 7 13" xfId="25834"/>
    <cellStyle name="Separador de milhares 7 13 2" xfId="25835"/>
    <cellStyle name="Separador de milhares 7 13 2 2" xfId="40018"/>
    <cellStyle name="Separador de milhares 7 13 3" xfId="25836"/>
    <cellStyle name="Separador de milhares 7 13 3 2" xfId="40019"/>
    <cellStyle name="Separador de milhares 7 13 4" xfId="25837"/>
    <cellStyle name="Separador de milhares 7 13 4 2" xfId="40020"/>
    <cellStyle name="Separador de milhares 7 13 5" xfId="25838"/>
    <cellStyle name="Separador de milhares 7 13 5 2" xfId="40021"/>
    <cellStyle name="Separador de milhares 7 13 6" xfId="40017"/>
    <cellStyle name="Separador de milhares 7 14" xfId="25839"/>
    <cellStyle name="Separador de milhares 7 14 2" xfId="25840"/>
    <cellStyle name="Separador de milhares 7 14 2 2" xfId="40023"/>
    <cellStyle name="Separador de milhares 7 14 3" xfId="25841"/>
    <cellStyle name="Separador de milhares 7 14 3 2" xfId="40024"/>
    <cellStyle name="Separador de milhares 7 14 4" xfId="25842"/>
    <cellStyle name="Separador de milhares 7 14 4 2" xfId="40025"/>
    <cellStyle name="Separador de milhares 7 14 5" xfId="25843"/>
    <cellStyle name="Separador de milhares 7 14 5 2" xfId="40026"/>
    <cellStyle name="Separador de milhares 7 14 6" xfId="40022"/>
    <cellStyle name="Separador de milhares 7 15" xfId="25844"/>
    <cellStyle name="Separador de milhares 7 15 2" xfId="25845"/>
    <cellStyle name="Separador de milhares 7 15 2 2" xfId="40028"/>
    <cellStyle name="Separador de milhares 7 15 3" xfId="25846"/>
    <cellStyle name="Separador de milhares 7 15 3 2" xfId="40029"/>
    <cellStyle name="Separador de milhares 7 15 4" xfId="25847"/>
    <cellStyle name="Separador de milhares 7 15 4 2" xfId="40030"/>
    <cellStyle name="Separador de milhares 7 15 5" xfId="25848"/>
    <cellStyle name="Separador de milhares 7 15 5 2" xfId="40031"/>
    <cellStyle name="Separador de milhares 7 15 6" xfId="40027"/>
    <cellStyle name="Separador de milhares 7 16" xfId="25849"/>
    <cellStyle name="Separador de milhares 7 16 2" xfId="25850"/>
    <cellStyle name="Separador de milhares 7 16 2 2" xfId="40033"/>
    <cellStyle name="Separador de milhares 7 16 3" xfId="25851"/>
    <cellStyle name="Separador de milhares 7 16 3 2" xfId="40034"/>
    <cellStyle name="Separador de milhares 7 16 4" xfId="25852"/>
    <cellStyle name="Separador de milhares 7 16 4 2" xfId="40035"/>
    <cellStyle name="Separador de milhares 7 16 5" xfId="25853"/>
    <cellStyle name="Separador de milhares 7 16 5 2" xfId="40036"/>
    <cellStyle name="Separador de milhares 7 16 6" xfId="40032"/>
    <cellStyle name="Separador de milhares 7 17" xfId="25854"/>
    <cellStyle name="Separador de milhares 7 17 2" xfId="25855"/>
    <cellStyle name="Separador de milhares 7 17 2 2" xfId="40038"/>
    <cellStyle name="Separador de milhares 7 17 3" xfId="25856"/>
    <cellStyle name="Separador de milhares 7 17 3 2" xfId="40039"/>
    <cellStyle name="Separador de milhares 7 17 4" xfId="25857"/>
    <cellStyle name="Separador de milhares 7 17 4 2" xfId="40040"/>
    <cellStyle name="Separador de milhares 7 17 5" xfId="25858"/>
    <cellStyle name="Separador de milhares 7 17 5 2" xfId="40041"/>
    <cellStyle name="Separador de milhares 7 17 6" xfId="40037"/>
    <cellStyle name="Separador de milhares 7 18" xfId="25859"/>
    <cellStyle name="Separador de milhares 7 18 2" xfId="25860"/>
    <cellStyle name="Separador de milhares 7 18 2 2" xfId="40043"/>
    <cellStyle name="Separador de milhares 7 18 3" xfId="25861"/>
    <cellStyle name="Separador de milhares 7 18 3 2" xfId="40044"/>
    <cellStyle name="Separador de milhares 7 18 4" xfId="25862"/>
    <cellStyle name="Separador de milhares 7 18 4 2" xfId="40045"/>
    <cellStyle name="Separador de milhares 7 18 5" xfId="25863"/>
    <cellStyle name="Separador de milhares 7 18 5 2" xfId="40046"/>
    <cellStyle name="Separador de milhares 7 18 6" xfId="40042"/>
    <cellStyle name="Separador de milhares 7 19" xfId="25864"/>
    <cellStyle name="Separador de milhares 7 19 2" xfId="25865"/>
    <cellStyle name="Separador de milhares 7 19 2 2" xfId="40048"/>
    <cellStyle name="Separador de milhares 7 19 3" xfId="25866"/>
    <cellStyle name="Separador de milhares 7 19 3 2" xfId="40049"/>
    <cellStyle name="Separador de milhares 7 19 4" xfId="25867"/>
    <cellStyle name="Separador de milhares 7 19 4 2" xfId="40050"/>
    <cellStyle name="Separador de milhares 7 19 5" xfId="25868"/>
    <cellStyle name="Separador de milhares 7 19 5 2" xfId="40051"/>
    <cellStyle name="Separador de milhares 7 19 6" xfId="40047"/>
    <cellStyle name="Separador de milhares 7 2" xfId="25869"/>
    <cellStyle name="Separador de milhares 7 2 10" xfId="25870"/>
    <cellStyle name="Separador de milhares 7 2 10 2" xfId="25871"/>
    <cellStyle name="Separador de milhares 7 2 10 2 2" xfId="40054"/>
    <cellStyle name="Separador de milhares 7 2 10 3" xfId="25872"/>
    <cellStyle name="Separador de milhares 7 2 10 3 2" xfId="40055"/>
    <cellStyle name="Separador de milhares 7 2 10 4" xfId="25873"/>
    <cellStyle name="Separador de milhares 7 2 10 4 2" xfId="40056"/>
    <cellStyle name="Separador de milhares 7 2 10 5" xfId="25874"/>
    <cellStyle name="Separador de milhares 7 2 10 5 2" xfId="40057"/>
    <cellStyle name="Separador de milhares 7 2 10 6" xfId="40053"/>
    <cellStyle name="Separador de milhares 7 2 11" xfId="25875"/>
    <cellStyle name="Separador de milhares 7 2 11 2" xfId="25876"/>
    <cellStyle name="Separador de milhares 7 2 11 2 2" xfId="40059"/>
    <cellStyle name="Separador de milhares 7 2 11 3" xfId="25877"/>
    <cellStyle name="Separador de milhares 7 2 11 3 2" xfId="40060"/>
    <cellStyle name="Separador de milhares 7 2 11 4" xfId="25878"/>
    <cellStyle name="Separador de milhares 7 2 11 4 2" xfId="40061"/>
    <cellStyle name="Separador de milhares 7 2 11 5" xfId="25879"/>
    <cellStyle name="Separador de milhares 7 2 11 5 2" xfId="40062"/>
    <cellStyle name="Separador de milhares 7 2 11 6" xfId="40058"/>
    <cellStyle name="Separador de milhares 7 2 12" xfId="25880"/>
    <cellStyle name="Separador de milhares 7 2 12 2" xfId="25881"/>
    <cellStyle name="Separador de milhares 7 2 12 2 2" xfId="40064"/>
    <cellStyle name="Separador de milhares 7 2 12 3" xfId="25882"/>
    <cellStyle name="Separador de milhares 7 2 12 3 2" xfId="40065"/>
    <cellStyle name="Separador de milhares 7 2 12 4" xfId="25883"/>
    <cellStyle name="Separador de milhares 7 2 12 4 2" xfId="40066"/>
    <cellStyle name="Separador de milhares 7 2 12 5" xfId="25884"/>
    <cellStyle name="Separador de milhares 7 2 12 5 2" xfId="40067"/>
    <cellStyle name="Separador de milhares 7 2 12 6" xfId="40063"/>
    <cellStyle name="Separador de milhares 7 2 13" xfId="25885"/>
    <cellStyle name="Separador de milhares 7 2 13 2" xfId="25886"/>
    <cellStyle name="Separador de milhares 7 2 13 2 2" xfId="40069"/>
    <cellStyle name="Separador de milhares 7 2 13 3" xfId="25887"/>
    <cellStyle name="Separador de milhares 7 2 13 3 2" xfId="40070"/>
    <cellStyle name="Separador de milhares 7 2 13 4" xfId="25888"/>
    <cellStyle name="Separador de milhares 7 2 13 4 2" xfId="40071"/>
    <cellStyle name="Separador de milhares 7 2 13 5" xfId="25889"/>
    <cellStyle name="Separador de milhares 7 2 13 5 2" xfId="40072"/>
    <cellStyle name="Separador de milhares 7 2 13 6" xfId="40068"/>
    <cellStyle name="Separador de milhares 7 2 14" xfId="25890"/>
    <cellStyle name="Separador de milhares 7 2 14 2" xfId="25891"/>
    <cellStyle name="Separador de milhares 7 2 14 2 2" xfId="40074"/>
    <cellStyle name="Separador de milhares 7 2 14 3" xfId="25892"/>
    <cellStyle name="Separador de milhares 7 2 14 3 2" xfId="40075"/>
    <cellStyle name="Separador de milhares 7 2 14 4" xfId="25893"/>
    <cellStyle name="Separador de milhares 7 2 14 4 2" xfId="40076"/>
    <cellStyle name="Separador de milhares 7 2 14 5" xfId="25894"/>
    <cellStyle name="Separador de milhares 7 2 14 5 2" xfId="40077"/>
    <cellStyle name="Separador de milhares 7 2 14 6" xfId="40073"/>
    <cellStyle name="Separador de milhares 7 2 15" xfId="25895"/>
    <cellStyle name="Separador de milhares 7 2 15 2" xfId="25896"/>
    <cellStyle name="Separador de milhares 7 2 15 2 2" xfId="40079"/>
    <cellStyle name="Separador de milhares 7 2 15 3" xfId="25897"/>
    <cellStyle name="Separador de milhares 7 2 15 3 2" xfId="40080"/>
    <cellStyle name="Separador de milhares 7 2 15 4" xfId="25898"/>
    <cellStyle name="Separador de milhares 7 2 15 4 2" xfId="40081"/>
    <cellStyle name="Separador de milhares 7 2 15 5" xfId="25899"/>
    <cellStyle name="Separador de milhares 7 2 15 5 2" xfId="40082"/>
    <cellStyle name="Separador de milhares 7 2 15 6" xfId="40078"/>
    <cellStyle name="Separador de milhares 7 2 16" xfId="25900"/>
    <cellStyle name="Separador de milhares 7 2 16 2" xfId="25901"/>
    <cellStyle name="Separador de milhares 7 2 16 2 2" xfId="40084"/>
    <cellStyle name="Separador de milhares 7 2 16 3" xfId="25902"/>
    <cellStyle name="Separador de milhares 7 2 16 3 2" xfId="40085"/>
    <cellStyle name="Separador de milhares 7 2 16 4" xfId="25903"/>
    <cellStyle name="Separador de milhares 7 2 16 4 2" xfId="40086"/>
    <cellStyle name="Separador de milhares 7 2 16 5" xfId="25904"/>
    <cellStyle name="Separador de milhares 7 2 16 5 2" xfId="40087"/>
    <cellStyle name="Separador de milhares 7 2 16 6" xfId="40083"/>
    <cellStyle name="Separador de milhares 7 2 17" xfId="25905"/>
    <cellStyle name="Separador de milhares 7 2 17 2" xfId="40088"/>
    <cellStyle name="Separador de milhares 7 2 18" xfId="25906"/>
    <cellStyle name="Separador de milhares 7 2 18 2" xfId="40089"/>
    <cellStyle name="Separador de milhares 7 2 19" xfId="25907"/>
    <cellStyle name="Separador de milhares 7 2 19 2" xfId="40090"/>
    <cellStyle name="Separador de milhares 7 2 2" xfId="25908"/>
    <cellStyle name="Separador de milhares 7 2 20" xfId="25909"/>
    <cellStyle name="Separador de milhares 7 2 20 2" xfId="40091"/>
    <cellStyle name="Separador de milhares 7 2 21" xfId="40052"/>
    <cellStyle name="Separador de milhares 7 2 3" xfId="25910"/>
    <cellStyle name="Separador de milhares 7 2 3 2" xfId="25911"/>
    <cellStyle name="Separador de milhares 7 2 3 2 2" xfId="40093"/>
    <cellStyle name="Separador de milhares 7 2 3 3" xfId="25912"/>
    <cellStyle name="Separador de milhares 7 2 3 3 2" xfId="40094"/>
    <cellStyle name="Separador de milhares 7 2 3 4" xfId="25913"/>
    <cellStyle name="Separador de milhares 7 2 3 4 2" xfId="40095"/>
    <cellStyle name="Separador de milhares 7 2 3 5" xfId="25914"/>
    <cellStyle name="Separador de milhares 7 2 3 5 2" xfId="40096"/>
    <cellStyle name="Separador de milhares 7 2 3 6" xfId="40092"/>
    <cellStyle name="Separador de milhares 7 2 4" xfId="25915"/>
    <cellStyle name="Separador de milhares 7 2 4 2" xfId="25916"/>
    <cellStyle name="Separador de milhares 7 2 4 2 2" xfId="40098"/>
    <cellStyle name="Separador de milhares 7 2 4 3" xfId="25917"/>
    <cellStyle name="Separador de milhares 7 2 4 3 2" xfId="40099"/>
    <cellStyle name="Separador de milhares 7 2 4 4" xfId="25918"/>
    <cellStyle name="Separador de milhares 7 2 4 4 2" xfId="40100"/>
    <cellStyle name="Separador de milhares 7 2 4 5" xfId="25919"/>
    <cellStyle name="Separador de milhares 7 2 4 5 2" xfId="40101"/>
    <cellStyle name="Separador de milhares 7 2 4 6" xfId="40097"/>
    <cellStyle name="Separador de milhares 7 2 5" xfId="25920"/>
    <cellStyle name="Separador de milhares 7 2 5 2" xfId="25921"/>
    <cellStyle name="Separador de milhares 7 2 5 2 2" xfId="40103"/>
    <cellStyle name="Separador de milhares 7 2 5 3" xfId="25922"/>
    <cellStyle name="Separador de milhares 7 2 5 3 2" xfId="40104"/>
    <cellStyle name="Separador de milhares 7 2 5 4" xfId="25923"/>
    <cellStyle name="Separador de milhares 7 2 5 4 2" xfId="40105"/>
    <cellStyle name="Separador de milhares 7 2 5 5" xfId="25924"/>
    <cellStyle name="Separador de milhares 7 2 5 5 2" xfId="40106"/>
    <cellStyle name="Separador de milhares 7 2 5 6" xfId="40102"/>
    <cellStyle name="Separador de milhares 7 2 6" xfId="25925"/>
    <cellStyle name="Separador de milhares 7 2 6 2" xfId="25926"/>
    <cellStyle name="Separador de milhares 7 2 6 2 2" xfId="40108"/>
    <cellStyle name="Separador de milhares 7 2 6 3" xfId="25927"/>
    <cellStyle name="Separador de milhares 7 2 6 3 2" xfId="40109"/>
    <cellStyle name="Separador de milhares 7 2 6 4" xfId="25928"/>
    <cellStyle name="Separador de milhares 7 2 6 4 2" xfId="40110"/>
    <cellStyle name="Separador de milhares 7 2 6 5" xfId="25929"/>
    <cellStyle name="Separador de milhares 7 2 6 5 2" xfId="40111"/>
    <cellStyle name="Separador de milhares 7 2 6 6" xfId="40107"/>
    <cellStyle name="Separador de milhares 7 2 7" xfId="25930"/>
    <cellStyle name="Separador de milhares 7 2 7 2" xfId="25931"/>
    <cellStyle name="Separador de milhares 7 2 7 2 2" xfId="40113"/>
    <cellStyle name="Separador de milhares 7 2 7 3" xfId="25932"/>
    <cellStyle name="Separador de milhares 7 2 7 3 2" xfId="40114"/>
    <cellStyle name="Separador de milhares 7 2 7 4" xfId="25933"/>
    <cellStyle name="Separador de milhares 7 2 7 4 2" xfId="40115"/>
    <cellStyle name="Separador de milhares 7 2 7 5" xfId="25934"/>
    <cellStyle name="Separador de milhares 7 2 7 5 2" xfId="40116"/>
    <cellStyle name="Separador de milhares 7 2 7 6" xfId="40112"/>
    <cellStyle name="Separador de milhares 7 2 8" xfId="25935"/>
    <cellStyle name="Separador de milhares 7 2 8 2" xfId="25936"/>
    <cellStyle name="Separador de milhares 7 2 8 2 2" xfId="40118"/>
    <cellStyle name="Separador de milhares 7 2 8 3" xfId="25937"/>
    <cellStyle name="Separador de milhares 7 2 8 3 2" xfId="40119"/>
    <cellStyle name="Separador de milhares 7 2 8 4" xfId="25938"/>
    <cellStyle name="Separador de milhares 7 2 8 4 2" xfId="40120"/>
    <cellStyle name="Separador de milhares 7 2 8 5" xfId="25939"/>
    <cellStyle name="Separador de milhares 7 2 8 5 2" xfId="40121"/>
    <cellStyle name="Separador de milhares 7 2 8 6" xfId="40117"/>
    <cellStyle name="Separador de milhares 7 2 9" xfId="25940"/>
    <cellStyle name="Separador de milhares 7 2 9 2" xfId="25941"/>
    <cellStyle name="Separador de milhares 7 2 9 2 2" xfId="40123"/>
    <cellStyle name="Separador de milhares 7 2 9 3" xfId="25942"/>
    <cellStyle name="Separador de milhares 7 2 9 3 2" xfId="40124"/>
    <cellStyle name="Separador de milhares 7 2 9 4" xfId="25943"/>
    <cellStyle name="Separador de milhares 7 2 9 4 2" xfId="40125"/>
    <cellStyle name="Separador de milhares 7 2 9 5" xfId="25944"/>
    <cellStyle name="Separador de milhares 7 2 9 5 2" xfId="40126"/>
    <cellStyle name="Separador de milhares 7 2 9 6" xfId="40122"/>
    <cellStyle name="Separador de milhares 7 20" xfId="25945"/>
    <cellStyle name="Separador de milhares 7 20 2" xfId="40127"/>
    <cellStyle name="Separador de milhares 7 21" xfId="25946"/>
    <cellStyle name="Separador de milhares 7 21 2" xfId="40128"/>
    <cellStyle name="Separador de milhares 7 22" xfId="25947"/>
    <cellStyle name="Separador de milhares 7 22 2" xfId="40129"/>
    <cellStyle name="Separador de milhares 7 23" xfId="25948"/>
    <cellStyle name="Separador de milhares 7 23 2" xfId="40130"/>
    <cellStyle name="Separador de milhares 7 24" xfId="25949"/>
    <cellStyle name="Separador de milhares 7 24 2" xfId="40131"/>
    <cellStyle name="Separador de milhares 7 25" xfId="40001"/>
    <cellStyle name="Separador de milhares 7 3" xfId="25950"/>
    <cellStyle name="Separador de milhares 7 3 2" xfId="25951"/>
    <cellStyle name="Separador de milhares 7 3 3" xfId="25952"/>
    <cellStyle name="Separador de milhares 7 3 3 2" xfId="40133"/>
    <cellStyle name="Separador de milhares 7 3 4" xfId="25953"/>
    <cellStyle name="Separador de milhares 7 3 4 2" xfId="40134"/>
    <cellStyle name="Separador de milhares 7 3 5" xfId="25954"/>
    <cellStyle name="Separador de milhares 7 3 5 2" xfId="40135"/>
    <cellStyle name="Separador de milhares 7 3 6" xfId="25955"/>
    <cellStyle name="Separador de milhares 7 3 6 2" xfId="40136"/>
    <cellStyle name="Separador de milhares 7 3 7" xfId="40132"/>
    <cellStyle name="Separador de milhares 7 4" xfId="25956"/>
    <cellStyle name="Separador de milhares 7 4 2" xfId="25957"/>
    <cellStyle name="Separador de milhares 7 4 3" xfId="25958"/>
    <cellStyle name="Separador de milhares 7 4 3 2" xfId="40138"/>
    <cellStyle name="Separador de milhares 7 4 4" xfId="25959"/>
    <cellStyle name="Separador de milhares 7 4 4 2" xfId="40139"/>
    <cellStyle name="Separador de milhares 7 4 5" xfId="25960"/>
    <cellStyle name="Separador de milhares 7 4 5 2" xfId="40140"/>
    <cellStyle name="Separador de milhares 7 4 6" xfId="25961"/>
    <cellStyle name="Separador de milhares 7 4 6 2" xfId="40141"/>
    <cellStyle name="Separador de milhares 7 4 7" xfId="40137"/>
    <cellStyle name="Separador de milhares 7 5" xfId="25962"/>
    <cellStyle name="Separador de milhares 7 5 2" xfId="25963"/>
    <cellStyle name="Separador de milhares 7 5 3" xfId="25964"/>
    <cellStyle name="Separador de milhares 7 5 3 2" xfId="40143"/>
    <cellStyle name="Separador de milhares 7 5 4" xfId="25965"/>
    <cellStyle name="Separador de milhares 7 5 4 2" xfId="40144"/>
    <cellStyle name="Separador de milhares 7 5 5" xfId="25966"/>
    <cellStyle name="Separador de milhares 7 5 5 2" xfId="40145"/>
    <cellStyle name="Separador de milhares 7 5 6" xfId="25967"/>
    <cellStyle name="Separador de milhares 7 5 6 2" xfId="40146"/>
    <cellStyle name="Separador de milhares 7 5 7" xfId="40142"/>
    <cellStyle name="Separador de milhares 7 6" xfId="25968"/>
    <cellStyle name="Separador de milhares 7 6 2" xfId="25969"/>
    <cellStyle name="Separador de milhares 7 6 2 2" xfId="40148"/>
    <cellStyle name="Separador de milhares 7 6 3" xfId="25970"/>
    <cellStyle name="Separador de milhares 7 6 3 2" xfId="40149"/>
    <cellStyle name="Separador de milhares 7 6 4" xfId="25971"/>
    <cellStyle name="Separador de milhares 7 6 4 2" xfId="40150"/>
    <cellStyle name="Separador de milhares 7 6 5" xfId="25972"/>
    <cellStyle name="Separador de milhares 7 6 5 2" xfId="40151"/>
    <cellStyle name="Separador de milhares 7 6 6" xfId="40147"/>
    <cellStyle name="Separador de milhares 7 7" xfId="25973"/>
    <cellStyle name="Separador de milhares 7 7 2" xfId="25974"/>
    <cellStyle name="Separador de milhares 7 7 2 2" xfId="40153"/>
    <cellStyle name="Separador de milhares 7 7 3" xfId="25975"/>
    <cellStyle name="Separador de milhares 7 7 3 2" xfId="40154"/>
    <cellStyle name="Separador de milhares 7 7 4" xfId="25976"/>
    <cellStyle name="Separador de milhares 7 7 4 2" xfId="40155"/>
    <cellStyle name="Separador de milhares 7 7 5" xfId="25977"/>
    <cellStyle name="Separador de milhares 7 7 5 2" xfId="40156"/>
    <cellStyle name="Separador de milhares 7 7 6" xfId="40152"/>
    <cellStyle name="Separador de milhares 7 8" xfId="25978"/>
    <cellStyle name="Separador de milhares 7 8 2" xfId="25979"/>
    <cellStyle name="Separador de milhares 7 8 2 2" xfId="40158"/>
    <cellStyle name="Separador de milhares 7 8 3" xfId="25980"/>
    <cellStyle name="Separador de milhares 7 8 3 2" xfId="40159"/>
    <cellStyle name="Separador de milhares 7 8 4" xfId="25981"/>
    <cellStyle name="Separador de milhares 7 8 4 2" xfId="40160"/>
    <cellStyle name="Separador de milhares 7 8 5" xfId="25982"/>
    <cellStyle name="Separador de milhares 7 8 5 2" xfId="40161"/>
    <cellStyle name="Separador de milhares 7 8 6" xfId="40157"/>
    <cellStyle name="Separador de milhares 7 9" xfId="25983"/>
    <cellStyle name="Separador de milhares 7 9 2" xfId="25984"/>
    <cellStyle name="Separador de milhares 7 9 2 2" xfId="40163"/>
    <cellStyle name="Separador de milhares 7 9 3" xfId="25985"/>
    <cellStyle name="Separador de milhares 7 9 3 2" xfId="40164"/>
    <cellStyle name="Separador de milhares 7 9 4" xfId="25986"/>
    <cellStyle name="Separador de milhares 7 9 4 2" xfId="40165"/>
    <cellStyle name="Separador de milhares 7 9 5" xfId="25987"/>
    <cellStyle name="Separador de milhares 7 9 5 2" xfId="40166"/>
    <cellStyle name="Separador de milhares 7 9 6" xfId="40162"/>
    <cellStyle name="Separador de milhares 8" xfId="25988"/>
    <cellStyle name="Separador de milhares 8 2" xfId="25989"/>
    <cellStyle name="Separador de milhares 9" xfId="25990"/>
    <cellStyle name="Separador de milhares 9 2" xfId="25991"/>
    <cellStyle name="Separador de milhares 9 3" xfId="25992"/>
    <cellStyle name="Separador de milhares_Quantificação - Av Cel Stuck e Rua Rondonópolis" xfId="8"/>
    <cellStyle name="Texto de Aviso 10" xfId="25993"/>
    <cellStyle name="Texto de Aviso 10 2" xfId="40880"/>
    <cellStyle name="Texto de Aviso 100" xfId="25994"/>
    <cellStyle name="Texto de Aviso 101" xfId="25995"/>
    <cellStyle name="Texto de Aviso 102" xfId="25996"/>
    <cellStyle name="Texto de Aviso 103" xfId="25997"/>
    <cellStyle name="Texto de Aviso 104" xfId="25998"/>
    <cellStyle name="Texto de Aviso 105" xfId="25999"/>
    <cellStyle name="Texto de Aviso 106" xfId="26000"/>
    <cellStyle name="Texto de Aviso 107" xfId="26001"/>
    <cellStyle name="Texto de Aviso 108" xfId="26002"/>
    <cellStyle name="Texto de Aviso 109" xfId="26003"/>
    <cellStyle name="Texto de Aviso 11" xfId="26004"/>
    <cellStyle name="Texto de Aviso 11 2" xfId="40881"/>
    <cellStyle name="Texto de Aviso 110" xfId="26005"/>
    <cellStyle name="Texto de Aviso 111" xfId="26006"/>
    <cellStyle name="Texto de Aviso 112" xfId="26007"/>
    <cellStyle name="Texto de Aviso 113" xfId="26008"/>
    <cellStyle name="Texto de Aviso 114" xfId="26009"/>
    <cellStyle name="Texto de Aviso 115" xfId="26010"/>
    <cellStyle name="Texto de Aviso 116" xfId="26011"/>
    <cellStyle name="Texto de Aviso 117" xfId="26012"/>
    <cellStyle name="Texto de Aviso 118" xfId="26013"/>
    <cellStyle name="Texto de Aviso 119" xfId="26014"/>
    <cellStyle name="Texto de Aviso 12" xfId="26015"/>
    <cellStyle name="Texto de Aviso 12 2" xfId="40882"/>
    <cellStyle name="Texto de Aviso 120" xfId="26016"/>
    <cellStyle name="Texto de Aviso 121" xfId="26017"/>
    <cellStyle name="Texto de Aviso 122" xfId="26018"/>
    <cellStyle name="Texto de Aviso 123" xfId="26019"/>
    <cellStyle name="Texto de Aviso 124" xfId="26020"/>
    <cellStyle name="Texto de Aviso 125" xfId="26021"/>
    <cellStyle name="Texto de Aviso 126" xfId="26022"/>
    <cellStyle name="Texto de Aviso 127" xfId="26023"/>
    <cellStyle name="Texto de Aviso 128" xfId="26024"/>
    <cellStyle name="Texto de Aviso 129" xfId="26025"/>
    <cellStyle name="Texto de Aviso 13" xfId="26026"/>
    <cellStyle name="Texto de Aviso 13 2" xfId="40883"/>
    <cellStyle name="Texto de Aviso 130" xfId="26027"/>
    <cellStyle name="Texto de Aviso 131" xfId="26028"/>
    <cellStyle name="Texto de Aviso 132" xfId="26029"/>
    <cellStyle name="Texto de Aviso 133" xfId="26030"/>
    <cellStyle name="Texto de Aviso 134" xfId="26031"/>
    <cellStyle name="Texto de Aviso 135" xfId="26032"/>
    <cellStyle name="Texto de Aviso 136" xfId="26033"/>
    <cellStyle name="Texto de Aviso 137" xfId="26034"/>
    <cellStyle name="Texto de Aviso 138" xfId="26035"/>
    <cellStyle name="Texto de Aviso 139" xfId="26036"/>
    <cellStyle name="Texto de Aviso 14" xfId="26037"/>
    <cellStyle name="Texto de Aviso 140" xfId="26038"/>
    <cellStyle name="Texto de Aviso 141" xfId="26039"/>
    <cellStyle name="Texto de Aviso 142" xfId="26040"/>
    <cellStyle name="Texto de Aviso 143" xfId="26041"/>
    <cellStyle name="Texto de Aviso 144" xfId="26042"/>
    <cellStyle name="Texto de Aviso 145" xfId="26043"/>
    <cellStyle name="Texto de Aviso 146" xfId="26044"/>
    <cellStyle name="Texto de Aviso 147" xfId="26045"/>
    <cellStyle name="Texto de Aviso 148" xfId="26046"/>
    <cellStyle name="Texto de Aviso 149" xfId="26047"/>
    <cellStyle name="Texto de Aviso 15" xfId="26048"/>
    <cellStyle name="Texto de Aviso 15 2" xfId="26049"/>
    <cellStyle name="Texto de Aviso 15 3" xfId="26050"/>
    <cellStyle name="Texto de Aviso 150" xfId="26051"/>
    <cellStyle name="Texto de Aviso 151" xfId="26052"/>
    <cellStyle name="Texto de Aviso 152" xfId="26053"/>
    <cellStyle name="Texto de Aviso 153" xfId="26054"/>
    <cellStyle name="Texto de Aviso 154" xfId="26055"/>
    <cellStyle name="Texto de Aviso 155" xfId="26056"/>
    <cellStyle name="Texto de Aviso 156" xfId="26057"/>
    <cellStyle name="Texto de Aviso 157" xfId="26058"/>
    <cellStyle name="Texto de Aviso 158" xfId="26059"/>
    <cellStyle name="Texto de Aviso 159" xfId="26060"/>
    <cellStyle name="Texto de Aviso 16" xfId="26061"/>
    <cellStyle name="Texto de Aviso 16 2" xfId="26062"/>
    <cellStyle name="Texto de Aviso 16 3" xfId="26063"/>
    <cellStyle name="Texto de Aviso 160" xfId="26064"/>
    <cellStyle name="Texto de Aviso 161" xfId="26065"/>
    <cellStyle name="Texto de Aviso 162" xfId="26066"/>
    <cellStyle name="Texto de Aviso 163" xfId="26067"/>
    <cellStyle name="Texto de Aviso 164" xfId="26068"/>
    <cellStyle name="Texto de Aviso 165" xfId="26069"/>
    <cellStyle name="Texto de Aviso 166" xfId="26070"/>
    <cellStyle name="Texto de Aviso 167" xfId="26071"/>
    <cellStyle name="Texto de Aviso 168" xfId="26072"/>
    <cellStyle name="Texto de Aviso 169" xfId="26073"/>
    <cellStyle name="Texto de Aviso 17" xfId="26074"/>
    <cellStyle name="Texto de Aviso 17 2" xfId="26075"/>
    <cellStyle name="Texto de Aviso 17 3" xfId="26076"/>
    <cellStyle name="Texto de Aviso 170" xfId="26077"/>
    <cellStyle name="Texto de Aviso 171" xfId="26078"/>
    <cellStyle name="Texto de Aviso 172" xfId="26079"/>
    <cellStyle name="Texto de Aviso 173" xfId="26080"/>
    <cellStyle name="Texto de Aviso 174" xfId="26081"/>
    <cellStyle name="Texto de Aviso 175" xfId="26082"/>
    <cellStyle name="Texto de Aviso 176" xfId="26083"/>
    <cellStyle name="Texto de Aviso 177" xfId="26084"/>
    <cellStyle name="Texto de Aviso 178" xfId="26085"/>
    <cellStyle name="Texto de Aviso 179" xfId="26086"/>
    <cellStyle name="Texto de Aviso 18" xfId="26087"/>
    <cellStyle name="Texto de Aviso 18 2" xfId="26088"/>
    <cellStyle name="Texto de Aviso 18 3" xfId="26089"/>
    <cellStyle name="Texto de Aviso 180" xfId="26090"/>
    <cellStyle name="Texto de Aviso 181" xfId="26091"/>
    <cellStyle name="Texto de Aviso 182" xfId="26092"/>
    <cellStyle name="Texto de Aviso 183" xfId="26093"/>
    <cellStyle name="Texto de Aviso 184" xfId="26094"/>
    <cellStyle name="Texto de Aviso 185" xfId="26095"/>
    <cellStyle name="Texto de Aviso 186" xfId="26096"/>
    <cellStyle name="Texto de Aviso 187" xfId="26097"/>
    <cellStyle name="Texto de Aviso 188" xfId="26098"/>
    <cellStyle name="Texto de Aviso 189" xfId="26099"/>
    <cellStyle name="Texto de Aviso 19" xfId="26100"/>
    <cellStyle name="Texto de Aviso 19 2" xfId="26101"/>
    <cellStyle name="Texto de Aviso 19 3" xfId="26102"/>
    <cellStyle name="Texto de Aviso 190" xfId="26103"/>
    <cellStyle name="Texto de Aviso 2" xfId="26104"/>
    <cellStyle name="Texto de Aviso 2 10" xfId="26105"/>
    <cellStyle name="Texto de Aviso 2 11" xfId="26106"/>
    <cellStyle name="Texto de Aviso 2 12" xfId="26107"/>
    <cellStyle name="Texto de Aviso 2 13" xfId="26108"/>
    <cellStyle name="Texto de Aviso 2 14" xfId="26109"/>
    <cellStyle name="Texto de Aviso 2 15" xfId="26110"/>
    <cellStyle name="Texto de Aviso 2 16" xfId="26111"/>
    <cellStyle name="Texto de Aviso 2 17" xfId="26112"/>
    <cellStyle name="Texto de Aviso 2 18" xfId="26113"/>
    <cellStyle name="Texto de Aviso 2 19" xfId="26114"/>
    <cellStyle name="Texto de Aviso 2 2" xfId="26115"/>
    <cellStyle name="Texto de Aviso 2 20" xfId="26116"/>
    <cellStyle name="Texto de Aviso 2 21" xfId="26117"/>
    <cellStyle name="Texto de Aviso 2 22" xfId="26118"/>
    <cellStyle name="Texto de Aviso 2 23" xfId="26119"/>
    <cellStyle name="Texto de Aviso 2 24" xfId="26120"/>
    <cellStyle name="Texto de Aviso 2 25" xfId="26121"/>
    <cellStyle name="Texto de Aviso 2 26" xfId="26122"/>
    <cellStyle name="Texto de Aviso 2 27" xfId="26123"/>
    <cellStyle name="Texto de Aviso 2 28" xfId="26124"/>
    <cellStyle name="Texto de Aviso 2 29" xfId="26125"/>
    <cellStyle name="Texto de Aviso 2 3" xfId="26126"/>
    <cellStyle name="Texto de Aviso 2 30" xfId="26127"/>
    <cellStyle name="Texto de Aviso 2 31" xfId="26128"/>
    <cellStyle name="Texto de Aviso 2 32" xfId="26129"/>
    <cellStyle name="Texto de Aviso 2 33" xfId="26130"/>
    <cellStyle name="Texto de Aviso 2 34" xfId="26131"/>
    <cellStyle name="Texto de Aviso 2 35" xfId="26132"/>
    <cellStyle name="Texto de Aviso 2 4" xfId="26133"/>
    <cellStyle name="Texto de Aviso 2 5" xfId="26134"/>
    <cellStyle name="Texto de Aviso 2 6" xfId="26135"/>
    <cellStyle name="Texto de Aviso 2 7" xfId="26136"/>
    <cellStyle name="Texto de Aviso 2 8" xfId="26137"/>
    <cellStyle name="Texto de Aviso 2 9" xfId="26138"/>
    <cellStyle name="Texto de Aviso 20" xfId="26139"/>
    <cellStyle name="Texto de Aviso 20 2" xfId="26140"/>
    <cellStyle name="Texto de Aviso 20 3" xfId="26141"/>
    <cellStyle name="Texto de Aviso 21" xfId="26142"/>
    <cellStyle name="Texto de Aviso 22" xfId="26143"/>
    <cellStyle name="Texto de Aviso 23" xfId="26144"/>
    <cellStyle name="Texto de Aviso 24" xfId="26145"/>
    <cellStyle name="Texto de Aviso 25" xfId="26146"/>
    <cellStyle name="Texto de Aviso 26" xfId="26147"/>
    <cellStyle name="Texto de Aviso 27" xfId="26148"/>
    <cellStyle name="Texto de Aviso 28" xfId="26149"/>
    <cellStyle name="Texto de Aviso 29" xfId="26150"/>
    <cellStyle name="Texto de Aviso 3" xfId="26151"/>
    <cellStyle name="Texto de Aviso 3 2" xfId="26152"/>
    <cellStyle name="Texto de Aviso 3 3" xfId="26153"/>
    <cellStyle name="Texto de Aviso 3 4" xfId="26154"/>
    <cellStyle name="Texto de Aviso 3 5" xfId="26155"/>
    <cellStyle name="Texto de Aviso 3 6" xfId="26156"/>
    <cellStyle name="Texto de Aviso 3 7" xfId="26157"/>
    <cellStyle name="Texto de Aviso 30" xfId="26158"/>
    <cellStyle name="Texto de Aviso 31" xfId="26159"/>
    <cellStyle name="Texto de Aviso 32" xfId="26160"/>
    <cellStyle name="Texto de Aviso 33" xfId="26161"/>
    <cellStyle name="Texto de Aviso 34" xfId="26162"/>
    <cellStyle name="Texto de Aviso 35" xfId="26163"/>
    <cellStyle name="Texto de Aviso 36" xfId="26164"/>
    <cellStyle name="Texto de Aviso 37" xfId="26165"/>
    <cellStyle name="Texto de Aviso 38" xfId="26166"/>
    <cellStyle name="Texto de Aviso 39" xfId="26167"/>
    <cellStyle name="Texto de Aviso 4" xfId="26168"/>
    <cellStyle name="Texto de Aviso 4 2" xfId="26169"/>
    <cellStyle name="Texto de Aviso 4 3" xfId="26170"/>
    <cellStyle name="Texto de Aviso 4 4" xfId="26171"/>
    <cellStyle name="Texto de Aviso 4 5" xfId="26172"/>
    <cellStyle name="Texto de Aviso 4 6" xfId="26173"/>
    <cellStyle name="Texto de Aviso 4 7" xfId="26174"/>
    <cellStyle name="Texto de Aviso 40" xfId="26175"/>
    <cellStyle name="Texto de Aviso 41" xfId="26176"/>
    <cellStyle name="Texto de Aviso 42" xfId="26177"/>
    <cellStyle name="Texto de Aviso 43" xfId="26178"/>
    <cellStyle name="Texto de Aviso 44" xfId="26179"/>
    <cellStyle name="Texto de Aviso 45" xfId="26180"/>
    <cellStyle name="Texto de Aviso 46" xfId="26181"/>
    <cellStyle name="Texto de Aviso 47" xfId="26182"/>
    <cellStyle name="Texto de Aviso 48" xfId="26183"/>
    <cellStyle name="Texto de Aviso 49" xfId="26184"/>
    <cellStyle name="Texto de Aviso 5" xfId="26185"/>
    <cellStyle name="Texto de Aviso 5 2" xfId="26186"/>
    <cellStyle name="Texto de Aviso 5 3" xfId="26187"/>
    <cellStyle name="Texto de Aviso 5 4" xfId="26188"/>
    <cellStyle name="Texto de Aviso 50" xfId="26189"/>
    <cellStyle name="Texto de Aviso 51" xfId="26190"/>
    <cellStyle name="Texto de Aviso 52" xfId="26191"/>
    <cellStyle name="Texto de Aviso 53" xfId="26192"/>
    <cellStyle name="Texto de Aviso 54" xfId="26193"/>
    <cellStyle name="Texto de Aviso 55" xfId="26194"/>
    <cellStyle name="Texto de Aviso 56" xfId="26195"/>
    <cellStyle name="Texto de Aviso 57" xfId="26196"/>
    <cellStyle name="Texto de Aviso 58" xfId="26197"/>
    <cellStyle name="Texto de Aviso 59" xfId="26198"/>
    <cellStyle name="Texto de Aviso 6" xfId="26199"/>
    <cellStyle name="Texto de Aviso 6 2" xfId="26200"/>
    <cellStyle name="Texto de Aviso 6 3" xfId="26201"/>
    <cellStyle name="Texto de Aviso 6 4" xfId="26202"/>
    <cellStyle name="Texto de Aviso 60" xfId="26203"/>
    <cellStyle name="Texto de Aviso 61" xfId="26204"/>
    <cellStyle name="Texto de Aviso 62" xfId="26205"/>
    <cellStyle name="Texto de Aviso 63" xfId="26206"/>
    <cellStyle name="Texto de Aviso 64" xfId="26207"/>
    <cellStyle name="Texto de Aviso 65" xfId="26208"/>
    <cellStyle name="Texto de Aviso 66" xfId="26209"/>
    <cellStyle name="Texto de Aviso 67" xfId="26210"/>
    <cellStyle name="Texto de Aviso 68" xfId="26211"/>
    <cellStyle name="Texto de Aviso 69" xfId="26212"/>
    <cellStyle name="Texto de Aviso 7" xfId="26213"/>
    <cellStyle name="Texto de Aviso 7 2" xfId="26214"/>
    <cellStyle name="Texto de Aviso 7 3" xfId="26215"/>
    <cellStyle name="Texto de Aviso 7 4" xfId="26216"/>
    <cellStyle name="Texto de Aviso 70" xfId="26217"/>
    <cellStyle name="Texto de Aviso 71" xfId="26218"/>
    <cellStyle name="Texto de Aviso 72" xfId="26219"/>
    <cellStyle name="Texto de Aviso 73" xfId="26220"/>
    <cellStyle name="Texto de Aviso 74" xfId="26221"/>
    <cellStyle name="Texto de Aviso 75" xfId="26222"/>
    <cellStyle name="Texto de Aviso 76" xfId="26223"/>
    <cellStyle name="Texto de Aviso 77" xfId="26224"/>
    <cellStyle name="Texto de Aviso 78" xfId="26225"/>
    <cellStyle name="Texto de Aviso 79" xfId="26226"/>
    <cellStyle name="Texto de Aviso 8" xfId="26227"/>
    <cellStyle name="Texto de Aviso 8 2" xfId="26228"/>
    <cellStyle name="Texto de Aviso 8 3" xfId="26229"/>
    <cellStyle name="Texto de Aviso 8 4" xfId="26230"/>
    <cellStyle name="Texto de Aviso 80" xfId="26231"/>
    <cellStyle name="Texto de Aviso 81" xfId="26232"/>
    <cellStyle name="Texto de Aviso 82" xfId="26233"/>
    <cellStyle name="Texto de Aviso 83" xfId="26234"/>
    <cellStyle name="Texto de Aviso 84" xfId="26235"/>
    <cellStyle name="Texto de Aviso 85" xfId="26236"/>
    <cellStyle name="Texto de Aviso 86" xfId="26237"/>
    <cellStyle name="Texto de Aviso 87" xfId="26238"/>
    <cellStyle name="Texto de Aviso 88" xfId="26239"/>
    <cellStyle name="Texto de Aviso 89" xfId="26240"/>
    <cellStyle name="Texto de Aviso 9" xfId="26241"/>
    <cellStyle name="Texto de Aviso 90" xfId="26242"/>
    <cellStyle name="Texto de Aviso 91" xfId="26243"/>
    <cellStyle name="Texto de Aviso 92" xfId="26244"/>
    <cellStyle name="Texto de Aviso 93" xfId="26245"/>
    <cellStyle name="Texto de Aviso 94" xfId="26246"/>
    <cellStyle name="Texto de Aviso 95" xfId="26247"/>
    <cellStyle name="Texto de Aviso 96" xfId="26248"/>
    <cellStyle name="Texto de Aviso 97" xfId="26249"/>
    <cellStyle name="Texto de Aviso 98" xfId="26250"/>
    <cellStyle name="Texto de Aviso 99" xfId="26251"/>
    <cellStyle name="Texto Explicativo 10" xfId="26252"/>
    <cellStyle name="Texto Explicativo 10 2" xfId="40884"/>
    <cellStyle name="Texto Explicativo 100" xfId="26253"/>
    <cellStyle name="Texto Explicativo 101" xfId="26254"/>
    <cellStyle name="Texto Explicativo 102" xfId="26255"/>
    <cellStyle name="Texto Explicativo 103" xfId="26256"/>
    <cellStyle name="Texto Explicativo 104" xfId="26257"/>
    <cellStyle name="Texto Explicativo 105" xfId="26258"/>
    <cellStyle name="Texto Explicativo 106" xfId="26259"/>
    <cellStyle name="Texto Explicativo 107" xfId="26260"/>
    <cellStyle name="Texto Explicativo 108" xfId="26261"/>
    <cellStyle name="Texto Explicativo 109" xfId="26262"/>
    <cellStyle name="Texto Explicativo 11" xfId="26263"/>
    <cellStyle name="Texto Explicativo 11 2" xfId="40885"/>
    <cellStyle name="Texto Explicativo 110" xfId="26264"/>
    <cellStyle name="Texto Explicativo 111" xfId="26265"/>
    <cellStyle name="Texto Explicativo 112" xfId="26266"/>
    <cellStyle name="Texto Explicativo 113" xfId="26267"/>
    <cellStyle name="Texto Explicativo 114" xfId="26268"/>
    <cellStyle name="Texto Explicativo 115" xfId="26269"/>
    <cellStyle name="Texto Explicativo 116" xfId="26270"/>
    <cellStyle name="Texto Explicativo 117" xfId="26271"/>
    <cellStyle name="Texto Explicativo 118" xfId="26272"/>
    <cellStyle name="Texto Explicativo 119" xfId="26273"/>
    <cellStyle name="Texto Explicativo 12" xfId="26274"/>
    <cellStyle name="Texto Explicativo 12 2" xfId="40886"/>
    <cellStyle name="Texto Explicativo 120" xfId="26275"/>
    <cellStyle name="Texto Explicativo 121" xfId="26276"/>
    <cellStyle name="Texto Explicativo 122" xfId="26277"/>
    <cellStyle name="Texto Explicativo 123" xfId="26278"/>
    <cellStyle name="Texto Explicativo 124" xfId="26279"/>
    <cellStyle name="Texto Explicativo 125" xfId="26280"/>
    <cellStyle name="Texto Explicativo 126" xfId="26281"/>
    <cellStyle name="Texto Explicativo 127" xfId="26282"/>
    <cellStyle name="Texto Explicativo 128" xfId="26283"/>
    <cellStyle name="Texto Explicativo 129" xfId="26284"/>
    <cellStyle name="Texto Explicativo 13" xfId="26285"/>
    <cellStyle name="Texto Explicativo 13 2" xfId="40887"/>
    <cellStyle name="Texto Explicativo 130" xfId="26286"/>
    <cellStyle name="Texto Explicativo 131" xfId="26287"/>
    <cellStyle name="Texto Explicativo 132" xfId="26288"/>
    <cellStyle name="Texto Explicativo 133" xfId="26289"/>
    <cellStyle name="Texto Explicativo 134" xfId="26290"/>
    <cellStyle name="Texto Explicativo 135" xfId="26291"/>
    <cellStyle name="Texto Explicativo 136" xfId="26292"/>
    <cellStyle name="Texto Explicativo 137" xfId="26293"/>
    <cellStyle name="Texto Explicativo 138" xfId="26294"/>
    <cellStyle name="Texto Explicativo 139" xfId="26295"/>
    <cellStyle name="Texto Explicativo 14" xfId="26296"/>
    <cellStyle name="Texto Explicativo 140" xfId="26297"/>
    <cellStyle name="Texto Explicativo 141" xfId="26298"/>
    <cellStyle name="Texto Explicativo 142" xfId="26299"/>
    <cellStyle name="Texto Explicativo 143" xfId="26300"/>
    <cellStyle name="Texto Explicativo 144" xfId="26301"/>
    <cellStyle name="Texto Explicativo 145" xfId="26302"/>
    <cellStyle name="Texto Explicativo 146" xfId="26303"/>
    <cellStyle name="Texto Explicativo 147" xfId="26304"/>
    <cellStyle name="Texto Explicativo 148" xfId="26305"/>
    <cellStyle name="Texto Explicativo 149" xfId="26306"/>
    <cellStyle name="Texto Explicativo 15" xfId="26307"/>
    <cellStyle name="Texto Explicativo 15 2" xfId="26308"/>
    <cellStyle name="Texto Explicativo 15 3" xfId="26309"/>
    <cellStyle name="Texto Explicativo 150" xfId="26310"/>
    <cellStyle name="Texto Explicativo 151" xfId="26311"/>
    <cellStyle name="Texto Explicativo 152" xfId="26312"/>
    <cellStyle name="Texto Explicativo 153" xfId="26313"/>
    <cellStyle name="Texto Explicativo 154" xfId="26314"/>
    <cellStyle name="Texto Explicativo 155" xfId="26315"/>
    <cellStyle name="Texto Explicativo 156" xfId="26316"/>
    <cellStyle name="Texto Explicativo 157" xfId="26317"/>
    <cellStyle name="Texto Explicativo 158" xfId="26318"/>
    <cellStyle name="Texto Explicativo 159" xfId="26319"/>
    <cellStyle name="Texto Explicativo 16" xfId="26320"/>
    <cellStyle name="Texto Explicativo 16 2" xfId="26321"/>
    <cellStyle name="Texto Explicativo 16 3" xfId="26322"/>
    <cellStyle name="Texto Explicativo 160" xfId="26323"/>
    <cellStyle name="Texto Explicativo 161" xfId="26324"/>
    <cellStyle name="Texto Explicativo 162" xfId="26325"/>
    <cellStyle name="Texto Explicativo 163" xfId="26326"/>
    <cellStyle name="Texto Explicativo 164" xfId="26327"/>
    <cellStyle name="Texto Explicativo 165" xfId="26328"/>
    <cellStyle name="Texto Explicativo 166" xfId="26329"/>
    <cellStyle name="Texto Explicativo 167" xfId="26330"/>
    <cellStyle name="Texto Explicativo 168" xfId="26331"/>
    <cellStyle name="Texto Explicativo 169" xfId="26332"/>
    <cellStyle name="Texto Explicativo 17" xfId="26333"/>
    <cellStyle name="Texto Explicativo 17 2" xfId="26334"/>
    <cellStyle name="Texto Explicativo 17 3" xfId="26335"/>
    <cellStyle name="Texto Explicativo 170" xfId="26336"/>
    <cellStyle name="Texto Explicativo 171" xfId="26337"/>
    <cellStyle name="Texto Explicativo 172" xfId="26338"/>
    <cellStyle name="Texto Explicativo 173" xfId="26339"/>
    <cellStyle name="Texto Explicativo 174" xfId="26340"/>
    <cellStyle name="Texto Explicativo 175" xfId="26341"/>
    <cellStyle name="Texto Explicativo 176" xfId="26342"/>
    <cellStyle name="Texto Explicativo 177" xfId="26343"/>
    <cellStyle name="Texto Explicativo 178" xfId="26344"/>
    <cellStyle name="Texto Explicativo 179" xfId="26345"/>
    <cellStyle name="Texto Explicativo 18" xfId="26346"/>
    <cellStyle name="Texto Explicativo 18 2" xfId="26347"/>
    <cellStyle name="Texto Explicativo 18 3" xfId="26348"/>
    <cellStyle name="Texto Explicativo 180" xfId="26349"/>
    <cellStyle name="Texto Explicativo 181" xfId="26350"/>
    <cellStyle name="Texto Explicativo 182" xfId="26351"/>
    <cellStyle name="Texto Explicativo 183" xfId="26352"/>
    <cellStyle name="Texto Explicativo 184" xfId="26353"/>
    <cellStyle name="Texto Explicativo 185" xfId="26354"/>
    <cellStyle name="Texto Explicativo 186" xfId="26355"/>
    <cellStyle name="Texto Explicativo 187" xfId="26356"/>
    <cellStyle name="Texto Explicativo 188" xfId="26357"/>
    <cellStyle name="Texto Explicativo 189" xfId="26358"/>
    <cellStyle name="Texto Explicativo 19" xfId="26359"/>
    <cellStyle name="Texto Explicativo 19 2" xfId="26360"/>
    <cellStyle name="Texto Explicativo 19 3" xfId="26361"/>
    <cellStyle name="Texto Explicativo 190" xfId="26362"/>
    <cellStyle name="Texto Explicativo 2" xfId="26363"/>
    <cellStyle name="Texto Explicativo 2 10" xfId="26364"/>
    <cellStyle name="Texto Explicativo 2 11" xfId="26365"/>
    <cellStyle name="Texto Explicativo 2 12" xfId="26366"/>
    <cellStyle name="Texto Explicativo 2 13" xfId="26367"/>
    <cellStyle name="Texto Explicativo 2 14" xfId="26368"/>
    <cellStyle name="Texto Explicativo 2 15" xfId="26369"/>
    <cellStyle name="Texto Explicativo 2 16" xfId="26370"/>
    <cellStyle name="Texto Explicativo 2 17" xfId="26371"/>
    <cellStyle name="Texto Explicativo 2 18" xfId="26372"/>
    <cellStyle name="Texto Explicativo 2 19" xfId="26373"/>
    <cellStyle name="Texto Explicativo 2 2" xfId="26374"/>
    <cellStyle name="Texto Explicativo 2 20" xfId="26375"/>
    <cellStyle name="Texto Explicativo 2 21" xfId="26376"/>
    <cellStyle name="Texto Explicativo 2 22" xfId="26377"/>
    <cellStyle name="Texto Explicativo 2 23" xfId="26378"/>
    <cellStyle name="Texto Explicativo 2 24" xfId="26379"/>
    <cellStyle name="Texto Explicativo 2 25" xfId="26380"/>
    <cellStyle name="Texto Explicativo 2 26" xfId="26381"/>
    <cellStyle name="Texto Explicativo 2 27" xfId="26382"/>
    <cellStyle name="Texto Explicativo 2 28" xfId="26383"/>
    <cellStyle name="Texto Explicativo 2 29" xfId="26384"/>
    <cellStyle name="Texto Explicativo 2 3" xfId="26385"/>
    <cellStyle name="Texto Explicativo 2 30" xfId="26386"/>
    <cellStyle name="Texto Explicativo 2 31" xfId="26387"/>
    <cellStyle name="Texto Explicativo 2 32" xfId="26388"/>
    <cellStyle name="Texto Explicativo 2 33" xfId="26389"/>
    <cellStyle name="Texto Explicativo 2 34" xfId="26390"/>
    <cellStyle name="Texto Explicativo 2 35" xfId="26391"/>
    <cellStyle name="Texto Explicativo 2 4" xfId="26392"/>
    <cellStyle name="Texto Explicativo 2 5" xfId="26393"/>
    <cellStyle name="Texto Explicativo 2 6" xfId="26394"/>
    <cellStyle name="Texto Explicativo 2 7" xfId="26395"/>
    <cellStyle name="Texto Explicativo 2 8" xfId="26396"/>
    <cellStyle name="Texto Explicativo 2 9" xfId="26397"/>
    <cellStyle name="Texto Explicativo 20" xfId="26398"/>
    <cellStyle name="Texto Explicativo 20 2" xfId="26399"/>
    <cellStyle name="Texto Explicativo 20 3" xfId="26400"/>
    <cellStyle name="Texto Explicativo 21" xfId="26401"/>
    <cellStyle name="Texto Explicativo 22" xfId="26402"/>
    <cellStyle name="Texto Explicativo 23" xfId="26403"/>
    <cellStyle name="Texto Explicativo 24" xfId="26404"/>
    <cellStyle name="Texto Explicativo 25" xfId="26405"/>
    <cellStyle name="Texto Explicativo 26" xfId="26406"/>
    <cellStyle name="Texto Explicativo 27" xfId="26407"/>
    <cellStyle name="Texto Explicativo 28" xfId="26408"/>
    <cellStyle name="Texto Explicativo 29" xfId="26409"/>
    <cellStyle name="Texto Explicativo 3" xfId="26410"/>
    <cellStyle name="Texto Explicativo 3 2" xfId="26411"/>
    <cellStyle name="Texto Explicativo 3 3" xfId="26412"/>
    <cellStyle name="Texto Explicativo 3 4" xfId="26413"/>
    <cellStyle name="Texto Explicativo 3 5" xfId="26414"/>
    <cellStyle name="Texto Explicativo 3 6" xfId="26415"/>
    <cellStyle name="Texto Explicativo 3 7" xfId="26416"/>
    <cellStyle name="Texto Explicativo 30" xfId="26417"/>
    <cellStyle name="Texto Explicativo 31" xfId="26418"/>
    <cellStyle name="Texto Explicativo 32" xfId="26419"/>
    <cellStyle name="Texto Explicativo 33" xfId="26420"/>
    <cellStyle name="Texto Explicativo 34" xfId="26421"/>
    <cellStyle name="Texto Explicativo 35" xfId="26422"/>
    <cellStyle name="Texto Explicativo 36" xfId="26423"/>
    <cellStyle name="Texto Explicativo 37" xfId="26424"/>
    <cellStyle name="Texto Explicativo 38" xfId="26425"/>
    <cellStyle name="Texto Explicativo 39" xfId="26426"/>
    <cellStyle name="Texto Explicativo 4" xfId="26427"/>
    <cellStyle name="Texto Explicativo 4 2" xfId="26428"/>
    <cellStyle name="Texto Explicativo 4 3" xfId="26429"/>
    <cellStyle name="Texto Explicativo 4 4" xfId="26430"/>
    <cellStyle name="Texto Explicativo 4 5" xfId="26431"/>
    <cellStyle name="Texto Explicativo 4 6" xfId="26432"/>
    <cellStyle name="Texto Explicativo 4 7" xfId="26433"/>
    <cellStyle name="Texto Explicativo 40" xfId="26434"/>
    <cellStyle name="Texto Explicativo 41" xfId="26435"/>
    <cellStyle name="Texto Explicativo 42" xfId="26436"/>
    <cellStyle name="Texto Explicativo 43" xfId="26437"/>
    <cellStyle name="Texto Explicativo 44" xfId="26438"/>
    <cellStyle name="Texto Explicativo 45" xfId="26439"/>
    <cellStyle name="Texto Explicativo 46" xfId="26440"/>
    <cellStyle name="Texto Explicativo 47" xfId="26441"/>
    <cellStyle name="Texto Explicativo 48" xfId="26442"/>
    <cellStyle name="Texto Explicativo 49" xfId="26443"/>
    <cellStyle name="Texto Explicativo 5" xfId="26444"/>
    <cellStyle name="Texto Explicativo 5 2" xfId="26445"/>
    <cellStyle name="Texto Explicativo 5 3" xfId="26446"/>
    <cellStyle name="Texto Explicativo 5 4" xfId="26447"/>
    <cellStyle name="Texto Explicativo 50" xfId="26448"/>
    <cellStyle name="Texto Explicativo 51" xfId="26449"/>
    <cellStyle name="Texto Explicativo 52" xfId="26450"/>
    <cellStyle name="Texto Explicativo 53" xfId="26451"/>
    <cellStyle name="Texto Explicativo 54" xfId="26452"/>
    <cellStyle name="Texto Explicativo 55" xfId="26453"/>
    <cellStyle name="Texto Explicativo 56" xfId="26454"/>
    <cellStyle name="Texto Explicativo 57" xfId="26455"/>
    <cellStyle name="Texto Explicativo 58" xfId="26456"/>
    <cellStyle name="Texto Explicativo 59" xfId="26457"/>
    <cellStyle name="Texto Explicativo 6" xfId="26458"/>
    <cellStyle name="Texto Explicativo 6 2" xfId="26459"/>
    <cellStyle name="Texto Explicativo 6 3" xfId="26460"/>
    <cellStyle name="Texto Explicativo 6 4" xfId="26461"/>
    <cellStyle name="Texto Explicativo 60" xfId="26462"/>
    <cellStyle name="Texto Explicativo 61" xfId="26463"/>
    <cellStyle name="Texto Explicativo 62" xfId="26464"/>
    <cellStyle name="Texto Explicativo 63" xfId="26465"/>
    <cellStyle name="Texto Explicativo 64" xfId="26466"/>
    <cellStyle name="Texto Explicativo 65" xfId="26467"/>
    <cellStyle name="Texto Explicativo 66" xfId="26468"/>
    <cellStyle name="Texto Explicativo 67" xfId="26469"/>
    <cellStyle name="Texto Explicativo 68" xfId="26470"/>
    <cellStyle name="Texto Explicativo 69" xfId="26471"/>
    <cellStyle name="Texto Explicativo 7" xfId="26472"/>
    <cellStyle name="Texto Explicativo 7 2" xfId="26473"/>
    <cellStyle name="Texto Explicativo 7 3" xfId="26474"/>
    <cellStyle name="Texto Explicativo 7 4" xfId="26475"/>
    <cellStyle name="Texto Explicativo 70" xfId="26476"/>
    <cellStyle name="Texto Explicativo 71" xfId="26477"/>
    <cellStyle name="Texto Explicativo 72" xfId="26478"/>
    <cellStyle name="Texto Explicativo 73" xfId="26479"/>
    <cellStyle name="Texto Explicativo 74" xfId="26480"/>
    <cellStyle name="Texto Explicativo 75" xfId="26481"/>
    <cellStyle name="Texto Explicativo 76" xfId="26482"/>
    <cellStyle name="Texto Explicativo 77" xfId="26483"/>
    <cellStyle name="Texto Explicativo 78" xfId="26484"/>
    <cellStyle name="Texto Explicativo 79" xfId="26485"/>
    <cellStyle name="Texto Explicativo 8" xfId="26486"/>
    <cellStyle name="Texto Explicativo 8 2" xfId="26487"/>
    <cellStyle name="Texto Explicativo 8 3" xfId="26488"/>
    <cellStyle name="Texto Explicativo 8 4" xfId="26489"/>
    <cellStyle name="Texto Explicativo 80" xfId="26490"/>
    <cellStyle name="Texto Explicativo 81" xfId="26491"/>
    <cellStyle name="Texto Explicativo 82" xfId="26492"/>
    <cellStyle name="Texto Explicativo 83" xfId="26493"/>
    <cellStyle name="Texto Explicativo 84" xfId="26494"/>
    <cellStyle name="Texto Explicativo 85" xfId="26495"/>
    <cellStyle name="Texto Explicativo 86" xfId="26496"/>
    <cellStyle name="Texto Explicativo 87" xfId="26497"/>
    <cellStyle name="Texto Explicativo 88" xfId="26498"/>
    <cellStyle name="Texto Explicativo 89" xfId="26499"/>
    <cellStyle name="Texto Explicativo 9" xfId="26500"/>
    <cellStyle name="Texto Explicativo 90" xfId="26501"/>
    <cellStyle name="Texto Explicativo 91" xfId="26502"/>
    <cellStyle name="Texto Explicativo 92" xfId="26503"/>
    <cellStyle name="Texto Explicativo 93" xfId="26504"/>
    <cellStyle name="Texto Explicativo 94" xfId="26505"/>
    <cellStyle name="Texto Explicativo 95" xfId="26506"/>
    <cellStyle name="Texto Explicativo 96" xfId="26507"/>
    <cellStyle name="Texto Explicativo 97" xfId="26508"/>
    <cellStyle name="Texto Explicativo 98" xfId="26509"/>
    <cellStyle name="Texto Explicativo 99" xfId="26510"/>
    <cellStyle name="Title" xfId="41132"/>
    <cellStyle name="Título 1 10" xfId="26511"/>
    <cellStyle name="Título 1 10 2" xfId="40888"/>
    <cellStyle name="Título 1 100" xfId="26512"/>
    <cellStyle name="Título 1 101" xfId="26513"/>
    <cellStyle name="Título 1 102" xfId="26514"/>
    <cellStyle name="Título 1 103" xfId="26515"/>
    <cellStyle name="Título 1 104" xfId="26516"/>
    <cellStyle name="Título 1 105" xfId="26517"/>
    <cellStyle name="Título 1 106" xfId="26518"/>
    <cellStyle name="Título 1 107" xfId="26519"/>
    <cellStyle name="Título 1 108" xfId="26520"/>
    <cellStyle name="Título 1 109" xfId="26521"/>
    <cellStyle name="Título 1 11" xfId="26522"/>
    <cellStyle name="Título 1 11 2" xfId="40889"/>
    <cellStyle name="Título 1 110" xfId="26523"/>
    <cellStyle name="Título 1 111" xfId="26524"/>
    <cellStyle name="Título 1 112" xfId="26525"/>
    <cellStyle name="Título 1 113" xfId="26526"/>
    <cellStyle name="Título 1 114" xfId="26527"/>
    <cellStyle name="Título 1 115" xfId="26528"/>
    <cellStyle name="Título 1 116" xfId="26529"/>
    <cellStyle name="Título 1 117" xfId="26530"/>
    <cellStyle name="Título 1 118" xfId="26531"/>
    <cellStyle name="Título 1 119" xfId="26532"/>
    <cellStyle name="Título 1 12" xfId="26533"/>
    <cellStyle name="Título 1 12 2" xfId="40890"/>
    <cellStyle name="Título 1 120" xfId="26534"/>
    <cellStyle name="Título 1 121" xfId="26535"/>
    <cellStyle name="Título 1 122" xfId="26536"/>
    <cellStyle name="Título 1 123" xfId="26537"/>
    <cellStyle name="Título 1 124" xfId="26538"/>
    <cellStyle name="Título 1 125" xfId="26539"/>
    <cellStyle name="Título 1 126" xfId="26540"/>
    <cellStyle name="Título 1 127" xfId="26541"/>
    <cellStyle name="Título 1 128" xfId="26542"/>
    <cellStyle name="Título 1 129" xfId="26543"/>
    <cellStyle name="Título 1 13" xfId="26544"/>
    <cellStyle name="Título 1 13 2" xfId="40891"/>
    <cellStyle name="Título 1 130" xfId="26545"/>
    <cellStyle name="Título 1 131" xfId="26546"/>
    <cellStyle name="Título 1 132" xfId="26547"/>
    <cellStyle name="Título 1 133" xfId="26548"/>
    <cellStyle name="Título 1 134" xfId="26549"/>
    <cellStyle name="Título 1 135" xfId="26550"/>
    <cellStyle name="Título 1 136" xfId="26551"/>
    <cellStyle name="Título 1 137" xfId="26552"/>
    <cellStyle name="Título 1 138" xfId="26553"/>
    <cellStyle name="Título 1 139" xfId="26554"/>
    <cellStyle name="Título 1 14" xfId="26555"/>
    <cellStyle name="Título 1 140" xfId="26556"/>
    <cellStyle name="Título 1 141" xfId="26557"/>
    <cellStyle name="Título 1 142" xfId="26558"/>
    <cellStyle name="Título 1 143" xfId="26559"/>
    <cellStyle name="Título 1 144" xfId="26560"/>
    <cellStyle name="Título 1 145" xfId="26561"/>
    <cellStyle name="Título 1 146" xfId="26562"/>
    <cellStyle name="Título 1 147" xfId="26563"/>
    <cellStyle name="Título 1 148" xfId="26564"/>
    <cellStyle name="Título 1 149" xfId="26565"/>
    <cellStyle name="Título 1 15" xfId="26566"/>
    <cellStyle name="Título 1 15 2" xfId="26567"/>
    <cellStyle name="Título 1 15 3" xfId="26568"/>
    <cellStyle name="Título 1 150" xfId="26569"/>
    <cellStyle name="Título 1 151" xfId="26570"/>
    <cellStyle name="Título 1 152" xfId="26571"/>
    <cellStyle name="Título 1 153" xfId="26572"/>
    <cellStyle name="Título 1 154" xfId="26573"/>
    <cellStyle name="Título 1 155" xfId="26574"/>
    <cellStyle name="Título 1 156" xfId="26575"/>
    <cellStyle name="Título 1 157" xfId="26576"/>
    <cellStyle name="Título 1 158" xfId="26577"/>
    <cellStyle name="Título 1 159" xfId="26578"/>
    <cellStyle name="Título 1 16" xfId="26579"/>
    <cellStyle name="Título 1 16 2" xfId="26580"/>
    <cellStyle name="Título 1 16 3" xfId="26581"/>
    <cellStyle name="Título 1 160" xfId="26582"/>
    <cellStyle name="Título 1 161" xfId="26583"/>
    <cellStyle name="Título 1 162" xfId="26584"/>
    <cellStyle name="Título 1 163" xfId="26585"/>
    <cellStyle name="Título 1 164" xfId="26586"/>
    <cellStyle name="Título 1 165" xfId="26587"/>
    <cellStyle name="Título 1 166" xfId="26588"/>
    <cellStyle name="Título 1 167" xfId="26589"/>
    <cellStyle name="Título 1 168" xfId="26590"/>
    <cellStyle name="Título 1 169" xfId="26591"/>
    <cellStyle name="Título 1 17" xfId="26592"/>
    <cellStyle name="Título 1 17 2" xfId="26593"/>
    <cellStyle name="Título 1 17 3" xfId="26594"/>
    <cellStyle name="Título 1 170" xfId="26595"/>
    <cellStyle name="Título 1 171" xfId="26596"/>
    <cellStyle name="Título 1 172" xfId="26597"/>
    <cellStyle name="Título 1 173" xfId="26598"/>
    <cellStyle name="Título 1 174" xfId="26599"/>
    <cellStyle name="Título 1 175" xfId="26600"/>
    <cellStyle name="Título 1 176" xfId="26601"/>
    <cellStyle name="Título 1 177" xfId="26602"/>
    <cellStyle name="Título 1 178" xfId="26603"/>
    <cellStyle name="Título 1 179" xfId="26604"/>
    <cellStyle name="Título 1 18" xfId="26605"/>
    <cellStyle name="Título 1 18 2" xfId="26606"/>
    <cellStyle name="Título 1 18 3" xfId="26607"/>
    <cellStyle name="Título 1 180" xfId="26608"/>
    <cellStyle name="Título 1 181" xfId="26609"/>
    <cellStyle name="Título 1 182" xfId="26610"/>
    <cellStyle name="Título 1 183" xfId="26611"/>
    <cellStyle name="Título 1 184" xfId="26612"/>
    <cellStyle name="Título 1 185" xfId="26613"/>
    <cellStyle name="Título 1 186" xfId="26614"/>
    <cellStyle name="Título 1 187" xfId="26615"/>
    <cellStyle name="Título 1 188" xfId="26616"/>
    <cellStyle name="Título 1 189" xfId="26617"/>
    <cellStyle name="Título 1 19" xfId="26618"/>
    <cellStyle name="Título 1 19 2" xfId="26619"/>
    <cellStyle name="Título 1 19 3" xfId="26620"/>
    <cellStyle name="Título 1 190" xfId="26621"/>
    <cellStyle name="Título 1 2" xfId="26622"/>
    <cellStyle name="Título 1 2 10" xfId="26623"/>
    <cellStyle name="Título 1 2 10 2" xfId="26624"/>
    <cellStyle name="Título 1 2 10 3" xfId="26625"/>
    <cellStyle name="Título 1 2 10 4" xfId="26626"/>
    <cellStyle name="Título 1 2 10 5" xfId="26627"/>
    <cellStyle name="Título 1 2 10 6" xfId="26628"/>
    <cellStyle name="Título 1 2 10 7" xfId="26629"/>
    <cellStyle name="Título 1 2 11" xfId="26630"/>
    <cellStyle name="Título 1 2 11 2" xfId="26631"/>
    <cellStyle name="Título 1 2 11 3" xfId="26632"/>
    <cellStyle name="Título 1 2 11 4" xfId="26633"/>
    <cellStyle name="Título 1 2 11 5" xfId="26634"/>
    <cellStyle name="Título 1 2 11 6" xfId="26635"/>
    <cellStyle name="Título 1 2 11 7" xfId="26636"/>
    <cellStyle name="Título 1 2 12" xfId="26637"/>
    <cellStyle name="Título 1 2 13" xfId="26638"/>
    <cellStyle name="Título 1 2 14" xfId="26639"/>
    <cellStyle name="Título 1 2 15" xfId="26640"/>
    <cellStyle name="Título 1 2 16" xfId="26641"/>
    <cellStyle name="Título 1 2 17" xfId="26642"/>
    <cellStyle name="Título 1 2 18" xfId="26643"/>
    <cellStyle name="Título 1 2 19" xfId="26644"/>
    <cellStyle name="Título 1 2 2" xfId="26645"/>
    <cellStyle name="Título 1 2 20" xfId="26646"/>
    <cellStyle name="Título 1 2 21" xfId="26647"/>
    <cellStyle name="Título 1 2 22" xfId="26648"/>
    <cellStyle name="Título 1 2 23" xfId="26649"/>
    <cellStyle name="Título 1 2 24" xfId="26650"/>
    <cellStyle name="Título 1 2 25" xfId="26651"/>
    <cellStyle name="Título 1 2 26" xfId="26652"/>
    <cellStyle name="Título 1 2 27" xfId="26653"/>
    <cellStyle name="Título 1 2 28" xfId="26654"/>
    <cellStyle name="Título 1 2 29" xfId="26655"/>
    <cellStyle name="Título 1 2 3" xfId="26656"/>
    <cellStyle name="Título 1 2 30" xfId="26657"/>
    <cellStyle name="Título 1 2 31" xfId="26658"/>
    <cellStyle name="Título 1 2 32" xfId="26659"/>
    <cellStyle name="Título 1 2 33" xfId="26660"/>
    <cellStyle name="Título 1 2 34" xfId="26661"/>
    <cellStyle name="Título 1 2 35" xfId="26662"/>
    <cellStyle name="Título 1 2 4" xfId="26663"/>
    <cellStyle name="Título 1 2 5" xfId="26664"/>
    <cellStyle name="Título 1 2 6" xfId="26665"/>
    <cellStyle name="Título 1 2 7" xfId="26666"/>
    <cellStyle name="Título 1 2 8" xfId="26667"/>
    <cellStyle name="Título 1 2 8 2" xfId="26668"/>
    <cellStyle name="Título 1 2 8 3" xfId="26669"/>
    <cellStyle name="Título 1 2 8 4" xfId="26670"/>
    <cellStyle name="Título 1 2 8 5" xfId="26671"/>
    <cellStyle name="Título 1 2 8 6" xfId="26672"/>
    <cellStyle name="Título 1 2 8 7" xfId="26673"/>
    <cellStyle name="Título 1 2 9" xfId="26674"/>
    <cellStyle name="Título 1 2 9 2" xfId="26675"/>
    <cellStyle name="Título 1 2 9 3" xfId="26676"/>
    <cellStyle name="Título 1 2 9 4" xfId="26677"/>
    <cellStyle name="Título 1 2 9 5" xfId="26678"/>
    <cellStyle name="Título 1 2 9 6" xfId="26679"/>
    <cellStyle name="Título 1 2 9 7" xfId="26680"/>
    <cellStyle name="Título 1 20" xfId="26681"/>
    <cellStyle name="Título 1 20 2" xfId="26682"/>
    <cellStyle name="Título 1 20 3" xfId="26683"/>
    <cellStyle name="Título 1 21" xfId="26684"/>
    <cellStyle name="Título 1 22" xfId="26685"/>
    <cellStyle name="Título 1 23" xfId="26686"/>
    <cellStyle name="Título 1 24" xfId="26687"/>
    <cellStyle name="Título 1 24 2" xfId="40976"/>
    <cellStyle name="Título 1 25" xfId="26688"/>
    <cellStyle name="Título 1 25 2" xfId="41011"/>
    <cellStyle name="Título 1 26" xfId="26689"/>
    <cellStyle name="Título 1 26 10" xfId="26690"/>
    <cellStyle name="Título 1 26 11" xfId="26691"/>
    <cellStyle name="Título 1 26 12" xfId="26692"/>
    <cellStyle name="Título 1 26 13" xfId="26693"/>
    <cellStyle name="Título 1 26 14" xfId="26694"/>
    <cellStyle name="Título 1 26 15" xfId="26695"/>
    <cellStyle name="Título 1 26 16" xfId="26696"/>
    <cellStyle name="Título 1 26 2" xfId="26697"/>
    <cellStyle name="Título 1 26 3" xfId="26698"/>
    <cellStyle name="Título 1 26 4" xfId="26699"/>
    <cellStyle name="Título 1 26 5" xfId="26700"/>
    <cellStyle name="Título 1 26 6" xfId="26701"/>
    <cellStyle name="Título 1 26 7" xfId="26702"/>
    <cellStyle name="Título 1 26 8" xfId="26703"/>
    <cellStyle name="Título 1 26 9" xfId="26704"/>
    <cellStyle name="Título 1 27" xfId="26705"/>
    <cellStyle name="Título 1 27 10" xfId="26706"/>
    <cellStyle name="Título 1 27 11" xfId="26707"/>
    <cellStyle name="Título 1 27 12" xfId="26708"/>
    <cellStyle name="Título 1 27 13" xfId="26709"/>
    <cellStyle name="Título 1 27 14" xfId="26710"/>
    <cellStyle name="Título 1 27 15" xfId="26711"/>
    <cellStyle name="Título 1 27 16" xfId="26712"/>
    <cellStyle name="Título 1 27 2" xfId="26713"/>
    <cellStyle name="Título 1 27 3" xfId="26714"/>
    <cellStyle name="Título 1 27 4" xfId="26715"/>
    <cellStyle name="Título 1 27 5" xfId="26716"/>
    <cellStyle name="Título 1 27 6" xfId="26717"/>
    <cellStyle name="Título 1 27 7" xfId="26718"/>
    <cellStyle name="Título 1 27 8" xfId="26719"/>
    <cellStyle name="Título 1 27 9" xfId="26720"/>
    <cellStyle name="Título 1 28" xfId="26721"/>
    <cellStyle name="Título 1 28 10" xfId="26722"/>
    <cellStyle name="Título 1 28 11" xfId="26723"/>
    <cellStyle name="Título 1 28 12" xfId="26724"/>
    <cellStyle name="Título 1 28 13" xfId="26725"/>
    <cellStyle name="Título 1 28 14" xfId="26726"/>
    <cellStyle name="Título 1 28 15" xfId="26727"/>
    <cellStyle name="Título 1 28 16" xfId="26728"/>
    <cellStyle name="Título 1 28 2" xfId="26729"/>
    <cellStyle name="Título 1 28 3" xfId="26730"/>
    <cellStyle name="Título 1 28 4" xfId="26731"/>
    <cellStyle name="Título 1 28 5" xfId="26732"/>
    <cellStyle name="Título 1 28 6" xfId="26733"/>
    <cellStyle name="Título 1 28 7" xfId="26734"/>
    <cellStyle name="Título 1 28 8" xfId="26735"/>
    <cellStyle name="Título 1 28 9" xfId="26736"/>
    <cellStyle name="Título 1 29" xfId="26737"/>
    <cellStyle name="Título 1 29 10" xfId="26738"/>
    <cellStyle name="Título 1 29 11" xfId="26739"/>
    <cellStyle name="Título 1 29 12" xfId="26740"/>
    <cellStyle name="Título 1 29 13" xfId="26741"/>
    <cellStyle name="Título 1 29 14" xfId="26742"/>
    <cellStyle name="Título 1 29 15" xfId="26743"/>
    <cellStyle name="Título 1 29 16" xfId="26744"/>
    <cellStyle name="Título 1 29 2" xfId="26745"/>
    <cellStyle name="Título 1 29 3" xfId="26746"/>
    <cellStyle name="Título 1 29 4" xfId="26747"/>
    <cellStyle name="Título 1 29 5" xfId="26748"/>
    <cellStyle name="Título 1 29 6" xfId="26749"/>
    <cellStyle name="Título 1 29 7" xfId="26750"/>
    <cellStyle name="Título 1 29 8" xfId="26751"/>
    <cellStyle name="Título 1 29 9" xfId="26752"/>
    <cellStyle name="Título 1 3" xfId="26753"/>
    <cellStyle name="Título 1 3 10" xfId="26754"/>
    <cellStyle name="Título 1 3 11" xfId="26755"/>
    <cellStyle name="Título 1 3 2" xfId="26756"/>
    <cellStyle name="Título 1 3 3" xfId="26757"/>
    <cellStyle name="Título 1 3 4" xfId="26758"/>
    <cellStyle name="Título 1 3 5" xfId="26759"/>
    <cellStyle name="Título 1 3 6" xfId="26760"/>
    <cellStyle name="Título 1 3 7" xfId="26761"/>
    <cellStyle name="Título 1 3 8" xfId="26762"/>
    <cellStyle name="Título 1 3 9" xfId="26763"/>
    <cellStyle name="Título 1 30" xfId="26764"/>
    <cellStyle name="Título 1 31" xfId="26765"/>
    <cellStyle name="Título 1 32" xfId="26766"/>
    <cellStyle name="Título 1 33" xfId="26767"/>
    <cellStyle name="Título 1 34" xfId="26768"/>
    <cellStyle name="Título 1 35" xfId="26769"/>
    <cellStyle name="Título 1 36" xfId="26770"/>
    <cellStyle name="Título 1 37" xfId="26771"/>
    <cellStyle name="Título 1 38" xfId="26772"/>
    <cellStyle name="Título 1 39" xfId="26773"/>
    <cellStyle name="Título 1 4" xfId="26774"/>
    <cellStyle name="Título 1 4 10" xfId="26775"/>
    <cellStyle name="Título 1 4 11" xfId="26776"/>
    <cellStyle name="Título 1 4 2" xfId="26777"/>
    <cellStyle name="Título 1 4 3" xfId="26778"/>
    <cellStyle name="Título 1 4 4" xfId="26779"/>
    <cellStyle name="Título 1 4 5" xfId="26780"/>
    <cellStyle name="Título 1 4 6" xfId="26781"/>
    <cellStyle name="Título 1 4 7" xfId="26782"/>
    <cellStyle name="Título 1 4 8" xfId="26783"/>
    <cellStyle name="Título 1 4 9" xfId="26784"/>
    <cellStyle name="Título 1 40" xfId="26785"/>
    <cellStyle name="Título 1 41" xfId="26786"/>
    <cellStyle name="Título 1 42" xfId="26787"/>
    <cellStyle name="Título 1 43" xfId="26788"/>
    <cellStyle name="Título 1 44" xfId="26789"/>
    <cellStyle name="Título 1 45" xfId="26790"/>
    <cellStyle name="Título 1 46" xfId="26791"/>
    <cellStyle name="Título 1 47" xfId="26792"/>
    <cellStyle name="Título 1 48" xfId="26793"/>
    <cellStyle name="Título 1 49" xfId="26794"/>
    <cellStyle name="Título 1 5" xfId="26795"/>
    <cellStyle name="Título 1 5 2" xfId="26796"/>
    <cellStyle name="Título 1 5 3" xfId="26797"/>
    <cellStyle name="Título 1 5 4" xfId="26798"/>
    <cellStyle name="Título 1 50" xfId="26799"/>
    <cellStyle name="Título 1 51" xfId="26800"/>
    <cellStyle name="Título 1 52" xfId="26801"/>
    <cellStyle name="Título 1 53" xfId="26802"/>
    <cellStyle name="Título 1 54" xfId="26803"/>
    <cellStyle name="Título 1 55" xfId="26804"/>
    <cellStyle name="Título 1 56" xfId="26805"/>
    <cellStyle name="Título 1 57" xfId="26806"/>
    <cellStyle name="Título 1 58" xfId="26807"/>
    <cellStyle name="Título 1 59" xfId="26808"/>
    <cellStyle name="Título 1 6" xfId="26809"/>
    <cellStyle name="Título 1 6 2" xfId="26810"/>
    <cellStyle name="Título 1 6 3" xfId="26811"/>
    <cellStyle name="Título 1 6 4" xfId="26812"/>
    <cellStyle name="Título 1 60" xfId="26813"/>
    <cellStyle name="Título 1 61" xfId="26814"/>
    <cellStyle name="Título 1 62" xfId="26815"/>
    <cellStyle name="Título 1 63" xfId="26816"/>
    <cellStyle name="Título 1 64" xfId="26817"/>
    <cellStyle name="Título 1 65" xfId="26818"/>
    <cellStyle name="Título 1 66" xfId="26819"/>
    <cellStyle name="Título 1 67" xfId="26820"/>
    <cellStyle name="Título 1 68" xfId="26821"/>
    <cellStyle name="Título 1 69" xfId="26822"/>
    <cellStyle name="Título 1 7" xfId="26823"/>
    <cellStyle name="Título 1 7 2" xfId="26824"/>
    <cellStyle name="Título 1 7 3" xfId="26825"/>
    <cellStyle name="Título 1 7 4" xfId="26826"/>
    <cellStyle name="Título 1 70" xfId="26827"/>
    <cellStyle name="Título 1 71" xfId="26828"/>
    <cellStyle name="Título 1 72" xfId="26829"/>
    <cellStyle name="Título 1 73" xfId="26830"/>
    <cellStyle name="Título 1 74" xfId="26831"/>
    <cellStyle name="Título 1 75" xfId="26832"/>
    <cellStyle name="Título 1 76" xfId="26833"/>
    <cellStyle name="Título 1 77" xfId="26834"/>
    <cellStyle name="Título 1 78" xfId="26835"/>
    <cellStyle name="Título 1 79" xfId="26836"/>
    <cellStyle name="Título 1 8" xfId="26837"/>
    <cellStyle name="Título 1 8 2" xfId="26838"/>
    <cellStyle name="Título 1 8 3" xfId="26839"/>
    <cellStyle name="Título 1 8 4" xfId="26840"/>
    <cellStyle name="Título 1 80" xfId="26841"/>
    <cellStyle name="Título 1 81" xfId="26842"/>
    <cellStyle name="Título 1 82" xfId="26843"/>
    <cellStyle name="Título 1 83" xfId="26844"/>
    <cellStyle name="Título 1 84" xfId="26845"/>
    <cellStyle name="Título 1 85" xfId="26846"/>
    <cellStyle name="Título 1 86" xfId="26847"/>
    <cellStyle name="Título 1 87" xfId="26848"/>
    <cellStyle name="Título 1 88" xfId="26849"/>
    <cellStyle name="Título 1 89" xfId="26850"/>
    <cellStyle name="Título 1 9" xfId="26851"/>
    <cellStyle name="Título 1 90" xfId="26852"/>
    <cellStyle name="Título 1 91" xfId="26853"/>
    <cellStyle name="Título 1 92" xfId="26854"/>
    <cellStyle name="Título 1 93" xfId="26855"/>
    <cellStyle name="Título 1 94" xfId="26856"/>
    <cellStyle name="Título 1 95" xfId="26857"/>
    <cellStyle name="Título 1 96" xfId="26858"/>
    <cellStyle name="Título 1 97" xfId="26859"/>
    <cellStyle name="Título 1 98" xfId="26860"/>
    <cellStyle name="Título 1 99" xfId="26861"/>
    <cellStyle name="Título 10" xfId="26862"/>
    <cellStyle name="Título 10 2" xfId="26863"/>
    <cellStyle name="Título 10 3" xfId="26864"/>
    <cellStyle name="Título 10 4" xfId="26865"/>
    <cellStyle name="Título 100" xfId="26866"/>
    <cellStyle name="Título 101" xfId="26867"/>
    <cellStyle name="Título 102" xfId="26868"/>
    <cellStyle name="Título 103" xfId="26869"/>
    <cellStyle name="Título 104" xfId="26870"/>
    <cellStyle name="Título 105" xfId="26871"/>
    <cellStyle name="Título 106" xfId="26872"/>
    <cellStyle name="Título 107" xfId="26873"/>
    <cellStyle name="Título 108" xfId="26874"/>
    <cellStyle name="Título 109" xfId="26875"/>
    <cellStyle name="Título 11" xfId="26876"/>
    <cellStyle name="Título 11 2" xfId="26877"/>
    <cellStyle name="Título 11 3" xfId="26878"/>
    <cellStyle name="Título 11 4" xfId="26879"/>
    <cellStyle name="Título 110" xfId="26880"/>
    <cellStyle name="Título 111" xfId="26881"/>
    <cellStyle name="Título 112" xfId="26882"/>
    <cellStyle name="Título 113" xfId="26883"/>
    <cellStyle name="Título 114" xfId="26884"/>
    <cellStyle name="Título 115" xfId="26885"/>
    <cellStyle name="Título 116" xfId="26886"/>
    <cellStyle name="Título 117" xfId="26887"/>
    <cellStyle name="Título 118" xfId="26888"/>
    <cellStyle name="Título 119" xfId="26889"/>
    <cellStyle name="Título 12" xfId="26890"/>
    <cellStyle name="Título 120" xfId="26891"/>
    <cellStyle name="Título 121" xfId="26892"/>
    <cellStyle name="Título 122" xfId="26893"/>
    <cellStyle name="Título 123" xfId="26894"/>
    <cellStyle name="Título 124" xfId="26895"/>
    <cellStyle name="Título 125" xfId="26896"/>
    <cellStyle name="Título 126" xfId="26897"/>
    <cellStyle name="Título 127" xfId="26898"/>
    <cellStyle name="Título 128" xfId="26899"/>
    <cellStyle name="Título 129" xfId="26900"/>
    <cellStyle name="Título 13" xfId="26901"/>
    <cellStyle name="Título 13 2" xfId="40892"/>
    <cellStyle name="Título 130" xfId="26902"/>
    <cellStyle name="Título 131" xfId="26903"/>
    <cellStyle name="Título 132" xfId="26904"/>
    <cellStyle name="Título 133" xfId="26905"/>
    <cellStyle name="Título 134" xfId="26906"/>
    <cellStyle name="Título 135" xfId="26907"/>
    <cellStyle name="Título 136" xfId="26908"/>
    <cellStyle name="Título 137" xfId="26909"/>
    <cellStyle name="Título 138" xfId="26910"/>
    <cellStyle name="Título 139" xfId="26911"/>
    <cellStyle name="Título 14" xfId="26912"/>
    <cellStyle name="Título 14 2" xfId="40893"/>
    <cellStyle name="Título 140" xfId="26913"/>
    <cellStyle name="Título 141" xfId="26914"/>
    <cellStyle name="Título 142" xfId="26915"/>
    <cellStyle name="Título 143" xfId="26916"/>
    <cellStyle name="Título 144" xfId="26917"/>
    <cellStyle name="Título 145" xfId="26918"/>
    <cellStyle name="Título 146" xfId="26919"/>
    <cellStyle name="Título 147" xfId="26920"/>
    <cellStyle name="Título 148" xfId="26921"/>
    <cellStyle name="Título 149" xfId="26922"/>
    <cellStyle name="Título 15" xfId="26923"/>
    <cellStyle name="Título 15 2" xfId="40894"/>
    <cellStyle name="Título 150" xfId="26924"/>
    <cellStyle name="Título 151" xfId="26925"/>
    <cellStyle name="Título 152" xfId="26926"/>
    <cellStyle name="Título 153" xfId="26927"/>
    <cellStyle name="Título 154" xfId="26928"/>
    <cellStyle name="Título 155" xfId="26929"/>
    <cellStyle name="Título 156" xfId="26930"/>
    <cellStyle name="Título 157" xfId="26931"/>
    <cellStyle name="Título 158" xfId="26932"/>
    <cellStyle name="Título 159" xfId="26933"/>
    <cellStyle name="Título 16" xfId="26934"/>
    <cellStyle name="Título 16 2" xfId="40895"/>
    <cellStyle name="Título 160" xfId="26935"/>
    <cellStyle name="Título 161" xfId="26936"/>
    <cellStyle name="Título 162" xfId="26937"/>
    <cellStyle name="Título 163" xfId="26938"/>
    <cellStyle name="Título 164" xfId="26939"/>
    <cellStyle name="Título 165" xfId="26940"/>
    <cellStyle name="Título 166" xfId="26941"/>
    <cellStyle name="Título 167" xfId="26942"/>
    <cellStyle name="Título 168" xfId="26943"/>
    <cellStyle name="Título 169" xfId="26944"/>
    <cellStyle name="Título 17" xfId="26945"/>
    <cellStyle name="Título 170" xfId="26946"/>
    <cellStyle name="Título 171" xfId="26947"/>
    <cellStyle name="Título 172" xfId="26948"/>
    <cellStyle name="Título 173" xfId="26949"/>
    <cellStyle name="Título 174" xfId="26950"/>
    <cellStyle name="Título 175" xfId="26951"/>
    <cellStyle name="Título 176" xfId="26952"/>
    <cellStyle name="Título 177" xfId="26953"/>
    <cellStyle name="Título 178" xfId="26954"/>
    <cellStyle name="Título 179" xfId="26955"/>
    <cellStyle name="Título 18" xfId="26956"/>
    <cellStyle name="Título 18 2" xfId="26957"/>
    <cellStyle name="Título 18 3" xfId="26958"/>
    <cellStyle name="Título 180" xfId="26959"/>
    <cellStyle name="Título 181" xfId="26960"/>
    <cellStyle name="Título 182" xfId="26961"/>
    <cellStyle name="Título 183" xfId="26962"/>
    <cellStyle name="Título 184" xfId="26963"/>
    <cellStyle name="Título 185" xfId="26964"/>
    <cellStyle name="Título 186" xfId="26965"/>
    <cellStyle name="Título 187" xfId="26966"/>
    <cellStyle name="Título 188" xfId="26967"/>
    <cellStyle name="Título 189" xfId="26968"/>
    <cellStyle name="Título 19" xfId="26969"/>
    <cellStyle name="Título 19 2" xfId="26970"/>
    <cellStyle name="Título 19 3" xfId="26971"/>
    <cellStyle name="Título 190" xfId="26972"/>
    <cellStyle name="Título 191" xfId="26973"/>
    <cellStyle name="Título 192" xfId="26974"/>
    <cellStyle name="Título 193" xfId="26975"/>
    <cellStyle name="Título 2 10" xfId="26976"/>
    <cellStyle name="Título 2 10 2" xfId="40896"/>
    <cellStyle name="Título 2 100" xfId="26977"/>
    <cellStyle name="Título 2 101" xfId="26978"/>
    <cellStyle name="Título 2 102" xfId="26979"/>
    <cellStyle name="Título 2 103" xfId="26980"/>
    <cellStyle name="Título 2 104" xfId="26981"/>
    <cellStyle name="Título 2 105" xfId="26982"/>
    <cellStyle name="Título 2 106" xfId="26983"/>
    <cellStyle name="Título 2 107" xfId="26984"/>
    <cellStyle name="Título 2 108" xfId="26985"/>
    <cellStyle name="Título 2 109" xfId="26986"/>
    <cellStyle name="Título 2 11" xfId="26987"/>
    <cellStyle name="Título 2 11 2" xfId="40897"/>
    <cellStyle name="Título 2 110" xfId="26988"/>
    <cellStyle name="Título 2 111" xfId="26989"/>
    <cellStyle name="Título 2 112" xfId="26990"/>
    <cellStyle name="Título 2 113" xfId="26991"/>
    <cellStyle name="Título 2 114" xfId="26992"/>
    <cellStyle name="Título 2 115" xfId="26993"/>
    <cellStyle name="Título 2 116" xfId="26994"/>
    <cellStyle name="Título 2 117" xfId="26995"/>
    <cellStyle name="Título 2 118" xfId="26996"/>
    <cellStyle name="Título 2 119" xfId="26997"/>
    <cellStyle name="Título 2 12" xfId="26998"/>
    <cellStyle name="Título 2 12 2" xfId="40898"/>
    <cellStyle name="Título 2 120" xfId="26999"/>
    <cellStyle name="Título 2 121" xfId="27000"/>
    <cellStyle name="Título 2 122" xfId="27001"/>
    <cellStyle name="Título 2 123" xfId="27002"/>
    <cellStyle name="Título 2 124" xfId="27003"/>
    <cellStyle name="Título 2 125" xfId="27004"/>
    <cellStyle name="Título 2 126" xfId="27005"/>
    <cellStyle name="Título 2 127" xfId="27006"/>
    <cellStyle name="Título 2 128" xfId="27007"/>
    <cellStyle name="Título 2 129" xfId="27008"/>
    <cellStyle name="Título 2 13" xfId="27009"/>
    <cellStyle name="Título 2 13 2" xfId="40899"/>
    <cellStyle name="Título 2 130" xfId="27010"/>
    <cellStyle name="Título 2 131" xfId="27011"/>
    <cellStyle name="Título 2 132" xfId="27012"/>
    <cellStyle name="Título 2 133" xfId="27013"/>
    <cellStyle name="Título 2 134" xfId="27014"/>
    <cellStyle name="Título 2 135" xfId="27015"/>
    <cellStyle name="Título 2 136" xfId="27016"/>
    <cellStyle name="Título 2 137" xfId="27017"/>
    <cellStyle name="Título 2 138" xfId="27018"/>
    <cellStyle name="Título 2 139" xfId="27019"/>
    <cellStyle name="Título 2 14" xfId="27020"/>
    <cellStyle name="Título 2 140" xfId="27021"/>
    <cellStyle name="Título 2 141" xfId="27022"/>
    <cellStyle name="Título 2 142" xfId="27023"/>
    <cellStyle name="Título 2 143" xfId="27024"/>
    <cellStyle name="Título 2 144" xfId="27025"/>
    <cellStyle name="Título 2 145" xfId="27026"/>
    <cellStyle name="Título 2 146" xfId="27027"/>
    <cellStyle name="Título 2 147" xfId="27028"/>
    <cellStyle name="Título 2 148" xfId="27029"/>
    <cellStyle name="Título 2 149" xfId="27030"/>
    <cellStyle name="Título 2 15" xfId="27031"/>
    <cellStyle name="Título 2 15 2" xfId="27032"/>
    <cellStyle name="Título 2 15 3" xfId="27033"/>
    <cellStyle name="Título 2 150" xfId="27034"/>
    <cellStyle name="Título 2 151" xfId="27035"/>
    <cellStyle name="Título 2 152" xfId="27036"/>
    <cellStyle name="Título 2 153" xfId="27037"/>
    <cellStyle name="Título 2 154" xfId="27038"/>
    <cellStyle name="Título 2 155" xfId="27039"/>
    <cellStyle name="Título 2 156" xfId="27040"/>
    <cellStyle name="Título 2 157" xfId="27041"/>
    <cellStyle name="Título 2 158" xfId="27042"/>
    <cellStyle name="Título 2 159" xfId="27043"/>
    <cellStyle name="Título 2 16" xfId="27044"/>
    <cellStyle name="Título 2 16 2" xfId="27045"/>
    <cellStyle name="Título 2 16 3" xfId="27046"/>
    <cellStyle name="Título 2 160" xfId="27047"/>
    <cellStyle name="Título 2 161" xfId="27048"/>
    <cellStyle name="Título 2 162" xfId="27049"/>
    <cellStyle name="Título 2 163" xfId="27050"/>
    <cellStyle name="Título 2 164" xfId="27051"/>
    <cellStyle name="Título 2 165" xfId="27052"/>
    <cellStyle name="Título 2 166" xfId="27053"/>
    <cellStyle name="Título 2 167" xfId="27054"/>
    <cellStyle name="Título 2 168" xfId="27055"/>
    <cellStyle name="Título 2 169" xfId="27056"/>
    <cellStyle name="Título 2 17" xfId="27057"/>
    <cellStyle name="Título 2 17 2" xfId="27058"/>
    <cellStyle name="Título 2 17 3" xfId="27059"/>
    <cellStyle name="Título 2 170" xfId="27060"/>
    <cellStyle name="Título 2 171" xfId="27061"/>
    <cellStyle name="Título 2 172" xfId="27062"/>
    <cellStyle name="Título 2 173" xfId="27063"/>
    <cellStyle name="Título 2 174" xfId="27064"/>
    <cellStyle name="Título 2 175" xfId="27065"/>
    <cellStyle name="Título 2 176" xfId="27066"/>
    <cellStyle name="Título 2 177" xfId="27067"/>
    <cellStyle name="Título 2 178" xfId="27068"/>
    <cellStyle name="Título 2 179" xfId="27069"/>
    <cellStyle name="Título 2 18" xfId="27070"/>
    <cellStyle name="Título 2 18 2" xfId="27071"/>
    <cellStyle name="Título 2 18 3" xfId="27072"/>
    <cellStyle name="Título 2 180" xfId="27073"/>
    <cellStyle name="Título 2 181" xfId="27074"/>
    <cellStyle name="Título 2 182" xfId="27075"/>
    <cellStyle name="Título 2 183" xfId="27076"/>
    <cellStyle name="Título 2 184" xfId="27077"/>
    <cellStyle name="Título 2 185" xfId="27078"/>
    <cellStyle name="Título 2 186" xfId="27079"/>
    <cellStyle name="Título 2 187" xfId="27080"/>
    <cellStyle name="Título 2 188" xfId="27081"/>
    <cellStyle name="Título 2 189" xfId="27082"/>
    <cellStyle name="Título 2 19" xfId="27083"/>
    <cellStyle name="Título 2 19 2" xfId="27084"/>
    <cellStyle name="Título 2 19 3" xfId="27085"/>
    <cellStyle name="Título 2 190" xfId="27086"/>
    <cellStyle name="Título 2 2" xfId="27087"/>
    <cellStyle name="Título 2 2 10" xfId="27088"/>
    <cellStyle name="Título 2 2 10 2" xfId="27089"/>
    <cellStyle name="Título 2 2 10 3" xfId="27090"/>
    <cellStyle name="Título 2 2 10 4" xfId="27091"/>
    <cellStyle name="Título 2 2 10 5" xfId="27092"/>
    <cellStyle name="Título 2 2 10 6" xfId="27093"/>
    <cellStyle name="Título 2 2 10 7" xfId="27094"/>
    <cellStyle name="Título 2 2 11" xfId="27095"/>
    <cellStyle name="Título 2 2 11 2" xfId="27096"/>
    <cellStyle name="Título 2 2 11 3" xfId="27097"/>
    <cellStyle name="Título 2 2 11 4" xfId="27098"/>
    <cellStyle name="Título 2 2 11 5" xfId="27099"/>
    <cellStyle name="Título 2 2 11 6" xfId="27100"/>
    <cellStyle name="Título 2 2 11 7" xfId="27101"/>
    <cellStyle name="Título 2 2 12" xfId="27102"/>
    <cellStyle name="Título 2 2 13" xfId="27103"/>
    <cellStyle name="Título 2 2 14" xfId="27104"/>
    <cellStyle name="Título 2 2 15" xfId="27105"/>
    <cellStyle name="Título 2 2 16" xfId="27106"/>
    <cellStyle name="Título 2 2 17" xfId="27107"/>
    <cellStyle name="Título 2 2 18" xfId="27108"/>
    <cellStyle name="Título 2 2 19" xfId="27109"/>
    <cellStyle name="Título 2 2 2" xfId="27110"/>
    <cellStyle name="Título 2 2 20" xfId="27111"/>
    <cellStyle name="Título 2 2 21" xfId="27112"/>
    <cellStyle name="Título 2 2 22" xfId="27113"/>
    <cellStyle name="Título 2 2 23" xfId="27114"/>
    <cellStyle name="Título 2 2 24" xfId="27115"/>
    <cellStyle name="Título 2 2 25" xfId="27116"/>
    <cellStyle name="Título 2 2 26" xfId="27117"/>
    <cellStyle name="Título 2 2 27" xfId="27118"/>
    <cellStyle name="Título 2 2 28" xfId="27119"/>
    <cellStyle name="Título 2 2 29" xfId="27120"/>
    <cellStyle name="Título 2 2 3" xfId="27121"/>
    <cellStyle name="Título 2 2 30" xfId="27122"/>
    <cellStyle name="Título 2 2 31" xfId="27123"/>
    <cellStyle name="Título 2 2 32" xfId="27124"/>
    <cellStyle name="Título 2 2 33" xfId="27125"/>
    <cellStyle name="Título 2 2 34" xfId="27126"/>
    <cellStyle name="Título 2 2 35" xfId="27127"/>
    <cellStyle name="Título 2 2 4" xfId="27128"/>
    <cellStyle name="Título 2 2 5" xfId="27129"/>
    <cellStyle name="Título 2 2 6" xfId="27130"/>
    <cellStyle name="Título 2 2 7" xfId="27131"/>
    <cellStyle name="Título 2 2 8" xfId="27132"/>
    <cellStyle name="Título 2 2 8 2" xfId="27133"/>
    <cellStyle name="Título 2 2 8 3" xfId="27134"/>
    <cellStyle name="Título 2 2 8 4" xfId="27135"/>
    <cellStyle name="Título 2 2 8 5" xfId="27136"/>
    <cellStyle name="Título 2 2 8 6" xfId="27137"/>
    <cellStyle name="Título 2 2 8 7" xfId="27138"/>
    <cellStyle name="Título 2 2 9" xfId="27139"/>
    <cellStyle name="Título 2 2 9 2" xfId="27140"/>
    <cellStyle name="Título 2 2 9 3" xfId="27141"/>
    <cellStyle name="Título 2 2 9 4" xfId="27142"/>
    <cellStyle name="Título 2 2 9 5" xfId="27143"/>
    <cellStyle name="Título 2 2 9 6" xfId="27144"/>
    <cellStyle name="Título 2 2 9 7" xfId="27145"/>
    <cellStyle name="Título 2 20" xfId="27146"/>
    <cellStyle name="Título 2 20 2" xfId="27147"/>
    <cellStyle name="Título 2 20 3" xfId="27148"/>
    <cellStyle name="Título 2 21" xfId="27149"/>
    <cellStyle name="Título 2 22" xfId="27150"/>
    <cellStyle name="Título 2 23" xfId="27151"/>
    <cellStyle name="Título 2 24" xfId="27152"/>
    <cellStyle name="Título 2 24 2" xfId="40977"/>
    <cellStyle name="Título 2 25" xfId="27153"/>
    <cellStyle name="Título 2 25 2" xfId="41012"/>
    <cellStyle name="Título 2 26" xfId="27154"/>
    <cellStyle name="Título 2 26 10" xfId="27155"/>
    <cellStyle name="Título 2 26 11" xfId="27156"/>
    <cellStyle name="Título 2 26 12" xfId="27157"/>
    <cellStyle name="Título 2 26 13" xfId="27158"/>
    <cellStyle name="Título 2 26 14" xfId="27159"/>
    <cellStyle name="Título 2 26 15" xfId="27160"/>
    <cellStyle name="Título 2 26 16" xfId="27161"/>
    <cellStyle name="Título 2 26 2" xfId="27162"/>
    <cellStyle name="Título 2 26 3" xfId="27163"/>
    <cellStyle name="Título 2 26 4" xfId="27164"/>
    <cellStyle name="Título 2 26 5" xfId="27165"/>
    <cellStyle name="Título 2 26 6" xfId="27166"/>
    <cellStyle name="Título 2 26 7" xfId="27167"/>
    <cellStyle name="Título 2 26 8" xfId="27168"/>
    <cellStyle name="Título 2 26 9" xfId="27169"/>
    <cellStyle name="Título 2 27" xfId="27170"/>
    <cellStyle name="Título 2 27 10" xfId="27171"/>
    <cellStyle name="Título 2 27 11" xfId="27172"/>
    <cellStyle name="Título 2 27 12" xfId="27173"/>
    <cellStyle name="Título 2 27 13" xfId="27174"/>
    <cellStyle name="Título 2 27 14" xfId="27175"/>
    <cellStyle name="Título 2 27 15" xfId="27176"/>
    <cellStyle name="Título 2 27 16" xfId="27177"/>
    <cellStyle name="Título 2 27 2" xfId="27178"/>
    <cellStyle name="Título 2 27 3" xfId="27179"/>
    <cellStyle name="Título 2 27 4" xfId="27180"/>
    <cellStyle name="Título 2 27 5" xfId="27181"/>
    <cellStyle name="Título 2 27 6" xfId="27182"/>
    <cellStyle name="Título 2 27 7" xfId="27183"/>
    <cellStyle name="Título 2 27 8" xfId="27184"/>
    <cellStyle name="Título 2 27 9" xfId="27185"/>
    <cellStyle name="Título 2 28" xfId="27186"/>
    <cellStyle name="Título 2 28 10" xfId="27187"/>
    <cellStyle name="Título 2 28 11" xfId="27188"/>
    <cellStyle name="Título 2 28 12" xfId="27189"/>
    <cellStyle name="Título 2 28 13" xfId="27190"/>
    <cellStyle name="Título 2 28 14" xfId="27191"/>
    <cellStyle name="Título 2 28 15" xfId="27192"/>
    <cellStyle name="Título 2 28 16" xfId="27193"/>
    <cellStyle name="Título 2 28 2" xfId="27194"/>
    <cellStyle name="Título 2 28 3" xfId="27195"/>
    <cellStyle name="Título 2 28 4" xfId="27196"/>
    <cellStyle name="Título 2 28 5" xfId="27197"/>
    <cellStyle name="Título 2 28 6" xfId="27198"/>
    <cellStyle name="Título 2 28 7" xfId="27199"/>
    <cellStyle name="Título 2 28 8" xfId="27200"/>
    <cellStyle name="Título 2 28 9" xfId="27201"/>
    <cellStyle name="Título 2 29" xfId="27202"/>
    <cellStyle name="Título 2 29 10" xfId="27203"/>
    <cellStyle name="Título 2 29 11" xfId="27204"/>
    <cellStyle name="Título 2 29 12" xfId="27205"/>
    <cellStyle name="Título 2 29 13" xfId="27206"/>
    <cellStyle name="Título 2 29 14" xfId="27207"/>
    <cellStyle name="Título 2 29 15" xfId="27208"/>
    <cellStyle name="Título 2 29 16" xfId="27209"/>
    <cellStyle name="Título 2 29 2" xfId="27210"/>
    <cellStyle name="Título 2 29 3" xfId="27211"/>
    <cellStyle name="Título 2 29 4" xfId="27212"/>
    <cellStyle name="Título 2 29 5" xfId="27213"/>
    <cellStyle name="Título 2 29 6" xfId="27214"/>
    <cellStyle name="Título 2 29 7" xfId="27215"/>
    <cellStyle name="Título 2 29 8" xfId="27216"/>
    <cellStyle name="Título 2 29 9" xfId="27217"/>
    <cellStyle name="Título 2 3" xfId="27218"/>
    <cellStyle name="Título 2 3 10" xfId="27219"/>
    <cellStyle name="Título 2 3 11" xfId="27220"/>
    <cellStyle name="Título 2 3 2" xfId="27221"/>
    <cellStyle name="Título 2 3 3" xfId="27222"/>
    <cellStyle name="Título 2 3 4" xfId="27223"/>
    <cellStyle name="Título 2 3 5" xfId="27224"/>
    <cellStyle name="Título 2 3 6" xfId="27225"/>
    <cellStyle name="Título 2 3 7" xfId="27226"/>
    <cellStyle name="Título 2 3 8" xfId="27227"/>
    <cellStyle name="Título 2 3 9" xfId="27228"/>
    <cellStyle name="Título 2 30" xfId="27229"/>
    <cellStyle name="Título 2 31" xfId="27230"/>
    <cellStyle name="Título 2 32" xfId="27231"/>
    <cellStyle name="Título 2 33" xfId="27232"/>
    <cellStyle name="Título 2 34" xfId="27233"/>
    <cellStyle name="Título 2 35" xfId="27234"/>
    <cellStyle name="Título 2 36" xfId="27235"/>
    <cellStyle name="Título 2 37" xfId="27236"/>
    <cellStyle name="Título 2 38" xfId="27237"/>
    <cellStyle name="Título 2 39" xfId="27238"/>
    <cellStyle name="Título 2 4" xfId="27239"/>
    <cellStyle name="Título 2 4 10" xfId="27240"/>
    <cellStyle name="Título 2 4 11" xfId="27241"/>
    <cellStyle name="Título 2 4 2" xfId="27242"/>
    <cellStyle name="Título 2 4 3" xfId="27243"/>
    <cellStyle name="Título 2 4 4" xfId="27244"/>
    <cellStyle name="Título 2 4 5" xfId="27245"/>
    <cellStyle name="Título 2 4 6" xfId="27246"/>
    <cellStyle name="Título 2 4 7" xfId="27247"/>
    <cellStyle name="Título 2 4 8" xfId="27248"/>
    <cellStyle name="Título 2 4 9" xfId="27249"/>
    <cellStyle name="Título 2 40" xfId="27250"/>
    <cellStyle name="Título 2 41" xfId="27251"/>
    <cellStyle name="Título 2 42" xfId="27252"/>
    <cellStyle name="Título 2 43" xfId="27253"/>
    <cellStyle name="Título 2 44" xfId="27254"/>
    <cellStyle name="Título 2 45" xfId="27255"/>
    <cellStyle name="Título 2 46" xfId="27256"/>
    <cellStyle name="Título 2 47" xfId="27257"/>
    <cellStyle name="Título 2 48" xfId="27258"/>
    <cellStyle name="Título 2 49" xfId="27259"/>
    <cellStyle name="Título 2 5" xfId="27260"/>
    <cellStyle name="Título 2 5 2" xfId="27261"/>
    <cellStyle name="Título 2 5 3" xfId="27262"/>
    <cellStyle name="Título 2 5 4" xfId="27263"/>
    <cellStyle name="Título 2 50" xfId="27264"/>
    <cellStyle name="Título 2 51" xfId="27265"/>
    <cellStyle name="Título 2 52" xfId="27266"/>
    <cellStyle name="Título 2 53" xfId="27267"/>
    <cellStyle name="Título 2 54" xfId="27268"/>
    <cellStyle name="Título 2 55" xfId="27269"/>
    <cellStyle name="Título 2 56" xfId="27270"/>
    <cellStyle name="Título 2 57" xfId="27271"/>
    <cellStyle name="Título 2 58" xfId="27272"/>
    <cellStyle name="Título 2 59" xfId="27273"/>
    <cellStyle name="Título 2 6" xfId="27274"/>
    <cellStyle name="Título 2 6 2" xfId="27275"/>
    <cellStyle name="Título 2 6 3" xfId="27276"/>
    <cellStyle name="Título 2 6 4" xfId="27277"/>
    <cellStyle name="Título 2 60" xfId="27278"/>
    <cellStyle name="Título 2 61" xfId="27279"/>
    <cellStyle name="Título 2 62" xfId="27280"/>
    <cellStyle name="Título 2 63" xfId="27281"/>
    <cellStyle name="Título 2 64" xfId="27282"/>
    <cellStyle name="Título 2 65" xfId="27283"/>
    <cellStyle name="Título 2 66" xfId="27284"/>
    <cellStyle name="Título 2 67" xfId="27285"/>
    <cellStyle name="Título 2 68" xfId="27286"/>
    <cellStyle name="Título 2 69" xfId="27287"/>
    <cellStyle name="Título 2 7" xfId="27288"/>
    <cellStyle name="Título 2 7 2" xfId="27289"/>
    <cellStyle name="Título 2 7 3" xfId="27290"/>
    <cellStyle name="Título 2 7 4" xfId="27291"/>
    <cellStyle name="Título 2 70" xfId="27292"/>
    <cellStyle name="Título 2 71" xfId="27293"/>
    <cellStyle name="Título 2 72" xfId="27294"/>
    <cellStyle name="Título 2 73" xfId="27295"/>
    <cellStyle name="Título 2 74" xfId="27296"/>
    <cellStyle name="Título 2 75" xfId="27297"/>
    <cellStyle name="Título 2 76" xfId="27298"/>
    <cellStyle name="Título 2 77" xfId="27299"/>
    <cellStyle name="Título 2 78" xfId="27300"/>
    <cellStyle name="Título 2 79" xfId="27301"/>
    <cellStyle name="Título 2 8" xfId="27302"/>
    <cellStyle name="Título 2 8 2" xfId="27303"/>
    <cellStyle name="Título 2 8 3" xfId="27304"/>
    <cellStyle name="Título 2 8 4" xfId="27305"/>
    <cellStyle name="Título 2 80" xfId="27306"/>
    <cellStyle name="Título 2 81" xfId="27307"/>
    <cellStyle name="Título 2 82" xfId="27308"/>
    <cellStyle name="Título 2 83" xfId="27309"/>
    <cellStyle name="Título 2 84" xfId="27310"/>
    <cellStyle name="Título 2 85" xfId="27311"/>
    <cellStyle name="Título 2 86" xfId="27312"/>
    <cellStyle name="Título 2 87" xfId="27313"/>
    <cellStyle name="Título 2 88" xfId="27314"/>
    <cellStyle name="Título 2 89" xfId="27315"/>
    <cellStyle name="Título 2 9" xfId="27316"/>
    <cellStyle name="Título 2 90" xfId="27317"/>
    <cellStyle name="Título 2 91" xfId="27318"/>
    <cellStyle name="Título 2 92" xfId="27319"/>
    <cellStyle name="Título 2 93" xfId="27320"/>
    <cellStyle name="Título 2 94" xfId="27321"/>
    <cellStyle name="Título 2 95" xfId="27322"/>
    <cellStyle name="Título 2 96" xfId="27323"/>
    <cellStyle name="Título 2 97" xfId="27324"/>
    <cellStyle name="Título 2 98" xfId="27325"/>
    <cellStyle name="Título 2 99" xfId="27326"/>
    <cellStyle name="Título 20" xfId="27327"/>
    <cellStyle name="Título 20 2" xfId="27328"/>
    <cellStyle name="Título 20 3" xfId="27329"/>
    <cellStyle name="Título 21" xfId="27330"/>
    <cellStyle name="Título 21 2" xfId="27331"/>
    <cellStyle name="Título 21 3" xfId="27332"/>
    <cellStyle name="Título 22" xfId="27333"/>
    <cellStyle name="Título 22 2" xfId="27334"/>
    <cellStyle name="Título 22 3" xfId="27335"/>
    <cellStyle name="Título 23" xfId="27336"/>
    <cellStyle name="Título 23 2" xfId="27337"/>
    <cellStyle name="Título 23 3" xfId="27338"/>
    <cellStyle name="Título 24" xfId="27339"/>
    <cellStyle name="Título 25" xfId="27340"/>
    <cellStyle name="Título 26" xfId="27341"/>
    <cellStyle name="Título 27" xfId="27342"/>
    <cellStyle name="Título 27 2" xfId="40975"/>
    <cellStyle name="Título 28" xfId="27343"/>
    <cellStyle name="Título 28 2" xfId="41010"/>
    <cellStyle name="Título 29" xfId="27344"/>
    <cellStyle name="Título 29 10" xfId="27345"/>
    <cellStyle name="Título 29 11" xfId="27346"/>
    <cellStyle name="Título 29 12" xfId="27347"/>
    <cellStyle name="Título 29 13" xfId="27348"/>
    <cellStyle name="Título 29 14" xfId="27349"/>
    <cellStyle name="Título 29 15" xfId="27350"/>
    <cellStyle name="Título 29 16" xfId="27351"/>
    <cellStyle name="Título 29 2" xfId="27352"/>
    <cellStyle name="Título 29 3" xfId="27353"/>
    <cellStyle name="Título 29 4" xfId="27354"/>
    <cellStyle name="Título 29 5" xfId="27355"/>
    <cellStyle name="Título 29 6" xfId="27356"/>
    <cellStyle name="Título 29 7" xfId="27357"/>
    <cellStyle name="Título 29 8" xfId="27358"/>
    <cellStyle name="Título 29 9" xfId="27359"/>
    <cellStyle name="Título 3 10" xfId="27360"/>
    <cellStyle name="Título 3 10 2" xfId="40900"/>
    <cellStyle name="Título 3 100" xfId="27361"/>
    <cellStyle name="Título 3 101" xfId="27362"/>
    <cellStyle name="Título 3 102" xfId="27363"/>
    <cellStyle name="Título 3 103" xfId="27364"/>
    <cellStyle name="Título 3 104" xfId="27365"/>
    <cellStyle name="Título 3 105" xfId="27366"/>
    <cellStyle name="Título 3 106" xfId="27367"/>
    <cellStyle name="Título 3 107" xfId="27368"/>
    <cellStyle name="Título 3 108" xfId="27369"/>
    <cellStyle name="Título 3 109" xfId="27370"/>
    <cellStyle name="Título 3 11" xfId="27371"/>
    <cellStyle name="Título 3 11 2" xfId="40901"/>
    <cellStyle name="Título 3 110" xfId="27372"/>
    <cellStyle name="Título 3 111" xfId="27373"/>
    <cellStyle name="Título 3 112" xfId="27374"/>
    <cellStyle name="Título 3 113" xfId="27375"/>
    <cellStyle name="Título 3 114" xfId="27376"/>
    <cellStyle name="Título 3 115" xfId="27377"/>
    <cellStyle name="Título 3 116" xfId="27378"/>
    <cellStyle name="Título 3 117" xfId="27379"/>
    <cellStyle name="Título 3 118" xfId="27380"/>
    <cellStyle name="Título 3 119" xfId="27381"/>
    <cellStyle name="Título 3 12" xfId="27382"/>
    <cellStyle name="Título 3 12 2" xfId="40902"/>
    <cellStyle name="Título 3 120" xfId="27383"/>
    <cellStyle name="Título 3 121" xfId="27384"/>
    <cellStyle name="Título 3 122" xfId="27385"/>
    <cellStyle name="Título 3 123" xfId="27386"/>
    <cellStyle name="Título 3 124" xfId="27387"/>
    <cellStyle name="Título 3 125" xfId="27388"/>
    <cellStyle name="Título 3 126" xfId="27389"/>
    <cellStyle name="Título 3 127" xfId="27390"/>
    <cellStyle name="Título 3 128" xfId="27391"/>
    <cellStyle name="Título 3 129" xfId="27392"/>
    <cellStyle name="Título 3 13" xfId="27393"/>
    <cellStyle name="Título 3 13 2" xfId="40903"/>
    <cellStyle name="Título 3 130" xfId="27394"/>
    <cellStyle name="Título 3 131" xfId="27395"/>
    <cellStyle name="Título 3 132" xfId="27396"/>
    <cellStyle name="Título 3 133" xfId="27397"/>
    <cellStyle name="Título 3 134" xfId="27398"/>
    <cellStyle name="Título 3 135" xfId="27399"/>
    <cellStyle name="Título 3 136" xfId="27400"/>
    <cellStyle name="Título 3 137" xfId="27401"/>
    <cellStyle name="Título 3 138" xfId="27402"/>
    <cellStyle name="Título 3 139" xfId="27403"/>
    <cellStyle name="Título 3 14" xfId="27404"/>
    <cellStyle name="Título 3 140" xfId="27405"/>
    <cellStyle name="Título 3 141" xfId="27406"/>
    <cellStyle name="Título 3 142" xfId="27407"/>
    <cellStyle name="Título 3 143" xfId="27408"/>
    <cellStyle name="Título 3 144" xfId="27409"/>
    <cellStyle name="Título 3 145" xfId="27410"/>
    <cellStyle name="Título 3 146" xfId="27411"/>
    <cellStyle name="Título 3 147" xfId="27412"/>
    <cellStyle name="Título 3 148" xfId="27413"/>
    <cellStyle name="Título 3 149" xfId="27414"/>
    <cellStyle name="Título 3 15" xfId="27415"/>
    <cellStyle name="Título 3 15 2" xfId="27416"/>
    <cellStyle name="Título 3 15 3" xfId="27417"/>
    <cellStyle name="Título 3 150" xfId="27418"/>
    <cellStyle name="Título 3 151" xfId="27419"/>
    <cellStyle name="Título 3 152" xfId="27420"/>
    <cellStyle name="Título 3 153" xfId="27421"/>
    <cellStyle name="Título 3 154" xfId="27422"/>
    <cellStyle name="Título 3 155" xfId="27423"/>
    <cellStyle name="Título 3 156" xfId="27424"/>
    <cellStyle name="Título 3 157" xfId="27425"/>
    <cellStyle name="Título 3 158" xfId="27426"/>
    <cellStyle name="Título 3 159" xfId="27427"/>
    <cellStyle name="Título 3 16" xfId="27428"/>
    <cellStyle name="Título 3 16 2" xfId="27429"/>
    <cellStyle name="Título 3 16 3" xfId="27430"/>
    <cellStyle name="Título 3 160" xfId="27431"/>
    <cellStyle name="Título 3 161" xfId="27432"/>
    <cellStyle name="Título 3 162" xfId="27433"/>
    <cellStyle name="Título 3 163" xfId="27434"/>
    <cellStyle name="Título 3 164" xfId="27435"/>
    <cellStyle name="Título 3 165" xfId="27436"/>
    <cellStyle name="Título 3 166" xfId="27437"/>
    <cellStyle name="Título 3 167" xfId="27438"/>
    <cellStyle name="Título 3 168" xfId="27439"/>
    <cellStyle name="Título 3 169" xfId="27440"/>
    <cellStyle name="Título 3 17" xfId="27441"/>
    <cellStyle name="Título 3 17 2" xfId="27442"/>
    <cellStyle name="Título 3 17 3" xfId="27443"/>
    <cellStyle name="Título 3 170" xfId="27444"/>
    <cellStyle name="Título 3 171" xfId="27445"/>
    <cellStyle name="Título 3 172" xfId="27446"/>
    <cellStyle name="Título 3 173" xfId="27447"/>
    <cellStyle name="Título 3 174" xfId="27448"/>
    <cellStyle name="Título 3 175" xfId="27449"/>
    <cellStyle name="Título 3 176" xfId="27450"/>
    <cellStyle name="Título 3 177" xfId="27451"/>
    <cellStyle name="Título 3 178" xfId="27452"/>
    <cellStyle name="Título 3 179" xfId="27453"/>
    <cellStyle name="Título 3 18" xfId="27454"/>
    <cellStyle name="Título 3 18 2" xfId="27455"/>
    <cellStyle name="Título 3 18 3" xfId="27456"/>
    <cellStyle name="Título 3 180" xfId="27457"/>
    <cellStyle name="Título 3 181" xfId="27458"/>
    <cellStyle name="Título 3 182" xfId="27459"/>
    <cellStyle name="Título 3 183" xfId="27460"/>
    <cellStyle name="Título 3 184" xfId="27461"/>
    <cellStyle name="Título 3 185" xfId="27462"/>
    <cellStyle name="Título 3 186" xfId="27463"/>
    <cellStyle name="Título 3 187" xfId="27464"/>
    <cellStyle name="Título 3 188" xfId="27465"/>
    <cellStyle name="Título 3 189" xfId="27466"/>
    <cellStyle name="Título 3 19" xfId="27467"/>
    <cellStyle name="Título 3 19 2" xfId="27468"/>
    <cellStyle name="Título 3 19 3" xfId="27469"/>
    <cellStyle name="Título 3 190" xfId="27470"/>
    <cellStyle name="Título 3 2" xfId="27471"/>
    <cellStyle name="Título 3 2 10" xfId="27472"/>
    <cellStyle name="Título 3 2 10 2" xfId="27473"/>
    <cellStyle name="Título 3 2 10 3" xfId="27474"/>
    <cellStyle name="Título 3 2 10 4" xfId="27475"/>
    <cellStyle name="Título 3 2 10 5" xfId="27476"/>
    <cellStyle name="Título 3 2 10 6" xfId="27477"/>
    <cellStyle name="Título 3 2 10 7" xfId="27478"/>
    <cellStyle name="Título 3 2 11" xfId="27479"/>
    <cellStyle name="Título 3 2 11 2" xfId="27480"/>
    <cellStyle name="Título 3 2 11 3" xfId="27481"/>
    <cellStyle name="Título 3 2 11 4" xfId="27482"/>
    <cellStyle name="Título 3 2 11 5" xfId="27483"/>
    <cellStyle name="Título 3 2 11 6" xfId="27484"/>
    <cellStyle name="Título 3 2 11 7" xfId="27485"/>
    <cellStyle name="Título 3 2 12" xfId="27486"/>
    <cellStyle name="Título 3 2 13" xfId="27487"/>
    <cellStyle name="Título 3 2 14" xfId="27488"/>
    <cellStyle name="Título 3 2 15" xfId="27489"/>
    <cellStyle name="Título 3 2 16" xfId="27490"/>
    <cellStyle name="Título 3 2 17" xfId="27491"/>
    <cellStyle name="Título 3 2 18" xfId="27492"/>
    <cellStyle name="Título 3 2 19" xfId="27493"/>
    <cellStyle name="Título 3 2 2" xfId="27494"/>
    <cellStyle name="Título 3 2 20" xfId="27495"/>
    <cellStyle name="Título 3 2 21" xfId="27496"/>
    <cellStyle name="Título 3 2 22" xfId="27497"/>
    <cellStyle name="Título 3 2 23" xfId="27498"/>
    <cellStyle name="Título 3 2 24" xfId="27499"/>
    <cellStyle name="Título 3 2 25" xfId="27500"/>
    <cellStyle name="Título 3 2 26" xfId="27501"/>
    <cellStyle name="Título 3 2 27" xfId="27502"/>
    <cellStyle name="Título 3 2 28" xfId="27503"/>
    <cellStyle name="Título 3 2 29" xfId="27504"/>
    <cellStyle name="Título 3 2 3" xfId="27505"/>
    <cellStyle name="Título 3 2 30" xfId="27506"/>
    <cellStyle name="Título 3 2 31" xfId="27507"/>
    <cellStyle name="Título 3 2 32" xfId="27508"/>
    <cellStyle name="Título 3 2 33" xfId="27509"/>
    <cellStyle name="Título 3 2 34" xfId="27510"/>
    <cellStyle name="Título 3 2 35" xfId="27511"/>
    <cellStyle name="Título 3 2 4" xfId="27512"/>
    <cellStyle name="Título 3 2 5" xfId="27513"/>
    <cellStyle name="Título 3 2 6" xfId="27514"/>
    <cellStyle name="Título 3 2 7" xfId="27515"/>
    <cellStyle name="Título 3 2 8" xfId="27516"/>
    <cellStyle name="Título 3 2 8 2" xfId="27517"/>
    <cellStyle name="Título 3 2 8 3" xfId="27518"/>
    <cellStyle name="Título 3 2 8 4" xfId="27519"/>
    <cellStyle name="Título 3 2 8 5" xfId="27520"/>
    <cellStyle name="Título 3 2 8 6" xfId="27521"/>
    <cellStyle name="Título 3 2 8 7" xfId="27522"/>
    <cellStyle name="Título 3 2 9" xfId="27523"/>
    <cellStyle name="Título 3 2 9 2" xfId="27524"/>
    <cellStyle name="Título 3 2 9 3" xfId="27525"/>
    <cellStyle name="Título 3 2 9 4" xfId="27526"/>
    <cellStyle name="Título 3 2 9 5" xfId="27527"/>
    <cellStyle name="Título 3 2 9 6" xfId="27528"/>
    <cellStyle name="Título 3 2 9 7" xfId="27529"/>
    <cellStyle name="Título 3 20" xfId="27530"/>
    <cellStyle name="Título 3 20 2" xfId="27531"/>
    <cellStyle name="Título 3 20 3" xfId="27532"/>
    <cellStyle name="Título 3 21" xfId="27533"/>
    <cellStyle name="Título 3 22" xfId="27534"/>
    <cellStyle name="Título 3 23" xfId="27535"/>
    <cellStyle name="Título 3 24" xfId="27536"/>
    <cellStyle name="Título 3 24 2" xfId="40978"/>
    <cellStyle name="Título 3 25" xfId="27537"/>
    <cellStyle name="Título 3 25 2" xfId="41013"/>
    <cellStyle name="Título 3 26" xfId="27538"/>
    <cellStyle name="Título 3 26 10" xfId="27539"/>
    <cellStyle name="Título 3 26 11" xfId="27540"/>
    <cellStyle name="Título 3 26 12" xfId="27541"/>
    <cellStyle name="Título 3 26 13" xfId="27542"/>
    <cellStyle name="Título 3 26 14" xfId="27543"/>
    <cellStyle name="Título 3 26 15" xfId="27544"/>
    <cellStyle name="Título 3 26 16" xfId="27545"/>
    <cellStyle name="Título 3 26 2" xfId="27546"/>
    <cellStyle name="Título 3 26 3" xfId="27547"/>
    <cellStyle name="Título 3 26 4" xfId="27548"/>
    <cellStyle name="Título 3 26 5" xfId="27549"/>
    <cellStyle name="Título 3 26 6" xfId="27550"/>
    <cellStyle name="Título 3 26 7" xfId="27551"/>
    <cellStyle name="Título 3 26 8" xfId="27552"/>
    <cellStyle name="Título 3 26 9" xfId="27553"/>
    <cellStyle name="Título 3 27" xfId="27554"/>
    <cellStyle name="Título 3 27 10" xfId="27555"/>
    <cellStyle name="Título 3 27 11" xfId="27556"/>
    <cellStyle name="Título 3 27 12" xfId="27557"/>
    <cellStyle name="Título 3 27 13" xfId="27558"/>
    <cellStyle name="Título 3 27 14" xfId="27559"/>
    <cellStyle name="Título 3 27 15" xfId="27560"/>
    <cellStyle name="Título 3 27 16" xfId="27561"/>
    <cellStyle name="Título 3 27 2" xfId="27562"/>
    <cellStyle name="Título 3 27 3" xfId="27563"/>
    <cellStyle name="Título 3 27 4" xfId="27564"/>
    <cellStyle name="Título 3 27 5" xfId="27565"/>
    <cellStyle name="Título 3 27 6" xfId="27566"/>
    <cellStyle name="Título 3 27 7" xfId="27567"/>
    <cellStyle name="Título 3 27 8" xfId="27568"/>
    <cellStyle name="Título 3 27 9" xfId="27569"/>
    <cellStyle name="Título 3 28" xfId="27570"/>
    <cellStyle name="Título 3 28 10" xfId="27571"/>
    <cellStyle name="Título 3 28 11" xfId="27572"/>
    <cellStyle name="Título 3 28 12" xfId="27573"/>
    <cellStyle name="Título 3 28 13" xfId="27574"/>
    <cellStyle name="Título 3 28 14" xfId="27575"/>
    <cellStyle name="Título 3 28 15" xfId="27576"/>
    <cellStyle name="Título 3 28 16" xfId="27577"/>
    <cellStyle name="Título 3 28 2" xfId="27578"/>
    <cellStyle name="Título 3 28 3" xfId="27579"/>
    <cellStyle name="Título 3 28 4" xfId="27580"/>
    <cellStyle name="Título 3 28 5" xfId="27581"/>
    <cellStyle name="Título 3 28 6" xfId="27582"/>
    <cellStyle name="Título 3 28 7" xfId="27583"/>
    <cellStyle name="Título 3 28 8" xfId="27584"/>
    <cellStyle name="Título 3 28 9" xfId="27585"/>
    <cellStyle name="Título 3 29" xfId="27586"/>
    <cellStyle name="Título 3 29 10" xfId="27587"/>
    <cellStyle name="Título 3 29 11" xfId="27588"/>
    <cellStyle name="Título 3 29 12" xfId="27589"/>
    <cellStyle name="Título 3 29 13" xfId="27590"/>
    <cellStyle name="Título 3 29 14" xfId="27591"/>
    <cellStyle name="Título 3 29 15" xfId="27592"/>
    <cellStyle name="Título 3 29 16" xfId="27593"/>
    <cellStyle name="Título 3 29 2" xfId="27594"/>
    <cellStyle name="Título 3 29 3" xfId="27595"/>
    <cellStyle name="Título 3 29 4" xfId="27596"/>
    <cellStyle name="Título 3 29 5" xfId="27597"/>
    <cellStyle name="Título 3 29 6" xfId="27598"/>
    <cellStyle name="Título 3 29 7" xfId="27599"/>
    <cellStyle name="Título 3 29 8" xfId="27600"/>
    <cellStyle name="Título 3 29 9" xfId="27601"/>
    <cellStyle name="Título 3 3" xfId="27602"/>
    <cellStyle name="Título 3 3 10" xfId="27603"/>
    <cellStyle name="Título 3 3 11" xfId="27604"/>
    <cellStyle name="Título 3 3 2" xfId="27605"/>
    <cellStyle name="Título 3 3 3" xfId="27606"/>
    <cellStyle name="Título 3 3 4" xfId="27607"/>
    <cellStyle name="Título 3 3 5" xfId="27608"/>
    <cellStyle name="Título 3 3 6" xfId="27609"/>
    <cellStyle name="Título 3 3 7" xfId="27610"/>
    <cellStyle name="Título 3 3 8" xfId="27611"/>
    <cellStyle name="Título 3 3 9" xfId="27612"/>
    <cellStyle name="Título 3 30" xfId="27613"/>
    <cellStyle name="Título 3 31" xfId="27614"/>
    <cellStyle name="Título 3 32" xfId="27615"/>
    <cellStyle name="Título 3 33" xfId="27616"/>
    <cellStyle name="Título 3 34" xfId="27617"/>
    <cellStyle name="Título 3 35" xfId="27618"/>
    <cellStyle name="Título 3 36" xfId="27619"/>
    <cellStyle name="Título 3 37" xfId="27620"/>
    <cellStyle name="Título 3 38" xfId="27621"/>
    <cellStyle name="Título 3 39" xfId="27622"/>
    <cellStyle name="Título 3 4" xfId="27623"/>
    <cellStyle name="Título 3 4 10" xfId="27624"/>
    <cellStyle name="Título 3 4 11" xfId="27625"/>
    <cellStyle name="Título 3 4 2" xfId="27626"/>
    <cellStyle name="Título 3 4 3" xfId="27627"/>
    <cellStyle name="Título 3 4 4" xfId="27628"/>
    <cellStyle name="Título 3 4 5" xfId="27629"/>
    <cellStyle name="Título 3 4 6" xfId="27630"/>
    <cellStyle name="Título 3 4 7" xfId="27631"/>
    <cellStyle name="Título 3 4 8" xfId="27632"/>
    <cellStyle name="Título 3 4 9" xfId="27633"/>
    <cellStyle name="Título 3 40" xfId="27634"/>
    <cellStyle name="Título 3 41" xfId="27635"/>
    <cellStyle name="Título 3 42" xfId="27636"/>
    <cellStyle name="Título 3 43" xfId="27637"/>
    <cellStyle name="Título 3 44" xfId="27638"/>
    <cellStyle name="Título 3 45" xfId="27639"/>
    <cellStyle name="Título 3 46" xfId="27640"/>
    <cellStyle name="Título 3 47" xfId="27641"/>
    <cellStyle name="Título 3 48" xfId="27642"/>
    <cellStyle name="Título 3 49" xfId="27643"/>
    <cellStyle name="Título 3 5" xfId="27644"/>
    <cellStyle name="Título 3 5 2" xfId="27645"/>
    <cellStyle name="Título 3 5 3" xfId="27646"/>
    <cellStyle name="Título 3 5 4" xfId="27647"/>
    <cellStyle name="Título 3 50" xfId="27648"/>
    <cellStyle name="Título 3 51" xfId="27649"/>
    <cellStyle name="Título 3 52" xfId="27650"/>
    <cellStyle name="Título 3 53" xfId="27651"/>
    <cellStyle name="Título 3 54" xfId="27652"/>
    <cellStyle name="Título 3 55" xfId="27653"/>
    <cellStyle name="Título 3 56" xfId="27654"/>
    <cellStyle name="Título 3 57" xfId="27655"/>
    <cellStyle name="Título 3 58" xfId="27656"/>
    <cellStyle name="Título 3 59" xfId="27657"/>
    <cellStyle name="Título 3 6" xfId="27658"/>
    <cellStyle name="Título 3 6 2" xfId="27659"/>
    <cellStyle name="Título 3 6 3" xfId="27660"/>
    <cellStyle name="Título 3 6 4" xfId="27661"/>
    <cellStyle name="Título 3 60" xfId="27662"/>
    <cellStyle name="Título 3 61" xfId="27663"/>
    <cellStyle name="Título 3 62" xfId="27664"/>
    <cellStyle name="Título 3 63" xfId="27665"/>
    <cellStyle name="Título 3 64" xfId="27666"/>
    <cellStyle name="Título 3 65" xfId="27667"/>
    <cellStyle name="Título 3 66" xfId="27668"/>
    <cellStyle name="Título 3 67" xfId="27669"/>
    <cellStyle name="Título 3 68" xfId="27670"/>
    <cellStyle name="Título 3 69" xfId="27671"/>
    <cellStyle name="Título 3 7" xfId="27672"/>
    <cellStyle name="Título 3 7 2" xfId="27673"/>
    <cellStyle name="Título 3 7 3" xfId="27674"/>
    <cellStyle name="Título 3 7 4" xfId="27675"/>
    <cellStyle name="Título 3 70" xfId="27676"/>
    <cellStyle name="Título 3 71" xfId="27677"/>
    <cellStyle name="Título 3 72" xfId="27678"/>
    <cellStyle name="Título 3 73" xfId="27679"/>
    <cellStyle name="Título 3 74" xfId="27680"/>
    <cellStyle name="Título 3 75" xfId="27681"/>
    <cellStyle name="Título 3 76" xfId="27682"/>
    <cellStyle name="Título 3 77" xfId="27683"/>
    <cellStyle name="Título 3 78" xfId="27684"/>
    <cellStyle name="Título 3 79" xfId="27685"/>
    <cellStyle name="Título 3 8" xfId="27686"/>
    <cellStyle name="Título 3 8 2" xfId="27687"/>
    <cellStyle name="Título 3 8 3" xfId="27688"/>
    <cellStyle name="Título 3 8 4" xfId="27689"/>
    <cellStyle name="Título 3 80" xfId="27690"/>
    <cellStyle name="Título 3 81" xfId="27691"/>
    <cellStyle name="Título 3 82" xfId="27692"/>
    <cellStyle name="Título 3 83" xfId="27693"/>
    <cellStyle name="Título 3 84" xfId="27694"/>
    <cellStyle name="Título 3 85" xfId="27695"/>
    <cellStyle name="Título 3 86" xfId="27696"/>
    <cellStyle name="Título 3 87" xfId="27697"/>
    <cellStyle name="Título 3 88" xfId="27698"/>
    <cellStyle name="Título 3 89" xfId="27699"/>
    <cellStyle name="Título 3 9" xfId="27700"/>
    <cellStyle name="Título 3 90" xfId="27701"/>
    <cellStyle name="Título 3 91" xfId="27702"/>
    <cellStyle name="Título 3 92" xfId="27703"/>
    <cellStyle name="Título 3 93" xfId="27704"/>
    <cellStyle name="Título 3 94" xfId="27705"/>
    <cellStyle name="Título 3 95" xfId="27706"/>
    <cellStyle name="Título 3 96" xfId="27707"/>
    <cellStyle name="Título 3 97" xfId="27708"/>
    <cellStyle name="Título 3 98" xfId="27709"/>
    <cellStyle name="Título 3 99" xfId="27710"/>
    <cellStyle name="Título 30" xfId="27711"/>
    <cellStyle name="Título 30 10" xfId="27712"/>
    <cellStyle name="Título 30 11" xfId="27713"/>
    <cellStyle name="Título 30 12" xfId="27714"/>
    <cellStyle name="Título 30 13" xfId="27715"/>
    <cellStyle name="Título 30 14" xfId="27716"/>
    <cellStyle name="Título 30 15" xfId="27717"/>
    <cellStyle name="Título 30 16" xfId="27718"/>
    <cellStyle name="Título 30 2" xfId="27719"/>
    <cellStyle name="Título 30 3" xfId="27720"/>
    <cellStyle name="Título 30 4" xfId="27721"/>
    <cellStyle name="Título 30 5" xfId="27722"/>
    <cellStyle name="Título 30 6" xfId="27723"/>
    <cellStyle name="Título 30 7" xfId="27724"/>
    <cellStyle name="Título 30 8" xfId="27725"/>
    <cellStyle name="Título 30 9" xfId="27726"/>
    <cellStyle name="Título 31" xfId="27727"/>
    <cellStyle name="Título 31 10" xfId="27728"/>
    <cellStyle name="Título 31 11" xfId="27729"/>
    <cellStyle name="Título 31 12" xfId="27730"/>
    <cellStyle name="Título 31 13" xfId="27731"/>
    <cellStyle name="Título 31 14" xfId="27732"/>
    <cellStyle name="Título 31 15" xfId="27733"/>
    <cellStyle name="Título 31 16" xfId="27734"/>
    <cellStyle name="Título 31 2" xfId="27735"/>
    <cellStyle name="Título 31 3" xfId="27736"/>
    <cellStyle name="Título 31 4" xfId="27737"/>
    <cellStyle name="Título 31 5" xfId="27738"/>
    <cellStyle name="Título 31 6" xfId="27739"/>
    <cellStyle name="Título 31 7" xfId="27740"/>
    <cellStyle name="Título 31 8" xfId="27741"/>
    <cellStyle name="Título 31 9" xfId="27742"/>
    <cellStyle name="Título 32" xfId="27743"/>
    <cellStyle name="Título 32 10" xfId="27744"/>
    <cellStyle name="Título 32 11" xfId="27745"/>
    <cellStyle name="Título 32 12" xfId="27746"/>
    <cellStyle name="Título 32 13" xfId="27747"/>
    <cellStyle name="Título 32 14" xfId="27748"/>
    <cellStyle name="Título 32 15" xfId="27749"/>
    <cellStyle name="Título 32 16" xfId="27750"/>
    <cellStyle name="Título 32 2" xfId="27751"/>
    <cellStyle name="Título 32 3" xfId="27752"/>
    <cellStyle name="Título 32 4" xfId="27753"/>
    <cellStyle name="Título 32 5" xfId="27754"/>
    <cellStyle name="Título 32 6" xfId="27755"/>
    <cellStyle name="Título 32 7" xfId="27756"/>
    <cellStyle name="Título 32 8" xfId="27757"/>
    <cellStyle name="Título 32 9" xfId="27758"/>
    <cellStyle name="Título 33" xfId="27759"/>
    <cellStyle name="Título 34" xfId="27760"/>
    <cellStyle name="Título 35" xfId="27761"/>
    <cellStyle name="Título 36" xfId="27762"/>
    <cellStyle name="Título 37" xfId="27763"/>
    <cellStyle name="Título 38" xfId="27764"/>
    <cellStyle name="Título 39" xfId="27765"/>
    <cellStyle name="Título 4 10" xfId="27766"/>
    <cellStyle name="Título 4 10 2" xfId="40904"/>
    <cellStyle name="Título 4 100" xfId="27767"/>
    <cellStyle name="Título 4 101" xfId="27768"/>
    <cellStyle name="Título 4 102" xfId="27769"/>
    <cellStyle name="Título 4 103" xfId="27770"/>
    <cellStyle name="Título 4 104" xfId="27771"/>
    <cellStyle name="Título 4 105" xfId="27772"/>
    <cellStyle name="Título 4 106" xfId="27773"/>
    <cellStyle name="Título 4 107" xfId="27774"/>
    <cellStyle name="Título 4 108" xfId="27775"/>
    <cellStyle name="Título 4 109" xfId="27776"/>
    <cellStyle name="Título 4 11" xfId="27777"/>
    <cellStyle name="Título 4 11 2" xfId="40905"/>
    <cellStyle name="Título 4 110" xfId="27778"/>
    <cellStyle name="Título 4 111" xfId="27779"/>
    <cellStyle name="Título 4 112" xfId="27780"/>
    <cellStyle name="Título 4 113" xfId="27781"/>
    <cellStyle name="Título 4 114" xfId="27782"/>
    <cellStyle name="Título 4 115" xfId="27783"/>
    <cellStyle name="Título 4 116" xfId="27784"/>
    <cellStyle name="Título 4 117" xfId="27785"/>
    <cellStyle name="Título 4 118" xfId="27786"/>
    <cellStyle name="Título 4 119" xfId="27787"/>
    <cellStyle name="Título 4 12" xfId="27788"/>
    <cellStyle name="Título 4 12 2" xfId="40906"/>
    <cellStyle name="Título 4 120" xfId="27789"/>
    <cellStyle name="Título 4 121" xfId="27790"/>
    <cellStyle name="Título 4 122" xfId="27791"/>
    <cellStyle name="Título 4 123" xfId="27792"/>
    <cellStyle name="Título 4 124" xfId="27793"/>
    <cellStyle name="Título 4 125" xfId="27794"/>
    <cellStyle name="Título 4 126" xfId="27795"/>
    <cellStyle name="Título 4 127" xfId="27796"/>
    <cellStyle name="Título 4 128" xfId="27797"/>
    <cellStyle name="Título 4 129" xfId="27798"/>
    <cellStyle name="Título 4 13" xfId="27799"/>
    <cellStyle name="Título 4 13 2" xfId="40907"/>
    <cellStyle name="Título 4 130" xfId="27800"/>
    <cellStyle name="Título 4 131" xfId="27801"/>
    <cellStyle name="Título 4 132" xfId="27802"/>
    <cellStyle name="Título 4 133" xfId="27803"/>
    <cellStyle name="Título 4 134" xfId="27804"/>
    <cellStyle name="Título 4 135" xfId="27805"/>
    <cellStyle name="Título 4 136" xfId="27806"/>
    <cellStyle name="Título 4 137" xfId="27807"/>
    <cellStyle name="Título 4 138" xfId="27808"/>
    <cellStyle name="Título 4 139" xfId="27809"/>
    <cellStyle name="Título 4 14" xfId="27810"/>
    <cellStyle name="Título 4 140" xfId="27811"/>
    <cellStyle name="Título 4 141" xfId="27812"/>
    <cellStyle name="Título 4 142" xfId="27813"/>
    <cellStyle name="Título 4 143" xfId="27814"/>
    <cellStyle name="Título 4 144" xfId="27815"/>
    <cellStyle name="Título 4 145" xfId="27816"/>
    <cellStyle name="Título 4 146" xfId="27817"/>
    <cellStyle name="Título 4 147" xfId="27818"/>
    <cellStyle name="Título 4 148" xfId="27819"/>
    <cellStyle name="Título 4 149" xfId="27820"/>
    <cellStyle name="Título 4 15" xfId="27821"/>
    <cellStyle name="Título 4 15 2" xfId="27822"/>
    <cellStyle name="Título 4 15 3" xfId="27823"/>
    <cellStyle name="Título 4 150" xfId="27824"/>
    <cellStyle name="Título 4 151" xfId="27825"/>
    <cellStyle name="Título 4 152" xfId="27826"/>
    <cellStyle name="Título 4 153" xfId="27827"/>
    <cellStyle name="Título 4 154" xfId="27828"/>
    <cellStyle name="Título 4 155" xfId="27829"/>
    <cellStyle name="Título 4 156" xfId="27830"/>
    <cellStyle name="Título 4 157" xfId="27831"/>
    <cellStyle name="Título 4 158" xfId="27832"/>
    <cellStyle name="Título 4 159" xfId="27833"/>
    <cellStyle name="Título 4 16" xfId="27834"/>
    <cellStyle name="Título 4 16 2" xfId="27835"/>
    <cellStyle name="Título 4 16 3" xfId="27836"/>
    <cellStyle name="Título 4 160" xfId="27837"/>
    <cellStyle name="Título 4 161" xfId="27838"/>
    <cellStyle name="Título 4 162" xfId="27839"/>
    <cellStyle name="Título 4 163" xfId="27840"/>
    <cellStyle name="Título 4 164" xfId="27841"/>
    <cellStyle name="Título 4 165" xfId="27842"/>
    <cellStyle name="Título 4 166" xfId="27843"/>
    <cellStyle name="Título 4 167" xfId="27844"/>
    <cellStyle name="Título 4 168" xfId="27845"/>
    <cellStyle name="Título 4 169" xfId="27846"/>
    <cellStyle name="Título 4 17" xfId="27847"/>
    <cellStyle name="Título 4 17 2" xfId="27848"/>
    <cellStyle name="Título 4 17 3" xfId="27849"/>
    <cellStyle name="Título 4 170" xfId="27850"/>
    <cellStyle name="Título 4 171" xfId="27851"/>
    <cellStyle name="Título 4 172" xfId="27852"/>
    <cellStyle name="Título 4 173" xfId="27853"/>
    <cellStyle name="Título 4 174" xfId="27854"/>
    <cellStyle name="Título 4 175" xfId="27855"/>
    <cellStyle name="Título 4 176" xfId="27856"/>
    <cellStyle name="Título 4 177" xfId="27857"/>
    <cellStyle name="Título 4 178" xfId="27858"/>
    <cellStyle name="Título 4 179" xfId="27859"/>
    <cellStyle name="Título 4 18" xfId="27860"/>
    <cellStyle name="Título 4 18 2" xfId="27861"/>
    <cellStyle name="Título 4 18 3" xfId="27862"/>
    <cellStyle name="Título 4 180" xfId="27863"/>
    <cellStyle name="Título 4 181" xfId="27864"/>
    <cellStyle name="Título 4 182" xfId="27865"/>
    <cellStyle name="Título 4 183" xfId="27866"/>
    <cellStyle name="Título 4 184" xfId="27867"/>
    <cellStyle name="Título 4 185" xfId="27868"/>
    <cellStyle name="Título 4 186" xfId="27869"/>
    <cellStyle name="Título 4 187" xfId="27870"/>
    <cellStyle name="Título 4 188" xfId="27871"/>
    <cellStyle name="Título 4 189" xfId="27872"/>
    <cellStyle name="Título 4 19" xfId="27873"/>
    <cellStyle name="Título 4 19 2" xfId="27874"/>
    <cellStyle name="Título 4 19 3" xfId="27875"/>
    <cellStyle name="Título 4 190" xfId="27876"/>
    <cellStyle name="Título 4 2" xfId="27877"/>
    <cellStyle name="Título 4 2 10" xfId="27878"/>
    <cellStyle name="Título 4 2 10 2" xfId="27879"/>
    <cellStyle name="Título 4 2 10 3" xfId="27880"/>
    <cellStyle name="Título 4 2 10 4" xfId="27881"/>
    <cellStyle name="Título 4 2 10 5" xfId="27882"/>
    <cellStyle name="Título 4 2 10 6" xfId="27883"/>
    <cellStyle name="Título 4 2 10 7" xfId="27884"/>
    <cellStyle name="Título 4 2 11" xfId="27885"/>
    <cellStyle name="Título 4 2 11 2" xfId="27886"/>
    <cellStyle name="Título 4 2 11 3" xfId="27887"/>
    <cellStyle name="Título 4 2 11 4" xfId="27888"/>
    <cellStyle name="Título 4 2 11 5" xfId="27889"/>
    <cellStyle name="Título 4 2 11 6" xfId="27890"/>
    <cellStyle name="Título 4 2 11 7" xfId="27891"/>
    <cellStyle name="Título 4 2 12" xfId="27892"/>
    <cellStyle name="Título 4 2 13" xfId="27893"/>
    <cellStyle name="Título 4 2 14" xfId="27894"/>
    <cellStyle name="Título 4 2 15" xfId="27895"/>
    <cellStyle name="Título 4 2 16" xfId="27896"/>
    <cellStyle name="Título 4 2 17" xfId="27897"/>
    <cellStyle name="Título 4 2 18" xfId="27898"/>
    <cellStyle name="Título 4 2 19" xfId="27899"/>
    <cellStyle name="Título 4 2 2" xfId="27900"/>
    <cellStyle name="Título 4 2 20" xfId="27901"/>
    <cellStyle name="Título 4 2 21" xfId="27902"/>
    <cellStyle name="Título 4 2 22" xfId="27903"/>
    <cellStyle name="Título 4 2 23" xfId="27904"/>
    <cellStyle name="Título 4 2 24" xfId="27905"/>
    <cellStyle name="Título 4 2 25" xfId="27906"/>
    <cellStyle name="Título 4 2 26" xfId="27907"/>
    <cellStyle name="Título 4 2 27" xfId="27908"/>
    <cellStyle name="Título 4 2 28" xfId="27909"/>
    <cellStyle name="Título 4 2 29" xfId="27910"/>
    <cellStyle name="Título 4 2 3" xfId="27911"/>
    <cellStyle name="Título 4 2 30" xfId="27912"/>
    <cellStyle name="Título 4 2 31" xfId="27913"/>
    <cellStyle name="Título 4 2 32" xfId="27914"/>
    <cellStyle name="Título 4 2 33" xfId="27915"/>
    <cellStyle name="Título 4 2 34" xfId="27916"/>
    <cellStyle name="Título 4 2 35" xfId="27917"/>
    <cellStyle name="Título 4 2 4" xfId="27918"/>
    <cellStyle name="Título 4 2 5" xfId="27919"/>
    <cellStyle name="Título 4 2 6" xfId="27920"/>
    <cellStyle name="Título 4 2 7" xfId="27921"/>
    <cellStyle name="Título 4 2 8" xfId="27922"/>
    <cellStyle name="Título 4 2 8 2" xfId="27923"/>
    <cellStyle name="Título 4 2 8 3" xfId="27924"/>
    <cellStyle name="Título 4 2 8 4" xfId="27925"/>
    <cellStyle name="Título 4 2 8 5" xfId="27926"/>
    <cellStyle name="Título 4 2 8 6" xfId="27927"/>
    <cellStyle name="Título 4 2 8 7" xfId="27928"/>
    <cellStyle name="Título 4 2 9" xfId="27929"/>
    <cellStyle name="Título 4 2 9 2" xfId="27930"/>
    <cellStyle name="Título 4 2 9 3" xfId="27931"/>
    <cellStyle name="Título 4 2 9 4" xfId="27932"/>
    <cellStyle name="Título 4 2 9 5" xfId="27933"/>
    <cellStyle name="Título 4 2 9 6" xfId="27934"/>
    <cellStyle name="Título 4 2 9 7" xfId="27935"/>
    <cellStyle name="Título 4 20" xfId="27936"/>
    <cellStyle name="Título 4 20 2" xfId="27937"/>
    <cellStyle name="Título 4 20 3" xfId="27938"/>
    <cellStyle name="Título 4 21" xfId="27939"/>
    <cellStyle name="Título 4 22" xfId="27940"/>
    <cellStyle name="Título 4 23" xfId="27941"/>
    <cellStyle name="Título 4 24" xfId="27942"/>
    <cellStyle name="Título 4 24 2" xfId="40979"/>
    <cellStyle name="Título 4 25" xfId="27943"/>
    <cellStyle name="Título 4 25 2" xfId="41014"/>
    <cellStyle name="Título 4 26" xfId="27944"/>
    <cellStyle name="Título 4 26 10" xfId="27945"/>
    <cellStyle name="Título 4 26 11" xfId="27946"/>
    <cellStyle name="Título 4 26 12" xfId="27947"/>
    <cellStyle name="Título 4 26 13" xfId="27948"/>
    <cellStyle name="Título 4 26 14" xfId="27949"/>
    <cellStyle name="Título 4 26 15" xfId="27950"/>
    <cellStyle name="Título 4 26 16" xfId="27951"/>
    <cellStyle name="Título 4 26 2" xfId="27952"/>
    <cellStyle name="Título 4 26 3" xfId="27953"/>
    <cellStyle name="Título 4 26 4" xfId="27954"/>
    <cellStyle name="Título 4 26 5" xfId="27955"/>
    <cellStyle name="Título 4 26 6" xfId="27956"/>
    <cellStyle name="Título 4 26 7" xfId="27957"/>
    <cellStyle name="Título 4 26 8" xfId="27958"/>
    <cellStyle name="Título 4 26 9" xfId="27959"/>
    <cellStyle name="Título 4 27" xfId="27960"/>
    <cellStyle name="Título 4 27 10" xfId="27961"/>
    <cellStyle name="Título 4 27 11" xfId="27962"/>
    <cellStyle name="Título 4 27 12" xfId="27963"/>
    <cellStyle name="Título 4 27 13" xfId="27964"/>
    <cellStyle name="Título 4 27 14" xfId="27965"/>
    <cellStyle name="Título 4 27 15" xfId="27966"/>
    <cellStyle name="Título 4 27 16" xfId="27967"/>
    <cellStyle name="Título 4 27 2" xfId="27968"/>
    <cellStyle name="Título 4 27 3" xfId="27969"/>
    <cellStyle name="Título 4 27 4" xfId="27970"/>
    <cellStyle name="Título 4 27 5" xfId="27971"/>
    <cellStyle name="Título 4 27 6" xfId="27972"/>
    <cellStyle name="Título 4 27 7" xfId="27973"/>
    <cellStyle name="Título 4 27 8" xfId="27974"/>
    <cellStyle name="Título 4 27 9" xfId="27975"/>
    <cellStyle name="Título 4 28" xfId="27976"/>
    <cellStyle name="Título 4 28 10" xfId="27977"/>
    <cellStyle name="Título 4 28 11" xfId="27978"/>
    <cellStyle name="Título 4 28 12" xfId="27979"/>
    <cellStyle name="Título 4 28 13" xfId="27980"/>
    <cellStyle name="Título 4 28 14" xfId="27981"/>
    <cellStyle name="Título 4 28 15" xfId="27982"/>
    <cellStyle name="Título 4 28 16" xfId="27983"/>
    <cellStyle name="Título 4 28 2" xfId="27984"/>
    <cellStyle name="Título 4 28 3" xfId="27985"/>
    <cellStyle name="Título 4 28 4" xfId="27986"/>
    <cellStyle name="Título 4 28 5" xfId="27987"/>
    <cellStyle name="Título 4 28 6" xfId="27988"/>
    <cellStyle name="Título 4 28 7" xfId="27989"/>
    <cellStyle name="Título 4 28 8" xfId="27990"/>
    <cellStyle name="Título 4 28 9" xfId="27991"/>
    <cellStyle name="Título 4 29" xfId="27992"/>
    <cellStyle name="Título 4 29 10" xfId="27993"/>
    <cellStyle name="Título 4 29 11" xfId="27994"/>
    <cellStyle name="Título 4 29 12" xfId="27995"/>
    <cellStyle name="Título 4 29 13" xfId="27996"/>
    <cellStyle name="Título 4 29 14" xfId="27997"/>
    <cellStyle name="Título 4 29 15" xfId="27998"/>
    <cellStyle name="Título 4 29 16" xfId="27999"/>
    <cellStyle name="Título 4 29 2" xfId="28000"/>
    <cellStyle name="Título 4 29 3" xfId="28001"/>
    <cellStyle name="Título 4 29 4" xfId="28002"/>
    <cellStyle name="Título 4 29 5" xfId="28003"/>
    <cellStyle name="Título 4 29 6" xfId="28004"/>
    <cellStyle name="Título 4 29 7" xfId="28005"/>
    <cellStyle name="Título 4 29 8" xfId="28006"/>
    <cellStyle name="Título 4 29 9" xfId="28007"/>
    <cellStyle name="Título 4 3" xfId="28008"/>
    <cellStyle name="Título 4 3 10" xfId="28009"/>
    <cellStyle name="Título 4 3 11" xfId="28010"/>
    <cellStyle name="Título 4 3 2" xfId="28011"/>
    <cellStyle name="Título 4 3 3" xfId="28012"/>
    <cellStyle name="Título 4 3 4" xfId="28013"/>
    <cellStyle name="Título 4 3 5" xfId="28014"/>
    <cellStyle name="Título 4 3 6" xfId="28015"/>
    <cellStyle name="Título 4 3 7" xfId="28016"/>
    <cellStyle name="Título 4 3 8" xfId="28017"/>
    <cellStyle name="Título 4 3 9" xfId="28018"/>
    <cellStyle name="Título 4 30" xfId="28019"/>
    <cellStyle name="Título 4 31" xfId="28020"/>
    <cellStyle name="Título 4 32" xfId="28021"/>
    <cellStyle name="Título 4 33" xfId="28022"/>
    <cellStyle name="Título 4 34" xfId="28023"/>
    <cellStyle name="Título 4 35" xfId="28024"/>
    <cellStyle name="Título 4 36" xfId="28025"/>
    <cellStyle name="Título 4 37" xfId="28026"/>
    <cellStyle name="Título 4 38" xfId="28027"/>
    <cellStyle name="Título 4 39" xfId="28028"/>
    <cellStyle name="Título 4 4" xfId="28029"/>
    <cellStyle name="Título 4 4 10" xfId="28030"/>
    <cellStyle name="Título 4 4 11" xfId="28031"/>
    <cellStyle name="Título 4 4 2" xfId="28032"/>
    <cellStyle name="Título 4 4 3" xfId="28033"/>
    <cellStyle name="Título 4 4 4" xfId="28034"/>
    <cellStyle name="Título 4 4 5" xfId="28035"/>
    <cellStyle name="Título 4 4 6" xfId="28036"/>
    <cellStyle name="Título 4 4 7" xfId="28037"/>
    <cellStyle name="Título 4 4 8" xfId="28038"/>
    <cellStyle name="Título 4 4 9" xfId="28039"/>
    <cellStyle name="Título 4 40" xfId="28040"/>
    <cellStyle name="Título 4 41" xfId="28041"/>
    <cellStyle name="Título 4 42" xfId="28042"/>
    <cellStyle name="Título 4 43" xfId="28043"/>
    <cellStyle name="Título 4 44" xfId="28044"/>
    <cellStyle name="Título 4 45" xfId="28045"/>
    <cellStyle name="Título 4 46" xfId="28046"/>
    <cellStyle name="Título 4 47" xfId="28047"/>
    <cellStyle name="Título 4 48" xfId="28048"/>
    <cellStyle name="Título 4 49" xfId="28049"/>
    <cellStyle name="Título 4 5" xfId="28050"/>
    <cellStyle name="Título 4 5 2" xfId="28051"/>
    <cellStyle name="Título 4 5 3" xfId="28052"/>
    <cellStyle name="Título 4 5 4" xfId="28053"/>
    <cellStyle name="Título 4 50" xfId="28054"/>
    <cellStyle name="Título 4 51" xfId="28055"/>
    <cellStyle name="Título 4 52" xfId="28056"/>
    <cellStyle name="Título 4 53" xfId="28057"/>
    <cellStyle name="Título 4 54" xfId="28058"/>
    <cellStyle name="Título 4 55" xfId="28059"/>
    <cellStyle name="Título 4 56" xfId="28060"/>
    <cellStyle name="Título 4 57" xfId="28061"/>
    <cellStyle name="Título 4 58" xfId="28062"/>
    <cellStyle name="Título 4 59" xfId="28063"/>
    <cellStyle name="Título 4 6" xfId="28064"/>
    <cellStyle name="Título 4 6 2" xfId="28065"/>
    <cellStyle name="Título 4 6 3" xfId="28066"/>
    <cellStyle name="Título 4 6 4" xfId="28067"/>
    <cellStyle name="Título 4 60" xfId="28068"/>
    <cellStyle name="Título 4 61" xfId="28069"/>
    <cellStyle name="Título 4 62" xfId="28070"/>
    <cellStyle name="Título 4 63" xfId="28071"/>
    <cellStyle name="Título 4 64" xfId="28072"/>
    <cellStyle name="Título 4 65" xfId="28073"/>
    <cellStyle name="Título 4 66" xfId="28074"/>
    <cellStyle name="Título 4 67" xfId="28075"/>
    <cellStyle name="Título 4 68" xfId="28076"/>
    <cellStyle name="Título 4 69" xfId="28077"/>
    <cellStyle name="Título 4 7" xfId="28078"/>
    <cellStyle name="Título 4 7 2" xfId="28079"/>
    <cellStyle name="Título 4 7 3" xfId="28080"/>
    <cellStyle name="Título 4 7 4" xfId="28081"/>
    <cellStyle name="Título 4 70" xfId="28082"/>
    <cellStyle name="Título 4 71" xfId="28083"/>
    <cellStyle name="Título 4 72" xfId="28084"/>
    <cellStyle name="Título 4 73" xfId="28085"/>
    <cellStyle name="Título 4 74" xfId="28086"/>
    <cellStyle name="Título 4 75" xfId="28087"/>
    <cellStyle name="Título 4 76" xfId="28088"/>
    <cellStyle name="Título 4 77" xfId="28089"/>
    <cellStyle name="Título 4 78" xfId="28090"/>
    <cellStyle name="Título 4 79" xfId="28091"/>
    <cellStyle name="Título 4 8" xfId="28092"/>
    <cellStyle name="Título 4 8 2" xfId="28093"/>
    <cellStyle name="Título 4 8 3" xfId="28094"/>
    <cellStyle name="Título 4 8 4" xfId="28095"/>
    <cellStyle name="Título 4 80" xfId="28096"/>
    <cellStyle name="Título 4 81" xfId="28097"/>
    <cellStyle name="Título 4 82" xfId="28098"/>
    <cellStyle name="Título 4 83" xfId="28099"/>
    <cellStyle name="Título 4 84" xfId="28100"/>
    <cellStyle name="Título 4 85" xfId="28101"/>
    <cellStyle name="Título 4 86" xfId="28102"/>
    <cellStyle name="Título 4 87" xfId="28103"/>
    <cellStyle name="Título 4 88" xfId="28104"/>
    <cellStyle name="Título 4 89" xfId="28105"/>
    <cellStyle name="Título 4 9" xfId="28106"/>
    <cellStyle name="Título 4 90" xfId="28107"/>
    <cellStyle name="Título 4 91" xfId="28108"/>
    <cellStyle name="Título 4 92" xfId="28109"/>
    <cellStyle name="Título 4 93" xfId="28110"/>
    <cellStyle name="Título 4 94" xfId="28111"/>
    <cellStyle name="Título 4 95" xfId="28112"/>
    <cellStyle name="Título 4 96" xfId="28113"/>
    <cellStyle name="Título 4 97" xfId="28114"/>
    <cellStyle name="Título 4 98" xfId="28115"/>
    <cellStyle name="Título 4 99" xfId="28116"/>
    <cellStyle name="Título 40" xfId="28117"/>
    <cellStyle name="Título 41" xfId="28118"/>
    <cellStyle name="Título 42" xfId="28119"/>
    <cellStyle name="Título 43" xfId="28120"/>
    <cellStyle name="Título 44" xfId="28121"/>
    <cellStyle name="Título 45" xfId="28122"/>
    <cellStyle name="Título 46" xfId="28123"/>
    <cellStyle name="Título 47" xfId="28124"/>
    <cellStyle name="Título 48" xfId="28125"/>
    <cellStyle name="Título 49" xfId="28126"/>
    <cellStyle name="Título 5" xfId="28127"/>
    <cellStyle name="Título 5 10" xfId="28128"/>
    <cellStyle name="Título 5 10 2" xfId="28129"/>
    <cellStyle name="Título 5 10 3" xfId="28130"/>
    <cellStyle name="Título 5 10 4" xfId="28131"/>
    <cellStyle name="Título 5 10 5" xfId="28132"/>
    <cellStyle name="Título 5 10 6" xfId="28133"/>
    <cellStyle name="Título 5 10 7" xfId="28134"/>
    <cellStyle name="Título 5 11" xfId="28135"/>
    <cellStyle name="Título 5 11 2" xfId="28136"/>
    <cellStyle name="Título 5 11 3" xfId="28137"/>
    <cellStyle name="Título 5 11 4" xfId="28138"/>
    <cellStyle name="Título 5 11 5" xfId="28139"/>
    <cellStyle name="Título 5 11 6" xfId="28140"/>
    <cellStyle name="Título 5 11 7" xfId="28141"/>
    <cellStyle name="Título 5 12" xfId="28142"/>
    <cellStyle name="Título 5 13" xfId="28143"/>
    <cellStyle name="Título 5 14" xfId="28144"/>
    <cellStyle name="Título 5 15" xfId="28145"/>
    <cellStyle name="Título 5 16" xfId="28146"/>
    <cellStyle name="Título 5 17" xfId="28147"/>
    <cellStyle name="Título 5 18" xfId="28148"/>
    <cellStyle name="Título 5 19" xfId="28149"/>
    <cellStyle name="Título 5 2" xfId="28150"/>
    <cellStyle name="Título 5 20" xfId="28151"/>
    <cellStyle name="Título 5 21" xfId="28152"/>
    <cellStyle name="Título 5 22" xfId="28153"/>
    <cellStyle name="Título 5 23" xfId="28154"/>
    <cellStyle name="Título 5 24" xfId="28155"/>
    <cellStyle name="Título 5 25" xfId="28156"/>
    <cellStyle name="Título 5 26" xfId="28157"/>
    <cellStyle name="Título 5 27" xfId="28158"/>
    <cellStyle name="Título 5 28" xfId="28159"/>
    <cellStyle name="Título 5 29" xfId="28160"/>
    <cellStyle name="Título 5 3" xfId="28161"/>
    <cellStyle name="Título 5 30" xfId="28162"/>
    <cellStyle name="Título 5 31" xfId="28163"/>
    <cellStyle name="Título 5 32" xfId="28164"/>
    <cellStyle name="Título 5 33" xfId="28165"/>
    <cellStyle name="Título 5 34" xfId="28166"/>
    <cellStyle name="Título 5 35" xfId="28167"/>
    <cellStyle name="Título 5 4" xfId="28168"/>
    <cellStyle name="Título 5 5" xfId="28169"/>
    <cellStyle name="Título 5 6" xfId="28170"/>
    <cellStyle name="Título 5 7" xfId="28171"/>
    <cellStyle name="Título 5 8" xfId="28172"/>
    <cellStyle name="Título 5 8 2" xfId="28173"/>
    <cellStyle name="Título 5 8 3" xfId="28174"/>
    <cellStyle name="Título 5 8 4" xfId="28175"/>
    <cellStyle name="Título 5 8 5" xfId="28176"/>
    <cellStyle name="Título 5 8 6" xfId="28177"/>
    <cellStyle name="Título 5 8 7" xfId="28178"/>
    <cellStyle name="Título 5 9" xfId="28179"/>
    <cellStyle name="Título 5 9 2" xfId="28180"/>
    <cellStyle name="Título 5 9 3" xfId="28181"/>
    <cellStyle name="Título 5 9 4" xfId="28182"/>
    <cellStyle name="Título 5 9 5" xfId="28183"/>
    <cellStyle name="Título 5 9 6" xfId="28184"/>
    <cellStyle name="Título 5 9 7" xfId="28185"/>
    <cellStyle name="Título 50" xfId="28186"/>
    <cellStyle name="Título 51" xfId="28187"/>
    <cellStyle name="Título 52" xfId="28188"/>
    <cellStyle name="Título 53" xfId="28189"/>
    <cellStyle name="Título 54" xfId="28190"/>
    <cellStyle name="Título 55" xfId="28191"/>
    <cellStyle name="Título 56" xfId="28192"/>
    <cellStyle name="Título 57" xfId="28193"/>
    <cellStyle name="Título 58" xfId="28194"/>
    <cellStyle name="Título 59" xfId="28195"/>
    <cellStyle name="Título 6" xfId="28196"/>
    <cellStyle name="Título 6 10" xfId="28197"/>
    <cellStyle name="Título 6 11" xfId="28198"/>
    <cellStyle name="Título 6 2" xfId="28199"/>
    <cellStyle name="Título 6 3" xfId="28200"/>
    <cellStyle name="Título 6 4" xfId="28201"/>
    <cellStyle name="Título 6 5" xfId="28202"/>
    <cellStyle name="Título 6 6" xfId="28203"/>
    <cellStyle name="Título 6 7" xfId="28204"/>
    <cellStyle name="Título 6 8" xfId="28205"/>
    <cellStyle name="Título 6 9" xfId="28206"/>
    <cellStyle name="Título 60" xfId="28207"/>
    <cellStyle name="Título 61" xfId="28208"/>
    <cellStyle name="Título 62" xfId="28209"/>
    <cellStyle name="Título 63" xfId="28210"/>
    <cellStyle name="Título 64" xfId="28211"/>
    <cellStyle name="Título 65" xfId="28212"/>
    <cellStyle name="Título 66" xfId="28213"/>
    <cellStyle name="Título 67" xfId="28214"/>
    <cellStyle name="Título 68" xfId="28215"/>
    <cellStyle name="Título 69" xfId="28216"/>
    <cellStyle name="Título 7" xfId="28217"/>
    <cellStyle name="Título 7 10" xfId="28218"/>
    <cellStyle name="Título 7 11" xfId="28219"/>
    <cellStyle name="Título 7 2" xfId="28220"/>
    <cellStyle name="Título 7 3" xfId="28221"/>
    <cellStyle name="Título 7 4" xfId="28222"/>
    <cellStyle name="Título 7 5" xfId="28223"/>
    <cellStyle name="Título 7 6" xfId="28224"/>
    <cellStyle name="Título 7 7" xfId="28225"/>
    <cellStyle name="Título 7 8" xfId="28226"/>
    <cellStyle name="Título 7 9" xfId="28227"/>
    <cellStyle name="Título 70" xfId="28228"/>
    <cellStyle name="Título 71" xfId="28229"/>
    <cellStyle name="Título 72" xfId="28230"/>
    <cellStyle name="Título 73" xfId="28231"/>
    <cellStyle name="Título 74" xfId="28232"/>
    <cellStyle name="Título 75" xfId="28233"/>
    <cellStyle name="Título 76" xfId="28234"/>
    <cellStyle name="Título 77" xfId="28235"/>
    <cellStyle name="Título 78" xfId="28236"/>
    <cellStyle name="Título 79" xfId="28237"/>
    <cellStyle name="Título 8" xfId="28238"/>
    <cellStyle name="Título 8 2" xfId="28239"/>
    <cellStyle name="Título 8 3" xfId="28240"/>
    <cellStyle name="Título 8 4" xfId="28241"/>
    <cellStyle name="Título 80" xfId="28242"/>
    <cellStyle name="Título 81" xfId="28243"/>
    <cellStyle name="Título 82" xfId="28244"/>
    <cellStyle name="Título 83" xfId="28245"/>
    <cellStyle name="Título 84" xfId="28246"/>
    <cellStyle name="Título 85" xfId="28247"/>
    <cellStyle name="Título 86" xfId="28248"/>
    <cellStyle name="Título 87" xfId="28249"/>
    <cellStyle name="Título 88" xfId="28250"/>
    <cellStyle name="Título 89" xfId="28251"/>
    <cellStyle name="Título 9" xfId="28252"/>
    <cellStyle name="Título 9 2" xfId="28253"/>
    <cellStyle name="Título 9 3" xfId="28254"/>
    <cellStyle name="Título 9 4" xfId="28255"/>
    <cellStyle name="Título 90" xfId="28256"/>
    <cellStyle name="Título 91" xfId="28257"/>
    <cellStyle name="Título 92" xfId="28258"/>
    <cellStyle name="Título 93" xfId="28259"/>
    <cellStyle name="Título 94" xfId="28260"/>
    <cellStyle name="Título 95" xfId="28261"/>
    <cellStyle name="Título 96" xfId="28262"/>
    <cellStyle name="Título 97" xfId="28263"/>
    <cellStyle name="Título 98" xfId="28264"/>
    <cellStyle name="Título 99" xfId="28265"/>
    <cellStyle name="Titulo1" xfId="28266"/>
    <cellStyle name="Titulo2" xfId="28267"/>
    <cellStyle name="Total 10" xfId="28268"/>
    <cellStyle name="Total 10 2" xfId="29323"/>
    <cellStyle name="Total 10 2 2" xfId="40909"/>
    <cellStyle name="Total 10 3" xfId="40908"/>
    <cellStyle name="Total 100" xfId="28269"/>
    <cellStyle name="Total 100 2" xfId="40167"/>
    <cellStyle name="Total 101" xfId="28270"/>
    <cellStyle name="Total 101 2" xfId="40168"/>
    <cellStyle name="Total 102" xfId="28271"/>
    <cellStyle name="Total 102 2" xfId="40169"/>
    <cellStyle name="Total 103" xfId="28272"/>
    <cellStyle name="Total 103 2" xfId="40170"/>
    <cellStyle name="Total 104" xfId="28273"/>
    <cellStyle name="Total 104 2" xfId="40171"/>
    <cellStyle name="Total 105" xfId="28274"/>
    <cellStyle name="Total 105 2" xfId="40172"/>
    <cellStyle name="Total 106" xfId="28275"/>
    <cellStyle name="Total 106 2" xfId="40173"/>
    <cellStyle name="Total 107" xfId="28276"/>
    <cellStyle name="Total 107 2" xfId="40174"/>
    <cellStyle name="Total 108" xfId="28277"/>
    <cellStyle name="Total 108 2" xfId="40175"/>
    <cellStyle name="Total 109" xfId="28278"/>
    <cellStyle name="Total 109 2" xfId="40176"/>
    <cellStyle name="Total 11" xfId="28279"/>
    <cellStyle name="Total 11 2" xfId="29324"/>
    <cellStyle name="Total 11 2 2" xfId="40911"/>
    <cellStyle name="Total 11 3" xfId="40910"/>
    <cellStyle name="Total 110" xfId="28280"/>
    <cellStyle name="Total 110 2" xfId="40177"/>
    <cellStyle name="Total 111" xfId="28281"/>
    <cellStyle name="Total 111 2" xfId="40178"/>
    <cellStyle name="Total 112" xfId="28282"/>
    <cellStyle name="Total 112 2" xfId="40179"/>
    <cellStyle name="Total 113" xfId="28283"/>
    <cellStyle name="Total 113 2" xfId="40180"/>
    <cellStyle name="Total 114" xfId="28284"/>
    <cellStyle name="Total 114 2" xfId="40181"/>
    <cellStyle name="Total 115" xfId="28285"/>
    <cellStyle name="Total 115 2" xfId="40182"/>
    <cellStyle name="Total 116" xfId="28286"/>
    <cellStyle name="Total 116 2" xfId="40183"/>
    <cellStyle name="Total 117" xfId="28287"/>
    <cellStyle name="Total 117 2" xfId="40184"/>
    <cellStyle name="Total 118" xfId="28288"/>
    <cellStyle name="Total 118 2" xfId="40185"/>
    <cellStyle name="Total 119" xfId="28289"/>
    <cellStyle name="Total 119 2" xfId="40186"/>
    <cellStyle name="Total 12" xfId="28290"/>
    <cellStyle name="Total 12 2" xfId="29325"/>
    <cellStyle name="Total 12 2 2" xfId="40913"/>
    <cellStyle name="Total 12 3" xfId="40912"/>
    <cellStyle name="Total 120" xfId="28291"/>
    <cellStyle name="Total 120 2" xfId="40187"/>
    <cellStyle name="Total 121" xfId="28292"/>
    <cellStyle name="Total 121 2" xfId="40188"/>
    <cellStyle name="Total 122" xfId="28293"/>
    <cellStyle name="Total 122 2" xfId="40189"/>
    <cellStyle name="Total 123" xfId="28294"/>
    <cellStyle name="Total 123 2" xfId="40190"/>
    <cellStyle name="Total 124" xfId="28295"/>
    <cellStyle name="Total 124 2" xfId="40191"/>
    <cellStyle name="Total 125" xfId="28296"/>
    <cellStyle name="Total 125 2" xfId="40192"/>
    <cellStyle name="Total 126" xfId="28297"/>
    <cellStyle name="Total 126 2" xfId="40193"/>
    <cellStyle name="Total 127" xfId="28298"/>
    <cellStyle name="Total 127 2" xfId="40194"/>
    <cellStyle name="Total 128" xfId="28299"/>
    <cellStyle name="Total 128 2" xfId="40195"/>
    <cellStyle name="Total 129" xfId="28300"/>
    <cellStyle name="Total 129 2" xfId="40196"/>
    <cellStyle name="Total 13" xfId="28301"/>
    <cellStyle name="Total 13 2" xfId="29326"/>
    <cellStyle name="Total 13 2 2" xfId="40915"/>
    <cellStyle name="Total 13 3" xfId="40914"/>
    <cellStyle name="Total 130" xfId="28302"/>
    <cellStyle name="Total 130 2" xfId="40197"/>
    <cellStyle name="Total 131" xfId="28303"/>
    <cellStyle name="Total 131 2" xfId="40198"/>
    <cellStyle name="Total 132" xfId="28304"/>
    <cellStyle name="Total 132 2" xfId="40199"/>
    <cellStyle name="Total 133" xfId="28305"/>
    <cellStyle name="Total 133 2" xfId="40200"/>
    <cellStyle name="Total 134" xfId="28306"/>
    <cellStyle name="Total 134 2" xfId="40201"/>
    <cellStyle name="Total 135" xfId="28307"/>
    <cellStyle name="Total 135 2" xfId="40202"/>
    <cellStyle name="Total 136" xfId="28308"/>
    <cellStyle name="Total 136 2" xfId="40203"/>
    <cellStyle name="Total 137" xfId="28309"/>
    <cellStyle name="Total 137 2" xfId="40204"/>
    <cellStyle name="Total 138" xfId="28310"/>
    <cellStyle name="Total 138 2" xfId="40205"/>
    <cellStyle name="Total 139" xfId="28311"/>
    <cellStyle name="Total 139 2" xfId="40206"/>
    <cellStyle name="Total 14" xfId="28312"/>
    <cellStyle name="Total 14 2" xfId="29327"/>
    <cellStyle name="Total 14 2 2" xfId="40916"/>
    <cellStyle name="Total 140" xfId="28313"/>
    <cellStyle name="Total 140 2" xfId="40207"/>
    <cellStyle name="Total 141" xfId="28314"/>
    <cellStyle name="Total 141 2" xfId="40208"/>
    <cellStyle name="Total 142" xfId="28315"/>
    <cellStyle name="Total 142 2" xfId="40209"/>
    <cellStyle name="Total 143" xfId="28316"/>
    <cellStyle name="Total 143 2" xfId="40210"/>
    <cellStyle name="Total 144" xfId="28317"/>
    <cellStyle name="Total 144 2" xfId="40211"/>
    <cellStyle name="Total 145" xfId="28318"/>
    <cellStyle name="Total 145 2" xfId="40212"/>
    <cellStyle name="Total 146" xfId="28319"/>
    <cellStyle name="Total 146 2" xfId="40213"/>
    <cellStyle name="Total 147" xfId="28320"/>
    <cellStyle name="Total 147 2" xfId="40214"/>
    <cellStyle name="Total 148" xfId="28321"/>
    <cellStyle name="Total 148 2" xfId="40215"/>
    <cellStyle name="Total 149" xfId="28322"/>
    <cellStyle name="Total 149 2" xfId="40216"/>
    <cellStyle name="Total 15" xfId="28323"/>
    <cellStyle name="Total 15 2" xfId="28324"/>
    <cellStyle name="Total 15 2 2" xfId="40217"/>
    <cellStyle name="Total 15 3" xfId="28325"/>
    <cellStyle name="Total 15 3 2" xfId="40218"/>
    <cellStyle name="Total 15 4" xfId="29328"/>
    <cellStyle name="Total 15 4 2" xfId="40917"/>
    <cellStyle name="Total 150" xfId="28326"/>
    <cellStyle name="Total 150 2" xfId="40219"/>
    <cellStyle name="Total 151" xfId="28327"/>
    <cellStyle name="Total 151 2" xfId="40220"/>
    <cellStyle name="Total 152" xfId="28328"/>
    <cellStyle name="Total 152 2" xfId="40221"/>
    <cellStyle name="Total 153" xfId="28329"/>
    <cellStyle name="Total 153 2" xfId="40222"/>
    <cellStyle name="Total 154" xfId="28330"/>
    <cellStyle name="Total 154 2" xfId="40223"/>
    <cellStyle name="Total 155" xfId="28331"/>
    <cellStyle name="Total 155 2" xfId="40224"/>
    <cellStyle name="Total 156" xfId="28332"/>
    <cellStyle name="Total 156 2" xfId="40225"/>
    <cellStyle name="Total 157" xfId="28333"/>
    <cellStyle name="Total 157 2" xfId="40226"/>
    <cellStyle name="Total 158" xfId="28334"/>
    <cellStyle name="Total 158 2" xfId="40227"/>
    <cellStyle name="Total 159" xfId="28335"/>
    <cellStyle name="Total 159 2" xfId="40228"/>
    <cellStyle name="Total 16" xfId="28336"/>
    <cellStyle name="Total 16 2" xfId="28337"/>
    <cellStyle name="Total 16 2 2" xfId="40229"/>
    <cellStyle name="Total 16 3" xfId="28338"/>
    <cellStyle name="Total 16 3 2" xfId="40230"/>
    <cellStyle name="Total 16 4" xfId="29329"/>
    <cellStyle name="Total 16 4 2" xfId="40918"/>
    <cellStyle name="Total 160" xfId="28339"/>
    <cellStyle name="Total 160 2" xfId="40231"/>
    <cellStyle name="Total 161" xfId="28340"/>
    <cellStyle name="Total 161 2" xfId="40232"/>
    <cellStyle name="Total 162" xfId="28341"/>
    <cellStyle name="Total 162 2" xfId="40233"/>
    <cellStyle name="Total 163" xfId="28342"/>
    <cellStyle name="Total 163 2" xfId="40234"/>
    <cellStyle name="Total 164" xfId="28343"/>
    <cellStyle name="Total 164 2" xfId="40235"/>
    <cellStyle name="Total 165" xfId="28344"/>
    <cellStyle name="Total 165 2" xfId="40236"/>
    <cellStyle name="Total 166" xfId="28345"/>
    <cellStyle name="Total 166 2" xfId="40237"/>
    <cellStyle name="Total 167" xfId="28346"/>
    <cellStyle name="Total 167 2" xfId="40238"/>
    <cellStyle name="Total 168" xfId="28347"/>
    <cellStyle name="Total 168 2" xfId="40239"/>
    <cellStyle name="Total 169" xfId="28348"/>
    <cellStyle name="Total 169 2" xfId="40240"/>
    <cellStyle name="Total 17" xfId="28349"/>
    <cellStyle name="Total 17 2" xfId="28350"/>
    <cellStyle name="Total 17 2 2" xfId="40241"/>
    <cellStyle name="Total 17 3" xfId="28351"/>
    <cellStyle name="Total 17 3 2" xfId="40242"/>
    <cellStyle name="Total 17 4" xfId="29330"/>
    <cellStyle name="Total 17 4 2" xfId="40919"/>
    <cellStyle name="Total 170" xfId="28352"/>
    <cellStyle name="Total 170 2" xfId="40243"/>
    <cellStyle name="Total 171" xfId="28353"/>
    <cellStyle name="Total 171 2" xfId="40244"/>
    <cellStyle name="Total 172" xfId="28354"/>
    <cellStyle name="Total 172 2" xfId="40245"/>
    <cellStyle name="Total 173" xfId="28355"/>
    <cellStyle name="Total 173 2" xfId="40246"/>
    <cellStyle name="Total 174" xfId="28356"/>
    <cellStyle name="Total 174 2" xfId="40247"/>
    <cellStyle name="Total 175" xfId="28357"/>
    <cellStyle name="Total 175 2" xfId="40248"/>
    <cellStyle name="Total 176" xfId="28358"/>
    <cellStyle name="Total 176 2" xfId="40249"/>
    <cellStyle name="Total 177" xfId="28359"/>
    <cellStyle name="Total 177 2" xfId="40250"/>
    <cellStyle name="Total 178" xfId="28360"/>
    <cellStyle name="Total 178 2" xfId="40251"/>
    <cellStyle name="Total 179" xfId="28361"/>
    <cellStyle name="Total 179 2" xfId="40252"/>
    <cellStyle name="Total 18" xfId="28362"/>
    <cellStyle name="Total 18 2" xfId="28363"/>
    <cellStyle name="Total 18 2 2" xfId="40253"/>
    <cellStyle name="Total 18 3" xfId="28364"/>
    <cellStyle name="Total 18 3 2" xfId="40254"/>
    <cellStyle name="Total 18 4" xfId="29331"/>
    <cellStyle name="Total 18 4 2" xfId="40920"/>
    <cellStyle name="Total 180" xfId="28365"/>
    <cellStyle name="Total 180 2" xfId="40255"/>
    <cellStyle name="Total 181" xfId="28366"/>
    <cellStyle name="Total 181 2" xfId="40256"/>
    <cellStyle name="Total 182" xfId="28367"/>
    <cellStyle name="Total 182 2" xfId="40257"/>
    <cellStyle name="Total 183" xfId="28368"/>
    <cellStyle name="Total 183 2" xfId="40258"/>
    <cellStyle name="Total 184" xfId="28369"/>
    <cellStyle name="Total 184 2" xfId="40259"/>
    <cellStyle name="Total 185" xfId="28370"/>
    <cellStyle name="Total 185 2" xfId="40260"/>
    <cellStyle name="Total 186" xfId="28371"/>
    <cellStyle name="Total 186 2" xfId="40261"/>
    <cellStyle name="Total 187" xfId="28372"/>
    <cellStyle name="Total 187 2" xfId="40262"/>
    <cellStyle name="Total 188" xfId="28373"/>
    <cellStyle name="Total 188 2" xfId="40263"/>
    <cellStyle name="Total 189" xfId="28374"/>
    <cellStyle name="Total 189 2" xfId="40264"/>
    <cellStyle name="Total 19" xfId="28375"/>
    <cellStyle name="Total 19 2" xfId="28376"/>
    <cellStyle name="Total 19 2 2" xfId="40265"/>
    <cellStyle name="Total 19 3" xfId="28377"/>
    <cellStyle name="Total 19 3 2" xfId="40266"/>
    <cellStyle name="Total 19 4" xfId="29332"/>
    <cellStyle name="Total 19 4 2" xfId="40921"/>
    <cellStyle name="Total 190" xfId="28378"/>
    <cellStyle name="Total 190 2" xfId="40267"/>
    <cellStyle name="Total 191" xfId="40470"/>
    <cellStyle name="Total 2" xfId="28379"/>
    <cellStyle name="Total 2 10" xfId="28380"/>
    <cellStyle name="Total 2 10 2" xfId="28381"/>
    <cellStyle name="Total 2 10 2 2" xfId="40269"/>
    <cellStyle name="Total 2 10 3" xfId="28382"/>
    <cellStyle name="Total 2 10 3 2" xfId="40270"/>
    <cellStyle name="Total 2 10 4" xfId="28383"/>
    <cellStyle name="Total 2 10 4 2" xfId="40271"/>
    <cellStyle name="Total 2 10 5" xfId="28384"/>
    <cellStyle name="Total 2 10 5 2" xfId="40272"/>
    <cellStyle name="Total 2 10 6" xfId="28385"/>
    <cellStyle name="Total 2 10 6 2" xfId="40273"/>
    <cellStyle name="Total 2 10 7" xfId="28386"/>
    <cellStyle name="Total 2 10 7 2" xfId="40274"/>
    <cellStyle name="Total 2 10 8" xfId="40268"/>
    <cellStyle name="Total 2 11" xfId="28387"/>
    <cellStyle name="Total 2 11 2" xfId="28388"/>
    <cellStyle name="Total 2 11 2 2" xfId="40276"/>
    <cellStyle name="Total 2 11 3" xfId="28389"/>
    <cellStyle name="Total 2 11 3 2" xfId="40277"/>
    <cellStyle name="Total 2 11 4" xfId="28390"/>
    <cellStyle name="Total 2 11 4 2" xfId="40278"/>
    <cellStyle name="Total 2 11 5" xfId="28391"/>
    <cellStyle name="Total 2 11 5 2" xfId="40279"/>
    <cellStyle name="Total 2 11 6" xfId="28392"/>
    <cellStyle name="Total 2 11 6 2" xfId="40280"/>
    <cellStyle name="Total 2 11 7" xfId="28393"/>
    <cellStyle name="Total 2 11 7 2" xfId="40281"/>
    <cellStyle name="Total 2 11 8" xfId="40275"/>
    <cellStyle name="Total 2 12" xfId="28394"/>
    <cellStyle name="Total 2 12 2" xfId="40282"/>
    <cellStyle name="Total 2 13" xfId="28395"/>
    <cellStyle name="Total 2 13 2" xfId="40283"/>
    <cellStyle name="Total 2 14" xfId="28396"/>
    <cellStyle name="Total 2 14 2" xfId="40284"/>
    <cellStyle name="Total 2 15" xfId="28397"/>
    <cellStyle name="Total 2 15 2" xfId="40285"/>
    <cellStyle name="Total 2 16" xfId="28398"/>
    <cellStyle name="Total 2 16 2" xfId="40286"/>
    <cellStyle name="Total 2 17" xfId="28399"/>
    <cellStyle name="Total 2 17 2" xfId="40287"/>
    <cellStyle name="Total 2 18" xfId="28400"/>
    <cellStyle name="Total 2 18 2" xfId="40288"/>
    <cellStyle name="Total 2 19" xfId="28401"/>
    <cellStyle name="Total 2 19 2" xfId="40289"/>
    <cellStyle name="Total 2 2" xfId="28402"/>
    <cellStyle name="Total 2 2 2" xfId="29333"/>
    <cellStyle name="Total 2 2 2 2" xfId="40922"/>
    <cellStyle name="Total 2 20" xfId="28403"/>
    <cellStyle name="Total 2 20 2" xfId="40290"/>
    <cellStyle name="Total 2 21" xfId="28404"/>
    <cellStyle name="Total 2 21 2" xfId="40291"/>
    <cellStyle name="Total 2 22" xfId="28405"/>
    <cellStyle name="Total 2 22 2" xfId="40292"/>
    <cellStyle name="Total 2 23" xfId="28406"/>
    <cellStyle name="Total 2 23 2" xfId="40293"/>
    <cellStyle name="Total 2 24" xfId="28407"/>
    <cellStyle name="Total 2 24 2" xfId="40294"/>
    <cellStyle name="Total 2 25" xfId="28408"/>
    <cellStyle name="Total 2 25 2" xfId="40295"/>
    <cellStyle name="Total 2 26" xfId="28409"/>
    <cellStyle name="Total 2 26 2" xfId="40296"/>
    <cellStyle name="Total 2 27" xfId="28410"/>
    <cellStyle name="Total 2 27 2" xfId="40297"/>
    <cellStyle name="Total 2 28" xfId="28411"/>
    <cellStyle name="Total 2 28 2" xfId="40298"/>
    <cellStyle name="Total 2 29" xfId="28412"/>
    <cellStyle name="Total 2 29 2" xfId="40299"/>
    <cellStyle name="Total 2 3" xfId="28413"/>
    <cellStyle name="Total 2 3 2" xfId="29334"/>
    <cellStyle name="Total 2 3 2 2" xfId="40923"/>
    <cellStyle name="Total 2 30" xfId="28414"/>
    <cellStyle name="Total 2 30 2" xfId="40300"/>
    <cellStyle name="Total 2 31" xfId="28415"/>
    <cellStyle name="Total 2 31 2" xfId="40301"/>
    <cellStyle name="Total 2 32" xfId="28416"/>
    <cellStyle name="Total 2 32 2" xfId="40302"/>
    <cellStyle name="Total 2 33" xfId="28417"/>
    <cellStyle name="Total 2 33 2" xfId="40303"/>
    <cellStyle name="Total 2 34" xfId="28418"/>
    <cellStyle name="Total 2 34 2" xfId="40304"/>
    <cellStyle name="Total 2 35" xfId="28419"/>
    <cellStyle name="Total 2 35 2" xfId="40305"/>
    <cellStyle name="Total 2 36" xfId="29394"/>
    <cellStyle name="Total 2 36 2" xfId="40474"/>
    <cellStyle name="Total 2 4" xfId="28420"/>
    <cellStyle name="Total 2 4 2" xfId="29335"/>
    <cellStyle name="Total 2 4 2 2" xfId="40924"/>
    <cellStyle name="Total 2 5" xfId="28421"/>
    <cellStyle name="Total 2 5 2" xfId="29336"/>
    <cellStyle name="Total 2 5 2 2" xfId="40925"/>
    <cellStyle name="Total 2 6" xfId="28422"/>
    <cellStyle name="Total 2 6 2" xfId="29337"/>
    <cellStyle name="Total 2 6 2 2" xfId="40926"/>
    <cellStyle name="Total 2 7" xfId="28423"/>
    <cellStyle name="Total 2 7 2" xfId="29338"/>
    <cellStyle name="Total 2 7 2 2" xfId="40927"/>
    <cellStyle name="Total 2 8" xfId="28424"/>
    <cellStyle name="Total 2 8 2" xfId="28425"/>
    <cellStyle name="Total 2 8 2 2" xfId="40307"/>
    <cellStyle name="Total 2 8 3" xfId="28426"/>
    <cellStyle name="Total 2 8 3 2" xfId="40308"/>
    <cellStyle name="Total 2 8 4" xfId="28427"/>
    <cellStyle name="Total 2 8 4 2" xfId="40309"/>
    <cellStyle name="Total 2 8 5" xfId="28428"/>
    <cellStyle name="Total 2 8 5 2" xfId="40310"/>
    <cellStyle name="Total 2 8 6" xfId="28429"/>
    <cellStyle name="Total 2 8 6 2" xfId="40311"/>
    <cellStyle name="Total 2 8 7" xfId="28430"/>
    <cellStyle name="Total 2 8 7 2" xfId="40312"/>
    <cellStyle name="Total 2 8 8" xfId="41062"/>
    <cellStyle name="Total 2 8 9" xfId="40306"/>
    <cellStyle name="Total 2 9" xfId="28431"/>
    <cellStyle name="Total 2 9 2" xfId="28432"/>
    <cellStyle name="Total 2 9 2 2" xfId="40314"/>
    <cellStyle name="Total 2 9 3" xfId="28433"/>
    <cellStyle name="Total 2 9 3 2" xfId="40315"/>
    <cellStyle name="Total 2 9 4" xfId="28434"/>
    <cellStyle name="Total 2 9 4 2" xfId="40316"/>
    <cellStyle name="Total 2 9 5" xfId="28435"/>
    <cellStyle name="Total 2 9 5 2" xfId="40317"/>
    <cellStyle name="Total 2 9 6" xfId="28436"/>
    <cellStyle name="Total 2 9 6 2" xfId="40318"/>
    <cellStyle name="Total 2 9 7" xfId="28437"/>
    <cellStyle name="Total 2 9 7 2" xfId="40319"/>
    <cellStyle name="Total 2 9 8" xfId="40313"/>
    <cellStyle name="Total 20" xfId="28438"/>
    <cellStyle name="Total 20 2" xfId="28439"/>
    <cellStyle name="Total 20 2 2" xfId="40320"/>
    <cellStyle name="Total 20 3" xfId="28440"/>
    <cellStyle name="Total 20 3 2" xfId="40321"/>
    <cellStyle name="Total 20 4" xfId="29339"/>
    <cellStyle name="Total 20 4 2" xfId="40928"/>
    <cellStyle name="Total 21" xfId="28441"/>
    <cellStyle name="Total 21 2" xfId="29340"/>
    <cellStyle name="Total 21 2 2" xfId="40929"/>
    <cellStyle name="Total 22" xfId="28442"/>
    <cellStyle name="Total 22 2" xfId="29341"/>
    <cellStyle name="Total 22 2 2" xfId="40930"/>
    <cellStyle name="Total 23" xfId="28443"/>
    <cellStyle name="Total 23 2" xfId="29342"/>
    <cellStyle name="Total 23 2 2" xfId="40931"/>
    <cellStyle name="Total 24" xfId="28444"/>
    <cellStyle name="Total 24 2" xfId="29343"/>
    <cellStyle name="Total 24 2 2" xfId="40980"/>
    <cellStyle name="Total 25" xfId="28445"/>
    <cellStyle name="Total 25 2" xfId="29344"/>
    <cellStyle name="Total 25 2 2" xfId="41015"/>
    <cellStyle name="Total 26" xfId="28446"/>
    <cellStyle name="Total 26 10" xfId="28447"/>
    <cellStyle name="Total 26 10 2" xfId="40323"/>
    <cellStyle name="Total 26 11" xfId="28448"/>
    <cellStyle name="Total 26 11 2" xfId="40324"/>
    <cellStyle name="Total 26 12" xfId="28449"/>
    <cellStyle name="Total 26 12 2" xfId="40325"/>
    <cellStyle name="Total 26 13" xfId="28450"/>
    <cellStyle name="Total 26 13 2" xfId="40326"/>
    <cellStyle name="Total 26 14" xfId="28451"/>
    <cellStyle name="Total 26 14 2" xfId="40327"/>
    <cellStyle name="Total 26 15" xfId="28452"/>
    <cellStyle name="Total 26 15 2" xfId="40328"/>
    <cellStyle name="Total 26 16" xfId="28453"/>
    <cellStyle name="Total 26 16 2" xfId="40329"/>
    <cellStyle name="Total 26 17" xfId="41020"/>
    <cellStyle name="Total 26 18" xfId="40322"/>
    <cellStyle name="Total 26 2" xfId="28454"/>
    <cellStyle name="Total 26 2 2" xfId="40330"/>
    <cellStyle name="Total 26 3" xfId="28455"/>
    <cellStyle name="Total 26 3 2" xfId="40331"/>
    <cellStyle name="Total 26 4" xfId="28456"/>
    <cellStyle name="Total 26 4 2" xfId="40332"/>
    <cellStyle name="Total 26 5" xfId="28457"/>
    <cellStyle name="Total 26 5 2" xfId="40333"/>
    <cellStyle name="Total 26 6" xfId="28458"/>
    <cellStyle name="Total 26 6 2" xfId="40334"/>
    <cellStyle name="Total 26 7" xfId="28459"/>
    <cellStyle name="Total 26 7 2" xfId="40335"/>
    <cellStyle name="Total 26 8" xfId="28460"/>
    <cellStyle name="Total 26 8 2" xfId="40336"/>
    <cellStyle name="Total 26 9" xfId="28461"/>
    <cellStyle name="Total 26 9 2" xfId="40337"/>
    <cellStyle name="Total 27" xfId="28462"/>
    <cellStyle name="Total 27 10" xfId="28463"/>
    <cellStyle name="Total 27 10 2" xfId="40339"/>
    <cellStyle name="Total 27 11" xfId="28464"/>
    <cellStyle name="Total 27 11 2" xfId="40340"/>
    <cellStyle name="Total 27 12" xfId="28465"/>
    <cellStyle name="Total 27 12 2" xfId="40341"/>
    <cellStyle name="Total 27 13" xfId="28466"/>
    <cellStyle name="Total 27 13 2" xfId="40342"/>
    <cellStyle name="Total 27 14" xfId="28467"/>
    <cellStyle name="Total 27 14 2" xfId="40343"/>
    <cellStyle name="Total 27 15" xfId="28468"/>
    <cellStyle name="Total 27 15 2" xfId="40344"/>
    <cellStyle name="Total 27 16" xfId="28469"/>
    <cellStyle name="Total 27 16 2" xfId="40345"/>
    <cellStyle name="Total 27 17" xfId="40338"/>
    <cellStyle name="Total 27 2" xfId="28470"/>
    <cellStyle name="Total 27 2 2" xfId="40346"/>
    <cellStyle name="Total 27 3" xfId="28471"/>
    <cellStyle name="Total 27 3 2" xfId="40347"/>
    <cellStyle name="Total 27 4" xfId="28472"/>
    <cellStyle name="Total 27 4 2" xfId="40348"/>
    <cellStyle name="Total 27 5" xfId="28473"/>
    <cellStyle name="Total 27 5 2" xfId="40349"/>
    <cellStyle name="Total 27 6" xfId="28474"/>
    <cellStyle name="Total 27 6 2" xfId="40350"/>
    <cellStyle name="Total 27 7" xfId="28475"/>
    <cellStyle name="Total 27 7 2" xfId="40351"/>
    <cellStyle name="Total 27 8" xfId="28476"/>
    <cellStyle name="Total 27 8 2" xfId="40352"/>
    <cellStyle name="Total 27 9" xfId="28477"/>
    <cellStyle name="Total 27 9 2" xfId="40353"/>
    <cellStyle name="Total 28" xfId="28478"/>
    <cellStyle name="Total 28 10" xfId="28479"/>
    <cellStyle name="Total 28 10 2" xfId="40355"/>
    <cellStyle name="Total 28 11" xfId="28480"/>
    <cellStyle name="Total 28 11 2" xfId="40356"/>
    <cellStyle name="Total 28 12" xfId="28481"/>
    <cellStyle name="Total 28 12 2" xfId="40357"/>
    <cellStyle name="Total 28 13" xfId="28482"/>
    <cellStyle name="Total 28 13 2" xfId="40358"/>
    <cellStyle name="Total 28 14" xfId="28483"/>
    <cellStyle name="Total 28 14 2" xfId="40359"/>
    <cellStyle name="Total 28 15" xfId="28484"/>
    <cellStyle name="Total 28 15 2" xfId="40360"/>
    <cellStyle name="Total 28 16" xfId="28485"/>
    <cellStyle name="Total 28 16 2" xfId="40361"/>
    <cellStyle name="Total 28 17" xfId="40354"/>
    <cellStyle name="Total 28 2" xfId="28486"/>
    <cellStyle name="Total 28 2 2" xfId="40362"/>
    <cellStyle name="Total 28 3" xfId="28487"/>
    <cellStyle name="Total 28 3 2" xfId="40363"/>
    <cellStyle name="Total 28 4" xfId="28488"/>
    <cellStyle name="Total 28 4 2" xfId="40364"/>
    <cellStyle name="Total 28 5" xfId="28489"/>
    <cellStyle name="Total 28 5 2" xfId="40365"/>
    <cellStyle name="Total 28 6" xfId="28490"/>
    <cellStyle name="Total 28 6 2" xfId="40366"/>
    <cellStyle name="Total 28 7" xfId="28491"/>
    <cellStyle name="Total 28 7 2" xfId="40367"/>
    <cellStyle name="Total 28 8" xfId="28492"/>
    <cellStyle name="Total 28 8 2" xfId="40368"/>
    <cellStyle name="Total 28 9" xfId="28493"/>
    <cellStyle name="Total 28 9 2" xfId="40369"/>
    <cellStyle name="Total 29" xfId="28494"/>
    <cellStyle name="Total 29 10" xfId="28495"/>
    <cellStyle name="Total 29 10 2" xfId="40371"/>
    <cellStyle name="Total 29 11" xfId="28496"/>
    <cellStyle name="Total 29 11 2" xfId="40372"/>
    <cellStyle name="Total 29 12" xfId="28497"/>
    <cellStyle name="Total 29 12 2" xfId="40373"/>
    <cellStyle name="Total 29 13" xfId="28498"/>
    <cellStyle name="Total 29 13 2" xfId="40374"/>
    <cellStyle name="Total 29 14" xfId="28499"/>
    <cellStyle name="Total 29 14 2" xfId="40375"/>
    <cellStyle name="Total 29 15" xfId="28500"/>
    <cellStyle name="Total 29 15 2" xfId="40376"/>
    <cellStyle name="Total 29 16" xfId="28501"/>
    <cellStyle name="Total 29 16 2" xfId="40377"/>
    <cellStyle name="Total 29 17" xfId="40370"/>
    <cellStyle name="Total 29 2" xfId="28502"/>
    <cellStyle name="Total 29 2 2" xfId="40378"/>
    <cellStyle name="Total 29 3" xfId="28503"/>
    <cellStyle name="Total 29 3 2" xfId="40379"/>
    <cellStyle name="Total 29 4" xfId="28504"/>
    <cellStyle name="Total 29 4 2" xfId="40380"/>
    <cellStyle name="Total 29 5" xfId="28505"/>
    <cellStyle name="Total 29 5 2" xfId="40381"/>
    <cellStyle name="Total 29 6" xfId="28506"/>
    <cellStyle name="Total 29 6 2" xfId="40382"/>
    <cellStyle name="Total 29 7" xfId="28507"/>
    <cellStyle name="Total 29 7 2" xfId="40383"/>
    <cellStyle name="Total 29 8" xfId="28508"/>
    <cellStyle name="Total 29 8 2" xfId="40384"/>
    <cellStyle name="Total 29 9" xfId="28509"/>
    <cellStyle name="Total 29 9 2" xfId="40385"/>
    <cellStyle name="Total 3" xfId="28510"/>
    <cellStyle name="Total 3 10" xfId="28511"/>
    <cellStyle name="Total 3 10 2" xfId="40386"/>
    <cellStyle name="Total 3 11" xfId="28512"/>
    <cellStyle name="Total 3 11 2" xfId="40387"/>
    <cellStyle name="Total 3 12" xfId="40932"/>
    <cellStyle name="Total 3 2" xfId="28513"/>
    <cellStyle name="Total 3 2 2" xfId="29345"/>
    <cellStyle name="Total 3 2 2 2" xfId="40933"/>
    <cellStyle name="Total 3 3" xfId="28514"/>
    <cellStyle name="Total 3 3 2" xfId="29346"/>
    <cellStyle name="Total 3 3 2 2" xfId="40934"/>
    <cellStyle name="Total 3 4" xfId="28515"/>
    <cellStyle name="Total 3 4 2" xfId="29347"/>
    <cellStyle name="Total 3 4 2 2" xfId="40935"/>
    <cellStyle name="Total 3 5" xfId="28516"/>
    <cellStyle name="Total 3 5 2" xfId="29348"/>
    <cellStyle name="Total 3 6" xfId="28517"/>
    <cellStyle name="Total 3 6 2" xfId="29349"/>
    <cellStyle name="Total 3 7" xfId="28518"/>
    <cellStyle name="Total 3 7 2" xfId="29350"/>
    <cellStyle name="Total 3 8" xfId="28519"/>
    <cellStyle name="Total 3 8 2" xfId="40388"/>
    <cellStyle name="Total 3 9" xfId="28520"/>
    <cellStyle name="Total 3 9 2" xfId="40389"/>
    <cellStyle name="Total 30" xfId="28521"/>
    <cellStyle name="Total 30 2" xfId="40390"/>
    <cellStyle name="Total 31" xfId="28522"/>
    <cellStyle name="Total 31 2" xfId="40391"/>
    <cellStyle name="Total 32" xfId="28523"/>
    <cellStyle name="Total 32 2" xfId="40392"/>
    <cellStyle name="Total 33" xfId="28524"/>
    <cellStyle name="Total 33 2" xfId="40393"/>
    <cellStyle name="Total 34" xfId="28525"/>
    <cellStyle name="Total 34 2" xfId="40394"/>
    <cellStyle name="Total 35" xfId="28526"/>
    <cellStyle name="Total 35 2" xfId="40395"/>
    <cellStyle name="Total 36" xfId="28527"/>
    <cellStyle name="Total 36 2" xfId="40396"/>
    <cellStyle name="Total 37" xfId="28528"/>
    <cellStyle name="Total 37 2" xfId="40397"/>
    <cellStyle name="Total 38" xfId="28529"/>
    <cellStyle name="Total 38 2" xfId="40398"/>
    <cellStyle name="Total 39" xfId="28530"/>
    <cellStyle name="Total 39 2" xfId="40399"/>
    <cellStyle name="Total 4" xfId="28531"/>
    <cellStyle name="Total 4 10" xfId="28532"/>
    <cellStyle name="Total 4 10 2" xfId="40400"/>
    <cellStyle name="Total 4 11" xfId="28533"/>
    <cellStyle name="Total 4 11 2" xfId="40401"/>
    <cellStyle name="Total 4 12" xfId="40936"/>
    <cellStyle name="Total 4 2" xfId="28534"/>
    <cellStyle name="Total 4 2 2" xfId="29351"/>
    <cellStyle name="Total 4 2 2 2" xfId="40937"/>
    <cellStyle name="Total 4 3" xfId="28535"/>
    <cellStyle name="Total 4 3 2" xfId="29352"/>
    <cellStyle name="Total 4 3 2 2" xfId="40938"/>
    <cellStyle name="Total 4 4" xfId="28536"/>
    <cellStyle name="Total 4 4 2" xfId="29353"/>
    <cellStyle name="Total 4 4 2 2" xfId="40939"/>
    <cellStyle name="Total 4 5" xfId="28537"/>
    <cellStyle name="Total 4 5 2" xfId="29354"/>
    <cellStyle name="Total 4 6" xfId="28538"/>
    <cellStyle name="Total 4 6 2" xfId="29355"/>
    <cellStyle name="Total 4 7" xfId="28539"/>
    <cellStyle name="Total 4 7 2" xfId="29356"/>
    <cellStyle name="Total 4 8" xfId="28540"/>
    <cellStyle name="Total 4 8 2" xfId="40402"/>
    <cellStyle name="Total 4 9" xfId="28541"/>
    <cellStyle name="Total 4 9 2" xfId="40403"/>
    <cellStyle name="Total 40" xfId="28542"/>
    <cellStyle name="Total 40 2" xfId="40404"/>
    <cellStyle name="Total 41" xfId="28543"/>
    <cellStyle name="Total 41 2" xfId="40405"/>
    <cellStyle name="Total 42" xfId="28544"/>
    <cellStyle name="Total 42 2" xfId="40406"/>
    <cellStyle name="Total 43" xfId="28545"/>
    <cellStyle name="Total 43 2" xfId="40407"/>
    <cellStyle name="Total 44" xfId="28546"/>
    <cellStyle name="Total 44 2" xfId="40408"/>
    <cellStyle name="Total 45" xfId="28547"/>
    <cellStyle name="Total 45 2" xfId="40409"/>
    <cellStyle name="Total 46" xfId="28548"/>
    <cellStyle name="Total 46 2" xfId="40410"/>
    <cellStyle name="Total 47" xfId="28549"/>
    <cellStyle name="Total 47 2" xfId="40411"/>
    <cellStyle name="Total 48" xfId="28550"/>
    <cellStyle name="Total 48 2" xfId="40412"/>
    <cellStyle name="Total 49" xfId="28551"/>
    <cellStyle name="Total 49 2" xfId="40413"/>
    <cellStyle name="Total 5" xfId="28552"/>
    <cellStyle name="Total 5 2" xfId="28553"/>
    <cellStyle name="Total 5 2 2" xfId="29358"/>
    <cellStyle name="Total 5 3" xfId="28554"/>
    <cellStyle name="Total 5 3 2" xfId="29359"/>
    <cellStyle name="Total 5 4" xfId="28555"/>
    <cellStyle name="Total 5 4 2" xfId="29360"/>
    <cellStyle name="Total 5 5" xfId="29357"/>
    <cellStyle name="Total 5 5 2" xfId="40940"/>
    <cellStyle name="Total 50" xfId="28556"/>
    <cellStyle name="Total 50 2" xfId="40414"/>
    <cellStyle name="Total 51" xfId="28557"/>
    <cellStyle name="Total 51 2" xfId="40415"/>
    <cellStyle name="Total 52" xfId="28558"/>
    <cellStyle name="Total 52 2" xfId="40416"/>
    <cellStyle name="Total 53" xfId="28559"/>
    <cellStyle name="Total 53 2" xfId="40417"/>
    <cellStyle name="Total 54" xfId="28560"/>
    <cellStyle name="Total 54 2" xfId="40418"/>
    <cellStyle name="Total 55" xfId="28561"/>
    <cellStyle name="Total 55 2" xfId="40419"/>
    <cellStyle name="Total 56" xfId="28562"/>
    <cellStyle name="Total 56 2" xfId="40420"/>
    <cellStyle name="Total 57" xfId="28563"/>
    <cellStyle name="Total 57 2" xfId="40421"/>
    <cellStyle name="Total 58" xfId="28564"/>
    <cellStyle name="Total 58 2" xfId="40422"/>
    <cellStyle name="Total 59" xfId="28565"/>
    <cellStyle name="Total 59 2" xfId="40423"/>
    <cellStyle name="Total 6" xfId="28566"/>
    <cellStyle name="Total 6 2" xfId="28567"/>
    <cellStyle name="Total 6 2 2" xfId="29362"/>
    <cellStyle name="Total 6 3" xfId="28568"/>
    <cellStyle name="Total 6 3 2" xfId="29363"/>
    <cellStyle name="Total 6 4" xfId="28569"/>
    <cellStyle name="Total 6 4 2" xfId="29364"/>
    <cellStyle name="Total 6 5" xfId="29361"/>
    <cellStyle name="Total 6 5 2" xfId="40941"/>
    <cellStyle name="Total 60" xfId="28570"/>
    <cellStyle name="Total 60 2" xfId="40424"/>
    <cellStyle name="Total 61" xfId="28571"/>
    <cellStyle name="Total 61 2" xfId="40425"/>
    <cellStyle name="Total 62" xfId="28572"/>
    <cellStyle name="Total 62 2" xfId="40426"/>
    <cellStyle name="Total 63" xfId="28573"/>
    <cellStyle name="Total 63 2" xfId="40427"/>
    <cellStyle name="Total 64" xfId="28574"/>
    <cellStyle name="Total 64 2" xfId="40428"/>
    <cellStyle name="Total 65" xfId="28575"/>
    <cellStyle name="Total 65 2" xfId="40429"/>
    <cellStyle name="Total 66" xfId="28576"/>
    <cellStyle name="Total 66 2" xfId="40430"/>
    <cellStyle name="Total 67" xfId="28577"/>
    <cellStyle name="Total 67 2" xfId="40431"/>
    <cellStyle name="Total 68" xfId="28578"/>
    <cellStyle name="Total 68 2" xfId="40432"/>
    <cellStyle name="Total 69" xfId="28579"/>
    <cellStyle name="Total 69 2" xfId="40433"/>
    <cellStyle name="Total 7" xfId="28580"/>
    <cellStyle name="Total 7 2" xfId="28581"/>
    <cellStyle name="Total 7 2 2" xfId="29366"/>
    <cellStyle name="Total 7 3" xfId="28582"/>
    <cellStyle name="Total 7 3 2" xfId="29367"/>
    <cellStyle name="Total 7 4" xfId="28583"/>
    <cellStyle name="Total 7 4 2" xfId="29368"/>
    <cellStyle name="Total 7 5" xfId="29365"/>
    <cellStyle name="Total 7 5 2" xfId="40942"/>
    <cellStyle name="Total 70" xfId="28584"/>
    <cellStyle name="Total 70 2" xfId="40434"/>
    <cellStyle name="Total 71" xfId="28585"/>
    <cellStyle name="Total 71 2" xfId="40435"/>
    <cellStyle name="Total 72" xfId="28586"/>
    <cellStyle name="Total 72 2" xfId="40436"/>
    <cellStyle name="Total 73" xfId="28587"/>
    <cellStyle name="Total 73 2" xfId="40437"/>
    <cellStyle name="Total 74" xfId="28588"/>
    <cellStyle name="Total 74 2" xfId="40438"/>
    <cellStyle name="Total 75" xfId="28589"/>
    <cellStyle name="Total 75 2" xfId="40439"/>
    <cellStyle name="Total 76" xfId="28590"/>
    <cellStyle name="Total 76 2" xfId="40440"/>
    <cellStyle name="Total 77" xfId="28591"/>
    <cellStyle name="Total 77 2" xfId="40441"/>
    <cellStyle name="Total 78" xfId="28592"/>
    <cellStyle name="Total 78 2" xfId="40442"/>
    <cellStyle name="Total 79" xfId="28593"/>
    <cellStyle name="Total 79 2" xfId="40443"/>
    <cellStyle name="Total 8" xfId="28594"/>
    <cellStyle name="Total 8 2" xfId="28595"/>
    <cellStyle name="Total 8 2 2" xfId="29370"/>
    <cellStyle name="Total 8 3" xfId="28596"/>
    <cellStyle name="Total 8 3 2" xfId="29371"/>
    <cellStyle name="Total 8 4" xfId="28597"/>
    <cellStyle name="Total 8 4 2" xfId="29372"/>
    <cellStyle name="Total 8 5" xfId="29369"/>
    <cellStyle name="Total 8 5 2" xfId="40943"/>
    <cellStyle name="Total 80" xfId="28598"/>
    <cellStyle name="Total 80 2" xfId="40444"/>
    <cellStyle name="Total 81" xfId="28599"/>
    <cellStyle name="Total 81 2" xfId="40445"/>
    <cellStyle name="Total 82" xfId="28600"/>
    <cellStyle name="Total 82 2" xfId="40446"/>
    <cellStyle name="Total 83" xfId="28601"/>
    <cellStyle name="Total 83 2" xfId="40447"/>
    <cellStyle name="Total 84" xfId="28602"/>
    <cellStyle name="Total 84 2" xfId="40448"/>
    <cellStyle name="Total 85" xfId="28603"/>
    <cellStyle name="Total 85 2" xfId="40449"/>
    <cellStyle name="Total 86" xfId="28604"/>
    <cellStyle name="Total 86 2" xfId="40450"/>
    <cellStyle name="Total 87" xfId="28605"/>
    <cellStyle name="Total 87 2" xfId="40451"/>
    <cellStyle name="Total 88" xfId="28606"/>
    <cellStyle name="Total 88 2" xfId="40452"/>
    <cellStyle name="Total 89" xfId="28607"/>
    <cellStyle name="Total 89 2" xfId="40453"/>
    <cellStyle name="Total 9" xfId="28608"/>
    <cellStyle name="Total 9 2" xfId="29373"/>
    <cellStyle name="Total 9 2 2" xfId="40944"/>
    <cellStyle name="Total 90" xfId="28609"/>
    <cellStyle name="Total 90 2" xfId="40454"/>
    <cellStyle name="Total 91" xfId="28610"/>
    <cellStyle name="Total 91 2" xfId="40455"/>
    <cellStyle name="Total 92" xfId="28611"/>
    <cellStyle name="Total 92 2" xfId="40456"/>
    <cellStyle name="Total 93" xfId="28612"/>
    <cellStyle name="Total 93 2" xfId="40457"/>
    <cellStyle name="Total 94" xfId="28613"/>
    <cellStyle name="Total 94 2" xfId="40458"/>
    <cellStyle name="Total 95" xfId="28614"/>
    <cellStyle name="Total 95 2" xfId="40459"/>
    <cellStyle name="Total 96" xfId="28615"/>
    <cellStyle name="Total 96 2" xfId="40460"/>
    <cellStyle name="Total 97" xfId="28616"/>
    <cellStyle name="Total 97 2" xfId="40461"/>
    <cellStyle name="Total 98" xfId="28617"/>
    <cellStyle name="Total 98 2" xfId="40462"/>
    <cellStyle name="Total 99" xfId="28618"/>
    <cellStyle name="Total 99 2" xfId="40463"/>
    <cellStyle name="Vírgula" xfId="10" builtinId="3"/>
    <cellStyle name="Vírgula 2" xfId="9"/>
    <cellStyle name="Vírgula 2 2" xfId="14"/>
    <cellStyle name="Vírgula 2 2 2" xfId="41084"/>
    <cellStyle name="Vírgula 2 2 3" xfId="41083"/>
    <cellStyle name="Vírgula 2 3" xfId="41133"/>
    <cellStyle name="Vírgula 2 4" xfId="41082"/>
    <cellStyle name="Vírgula 2 5" xfId="41078"/>
    <cellStyle name="Vírgula 3" xfId="12"/>
    <cellStyle name="Vírgula 3 2" xfId="41134"/>
    <cellStyle name="Vírgula 3 3" xfId="41086"/>
    <cellStyle name="Vírgula 4" xfId="15"/>
    <cellStyle name="Vírgula 4 2" xfId="41087"/>
    <cellStyle name="Vírgula 5" xfId="20"/>
    <cellStyle name="Vírgula 6" xfId="21"/>
    <cellStyle name="Währung" xfId="28619"/>
    <cellStyle name="Währung 10" xfId="28620"/>
    <cellStyle name="Währung 100" xfId="28621"/>
    <cellStyle name="Währung 101" xfId="28622"/>
    <cellStyle name="Währung 102" xfId="28623"/>
    <cellStyle name="Währung 103" xfId="28624"/>
    <cellStyle name="Währung 104" xfId="28625"/>
    <cellStyle name="Währung 105" xfId="28626"/>
    <cellStyle name="Währung 106" xfId="28627"/>
    <cellStyle name="Währung 107" xfId="28628"/>
    <cellStyle name="Währung 108" xfId="28629"/>
    <cellStyle name="Währung 109" xfId="28630"/>
    <cellStyle name="Währung 11" xfId="28631"/>
    <cellStyle name="Währung 110" xfId="28632"/>
    <cellStyle name="Währung 111" xfId="28633"/>
    <cellStyle name="Währung 112" xfId="28634"/>
    <cellStyle name="Währung 113" xfId="28635"/>
    <cellStyle name="Währung 114" xfId="28636"/>
    <cellStyle name="Währung 115" xfId="28637"/>
    <cellStyle name="Währung 116" xfId="28638"/>
    <cellStyle name="Währung 117" xfId="28639"/>
    <cellStyle name="Währung 118" xfId="28640"/>
    <cellStyle name="Währung 119" xfId="28641"/>
    <cellStyle name="Währung 12" xfId="28642"/>
    <cellStyle name="Währung 120" xfId="28643"/>
    <cellStyle name="Währung 121" xfId="28644"/>
    <cellStyle name="Währung 122" xfId="28645"/>
    <cellStyle name="Währung 123" xfId="28646"/>
    <cellStyle name="Währung 124" xfId="28647"/>
    <cellStyle name="Währung 125" xfId="28648"/>
    <cellStyle name="Währung 126" xfId="28649"/>
    <cellStyle name="Währung 127" xfId="28650"/>
    <cellStyle name="Währung 128" xfId="28651"/>
    <cellStyle name="Währung 129" xfId="28652"/>
    <cellStyle name="Währung 13" xfId="28653"/>
    <cellStyle name="Währung 130" xfId="28654"/>
    <cellStyle name="Währung 131" xfId="28655"/>
    <cellStyle name="Währung 132" xfId="28656"/>
    <cellStyle name="Währung 133" xfId="28657"/>
    <cellStyle name="Währung 134" xfId="28658"/>
    <cellStyle name="Währung 135" xfId="28659"/>
    <cellStyle name="Währung 136" xfId="28660"/>
    <cellStyle name="Währung 137" xfId="28661"/>
    <cellStyle name="Währung 138" xfId="28662"/>
    <cellStyle name="Währung 139" xfId="28663"/>
    <cellStyle name="Währung 14" xfId="28664"/>
    <cellStyle name="Währung 140" xfId="28665"/>
    <cellStyle name="Währung 141" xfId="28666"/>
    <cellStyle name="Währung 142" xfId="28667"/>
    <cellStyle name="Währung 143" xfId="28668"/>
    <cellStyle name="Währung 144" xfId="28669"/>
    <cellStyle name="Währung 145" xfId="28670"/>
    <cellStyle name="Währung 146" xfId="28671"/>
    <cellStyle name="Währung 147" xfId="28672"/>
    <cellStyle name="Währung 148" xfId="28673"/>
    <cellStyle name="Währung 149" xfId="28674"/>
    <cellStyle name="Währung 15" xfId="28675"/>
    <cellStyle name="Währung 150" xfId="28676"/>
    <cellStyle name="Währung 151" xfId="28677"/>
    <cellStyle name="Währung 152" xfId="28678"/>
    <cellStyle name="Währung 153" xfId="28679"/>
    <cellStyle name="Währung 154" xfId="28680"/>
    <cellStyle name="Währung 155" xfId="28681"/>
    <cellStyle name="Währung 156" xfId="28682"/>
    <cellStyle name="Währung 157" xfId="28683"/>
    <cellStyle name="Währung 158" xfId="28684"/>
    <cellStyle name="Währung 159" xfId="28685"/>
    <cellStyle name="Währung 16" xfId="28686"/>
    <cellStyle name="Währung 160" xfId="28687"/>
    <cellStyle name="Währung 161" xfId="28688"/>
    <cellStyle name="Währung 162" xfId="28689"/>
    <cellStyle name="Währung 163" xfId="28690"/>
    <cellStyle name="Währung 164" xfId="28691"/>
    <cellStyle name="Währung 165" xfId="28692"/>
    <cellStyle name="Währung 166" xfId="28693"/>
    <cellStyle name="Währung 167" xfId="28694"/>
    <cellStyle name="Währung 168" xfId="28695"/>
    <cellStyle name="Währung 169" xfId="28696"/>
    <cellStyle name="Währung 17" xfId="28697"/>
    <cellStyle name="Währung 170" xfId="28698"/>
    <cellStyle name="Währung 171" xfId="28699"/>
    <cellStyle name="Währung 172" xfId="28700"/>
    <cellStyle name="Währung 173" xfId="28701"/>
    <cellStyle name="Währung 174" xfId="28702"/>
    <cellStyle name="Währung 175" xfId="28703"/>
    <cellStyle name="Währung 176" xfId="28704"/>
    <cellStyle name="Währung 176 2" xfId="40464"/>
    <cellStyle name="Währung 18" xfId="28705"/>
    <cellStyle name="Währung 19" xfId="28706"/>
    <cellStyle name="Währung 2" xfId="28707"/>
    <cellStyle name="Währung 2 10" xfId="28708"/>
    <cellStyle name="Währung 2 11" xfId="28709"/>
    <cellStyle name="Währung 2 12" xfId="28710"/>
    <cellStyle name="Währung 2 13" xfId="28711"/>
    <cellStyle name="Währung 2 14" xfId="28712"/>
    <cellStyle name="Währung 2 15" xfId="28713"/>
    <cellStyle name="Währung 2 16" xfId="28714"/>
    <cellStyle name="Währung 2 17" xfId="28715"/>
    <cellStyle name="Währung 2 18" xfId="28716"/>
    <cellStyle name="Währung 2 19" xfId="28717"/>
    <cellStyle name="Währung 2 2" xfId="28718"/>
    <cellStyle name="Währung 2 2 2" xfId="28719"/>
    <cellStyle name="Währung 2 2 3" xfId="28720"/>
    <cellStyle name="Währung 2 2 4" xfId="28721"/>
    <cellStyle name="Währung 2 20" xfId="28722"/>
    <cellStyle name="Währung 2 21" xfId="28723"/>
    <cellStyle name="Währung 2 22" xfId="28724"/>
    <cellStyle name="Währung 2 23" xfId="28725"/>
    <cellStyle name="Währung 2 24" xfId="28726"/>
    <cellStyle name="Währung 2 25" xfId="28727"/>
    <cellStyle name="Währung 2 26" xfId="28728"/>
    <cellStyle name="Währung 2 27" xfId="28729"/>
    <cellStyle name="Währung 2 28" xfId="28730"/>
    <cellStyle name="Währung 2 29" xfId="28731"/>
    <cellStyle name="Währung 2 3" xfId="28732"/>
    <cellStyle name="Währung 2 30" xfId="28733"/>
    <cellStyle name="Währung 2 31" xfId="28734"/>
    <cellStyle name="Währung 2 32" xfId="28735"/>
    <cellStyle name="Währung 2 33" xfId="28736"/>
    <cellStyle name="Währung 2 4" xfId="28737"/>
    <cellStyle name="Währung 2 5" xfId="28738"/>
    <cellStyle name="Währung 2 6" xfId="28739"/>
    <cellStyle name="Währung 2 7" xfId="28740"/>
    <cellStyle name="Währung 2 8" xfId="28741"/>
    <cellStyle name="Währung 2 9" xfId="28742"/>
    <cellStyle name="Währung 20" xfId="28743"/>
    <cellStyle name="Währung 21" xfId="28744"/>
    <cellStyle name="Währung 22" xfId="28745"/>
    <cellStyle name="Währung 23" xfId="28746"/>
    <cellStyle name="Währung 24" xfId="28747"/>
    <cellStyle name="Währung 25" xfId="28748"/>
    <cellStyle name="Währung 26" xfId="28749"/>
    <cellStyle name="Währung 27" xfId="28750"/>
    <cellStyle name="Währung 28" xfId="28751"/>
    <cellStyle name="Währung 29" xfId="28752"/>
    <cellStyle name="Währung 3" xfId="28753"/>
    <cellStyle name="Währung 3 10" xfId="28754"/>
    <cellStyle name="Währung 3 11" xfId="28755"/>
    <cellStyle name="Währung 3 12" xfId="28756"/>
    <cellStyle name="Währung 3 13" xfId="28757"/>
    <cellStyle name="Währung 3 14" xfId="28758"/>
    <cellStyle name="Währung 3 15" xfId="28759"/>
    <cellStyle name="Währung 3 16" xfId="28760"/>
    <cellStyle name="Währung 3 17" xfId="28761"/>
    <cellStyle name="Währung 3 18" xfId="28762"/>
    <cellStyle name="Währung 3 19" xfId="28763"/>
    <cellStyle name="Währung 3 2" xfId="28764"/>
    <cellStyle name="Währung 3 20" xfId="28765"/>
    <cellStyle name="Währung 3 21" xfId="28766"/>
    <cellStyle name="Währung 3 22" xfId="28767"/>
    <cellStyle name="Währung 3 23" xfId="28768"/>
    <cellStyle name="Währung 3 24" xfId="28769"/>
    <cellStyle name="Währung 3 25" xfId="28770"/>
    <cellStyle name="Währung 3 26" xfId="28771"/>
    <cellStyle name="Währung 3 27" xfId="28772"/>
    <cellStyle name="Währung 3 28" xfId="28773"/>
    <cellStyle name="Währung 3 29" xfId="28774"/>
    <cellStyle name="Währung 3 3" xfId="28775"/>
    <cellStyle name="Währung 3 30" xfId="28776"/>
    <cellStyle name="Währung 3 31" xfId="28777"/>
    <cellStyle name="Währung 3 32" xfId="28778"/>
    <cellStyle name="Währung 3 4" xfId="28779"/>
    <cellStyle name="Währung 3 5" xfId="28780"/>
    <cellStyle name="Währung 3 6" xfId="28781"/>
    <cellStyle name="Währung 3 7" xfId="28782"/>
    <cellStyle name="Währung 3 8" xfId="28783"/>
    <cellStyle name="Währung 3 9" xfId="28784"/>
    <cellStyle name="Währung 30" xfId="28785"/>
    <cellStyle name="Währung 31" xfId="28786"/>
    <cellStyle name="Währung 31 10" xfId="28787"/>
    <cellStyle name="Währung 31 11" xfId="28788"/>
    <cellStyle name="Währung 31 12" xfId="28789"/>
    <cellStyle name="Währung 31 13" xfId="28790"/>
    <cellStyle name="Währung 31 14" xfId="28791"/>
    <cellStyle name="Währung 31 15" xfId="28792"/>
    <cellStyle name="Währung 31 2" xfId="28793"/>
    <cellStyle name="Währung 31 3" xfId="28794"/>
    <cellStyle name="Währung 31 4" xfId="28795"/>
    <cellStyle name="Währung 31 5" xfId="28796"/>
    <cellStyle name="Währung 31 6" xfId="28797"/>
    <cellStyle name="Währung 31 7" xfId="28798"/>
    <cellStyle name="Währung 31 8" xfId="28799"/>
    <cellStyle name="Währung 31 9" xfId="28800"/>
    <cellStyle name="Währung 32" xfId="28801"/>
    <cellStyle name="Währung 33" xfId="28802"/>
    <cellStyle name="Währung 34" xfId="28803"/>
    <cellStyle name="Währung 35" xfId="28804"/>
    <cellStyle name="Währung 36" xfId="28805"/>
    <cellStyle name="Währung 37" xfId="28806"/>
    <cellStyle name="Währung 38" xfId="28807"/>
    <cellStyle name="Währung 39" xfId="28808"/>
    <cellStyle name="Währung 4" xfId="28809"/>
    <cellStyle name="Währung 4 10" xfId="28810"/>
    <cellStyle name="Währung 4 11" xfId="28811"/>
    <cellStyle name="Währung 4 12" xfId="28812"/>
    <cellStyle name="Währung 4 13" xfId="28813"/>
    <cellStyle name="Währung 4 14" xfId="28814"/>
    <cellStyle name="Währung 4 15" xfId="28815"/>
    <cellStyle name="Währung 4 16" xfId="28816"/>
    <cellStyle name="Währung 4 17" xfId="28817"/>
    <cellStyle name="Währung 4 18" xfId="28818"/>
    <cellStyle name="Währung 4 19" xfId="28819"/>
    <cellStyle name="Währung 4 2" xfId="28820"/>
    <cellStyle name="Währung 4 20" xfId="28821"/>
    <cellStyle name="Währung 4 21" xfId="28822"/>
    <cellStyle name="Währung 4 22" xfId="28823"/>
    <cellStyle name="Währung 4 23" xfId="28824"/>
    <cellStyle name="Währung 4 24" xfId="28825"/>
    <cellStyle name="Währung 4 25" xfId="28826"/>
    <cellStyle name="Währung 4 26" xfId="28827"/>
    <cellStyle name="Währung 4 27" xfId="28828"/>
    <cellStyle name="Währung 4 28" xfId="28829"/>
    <cellStyle name="Währung 4 29" xfId="28830"/>
    <cellStyle name="Währung 4 3" xfId="28831"/>
    <cellStyle name="Währung 4 30" xfId="28832"/>
    <cellStyle name="Währung 4 31" xfId="28833"/>
    <cellStyle name="Währung 4 32" xfId="28834"/>
    <cellStyle name="Währung 4 4" xfId="28835"/>
    <cellStyle name="Währung 4 5" xfId="28836"/>
    <cellStyle name="Währung 4 6" xfId="28837"/>
    <cellStyle name="Währung 4 7" xfId="28838"/>
    <cellStyle name="Währung 4 8" xfId="28839"/>
    <cellStyle name="Währung 4 9" xfId="28840"/>
    <cellStyle name="Währung 40" xfId="28841"/>
    <cellStyle name="Währung 41" xfId="28842"/>
    <cellStyle name="Währung 42" xfId="28843"/>
    <cellStyle name="Währung 43" xfId="28844"/>
    <cellStyle name="Währung 43 2" xfId="28845"/>
    <cellStyle name="Währung 43 3" xfId="28846"/>
    <cellStyle name="Währung 43 4" xfId="28847"/>
    <cellStyle name="Währung 43 5" xfId="28848"/>
    <cellStyle name="Währung 43 6" xfId="28849"/>
    <cellStyle name="Währung 44" xfId="28850"/>
    <cellStyle name="Währung 44 2" xfId="28851"/>
    <cellStyle name="Währung 44 3" xfId="28852"/>
    <cellStyle name="Währung 44 4" xfId="28853"/>
    <cellStyle name="Währung 44 5" xfId="28854"/>
    <cellStyle name="Währung 44 6" xfId="28855"/>
    <cellStyle name="Währung 44 7" xfId="28856"/>
    <cellStyle name="Währung 45" xfId="28857"/>
    <cellStyle name="Währung 45 2" xfId="28858"/>
    <cellStyle name="Währung 45 3" xfId="28859"/>
    <cellStyle name="Währung 45 4" xfId="28860"/>
    <cellStyle name="Währung 45 5" xfId="28861"/>
    <cellStyle name="Währung 45 6" xfId="28862"/>
    <cellStyle name="Währung 45 7" xfId="28863"/>
    <cellStyle name="Währung 46" xfId="28864"/>
    <cellStyle name="Währung 46 2" xfId="28865"/>
    <cellStyle name="Währung 46 3" xfId="28866"/>
    <cellStyle name="Währung 46 4" xfId="28867"/>
    <cellStyle name="Währung 46 5" xfId="28868"/>
    <cellStyle name="Währung 46 6" xfId="28869"/>
    <cellStyle name="Währung 46 7" xfId="28870"/>
    <cellStyle name="Währung 47" xfId="28871"/>
    <cellStyle name="Währung 47 2" xfId="28872"/>
    <cellStyle name="Währung 47 3" xfId="28873"/>
    <cellStyle name="Währung 47 4" xfId="28874"/>
    <cellStyle name="Währung 47 5" xfId="28875"/>
    <cellStyle name="Währung 47 6" xfId="28876"/>
    <cellStyle name="Währung 47 7" xfId="28877"/>
    <cellStyle name="Währung 48" xfId="28878"/>
    <cellStyle name="Währung 48 2" xfId="28879"/>
    <cellStyle name="Währung 48 3" xfId="28880"/>
    <cellStyle name="Währung 48 4" xfId="28881"/>
    <cellStyle name="Währung 48 5" xfId="28882"/>
    <cellStyle name="Währung 48 6" xfId="28883"/>
    <cellStyle name="Währung 48 7" xfId="28884"/>
    <cellStyle name="Währung 49" xfId="28885"/>
    <cellStyle name="Währung 49 2" xfId="28886"/>
    <cellStyle name="Währung 49 3" xfId="28887"/>
    <cellStyle name="Währung 49 4" xfId="28888"/>
    <cellStyle name="Währung 49 5" xfId="28889"/>
    <cellStyle name="Währung 49 6" xfId="28890"/>
    <cellStyle name="Währung 49 7" xfId="28891"/>
    <cellStyle name="Währung 5" xfId="28892"/>
    <cellStyle name="Währung 5 10" xfId="28893"/>
    <cellStyle name="Währung 5 11" xfId="28894"/>
    <cellStyle name="Währung 5 12" xfId="28895"/>
    <cellStyle name="Währung 5 13" xfId="28896"/>
    <cellStyle name="Währung 5 14" xfId="28897"/>
    <cellStyle name="Währung 5 15" xfId="28898"/>
    <cellStyle name="Währung 5 16" xfId="28899"/>
    <cellStyle name="Währung 5 17" xfId="28900"/>
    <cellStyle name="Währung 5 18" xfId="28901"/>
    <cellStyle name="Währung 5 19" xfId="28902"/>
    <cellStyle name="Währung 5 2" xfId="28903"/>
    <cellStyle name="Währung 5 20" xfId="28904"/>
    <cellStyle name="Währung 5 21" xfId="28905"/>
    <cellStyle name="Währung 5 22" xfId="28906"/>
    <cellStyle name="Währung 5 23" xfId="28907"/>
    <cellStyle name="Währung 5 24" xfId="28908"/>
    <cellStyle name="Währung 5 25" xfId="28909"/>
    <cellStyle name="Währung 5 26" xfId="28910"/>
    <cellStyle name="Währung 5 27" xfId="28911"/>
    <cellStyle name="Währung 5 28" xfId="28912"/>
    <cellStyle name="Währung 5 29" xfId="28913"/>
    <cellStyle name="Währung 5 3" xfId="28914"/>
    <cellStyle name="Währung 5 30" xfId="28915"/>
    <cellStyle name="Währung 5 31" xfId="28916"/>
    <cellStyle name="Währung 5 32" xfId="28917"/>
    <cellStyle name="Währung 5 4" xfId="28918"/>
    <cellStyle name="Währung 5 5" xfId="28919"/>
    <cellStyle name="Währung 5 6" xfId="28920"/>
    <cellStyle name="Währung 5 7" xfId="28921"/>
    <cellStyle name="Währung 5 8" xfId="28922"/>
    <cellStyle name="Währung 5 9" xfId="28923"/>
    <cellStyle name="Währung 50" xfId="28924"/>
    <cellStyle name="Währung 50 2" xfId="28925"/>
    <cellStyle name="Währung 50 3" xfId="28926"/>
    <cellStyle name="Währung 50 4" xfId="28927"/>
    <cellStyle name="Währung 50 5" xfId="28928"/>
    <cellStyle name="Währung 50 6" xfId="28929"/>
    <cellStyle name="Währung 50 7" xfId="28930"/>
    <cellStyle name="Währung 51" xfId="28931"/>
    <cellStyle name="Währung 51 2" xfId="28932"/>
    <cellStyle name="Währung 51 3" xfId="28933"/>
    <cellStyle name="Währung 51 4" xfId="28934"/>
    <cellStyle name="Währung 51 5" xfId="28935"/>
    <cellStyle name="Währung 51 6" xfId="28936"/>
    <cellStyle name="Währung 51 7" xfId="28937"/>
    <cellStyle name="Währung 52" xfId="28938"/>
    <cellStyle name="Währung 52 2" xfId="28939"/>
    <cellStyle name="Währung 52 3" xfId="28940"/>
    <cellStyle name="Währung 52 4" xfId="28941"/>
    <cellStyle name="Währung 52 5" xfId="28942"/>
    <cellStyle name="Währung 52 6" xfId="28943"/>
    <cellStyle name="Währung 52 7" xfId="28944"/>
    <cellStyle name="Währung 53" xfId="28945"/>
    <cellStyle name="Währung 53 2" xfId="28946"/>
    <cellStyle name="Währung 53 3" xfId="28947"/>
    <cellStyle name="Währung 53 4" xfId="28948"/>
    <cellStyle name="Währung 53 5" xfId="28949"/>
    <cellStyle name="Währung 53 6" xfId="28950"/>
    <cellStyle name="Währung 53 7" xfId="28951"/>
    <cellStyle name="Währung 54" xfId="28952"/>
    <cellStyle name="Währung 54 2" xfId="28953"/>
    <cellStyle name="Währung 54 3" xfId="28954"/>
    <cellStyle name="Währung 54 4" xfId="28955"/>
    <cellStyle name="Währung 54 5" xfId="28956"/>
    <cellStyle name="Währung 54 6" xfId="28957"/>
    <cellStyle name="Währung 54 7" xfId="28958"/>
    <cellStyle name="Währung 55" xfId="28959"/>
    <cellStyle name="Währung 55 2" xfId="28960"/>
    <cellStyle name="Währung 55 3" xfId="28961"/>
    <cellStyle name="Währung 55 4" xfId="28962"/>
    <cellStyle name="Währung 55 5" xfId="28963"/>
    <cellStyle name="Währung 55 6" xfId="28964"/>
    <cellStyle name="Währung 55 7" xfId="28965"/>
    <cellStyle name="Währung 56" xfId="28966"/>
    <cellStyle name="Währung 56 2" xfId="28967"/>
    <cellStyle name="Währung 56 3" xfId="28968"/>
    <cellStyle name="Währung 56 4" xfId="28969"/>
    <cellStyle name="Währung 56 5" xfId="28970"/>
    <cellStyle name="Währung 56 6" xfId="28971"/>
    <cellStyle name="Währung 56 7" xfId="28972"/>
    <cellStyle name="Währung 57" xfId="28973"/>
    <cellStyle name="Währung 58" xfId="28974"/>
    <cellStyle name="Währung 58 10" xfId="28975"/>
    <cellStyle name="Währung 58 11" xfId="28976"/>
    <cellStyle name="Währung 58 12" xfId="28977"/>
    <cellStyle name="Währung 58 13" xfId="28978"/>
    <cellStyle name="Währung 58 14" xfId="28979"/>
    <cellStyle name="Währung 58 15" xfId="28980"/>
    <cellStyle name="Währung 58 2" xfId="28981"/>
    <cellStyle name="Währung 58 3" xfId="28982"/>
    <cellStyle name="Währung 58 4" xfId="28983"/>
    <cellStyle name="Währung 58 5" xfId="28984"/>
    <cellStyle name="Währung 58 6" xfId="28985"/>
    <cellStyle name="Währung 58 7" xfId="28986"/>
    <cellStyle name="Währung 58 8" xfId="28987"/>
    <cellStyle name="Währung 58 9" xfId="28988"/>
    <cellStyle name="Währung 59" xfId="28989"/>
    <cellStyle name="Währung 59 10" xfId="28990"/>
    <cellStyle name="Währung 59 11" xfId="28991"/>
    <cellStyle name="Währung 59 12" xfId="28992"/>
    <cellStyle name="Währung 59 13" xfId="28993"/>
    <cellStyle name="Währung 59 14" xfId="28994"/>
    <cellStyle name="Währung 59 15" xfId="28995"/>
    <cellStyle name="Währung 59 2" xfId="28996"/>
    <cellStyle name="Währung 59 3" xfId="28997"/>
    <cellStyle name="Währung 59 4" xfId="28998"/>
    <cellStyle name="Währung 59 5" xfId="28999"/>
    <cellStyle name="Währung 59 6" xfId="29000"/>
    <cellStyle name="Währung 59 7" xfId="29001"/>
    <cellStyle name="Währung 59 8" xfId="29002"/>
    <cellStyle name="Währung 59 9" xfId="29003"/>
    <cellStyle name="Währung 6" xfId="29004"/>
    <cellStyle name="Währung 6 2" xfId="41047"/>
    <cellStyle name="Währung 6 3" xfId="41049"/>
    <cellStyle name="Währung 60" xfId="29005"/>
    <cellStyle name="Währung 60 10" xfId="29006"/>
    <cellStyle name="Währung 60 11" xfId="29007"/>
    <cellStyle name="Währung 60 12" xfId="29008"/>
    <cellStyle name="Währung 60 13" xfId="29009"/>
    <cellStyle name="Währung 60 14" xfId="29010"/>
    <cellStyle name="Währung 60 15" xfId="29011"/>
    <cellStyle name="Währung 60 2" xfId="29012"/>
    <cellStyle name="Währung 60 3" xfId="29013"/>
    <cellStyle name="Währung 60 4" xfId="29014"/>
    <cellStyle name="Währung 60 5" xfId="29015"/>
    <cellStyle name="Währung 60 6" xfId="29016"/>
    <cellStyle name="Währung 60 7" xfId="29017"/>
    <cellStyle name="Währung 60 8" xfId="29018"/>
    <cellStyle name="Währung 60 9" xfId="29019"/>
    <cellStyle name="Währung 61" xfId="29020"/>
    <cellStyle name="Währung 61 10" xfId="29021"/>
    <cellStyle name="Währung 61 11" xfId="29022"/>
    <cellStyle name="Währung 61 12" xfId="29023"/>
    <cellStyle name="Währung 61 13" xfId="29024"/>
    <cellStyle name="Währung 61 14" xfId="29025"/>
    <cellStyle name="Währung 61 15" xfId="29026"/>
    <cellStyle name="Währung 61 2" xfId="29027"/>
    <cellStyle name="Währung 61 3" xfId="29028"/>
    <cellStyle name="Währung 61 4" xfId="29029"/>
    <cellStyle name="Währung 61 5" xfId="29030"/>
    <cellStyle name="Währung 61 6" xfId="29031"/>
    <cellStyle name="Währung 61 7" xfId="29032"/>
    <cellStyle name="Währung 61 8" xfId="29033"/>
    <cellStyle name="Währung 61 9" xfId="29034"/>
    <cellStyle name="Währung 62" xfId="29035"/>
    <cellStyle name="Währung 62 10" xfId="29036"/>
    <cellStyle name="Währung 62 11" xfId="29037"/>
    <cellStyle name="Währung 62 12" xfId="29038"/>
    <cellStyle name="Währung 62 13" xfId="29039"/>
    <cellStyle name="Währung 62 14" xfId="29040"/>
    <cellStyle name="Währung 62 15" xfId="29041"/>
    <cellStyle name="Währung 62 2" xfId="29042"/>
    <cellStyle name="Währung 62 3" xfId="29043"/>
    <cellStyle name="Währung 62 4" xfId="29044"/>
    <cellStyle name="Währung 62 5" xfId="29045"/>
    <cellStyle name="Währung 62 6" xfId="29046"/>
    <cellStyle name="Währung 62 7" xfId="29047"/>
    <cellStyle name="Währung 62 8" xfId="29048"/>
    <cellStyle name="Währung 62 9" xfId="29049"/>
    <cellStyle name="Währung 63" xfId="29050"/>
    <cellStyle name="Währung 64" xfId="29051"/>
    <cellStyle name="Währung 65" xfId="29052"/>
    <cellStyle name="Währung 66" xfId="29053"/>
    <cellStyle name="Währung 67" xfId="29054"/>
    <cellStyle name="Währung 68" xfId="29055"/>
    <cellStyle name="Währung 69" xfId="29056"/>
    <cellStyle name="Währung 7" xfId="29057"/>
    <cellStyle name="Währung 7 2" xfId="40945"/>
    <cellStyle name="Währung 7 2 2" xfId="41048"/>
    <cellStyle name="Währung 7 2 3" xfId="41050"/>
    <cellStyle name="Währung 70" xfId="29058"/>
    <cellStyle name="Währung 71" xfId="29059"/>
    <cellStyle name="Währung 72" xfId="29060"/>
    <cellStyle name="Währung 73" xfId="29061"/>
    <cellStyle name="Währung 74" xfId="29062"/>
    <cellStyle name="Währung 75" xfId="29063"/>
    <cellStyle name="Währung 76" xfId="29064"/>
    <cellStyle name="Währung 77" xfId="29065"/>
    <cellStyle name="Währung 78" xfId="29066"/>
    <cellStyle name="Währung 79" xfId="29067"/>
    <cellStyle name="Währung 8" xfId="29068"/>
    <cellStyle name="Währung 80" xfId="29069"/>
    <cellStyle name="Währung 81" xfId="29070"/>
    <cellStyle name="Währung 82" xfId="29071"/>
    <cellStyle name="Währung 83" xfId="29072"/>
    <cellStyle name="Währung 84" xfId="29073"/>
    <cellStyle name="Währung 85" xfId="29074"/>
    <cellStyle name="Währung 86" xfId="29075"/>
    <cellStyle name="Währung 87" xfId="29076"/>
    <cellStyle name="Währung 88" xfId="29077"/>
    <cellStyle name="Währung 89" xfId="29078"/>
    <cellStyle name="Währung 9" xfId="29079"/>
    <cellStyle name="Währung 90" xfId="29080"/>
    <cellStyle name="Währung 91" xfId="29081"/>
    <cellStyle name="Währung 92" xfId="29082"/>
    <cellStyle name="Währung 93" xfId="29083"/>
    <cellStyle name="Währung 94" xfId="29084"/>
    <cellStyle name="Währung 95" xfId="29085"/>
    <cellStyle name="Währung 96" xfId="29086"/>
    <cellStyle name="Währung 97" xfId="29087"/>
    <cellStyle name="Währung 98" xfId="29088"/>
    <cellStyle name="Währung 99" xfId="29089"/>
    <cellStyle name="Warning Text" xfId="41135"/>
  </cellStyles>
  <dxfs count="323">
    <dxf>
      <numFmt numFmtId="0" formatCode="General"/>
    </dxf>
    <dxf>
      <numFmt numFmtId="0" formatCode="General"/>
    </dxf>
    <dxf>
      <alignment horizontal="center" vertical="center" textRotation="0" wrapText="1"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condense val="0"/>
        <extend val="0"/>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Invisible" pivot="0" table="0" count="0"/>
  </tableStyles>
  <colors>
    <mruColors>
      <color rgb="FF006F71"/>
      <color rgb="FF006F0B"/>
      <color rgb="FF008080"/>
      <color rgb="FF1B616B"/>
      <color rgb="FF216471"/>
      <color rgb="FF246C7A"/>
      <color rgb="FF297B8B"/>
      <color rgb="FF3B6D79"/>
      <color rgb="FF3C786D"/>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40"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 Id="rId8" Type="http://schemas.openxmlformats.org/officeDocument/2006/relationships/worksheet" Target="worksheets/sheet8.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21" dropStyle="combo" dx="22" fmlaLink="DADOS!$A$7" fmlaRange="DADOS!$I$3:$I$26" noThreeD="1" sel="18" val="3"/>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21" dropStyle="combo" dx="22" fmlaLink="$A$7" fmlaRange="$I$3:$I$26" noThreeD="1" sel="18"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png"/><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9.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20.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19.Png"/><Relationship Id="rId3" Type="http://schemas.openxmlformats.org/officeDocument/2006/relationships/image" Target="../media/image9.Png"/><Relationship Id="rId7" Type="http://schemas.openxmlformats.org/officeDocument/2006/relationships/image" Target="../media/image13.Png"/><Relationship Id="rId12" Type="http://schemas.openxmlformats.org/officeDocument/2006/relationships/image" Target="../media/image18.Png"/><Relationship Id="rId2" Type="http://schemas.openxmlformats.org/officeDocument/2006/relationships/image" Target="../media/image1.png"/><Relationship Id="rId1" Type="http://schemas.openxmlformats.org/officeDocument/2006/relationships/image" Target="../media/image2.emf"/><Relationship Id="rId6" Type="http://schemas.openxmlformats.org/officeDocument/2006/relationships/image" Target="../media/image12.Png"/><Relationship Id="rId11" Type="http://schemas.openxmlformats.org/officeDocument/2006/relationships/image" Target="../media/image17.Png"/><Relationship Id="rId5" Type="http://schemas.openxmlformats.org/officeDocument/2006/relationships/image" Target="../media/image11.Png"/><Relationship Id="rId15" Type="http://schemas.openxmlformats.org/officeDocument/2006/relationships/image" Target="../media/image21.Png"/><Relationship Id="rId10" Type="http://schemas.openxmlformats.org/officeDocument/2006/relationships/image" Target="../media/image16.Png"/><Relationship Id="rId4" Type="http://schemas.openxmlformats.org/officeDocument/2006/relationships/image" Target="../media/image10.Png"/><Relationship Id="rId9" Type="http://schemas.openxmlformats.org/officeDocument/2006/relationships/image" Target="../media/image15.Png"/><Relationship Id="rId14"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8" Type="http://schemas.openxmlformats.org/officeDocument/2006/relationships/image" Target="../media/image29.png"/><Relationship Id="rId3" Type="http://schemas.openxmlformats.org/officeDocument/2006/relationships/image" Target="../media/image24.png"/><Relationship Id="rId7" Type="http://schemas.openxmlformats.org/officeDocument/2006/relationships/image" Target="../media/image28.png"/><Relationship Id="rId2" Type="http://schemas.openxmlformats.org/officeDocument/2006/relationships/image" Target="../media/image23.png"/><Relationship Id="rId1" Type="http://schemas.openxmlformats.org/officeDocument/2006/relationships/image" Target="../media/image22.emf"/><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25.png"/><Relationship Id="rId9" Type="http://schemas.openxmlformats.org/officeDocument/2006/relationships/image" Target="../media/image2.emf"/></Relationships>
</file>

<file path=xl/drawings/_rels/drawing22.xml.rels><?xml version="1.0" encoding="UTF-8" standalone="yes"?>
<Relationships xmlns="http://schemas.openxmlformats.org/package/2006/relationships"><Relationship Id="rId8" Type="http://schemas.openxmlformats.org/officeDocument/2006/relationships/image" Target="../media/image37.png"/><Relationship Id="rId13" Type="http://schemas.openxmlformats.org/officeDocument/2006/relationships/image" Target="../media/image42.png"/><Relationship Id="rId18" Type="http://schemas.openxmlformats.org/officeDocument/2006/relationships/image" Target="../media/image47.png"/><Relationship Id="rId3" Type="http://schemas.openxmlformats.org/officeDocument/2006/relationships/image" Target="../media/image32.jpeg"/><Relationship Id="rId21" Type="http://schemas.openxmlformats.org/officeDocument/2006/relationships/image" Target="../media/image49.png"/><Relationship Id="rId7" Type="http://schemas.openxmlformats.org/officeDocument/2006/relationships/image" Target="../media/image36.png"/><Relationship Id="rId12" Type="http://schemas.openxmlformats.org/officeDocument/2006/relationships/image" Target="../media/image41.png"/><Relationship Id="rId17" Type="http://schemas.openxmlformats.org/officeDocument/2006/relationships/image" Target="../media/image46.png"/><Relationship Id="rId25" Type="http://schemas.openxmlformats.org/officeDocument/2006/relationships/image" Target="../media/image53.png"/><Relationship Id="rId2" Type="http://schemas.openxmlformats.org/officeDocument/2006/relationships/image" Target="../media/image31.jpeg"/><Relationship Id="rId16" Type="http://schemas.openxmlformats.org/officeDocument/2006/relationships/image" Target="../media/image45.png"/><Relationship Id="rId20" Type="http://schemas.openxmlformats.org/officeDocument/2006/relationships/image" Target="../media/image48.png"/><Relationship Id="rId1" Type="http://schemas.openxmlformats.org/officeDocument/2006/relationships/image" Target="../media/image30.png"/><Relationship Id="rId6" Type="http://schemas.openxmlformats.org/officeDocument/2006/relationships/image" Target="../media/image35.png"/><Relationship Id="rId11" Type="http://schemas.openxmlformats.org/officeDocument/2006/relationships/image" Target="../media/image40.png"/><Relationship Id="rId24" Type="http://schemas.openxmlformats.org/officeDocument/2006/relationships/image" Target="../media/image52.png"/><Relationship Id="rId5" Type="http://schemas.openxmlformats.org/officeDocument/2006/relationships/image" Target="../media/image34.png"/><Relationship Id="rId15" Type="http://schemas.openxmlformats.org/officeDocument/2006/relationships/image" Target="../media/image44.png"/><Relationship Id="rId23" Type="http://schemas.openxmlformats.org/officeDocument/2006/relationships/image" Target="../media/image51.jpeg"/><Relationship Id="rId10" Type="http://schemas.openxmlformats.org/officeDocument/2006/relationships/image" Target="../media/image39.png"/><Relationship Id="rId19" Type="http://schemas.openxmlformats.org/officeDocument/2006/relationships/image" Target="../media/image2.emf"/><Relationship Id="rId4" Type="http://schemas.openxmlformats.org/officeDocument/2006/relationships/image" Target="../media/image33.png"/><Relationship Id="rId9" Type="http://schemas.openxmlformats.org/officeDocument/2006/relationships/image" Target="../media/image38.png"/><Relationship Id="rId14" Type="http://schemas.openxmlformats.org/officeDocument/2006/relationships/image" Target="../media/image43.png"/><Relationship Id="rId22" Type="http://schemas.openxmlformats.org/officeDocument/2006/relationships/image" Target="../media/image50.png"/></Relationships>
</file>

<file path=xl/drawings/_rels/drawing23.xml.rels><?xml version="1.0" encoding="UTF-8" standalone="yes"?>
<Relationships xmlns="http://schemas.openxmlformats.org/package/2006/relationships"><Relationship Id="rId8" Type="http://schemas.openxmlformats.org/officeDocument/2006/relationships/image" Target="../media/image14.Png"/><Relationship Id="rId13" Type="http://schemas.openxmlformats.org/officeDocument/2006/relationships/image" Target="../media/image60.Png"/><Relationship Id="rId18" Type="http://schemas.openxmlformats.org/officeDocument/2006/relationships/image" Target="../media/image63.png"/><Relationship Id="rId3" Type="http://schemas.openxmlformats.org/officeDocument/2006/relationships/image" Target="../media/image10.Png"/><Relationship Id="rId21" Type="http://schemas.openxmlformats.org/officeDocument/2006/relationships/image" Target="../media/image66.Png"/><Relationship Id="rId7" Type="http://schemas.openxmlformats.org/officeDocument/2006/relationships/image" Target="../media/image57.Png"/><Relationship Id="rId12" Type="http://schemas.openxmlformats.org/officeDocument/2006/relationships/image" Target="../media/image15.Png"/><Relationship Id="rId17" Type="http://schemas.openxmlformats.org/officeDocument/2006/relationships/image" Target="../media/image16.Png"/><Relationship Id="rId25" Type="http://schemas.openxmlformats.org/officeDocument/2006/relationships/image" Target="../media/image68.Png"/><Relationship Id="rId2" Type="http://schemas.openxmlformats.org/officeDocument/2006/relationships/image" Target="../media/image1.png"/><Relationship Id="rId16" Type="http://schemas.openxmlformats.org/officeDocument/2006/relationships/image" Target="../media/image62.Png"/><Relationship Id="rId20" Type="http://schemas.openxmlformats.org/officeDocument/2006/relationships/image" Target="../media/image65.png"/><Relationship Id="rId1" Type="http://schemas.openxmlformats.org/officeDocument/2006/relationships/image" Target="../media/image2.emf"/><Relationship Id="rId6" Type="http://schemas.openxmlformats.org/officeDocument/2006/relationships/image" Target="../media/image56.Png"/><Relationship Id="rId11" Type="http://schemas.openxmlformats.org/officeDocument/2006/relationships/image" Target="../media/image59.png"/><Relationship Id="rId24" Type="http://schemas.openxmlformats.org/officeDocument/2006/relationships/image" Target="../media/image67.png"/><Relationship Id="rId5" Type="http://schemas.openxmlformats.org/officeDocument/2006/relationships/image" Target="../media/image55.Png"/><Relationship Id="rId15" Type="http://schemas.openxmlformats.org/officeDocument/2006/relationships/image" Target="../media/image61.Png"/><Relationship Id="rId23" Type="http://schemas.openxmlformats.org/officeDocument/2006/relationships/image" Target="../media/image12.Png"/><Relationship Id="rId10" Type="http://schemas.openxmlformats.org/officeDocument/2006/relationships/image" Target="../media/image58.png"/><Relationship Id="rId19" Type="http://schemas.openxmlformats.org/officeDocument/2006/relationships/image" Target="../media/image64.png"/><Relationship Id="rId4" Type="http://schemas.openxmlformats.org/officeDocument/2006/relationships/image" Target="../media/image54.Png"/><Relationship Id="rId9" Type="http://schemas.openxmlformats.org/officeDocument/2006/relationships/image" Target="../media/image18.Png"/><Relationship Id="rId14" Type="http://schemas.openxmlformats.org/officeDocument/2006/relationships/image" Target="../media/image21.Png"/><Relationship Id="rId22" Type="http://schemas.openxmlformats.org/officeDocument/2006/relationships/image" Target="../media/image19.Png"/></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26.xml.rels><?xml version="1.0" encoding="UTF-8" standalone="yes"?>
<Relationships xmlns="http://schemas.openxmlformats.org/package/2006/relationships"><Relationship Id="rId3" Type="http://schemas.openxmlformats.org/officeDocument/2006/relationships/image" Target="../media/image70.png"/><Relationship Id="rId2" Type="http://schemas.openxmlformats.org/officeDocument/2006/relationships/image" Target="../media/image2.emf"/><Relationship Id="rId1" Type="http://schemas.openxmlformats.org/officeDocument/2006/relationships/image" Target="../media/image69.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6</xdr:row>
          <xdr:rowOff>19050</xdr:rowOff>
        </xdr:from>
        <xdr:to>
          <xdr:col>2</xdr:col>
          <xdr:colOff>4914900</xdr:colOff>
          <xdr:row>7</xdr:row>
          <xdr:rowOff>0</xdr:rowOff>
        </xdr:to>
        <xdr:sp macro="" textlink="">
          <xdr:nvSpPr>
            <xdr:cNvPr id="36865" name="Drop Down 1" hidden="1">
              <a:extLst>
                <a:ext uri="{63B3BB69-23CF-44E3-9099-C40C66FF867C}">
                  <a14:compatExt spid="_x0000_s36865"/>
                </a:ext>
                <a:ext uri="{FF2B5EF4-FFF2-40B4-BE49-F238E27FC236}">
                  <a16:creationId xmlns:a16="http://schemas.microsoft.com/office/drawing/2014/main" id="{00000000-0008-0000-0100-000001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editAs="oneCell">
    <xdr:from>
      <xdr:col>1</xdr:col>
      <xdr:colOff>180975</xdr:colOff>
      <xdr:row>1</xdr:row>
      <xdr:rowOff>104775</xdr:rowOff>
    </xdr:from>
    <xdr:to>
      <xdr:col>1</xdr:col>
      <xdr:colOff>1495608</xdr:colOff>
      <xdr:row>4</xdr:row>
      <xdr:rowOff>85806</xdr:rowOff>
    </xdr:to>
    <xdr:pic>
      <xdr:nvPicPr>
        <xdr:cNvPr id="3" name="Imagem 2">
          <a:extLst>
            <a:ext uri="{FF2B5EF4-FFF2-40B4-BE49-F238E27FC236}">
              <a16:creationId xmlns:a16="http://schemas.microsoft.com/office/drawing/2014/main" id="{836E8809-5AAB-1F9E-72B9-6A0565691CE8}"/>
            </a:ext>
          </a:extLst>
        </xdr:cNvPr>
        <xdr:cNvPicPr>
          <a:picLocks noChangeAspect="1"/>
        </xdr:cNvPicPr>
      </xdr:nvPicPr>
      <xdr:blipFill>
        <a:blip xmlns:r="http://schemas.openxmlformats.org/officeDocument/2006/relationships" r:embed="rId1"/>
        <a:stretch>
          <a:fillRect/>
        </a:stretch>
      </xdr:blipFill>
      <xdr:spPr>
        <a:xfrm>
          <a:off x="790575" y="104775"/>
          <a:ext cx="1314633" cy="5811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104775</xdr:colOff>
          <xdr:row>1</xdr:row>
          <xdr:rowOff>9525</xdr:rowOff>
        </xdr:from>
        <xdr:to>
          <xdr:col>2</xdr:col>
          <xdr:colOff>735181</xdr:colOff>
          <xdr:row>3</xdr:row>
          <xdr:rowOff>107502</xdr:rowOff>
        </xdr:to>
        <xdr:pic>
          <xdr:nvPicPr>
            <xdr:cNvPr id="2" name="Imagem 1">
              <a:extLst>
                <a:ext uri="{FF2B5EF4-FFF2-40B4-BE49-F238E27FC236}">
                  <a16:creationId xmlns:a16="http://schemas.microsoft.com/office/drawing/2014/main" id="{FB2C4699-9283-4542-A252-B0CF06C949A5}"/>
                </a:ext>
              </a:extLst>
            </xdr:cNvPr>
            <xdr:cNvPicPr>
              <a:picLocks noChangeAspect="1" noChangeArrowheads="1"/>
              <a:extLst>
                <a:ext uri="{84589F7E-364E-4C9E-8A38-B11213B215E9}">
                  <a14:cameraTool cellRange="IMAGENS" spid="_x0000_s473703"/>
                </a:ext>
              </a:extLst>
            </xdr:cNvPicPr>
          </xdr:nvPicPr>
          <xdr:blipFill>
            <a:blip xmlns:r="http://schemas.openxmlformats.org/officeDocument/2006/relationships" r:embed="rId1"/>
            <a:srcRect/>
            <a:stretch>
              <a:fillRect/>
            </a:stretch>
          </xdr:blipFill>
          <xdr:spPr bwMode="auto">
            <a:xfrm>
              <a:off x="714375" y="219075"/>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14</xdr:col>
      <xdr:colOff>821951</xdr:colOff>
      <xdr:row>0</xdr:row>
      <xdr:rowOff>73398</xdr:rowOff>
    </xdr:from>
    <xdr:to>
      <xdr:col>16</xdr:col>
      <xdr:colOff>249890</xdr:colOff>
      <xdr:row>2</xdr:row>
      <xdr:rowOff>159744</xdr:rowOff>
    </xdr:to>
    <xdr:pic>
      <xdr:nvPicPr>
        <xdr:cNvPr id="2" name="Imagem 1">
          <a:extLst>
            <a:ext uri="{FF2B5EF4-FFF2-40B4-BE49-F238E27FC236}">
              <a16:creationId xmlns:a16="http://schemas.microsoft.com/office/drawing/2014/main" id="{3052B613-5F93-432C-9993-F6AAB7AC7916}"/>
            </a:ext>
          </a:extLst>
        </xdr:cNvPr>
        <xdr:cNvPicPr>
          <a:picLocks noChangeAspect="1"/>
        </xdr:cNvPicPr>
      </xdr:nvPicPr>
      <xdr:blipFill>
        <a:blip xmlns:r="http://schemas.openxmlformats.org/officeDocument/2006/relationships" r:embed="rId1"/>
        <a:stretch>
          <a:fillRect/>
        </a:stretch>
      </xdr:blipFill>
      <xdr:spPr>
        <a:xfrm>
          <a:off x="15700001" y="73398"/>
          <a:ext cx="1047189" cy="50544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414618</xdr:colOff>
          <xdr:row>0</xdr:row>
          <xdr:rowOff>89647</xdr:rowOff>
        </xdr:from>
        <xdr:to>
          <xdr:col>2</xdr:col>
          <xdr:colOff>688117</xdr:colOff>
          <xdr:row>2</xdr:row>
          <xdr:rowOff>180900</xdr:rowOff>
        </xdr:to>
        <xdr:pic>
          <xdr:nvPicPr>
            <xdr:cNvPr id="3" name="Imagem 2">
              <a:extLst>
                <a:ext uri="{FF2B5EF4-FFF2-40B4-BE49-F238E27FC236}">
                  <a16:creationId xmlns:a16="http://schemas.microsoft.com/office/drawing/2014/main" id="{3B6B7DE0-0D11-43CF-AD3A-6215B7366375}"/>
                </a:ext>
              </a:extLst>
            </xdr:cNvPr>
            <xdr:cNvPicPr>
              <a:picLocks noChangeAspect="1" noChangeArrowheads="1"/>
              <a:extLst>
                <a:ext uri="{84589F7E-364E-4C9E-8A38-B11213B215E9}">
                  <a14:cameraTool cellRange="IMAGENS" spid="_x0000_s824325"/>
                </a:ext>
              </a:extLst>
            </xdr:cNvPicPr>
          </xdr:nvPicPr>
          <xdr:blipFill>
            <a:blip xmlns:r="http://schemas.openxmlformats.org/officeDocument/2006/relationships" r:embed="rId2"/>
            <a:srcRect/>
            <a:stretch>
              <a:fillRect/>
            </a:stretch>
          </xdr:blipFill>
          <xdr:spPr bwMode="auto">
            <a:xfrm>
              <a:off x="1024218" y="89647"/>
              <a:ext cx="1387924" cy="510353"/>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0</xdr:row>
          <xdr:rowOff>9525</xdr:rowOff>
        </xdr:from>
        <xdr:to>
          <xdr:col>2</xdr:col>
          <xdr:colOff>704850</xdr:colOff>
          <xdr:row>2</xdr:row>
          <xdr:rowOff>156707</xdr:rowOff>
        </xdr:to>
        <xdr:pic>
          <xdr:nvPicPr>
            <xdr:cNvPr id="2" name="Imagem 1">
              <a:extLst>
                <a:ext uri="{FF2B5EF4-FFF2-40B4-BE49-F238E27FC236}">
                  <a16:creationId xmlns:a16="http://schemas.microsoft.com/office/drawing/2014/main" id="{32AA47F8-CC97-42FA-99E1-50D257BA42D7}"/>
                </a:ext>
              </a:extLst>
            </xdr:cNvPr>
            <xdr:cNvPicPr>
              <a:picLocks noChangeAspect="1" noChangeArrowheads="1"/>
              <a:extLst>
                <a:ext uri="{84589F7E-364E-4C9E-8A38-B11213B215E9}">
                  <a14:cameraTool cellRange="IMAGENS" spid="_x0000_s748694"/>
                </a:ext>
              </a:extLst>
            </xdr:cNvPicPr>
          </xdr:nvPicPr>
          <xdr:blipFill>
            <a:blip xmlns:r="http://schemas.openxmlformats.org/officeDocument/2006/relationships" r:embed="rId1"/>
            <a:srcRect/>
            <a:stretch>
              <a:fillRect/>
            </a:stretch>
          </xdr:blipFill>
          <xdr:spPr bwMode="auto">
            <a:xfrm>
              <a:off x="990600" y="9525"/>
              <a:ext cx="1514475" cy="56628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7</xdr:col>
      <xdr:colOff>342900</xdr:colOff>
      <xdr:row>0</xdr:row>
      <xdr:rowOff>38100</xdr:rowOff>
    </xdr:from>
    <xdr:to>
      <xdr:col>8</xdr:col>
      <xdr:colOff>247650</xdr:colOff>
      <xdr:row>2</xdr:row>
      <xdr:rowOff>86346</xdr:rowOff>
    </xdr:to>
    <xdr:pic>
      <xdr:nvPicPr>
        <xdr:cNvPr id="3" name="Imagem 2">
          <a:extLst>
            <a:ext uri="{FF2B5EF4-FFF2-40B4-BE49-F238E27FC236}">
              <a16:creationId xmlns:a16="http://schemas.microsoft.com/office/drawing/2014/main" id="{15CBFA3D-F8BB-4454-9A71-FB30276C73BF}"/>
            </a:ext>
          </a:extLst>
        </xdr:cNvPr>
        <xdr:cNvPicPr>
          <a:picLocks noChangeAspect="1"/>
        </xdr:cNvPicPr>
      </xdr:nvPicPr>
      <xdr:blipFill>
        <a:blip xmlns:r="http://schemas.openxmlformats.org/officeDocument/2006/relationships" r:embed="rId2"/>
        <a:stretch>
          <a:fillRect/>
        </a:stretch>
      </xdr:blipFill>
      <xdr:spPr>
        <a:xfrm>
          <a:off x="9553575" y="38100"/>
          <a:ext cx="1057275" cy="467346"/>
        </a:xfrm>
        <a:prstGeom prst="rect">
          <a:avLst/>
        </a:prstGeom>
      </xdr:spPr>
    </xdr:pic>
    <xdr:clientData/>
  </xdr:twoCellAnchor>
  <xdr:twoCellAnchor>
    <xdr:from>
      <xdr:col>13</xdr:col>
      <xdr:colOff>333375</xdr:colOff>
      <xdr:row>9</xdr:row>
      <xdr:rowOff>152400</xdr:rowOff>
    </xdr:from>
    <xdr:to>
      <xdr:col>14</xdr:col>
      <xdr:colOff>600075</xdr:colOff>
      <xdr:row>11</xdr:row>
      <xdr:rowOff>190500</xdr:rowOff>
    </xdr:to>
    <xdr:sp macro="[0]!GERARPDF" textlink="">
      <xdr:nvSpPr>
        <xdr:cNvPr id="5" name="Retângulo: Cantos Arredondados 4">
          <a:extLst>
            <a:ext uri="{FF2B5EF4-FFF2-40B4-BE49-F238E27FC236}">
              <a16:creationId xmlns:a16="http://schemas.microsoft.com/office/drawing/2014/main" id="{DB313785-302B-F22F-2147-5A81BC1BBD4B}"/>
            </a:ext>
          </a:extLst>
        </xdr:cNvPr>
        <xdr:cNvSpPr/>
      </xdr:nvSpPr>
      <xdr:spPr>
        <a:xfrm>
          <a:off x="17068800" y="2038350"/>
          <a:ext cx="876300" cy="457200"/>
        </a:xfrm>
        <a:prstGeom prst="round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kern="1200">
              <a:solidFill>
                <a:sysClr val="windowText" lastClr="000000"/>
              </a:solidFill>
            </a:rPr>
            <a:t>GERAR</a:t>
          </a:r>
          <a:r>
            <a:rPr lang="pt-BR" sz="1100" kern="1200" baseline="0">
              <a:solidFill>
                <a:sysClr val="windowText" lastClr="000000"/>
              </a:solidFill>
            </a:rPr>
            <a:t> PDF</a:t>
          </a:r>
          <a:endParaRPr lang="pt-BR" sz="1100" kern="1200">
            <a:solidFill>
              <a:sysClr val="windowText" lastClr="000000"/>
            </a:solidFill>
          </a:endParaRPr>
        </a:p>
      </xdr:txBody>
    </xdr:sp>
    <xdr:clientData/>
  </xdr:twoCellAnchor>
  <xdr:twoCellAnchor>
    <xdr:from>
      <xdr:col>13</xdr:col>
      <xdr:colOff>342900</xdr:colOff>
      <xdr:row>4</xdr:row>
      <xdr:rowOff>152400</xdr:rowOff>
    </xdr:from>
    <xdr:to>
      <xdr:col>15</xdr:col>
      <xdr:colOff>0</xdr:colOff>
      <xdr:row>6</xdr:row>
      <xdr:rowOff>180975</xdr:rowOff>
    </xdr:to>
    <xdr:sp macro="[0]!ProtegerPlanilha" textlink="">
      <xdr:nvSpPr>
        <xdr:cNvPr id="6" name="Retângulo: Cantos Arredondados 5">
          <a:extLst>
            <a:ext uri="{FF2B5EF4-FFF2-40B4-BE49-F238E27FC236}">
              <a16:creationId xmlns:a16="http://schemas.microsoft.com/office/drawing/2014/main" id="{8CD818B9-3081-4D29-A356-26C28CD3F67A}"/>
            </a:ext>
          </a:extLst>
        </xdr:cNvPr>
        <xdr:cNvSpPr/>
      </xdr:nvSpPr>
      <xdr:spPr>
        <a:xfrm>
          <a:off x="17078325" y="990600"/>
          <a:ext cx="876300" cy="447675"/>
        </a:xfrm>
        <a:prstGeom prst="round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kern="1200">
              <a:solidFill>
                <a:sysClr val="windowText" lastClr="000000"/>
              </a:solidFill>
            </a:rPr>
            <a:t>BLOQUEAR</a:t>
          </a:r>
        </a:p>
      </xdr:txBody>
    </xdr:sp>
    <xdr:clientData/>
  </xdr:twoCellAnchor>
  <xdr:twoCellAnchor>
    <xdr:from>
      <xdr:col>13</xdr:col>
      <xdr:colOff>352425</xdr:colOff>
      <xdr:row>2</xdr:row>
      <xdr:rowOff>66675</xdr:rowOff>
    </xdr:from>
    <xdr:to>
      <xdr:col>15</xdr:col>
      <xdr:colOff>9525</xdr:colOff>
      <xdr:row>4</xdr:row>
      <xdr:rowOff>66675</xdr:rowOff>
    </xdr:to>
    <xdr:sp macro="[0]!AdicionarComposicao" textlink="">
      <xdr:nvSpPr>
        <xdr:cNvPr id="7" name="Retângulo: Cantos Arredondados 6">
          <a:extLst>
            <a:ext uri="{FF2B5EF4-FFF2-40B4-BE49-F238E27FC236}">
              <a16:creationId xmlns:a16="http://schemas.microsoft.com/office/drawing/2014/main" id="{E19AB4E1-7D8A-43B5-AABC-6061B1EA945F}"/>
            </a:ext>
          </a:extLst>
        </xdr:cNvPr>
        <xdr:cNvSpPr/>
      </xdr:nvSpPr>
      <xdr:spPr>
        <a:xfrm>
          <a:off x="17087850" y="485775"/>
          <a:ext cx="876300" cy="419100"/>
        </a:xfrm>
        <a:prstGeom prst="round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800" kern="1200">
              <a:solidFill>
                <a:sysClr val="windowText" lastClr="000000"/>
              </a:solidFill>
            </a:rPr>
            <a:t>ADICIONAR COMPOSIÇÃO</a:t>
          </a:r>
        </a:p>
      </xdr:txBody>
    </xdr:sp>
    <xdr:clientData/>
  </xdr:twoCellAnchor>
  <xdr:twoCellAnchor>
    <xdr:from>
      <xdr:col>13</xdr:col>
      <xdr:colOff>333375</xdr:colOff>
      <xdr:row>7</xdr:row>
      <xdr:rowOff>47625</xdr:rowOff>
    </xdr:from>
    <xdr:to>
      <xdr:col>14</xdr:col>
      <xdr:colOff>600075</xdr:colOff>
      <xdr:row>9</xdr:row>
      <xdr:rowOff>76200</xdr:rowOff>
    </xdr:to>
    <xdr:sp macro="[0]!Desproteger" textlink="">
      <xdr:nvSpPr>
        <xdr:cNvPr id="4" name="Retângulo: Cantos Arredondados 3">
          <a:extLst>
            <a:ext uri="{FF2B5EF4-FFF2-40B4-BE49-F238E27FC236}">
              <a16:creationId xmlns:a16="http://schemas.microsoft.com/office/drawing/2014/main" id="{11C46675-77C4-4534-9DB5-128C1F752D31}"/>
            </a:ext>
          </a:extLst>
        </xdr:cNvPr>
        <xdr:cNvSpPr/>
      </xdr:nvSpPr>
      <xdr:spPr>
        <a:xfrm>
          <a:off x="17068800" y="1514475"/>
          <a:ext cx="876300" cy="447675"/>
        </a:xfrm>
        <a:prstGeom prst="round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800" kern="1200">
              <a:solidFill>
                <a:sysClr val="windowText" lastClr="000000"/>
              </a:solidFill>
            </a:rPr>
            <a:t>DESBLOQUEAR</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238125</xdr:colOff>
          <xdr:row>0</xdr:row>
          <xdr:rowOff>76200</xdr:rowOff>
        </xdr:from>
        <xdr:to>
          <xdr:col>2</xdr:col>
          <xdr:colOff>771525</xdr:colOff>
          <xdr:row>2</xdr:row>
          <xdr:rowOff>161925</xdr:rowOff>
        </xdr:to>
        <xdr:pic>
          <xdr:nvPicPr>
            <xdr:cNvPr id="2" name="Imagem 1">
              <a:extLst>
                <a:ext uri="{FF2B5EF4-FFF2-40B4-BE49-F238E27FC236}">
                  <a16:creationId xmlns:a16="http://schemas.microsoft.com/office/drawing/2014/main" id="{D0654384-40DB-4575-BC79-8BD19ECE5EFF}"/>
                </a:ext>
              </a:extLst>
            </xdr:cNvPr>
            <xdr:cNvPicPr>
              <a:picLocks noChangeAspect="1" noChangeArrowheads="1"/>
              <a:extLst>
                <a:ext uri="{84589F7E-364E-4C9E-8A38-B11213B215E9}">
                  <a14:cameraTool cellRange="IMAGENS" spid="_x0000_s776270"/>
                </a:ext>
              </a:extLst>
            </xdr:cNvPicPr>
          </xdr:nvPicPr>
          <xdr:blipFill>
            <a:blip xmlns:r="http://schemas.openxmlformats.org/officeDocument/2006/relationships" r:embed="rId1"/>
            <a:srcRect/>
            <a:stretch>
              <a:fillRect/>
            </a:stretch>
          </xdr:blipFill>
          <xdr:spPr bwMode="auto">
            <a:xfrm>
              <a:off x="847725" y="76200"/>
              <a:ext cx="1381125" cy="50482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7</xdr:col>
      <xdr:colOff>342900</xdr:colOff>
      <xdr:row>0</xdr:row>
      <xdr:rowOff>38100</xdr:rowOff>
    </xdr:from>
    <xdr:to>
      <xdr:col>8</xdr:col>
      <xdr:colOff>247650</xdr:colOff>
      <xdr:row>2</xdr:row>
      <xdr:rowOff>124446</xdr:rowOff>
    </xdr:to>
    <xdr:pic>
      <xdr:nvPicPr>
        <xdr:cNvPr id="3" name="Imagem 2">
          <a:extLst>
            <a:ext uri="{FF2B5EF4-FFF2-40B4-BE49-F238E27FC236}">
              <a16:creationId xmlns:a16="http://schemas.microsoft.com/office/drawing/2014/main" id="{B817B282-9A19-49C3-A73E-5A4CD2320CD7}"/>
            </a:ext>
          </a:extLst>
        </xdr:cNvPr>
        <xdr:cNvPicPr>
          <a:picLocks noChangeAspect="1"/>
        </xdr:cNvPicPr>
      </xdr:nvPicPr>
      <xdr:blipFill>
        <a:blip xmlns:r="http://schemas.openxmlformats.org/officeDocument/2006/relationships" r:embed="rId2"/>
        <a:stretch>
          <a:fillRect/>
        </a:stretch>
      </xdr:blipFill>
      <xdr:spPr>
        <a:xfrm>
          <a:off x="10648950" y="38100"/>
          <a:ext cx="1057275" cy="46734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0</xdr:row>
          <xdr:rowOff>123825</xdr:rowOff>
        </xdr:from>
        <xdr:to>
          <xdr:col>1</xdr:col>
          <xdr:colOff>704850</xdr:colOff>
          <xdr:row>1</xdr:row>
          <xdr:rowOff>447675</xdr:rowOff>
        </xdr:to>
        <xdr:pic>
          <xdr:nvPicPr>
            <xdr:cNvPr id="4" name="Imagem 3">
              <a:extLst>
                <a:ext uri="{FF2B5EF4-FFF2-40B4-BE49-F238E27FC236}">
                  <a16:creationId xmlns:a16="http://schemas.microsoft.com/office/drawing/2014/main" id="{00000000-0008-0000-0400-000004000000}"/>
                </a:ext>
              </a:extLst>
            </xdr:cNvPr>
            <xdr:cNvPicPr>
              <a:picLocks noChangeAspect="1"/>
              <a:extLst>
                <a:ext uri="{84589F7E-364E-4C9E-8A38-B11213B215E9}">
                  <a14:cameraTool cellRange="IMAGENS" spid="_x0000_s564589"/>
                </a:ext>
              </a:extLst>
            </xdr:cNvPicPr>
          </xdr:nvPicPr>
          <xdr:blipFill>
            <a:blip xmlns:r="http://schemas.openxmlformats.org/officeDocument/2006/relationships" r:embed="rId1"/>
            <a:stretch>
              <a:fillRect/>
            </a:stretch>
          </xdr:blipFill>
          <xdr:spPr>
            <a:xfrm>
              <a:off x="228600" y="123825"/>
              <a:ext cx="1381125" cy="533400"/>
            </a:xfrm>
            <a:prstGeom prst="rect">
              <a:avLst/>
            </a:prstGeom>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38100</xdr:colOff>
      <xdr:row>16</xdr:row>
      <xdr:rowOff>108978</xdr:rowOff>
    </xdr:from>
    <xdr:to>
      <xdr:col>2</xdr:col>
      <xdr:colOff>1865312</xdr:colOff>
      <xdr:row>24</xdr:row>
      <xdr:rowOff>49530</xdr:rowOff>
    </xdr:to>
    <xdr:pic>
      <xdr:nvPicPr>
        <xdr:cNvPr id="3" name="Imagem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stretch>
          <a:fillRect/>
        </a:stretch>
      </xdr:blipFill>
      <xdr:spPr>
        <a:xfrm>
          <a:off x="38100" y="2814078"/>
          <a:ext cx="5305742" cy="1277862"/>
        </a:xfrm>
        <a:prstGeom prst="rect">
          <a:avLst/>
        </a:prstGeom>
      </xdr:spPr>
    </xdr:pic>
    <xdr:clientData/>
  </xdr:twoCellAnchor>
  <xdr:twoCellAnchor editAs="oneCell">
    <xdr:from>
      <xdr:col>0</xdr:col>
      <xdr:colOff>76201</xdr:colOff>
      <xdr:row>35</xdr:row>
      <xdr:rowOff>146808</xdr:rowOff>
    </xdr:from>
    <xdr:to>
      <xdr:col>2</xdr:col>
      <xdr:colOff>1819276</xdr:colOff>
      <xdr:row>43</xdr:row>
      <xdr:rowOff>179617</xdr:rowOff>
    </xdr:to>
    <xdr:pic>
      <xdr:nvPicPr>
        <xdr:cNvPr id="6" name="Imagem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a:stretch>
          <a:fillRect/>
        </a:stretch>
      </xdr:blipFill>
      <xdr:spPr>
        <a:xfrm>
          <a:off x="76201" y="6372348"/>
          <a:ext cx="5212080" cy="137773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1</xdr:col>
          <xdr:colOff>9525</xdr:colOff>
          <xdr:row>2</xdr:row>
          <xdr:rowOff>9525</xdr:rowOff>
        </xdr:to>
        <xdr:pic>
          <xdr:nvPicPr>
            <xdr:cNvPr id="7" name="Imagem 6">
              <a:extLst>
                <a:ext uri="{FF2B5EF4-FFF2-40B4-BE49-F238E27FC236}">
                  <a16:creationId xmlns:a16="http://schemas.microsoft.com/office/drawing/2014/main" id="{00000000-0008-0000-0500-000007000000}"/>
                </a:ext>
              </a:extLst>
            </xdr:cNvPr>
            <xdr:cNvPicPr>
              <a:picLocks noChangeAspect="1"/>
              <a:extLst>
                <a:ext uri="{84589F7E-364E-4C9E-8A38-B11213B215E9}">
                  <a14:cameraTool cellRange="IMAGENS" spid="_x0000_s565613"/>
                </a:ext>
              </a:extLst>
            </xdr:cNvPicPr>
          </xdr:nvPicPr>
          <xdr:blipFill>
            <a:blip xmlns:r="http://schemas.openxmlformats.org/officeDocument/2006/relationships" r:embed="rId3"/>
            <a:stretch>
              <a:fillRect/>
            </a:stretch>
          </xdr:blipFill>
          <xdr:spPr>
            <a:xfrm>
              <a:off x="0" y="304800"/>
              <a:ext cx="1381125" cy="533400"/>
            </a:xfrm>
            <a:prstGeom prst="rect">
              <a:avLst/>
            </a:prstGeom>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1</xdr:row>
          <xdr:rowOff>47625</xdr:rowOff>
        </xdr:from>
        <xdr:to>
          <xdr:col>1</xdr:col>
          <xdr:colOff>1756</xdr:colOff>
          <xdr:row>3</xdr:row>
          <xdr:rowOff>145602</xdr:rowOff>
        </xdr:to>
        <xdr:pic>
          <xdr:nvPicPr>
            <xdr:cNvPr id="2" name="Imagem 1">
              <a:extLst>
                <a:ext uri="{FF2B5EF4-FFF2-40B4-BE49-F238E27FC236}">
                  <a16:creationId xmlns:a16="http://schemas.microsoft.com/office/drawing/2014/main" id="{91FA5909-1623-43AB-A9EC-1536901859E2}"/>
                </a:ext>
              </a:extLst>
            </xdr:cNvPr>
            <xdr:cNvPicPr>
              <a:picLocks noChangeAspect="1" noChangeArrowheads="1"/>
              <a:extLst>
                <a:ext uri="{84589F7E-364E-4C9E-8A38-B11213B215E9}">
                  <a14:cameraTool cellRange="IMAGENS" spid="_x0000_s455317"/>
                </a:ext>
              </a:extLst>
            </xdr:cNvPicPr>
          </xdr:nvPicPr>
          <xdr:blipFill>
            <a:blip xmlns:r="http://schemas.openxmlformats.org/officeDocument/2006/relationships" r:embed="rId1"/>
            <a:srcRect/>
            <a:stretch>
              <a:fillRect/>
            </a:stretch>
          </xdr:blipFill>
          <xdr:spPr bwMode="auto">
            <a:xfrm>
              <a:off x="742950" y="238125"/>
              <a:ext cx="1382881" cy="51707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3</xdr:col>
      <xdr:colOff>314325</xdr:colOff>
      <xdr:row>1</xdr:row>
      <xdr:rowOff>57150</xdr:rowOff>
    </xdr:from>
    <xdr:to>
      <xdr:col>4</xdr:col>
      <xdr:colOff>390525</xdr:colOff>
      <xdr:row>3</xdr:row>
      <xdr:rowOff>105396</xdr:rowOff>
    </xdr:to>
    <xdr:pic>
      <xdr:nvPicPr>
        <xdr:cNvPr id="3" name="Imagem 2">
          <a:extLst>
            <a:ext uri="{FF2B5EF4-FFF2-40B4-BE49-F238E27FC236}">
              <a16:creationId xmlns:a16="http://schemas.microsoft.com/office/drawing/2014/main" id="{5D286AAC-ED4F-4690-A6A7-A7436665A03D}"/>
            </a:ext>
          </a:extLst>
        </xdr:cNvPr>
        <xdr:cNvPicPr>
          <a:picLocks noChangeAspect="1"/>
        </xdr:cNvPicPr>
      </xdr:nvPicPr>
      <xdr:blipFill>
        <a:blip xmlns:r="http://schemas.openxmlformats.org/officeDocument/2006/relationships" r:embed="rId2"/>
        <a:stretch>
          <a:fillRect/>
        </a:stretch>
      </xdr:blipFill>
      <xdr:spPr>
        <a:xfrm>
          <a:off x="8648700" y="247650"/>
          <a:ext cx="1057275" cy="46734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95251</xdr:colOff>
      <xdr:row>43</xdr:row>
      <xdr:rowOff>0</xdr:rowOff>
    </xdr:from>
    <xdr:to>
      <xdr:col>7</xdr:col>
      <xdr:colOff>909942</xdr:colOff>
      <xdr:row>78</xdr:row>
      <xdr:rowOff>97157</xdr:rowOff>
    </xdr:to>
    <xdr:pic>
      <xdr:nvPicPr>
        <xdr:cNvPr id="2" name="Imagem 4">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1" y="7503793"/>
          <a:ext cx="5567666" cy="57645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409162</xdr:colOff>
      <xdr:row>37</xdr:row>
      <xdr:rowOff>13253</xdr:rowOff>
    </xdr:from>
    <xdr:to>
      <xdr:col>13</xdr:col>
      <xdr:colOff>274155</xdr:colOff>
      <xdr:row>42</xdr:row>
      <xdr:rowOff>8282</xdr:rowOff>
    </xdr:to>
    <xdr:pic>
      <xdr:nvPicPr>
        <xdr:cNvPr id="3" name="Imagem 5">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36705" y="6092688"/>
          <a:ext cx="2822713" cy="823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xdr:colOff>
      <xdr:row>36</xdr:row>
      <xdr:rowOff>0</xdr:rowOff>
    </xdr:from>
    <xdr:to>
      <xdr:col>7</xdr:col>
      <xdr:colOff>22860</xdr:colOff>
      <xdr:row>36</xdr:row>
      <xdr:rowOff>0</xdr:rowOff>
    </xdr:to>
    <xdr:cxnSp macro="">
      <xdr:nvCxnSpPr>
        <xdr:cNvPr id="4" name="Conector reto 7">
          <a:extLst>
            <a:ext uri="{FF2B5EF4-FFF2-40B4-BE49-F238E27FC236}">
              <a16:creationId xmlns:a16="http://schemas.microsoft.com/office/drawing/2014/main" id="{00000000-0008-0000-0800-000004000000}"/>
            </a:ext>
          </a:extLst>
        </xdr:cNvPr>
        <xdr:cNvCxnSpPr>
          <a:cxnSpLocks noChangeShapeType="1"/>
        </xdr:cNvCxnSpPr>
      </xdr:nvCxnSpPr>
      <xdr:spPr bwMode="auto">
        <a:xfrm>
          <a:off x="7620" y="4792980"/>
          <a:ext cx="487680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0</xdr:col>
      <xdr:colOff>0</xdr:colOff>
      <xdr:row>39</xdr:row>
      <xdr:rowOff>0</xdr:rowOff>
    </xdr:from>
    <xdr:to>
      <xdr:col>7</xdr:col>
      <xdr:colOff>15240</xdr:colOff>
      <xdr:row>39</xdr:row>
      <xdr:rowOff>0</xdr:rowOff>
    </xdr:to>
    <xdr:cxnSp macro="">
      <xdr:nvCxnSpPr>
        <xdr:cNvPr id="5" name="Conector reto 8">
          <a:extLst>
            <a:ext uri="{FF2B5EF4-FFF2-40B4-BE49-F238E27FC236}">
              <a16:creationId xmlns:a16="http://schemas.microsoft.com/office/drawing/2014/main" id="{00000000-0008-0000-0800-000005000000}"/>
            </a:ext>
          </a:extLst>
        </xdr:cNvPr>
        <xdr:cNvCxnSpPr>
          <a:cxnSpLocks noChangeShapeType="1"/>
        </xdr:cNvCxnSpPr>
      </xdr:nvCxnSpPr>
      <xdr:spPr bwMode="auto">
        <a:xfrm>
          <a:off x="0" y="5295900"/>
          <a:ext cx="487680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0</xdr:col>
      <xdr:colOff>0</xdr:colOff>
      <xdr:row>32</xdr:row>
      <xdr:rowOff>0</xdr:rowOff>
    </xdr:from>
    <xdr:to>
      <xdr:col>7</xdr:col>
      <xdr:colOff>15240</xdr:colOff>
      <xdr:row>32</xdr:row>
      <xdr:rowOff>0</xdr:rowOff>
    </xdr:to>
    <xdr:cxnSp macro="">
      <xdr:nvCxnSpPr>
        <xdr:cNvPr id="6" name="Conector reto 9">
          <a:extLst>
            <a:ext uri="{FF2B5EF4-FFF2-40B4-BE49-F238E27FC236}">
              <a16:creationId xmlns:a16="http://schemas.microsoft.com/office/drawing/2014/main" id="{00000000-0008-0000-0800-000006000000}"/>
            </a:ext>
          </a:extLst>
        </xdr:cNvPr>
        <xdr:cNvCxnSpPr>
          <a:cxnSpLocks noChangeShapeType="1"/>
        </xdr:cNvCxnSpPr>
      </xdr:nvCxnSpPr>
      <xdr:spPr bwMode="auto">
        <a:xfrm>
          <a:off x="0" y="4122420"/>
          <a:ext cx="487680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0</xdr:col>
      <xdr:colOff>0</xdr:colOff>
      <xdr:row>43</xdr:row>
      <xdr:rowOff>0</xdr:rowOff>
    </xdr:from>
    <xdr:to>
      <xdr:col>7</xdr:col>
      <xdr:colOff>15240</xdr:colOff>
      <xdr:row>43</xdr:row>
      <xdr:rowOff>0</xdr:rowOff>
    </xdr:to>
    <xdr:cxnSp macro="">
      <xdr:nvCxnSpPr>
        <xdr:cNvPr id="7" name="Conector reto 10">
          <a:extLst>
            <a:ext uri="{FF2B5EF4-FFF2-40B4-BE49-F238E27FC236}">
              <a16:creationId xmlns:a16="http://schemas.microsoft.com/office/drawing/2014/main" id="{00000000-0008-0000-0800-000007000000}"/>
            </a:ext>
          </a:extLst>
        </xdr:cNvPr>
        <xdr:cNvCxnSpPr>
          <a:cxnSpLocks noChangeShapeType="1"/>
        </xdr:cNvCxnSpPr>
      </xdr:nvCxnSpPr>
      <xdr:spPr bwMode="auto">
        <a:xfrm>
          <a:off x="0" y="5966460"/>
          <a:ext cx="487680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8</xdr:col>
      <xdr:colOff>0</xdr:colOff>
      <xdr:row>32</xdr:row>
      <xdr:rowOff>0</xdr:rowOff>
    </xdr:from>
    <xdr:to>
      <xdr:col>15</xdr:col>
      <xdr:colOff>7620</xdr:colOff>
      <xdr:row>32</xdr:row>
      <xdr:rowOff>0</xdr:rowOff>
    </xdr:to>
    <xdr:cxnSp macro="">
      <xdr:nvCxnSpPr>
        <xdr:cNvPr id="8" name="Conector reto 11">
          <a:extLst>
            <a:ext uri="{FF2B5EF4-FFF2-40B4-BE49-F238E27FC236}">
              <a16:creationId xmlns:a16="http://schemas.microsoft.com/office/drawing/2014/main" id="{00000000-0008-0000-0800-000008000000}"/>
            </a:ext>
          </a:extLst>
        </xdr:cNvPr>
        <xdr:cNvCxnSpPr>
          <a:cxnSpLocks noChangeShapeType="1"/>
        </xdr:cNvCxnSpPr>
      </xdr:nvCxnSpPr>
      <xdr:spPr bwMode="auto">
        <a:xfrm>
          <a:off x="5471160" y="4122420"/>
          <a:ext cx="305562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8</xdr:col>
      <xdr:colOff>0</xdr:colOff>
      <xdr:row>37</xdr:row>
      <xdr:rowOff>0</xdr:rowOff>
    </xdr:from>
    <xdr:to>
      <xdr:col>15</xdr:col>
      <xdr:colOff>7620</xdr:colOff>
      <xdr:row>37</xdr:row>
      <xdr:rowOff>0</xdr:rowOff>
    </xdr:to>
    <xdr:cxnSp macro="">
      <xdr:nvCxnSpPr>
        <xdr:cNvPr id="9" name="Conector reto 13">
          <a:extLst>
            <a:ext uri="{FF2B5EF4-FFF2-40B4-BE49-F238E27FC236}">
              <a16:creationId xmlns:a16="http://schemas.microsoft.com/office/drawing/2014/main" id="{00000000-0008-0000-0800-000009000000}"/>
            </a:ext>
          </a:extLst>
        </xdr:cNvPr>
        <xdr:cNvCxnSpPr>
          <a:cxnSpLocks noChangeShapeType="1"/>
        </xdr:cNvCxnSpPr>
      </xdr:nvCxnSpPr>
      <xdr:spPr bwMode="auto">
        <a:xfrm>
          <a:off x="5471160" y="4960620"/>
          <a:ext cx="305562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4556</xdr:colOff>
          <xdr:row>1</xdr:row>
          <xdr:rowOff>157784</xdr:rowOff>
        </xdr:from>
        <xdr:to>
          <xdr:col>0</xdr:col>
          <xdr:colOff>981904</xdr:colOff>
          <xdr:row>3</xdr:row>
          <xdr:rowOff>58579</xdr:rowOff>
        </xdr:to>
        <xdr:pic>
          <xdr:nvPicPr>
            <xdr:cNvPr id="15" name="Imagem 14">
              <a:extLst>
                <a:ext uri="{FF2B5EF4-FFF2-40B4-BE49-F238E27FC236}">
                  <a16:creationId xmlns:a16="http://schemas.microsoft.com/office/drawing/2014/main" id="{00000000-0008-0000-0800-00000F000000}"/>
                </a:ext>
              </a:extLst>
            </xdr:cNvPr>
            <xdr:cNvPicPr>
              <a:picLocks noChangeAspect="1"/>
              <a:extLst>
                <a:ext uri="{84589F7E-364E-4C9E-8A38-B11213B215E9}">
                  <a14:cameraTool cellRange="IMAGENS" spid="_x0000_s568684"/>
                </a:ext>
              </a:extLst>
            </xdr:cNvPicPr>
          </xdr:nvPicPr>
          <xdr:blipFill>
            <a:blip xmlns:r="http://schemas.openxmlformats.org/officeDocument/2006/relationships" r:embed="rId3"/>
            <a:stretch>
              <a:fillRect/>
            </a:stretch>
          </xdr:blipFill>
          <xdr:spPr>
            <a:xfrm>
              <a:off x="4556" y="318976"/>
              <a:ext cx="977348" cy="377045"/>
            </a:xfrm>
            <a:prstGeom prst="rect">
              <a:avLst/>
            </a:prstGeom>
          </xdr:spPr>
        </xdr:pic>
        <xdr:clientData/>
      </xdr:twoCellAnchor>
    </mc:Choice>
    <mc:Fallback/>
  </mc:AlternateContent>
  <xdr:twoCellAnchor editAs="oneCell">
    <xdr:from>
      <xdr:col>12</xdr:col>
      <xdr:colOff>419100</xdr:colOff>
      <xdr:row>1</xdr:row>
      <xdr:rowOff>95250</xdr:rowOff>
    </xdr:from>
    <xdr:to>
      <xdr:col>14</xdr:col>
      <xdr:colOff>352425</xdr:colOff>
      <xdr:row>3</xdr:row>
      <xdr:rowOff>86346</xdr:rowOff>
    </xdr:to>
    <xdr:pic>
      <xdr:nvPicPr>
        <xdr:cNvPr id="14" name="Imagem 13">
          <a:extLst>
            <a:ext uri="{FF2B5EF4-FFF2-40B4-BE49-F238E27FC236}">
              <a16:creationId xmlns:a16="http://schemas.microsoft.com/office/drawing/2014/main" id="{F2F03132-E8DF-44E6-9374-AD1A29018124}"/>
            </a:ext>
          </a:extLst>
        </xdr:cNvPr>
        <xdr:cNvPicPr>
          <a:picLocks noChangeAspect="1"/>
        </xdr:cNvPicPr>
      </xdr:nvPicPr>
      <xdr:blipFill>
        <a:blip xmlns:r="http://schemas.openxmlformats.org/officeDocument/2006/relationships" r:embed="rId4"/>
        <a:stretch>
          <a:fillRect/>
        </a:stretch>
      </xdr:blipFill>
      <xdr:spPr>
        <a:xfrm>
          <a:off x="8629650" y="257175"/>
          <a:ext cx="1057275" cy="46734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95251</xdr:colOff>
      <xdr:row>43</xdr:row>
      <xdr:rowOff>0</xdr:rowOff>
    </xdr:from>
    <xdr:to>
      <xdr:col>7</xdr:col>
      <xdr:colOff>576567</xdr:colOff>
      <xdr:row>78</xdr:row>
      <xdr:rowOff>97157</xdr:rowOff>
    </xdr:to>
    <xdr:pic>
      <xdr:nvPicPr>
        <xdr:cNvPr id="2" name="Imagem 4">
          <a:extLst>
            <a:ext uri="{FF2B5EF4-FFF2-40B4-BE49-F238E27FC236}">
              <a16:creationId xmlns:a16="http://schemas.microsoft.com/office/drawing/2014/main" id="{2ABD6DA4-F78C-4670-994A-C17CEB8FE6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1" y="7503793"/>
          <a:ext cx="5605766" cy="57645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409162</xdr:colOff>
      <xdr:row>37</xdr:row>
      <xdr:rowOff>13253</xdr:rowOff>
    </xdr:from>
    <xdr:to>
      <xdr:col>13</xdr:col>
      <xdr:colOff>274155</xdr:colOff>
      <xdr:row>42</xdr:row>
      <xdr:rowOff>8282</xdr:rowOff>
    </xdr:to>
    <xdr:pic>
      <xdr:nvPicPr>
        <xdr:cNvPr id="3" name="Imagem 5">
          <a:extLst>
            <a:ext uri="{FF2B5EF4-FFF2-40B4-BE49-F238E27FC236}">
              <a16:creationId xmlns:a16="http://schemas.microsoft.com/office/drawing/2014/main" id="{41413D92-738B-48B1-91AE-FFDF5435AF9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00362" y="6471203"/>
          <a:ext cx="2836793" cy="8046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xdr:colOff>
      <xdr:row>36</xdr:row>
      <xdr:rowOff>0</xdr:rowOff>
    </xdr:from>
    <xdr:to>
      <xdr:col>7</xdr:col>
      <xdr:colOff>22860</xdr:colOff>
      <xdr:row>36</xdr:row>
      <xdr:rowOff>0</xdr:rowOff>
    </xdr:to>
    <xdr:cxnSp macro="">
      <xdr:nvCxnSpPr>
        <xdr:cNvPr id="4" name="Conector reto 7">
          <a:extLst>
            <a:ext uri="{FF2B5EF4-FFF2-40B4-BE49-F238E27FC236}">
              <a16:creationId xmlns:a16="http://schemas.microsoft.com/office/drawing/2014/main" id="{B8AB6996-6E15-4D1B-B0C5-F5855CEADB70}"/>
            </a:ext>
          </a:extLst>
        </xdr:cNvPr>
        <xdr:cNvCxnSpPr>
          <a:cxnSpLocks noChangeShapeType="1"/>
        </xdr:cNvCxnSpPr>
      </xdr:nvCxnSpPr>
      <xdr:spPr bwMode="auto">
        <a:xfrm>
          <a:off x="7620" y="6296025"/>
          <a:ext cx="4806315"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0</xdr:col>
      <xdr:colOff>0</xdr:colOff>
      <xdr:row>39</xdr:row>
      <xdr:rowOff>0</xdr:rowOff>
    </xdr:from>
    <xdr:to>
      <xdr:col>7</xdr:col>
      <xdr:colOff>15240</xdr:colOff>
      <xdr:row>39</xdr:row>
      <xdr:rowOff>0</xdr:rowOff>
    </xdr:to>
    <xdr:cxnSp macro="">
      <xdr:nvCxnSpPr>
        <xdr:cNvPr id="5" name="Conector reto 8">
          <a:extLst>
            <a:ext uri="{FF2B5EF4-FFF2-40B4-BE49-F238E27FC236}">
              <a16:creationId xmlns:a16="http://schemas.microsoft.com/office/drawing/2014/main" id="{8AAD5713-3F87-4BBA-8F0B-53BAB6369D03}"/>
            </a:ext>
          </a:extLst>
        </xdr:cNvPr>
        <xdr:cNvCxnSpPr>
          <a:cxnSpLocks noChangeShapeType="1"/>
        </xdr:cNvCxnSpPr>
      </xdr:nvCxnSpPr>
      <xdr:spPr bwMode="auto">
        <a:xfrm>
          <a:off x="0" y="6781800"/>
          <a:ext cx="4806315"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0</xdr:col>
      <xdr:colOff>0</xdr:colOff>
      <xdr:row>32</xdr:row>
      <xdr:rowOff>0</xdr:rowOff>
    </xdr:from>
    <xdr:to>
      <xdr:col>7</xdr:col>
      <xdr:colOff>15240</xdr:colOff>
      <xdr:row>32</xdr:row>
      <xdr:rowOff>0</xdr:rowOff>
    </xdr:to>
    <xdr:cxnSp macro="">
      <xdr:nvCxnSpPr>
        <xdr:cNvPr id="6" name="Conector reto 9">
          <a:extLst>
            <a:ext uri="{FF2B5EF4-FFF2-40B4-BE49-F238E27FC236}">
              <a16:creationId xmlns:a16="http://schemas.microsoft.com/office/drawing/2014/main" id="{941D0A45-4C0E-4BC8-86A9-548075DD8A33}"/>
            </a:ext>
          </a:extLst>
        </xdr:cNvPr>
        <xdr:cNvCxnSpPr>
          <a:cxnSpLocks noChangeShapeType="1"/>
        </xdr:cNvCxnSpPr>
      </xdr:nvCxnSpPr>
      <xdr:spPr bwMode="auto">
        <a:xfrm>
          <a:off x="0" y="5638800"/>
          <a:ext cx="4806315"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0</xdr:col>
      <xdr:colOff>0</xdr:colOff>
      <xdr:row>43</xdr:row>
      <xdr:rowOff>0</xdr:rowOff>
    </xdr:from>
    <xdr:to>
      <xdr:col>7</xdr:col>
      <xdr:colOff>15240</xdr:colOff>
      <xdr:row>43</xdr:row>
      <xdr:rowOff>0</xdr:rowOff>
    </xdr:to>
    <xdr:cxnSp macro="">
      <xdr:nvCxnSpPr>
        <xdr:cNvPr id="7" name="Conector reto 10">
          <a:extLst>
            <a:ext uri="{FF2B5EF4-FFF2-40B4-BE49-F238E27FC236}">
              <a16:creationId xmlns:a16="http://schemas.microsoft.com/office/drawing/2014/main" id="{4D43692D-503B-4A79-9176-AF1FE1096504}"/>
            </a:ext>
          </a:extLst>
        </xdr:cNvPr>
        <xdr:cNvCxnSpPr>
          <a:cxnSpLocks noChangeShapeType="1"/>
        </xdr:cNvCxnSpPr>
      </xdr:nvCxnSpPr>
      <xdr:spPr bwMode="auto">
        <a:xfrm>
          <a:off x="0" y="7439025"/>
          <a:ext cx="4806315"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8</xdr:col>
      <xdr:colOff>0</xdr:colOff>
      <xdr:row>32</xdr:row>
      <xdr:rowOff>0</xdr:rowOff>
    </xdr:from>
    <xdr:to>
      <xdr:col>15</xdr:col>
      <xdr:colOff>7620</xdr:colOff>
      <xdr:row>32</xdr:row>
      <xdr:rowOff>0</xdr:rowOff>
    </xdr:to>
    <xdr:cxnSp macro="">
      <xdr:nvCxnSpPr>
        <xdr:cNvPr id="8" name="Conector reto 11">
          <a:extLst>
            <a:ext uri="{FF2B5EF4-FFF2-40B4-BE49-F238E27FC236}">
              <a16:creationId xmlns:a16="http://schemas.microsoft.com/office/drawing/2014/main" id="{2958EC6A-3DC5-4E59-AB9D-DC4D781D8BAE}"/>
            </a:ext>
          </a:extLst>
        </xdr:cNvPr>
        <xdr:cNvCxnSpPr>
          <a:cxnSpLocks noChangeShapeType="1"/>
        </xdr:cNvCxnSpPr>
      </xdr:nvCxnSpPr>
      <xdr:spPr bwMode="auto">
        <a:xfrm>
          <a:off x="5791200" y="5638800"/>
          <a:ext cx="433197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8</xdr:col>
      <xdr:colOff>0</xdr:colOff>
      <xdr:row>37</xdr:row>
      <xdr:rowOff>0</xdr:rowOff>
    </xdr:from>
    <xdr:to>
      <xdr:col>15</xdr:col>
      <xdr:colOff>7620</xdr:colOff>
      <xdr:row>37</xdr:row>
      <xdr:rowOff>0</xdr:rowOff>
    </xdr:to>
    <xdr:cxnSp macro="">
      <xdr:nvCxnSpPr>
        <xdr:cNvPr id="9" name="Conector reto 13">
          <a:extLst>
            <a:ext uri="{FF2B5EF4-FFF2-40B4-BE49-F238E27FC236}">
              <a16:creationId xmlns:a16="http://schemas.microsoft.com/office/drawing/2014/main" id="{509FA9A2-91C0-4A68-B3CF-25569BDD6EDB}"/>
            </a:ext>
          </a:extLst>
        </xdr:cNvPr>
        <xdr:cNvCxnSpPr>
          <a:cxnSpLocks noChangeShapeType="1"/>
        </xdr:cNvCxnSpPr>
      </xdr:nvCxnSpPr>
      <xdr:spPr bwMode="auto">
        <a:xfrm>
          <a:off x="5791200" y="6457950"/>
          <a:ext cx="4331970" cy="0"/>
        </a:xfrm>
        <a:prstGeom prst="line">
          <a:avLst/>
        </a:prstGeom>
        <a:ln>
          <a:headEnd/>
          <a:tailEnd/>
        </a:ln>
      </xdr:spPr>
      <xdr:style>
        <a:lnRef idx="1">
          <a:schemeClr val="accent3"/>
        </a:lnRef>
        <a:fillRef idx="0">
          <a:schemeClr val="accent3"/>
        </a:fillRef>
        <a:effectRef idx="0">
          <a:schemeClr val="accent3"/>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0</xdr:colOff>
          <xdr:row>1</xdr:row>
          <xdr:rowOff>33959</xdr:rowOff>
        </xdr:from>
        <xdr:to>
          <xdr:col>0</xdr:col>
          <xdr:colOff>1381125</xdr:colOff>
          <xdr:row>3</xdr:row>
          <xdr:rowOff>62534</xdr:rowOff>
        </xdr:to>
        <xdr:pic>
          <xdr:nvPicPr>
            <xdr:cNvPr id="14" name="Imagem 13">
              <a:extLst>
                <a:ext uri="{FF2B5EF4-FFF2-40B4-BE49-F238E27FC236}">
                  <a16:creationId xmlns:a16="http://schemas.microsoft.com/office/drawing/2014/main" id="{5117946B-1C06-4E7E-91F9-5FFA55DC50E6}"/>
                </a:ext>
              </a:extLst>
            </xdr:cNvPr>
            <xdr:cNvPicPr>
              <a:picLocks noChangeAspect="1"/>
              <a:extLst>
                <a:ext uri="{84589F7E-364E-4C9E-8A38-B11213B215E9}">
                  <a14:cameraTool cellRange="IMAGENS" spid="_x0000_s803866"/>
                </a:ext>
              </a:extLst>
            </xdr:cNvPicPr>
          </xdr:nvPicPr>
          <xdr:blipFill>
            <a:blip xmlns:r="http://schemas.openxmlformats.org/officeDocument/2006/relationships" r:embed="rId3"/>
            <a:stretch>
              <a:fillRect/>
            </a:stretch>
          </xdr:blipFill>
          <xdr:spPr>
            <a:xfrm>
              <a:off x="0" y="195884"/>
              <a:ext cx="1381125" cy="504825"/>
            </a:xfrm>
            <a:prstGeom prst="rect">
              <a:avLst/>
            </a:prstGeom>
          </xdr:spPr>
        </xdr:pic>
        <xdr:clientData/>
      </xdr:twoCellAnchor>
    </mc:Choice>
    <mc:Fallback/>
  </mc:AlternateContent>
  <xdr:twoCellAnchor editAs="oneCell">
    <xdr:from>
      <xdr:col>12</xdr:col>
      <xdr:colOff>419100</xdr:colOff>
      <xdr:row>1</xdr:row>
      <xdr:rowOff>95250</xdr:rowOff>
    </xdr:from>
    <xdr:to>
      <xdr:col>14</xdr:col>
      <xdr:colOff>352425</xdr:colOff>
      <xdr:row>3</xdr:row>
      <xdr:rowOff>86346</xdr:rowOff>
    </xdr:to>
    <xdr:pic>
      <xdr:nvPicPr>
        <xdr:cNvPr id="15" name="Imagem 14">
          <a:extLst>
            <a:ext uri="{FF2B5EF4-FFF2-40B4-BE49-F238E27FC236}">
              <a16:creationId xmlns:a16="http://schemas.microsoft.com/office/drawing/2014/main" id="{79F0B486-B70B-4D78-BA54-17DD23099308}"/>
            </a:ext>
          </a:extLst>
        </xdr:cNvPr>
        <xdr:cNvPicPr>
          <a:picLocks noChangeAspect="1"/>
        </xdr:cNvPicPr>
      </xdr:nvPicPr>
      <xdr:blipFill>
        <a:blip xmlns:r="http://schemas.openxmlformats.org/officeDocument/2006/relationships" r:embed="rId4"/>
        <a:stretch>
          <a:fillRect/>
        </a:stretch>
      </xdr:blipFill>
      <xdr:spPr>
        <a:xfrm>
          <a:off x="8629650" y="257175"/>
          <a:ext cx="1076325" cy="46734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364434</xdr:colOff>
          <xdr:row>0</xdr:row>
          <xdr:rowOff>41413</xdr:rowOff>
        </xdr:from>
        <xdr:to>
          <xdr:col>1</xdr:col>
          <xdr:colOff>1190624</xdr:colOff>
          <xdr:row>2</xdr:row>
          <xdr:rowOff>185530</xdr:rowOff>
        </xdr:to>
        <xdr:pic>
          <xdr:nvPicPr>
            <xdr:cNvPr id="3" name="Imagem 2">
              <a:extLst>
                <a:ext uri="{FF2B5EF4-FFF2-40B4-BE49-F238E27FC236}">
                  <a16:creationId xmlns:a16="http://schemas.microsoft.com/office/drawing/2014/main" id="{00000000-0008-0000-0900-000003000000}"/>
                </a:ext>
              </a:extLst>
            </xdr:cNvPr>
            <xdr:cNvPicPr>
              <a:picLocks noChangeAspect="1"/>
              <a:extLst>
                <a:ext uri="{84589F7E-364E-4C9E-8A38-B11213B215E9}">
                  <a14:cameraTool cellRange="IMAGENS" spid="_x0000_s569708"/>
                </a:ext>
              </a:extLst>
            </xdr:cNvPicPr>
          </xdr:nvPicPr>
          <xdr:blipFill>
            <a:blip xmlns:r="http://schemas.openxmlformats.org/officeDocument/2006/relationships" r:embed="rId1"/>
            <a:stretch>
              <a:fillRect/>
            </a:stretch>
          </xdr:blipFill>
          <xdr:spPr>
            <a:xfrm>
              <a:off x="364434" y="41413"/>
              <a:ext cx="1381125" cy="533400"/>
            </a:xfrm>
            <a:prstGeom prst="rect">
              <a:avLst/>
            </a:prstGeom>
          </xdr:spPr>
        </xdr:pic>
        <xdr:clientData/>
      </xdr:twoCellAnchor>
    </mc:Choice>
    <mc:Fallback/>
  </mc:AlternateContent>
  <xdr:twoCellAnchor editAs="oneCell">
    <xdr:from>
      <xdr:col>6</xdr:col>
      <xdr:colOff>314325</xdr:colOff>
      <xdr:row>0</xdr:row>
      <xdr:rowOff>76200</xdr:rowOff>
    </xdr:from>
    <xdr:to>
      <xdr:col>6</xdr:col>
      <xdr:colOff>1371600</xdr:colOff>
      <xdr:row>2</xdr:row>
      <xdr:rowOff>153021</xdr:rowOff>
    </xdr:to>
    <xdr:pic>
      <xdr:nvPicPr>
        <xdr:cNvPr id="2" name="Imagem 1">
          <a:extLst>
            <a:ext uri="{FF2B5EF4-FFF2-40B4-BE49-F238E27FC236}">
              <a16:creationId xmlns:a16="http://schemas.microsoft.com/office/drawing/2014/main" id="{82B94BBA-9896-4E64-BA81-A7175AD14188}"/>
            </a:ext>
          </a:extLst>
        </xdr:cNvPr>
        <xdr:cNvPicPr>
          <a:picLocks noChangeAspect="1"/>
        </xdr:cNvPicPr>
      </xdr:nvPicPr>
      <xdr:blipFill>
        <a:blip xmlns:r="http://schemas.openxmlformats.org/officeDocument/2006/relationships" r:embed="rId2"/>
        <a:stretch>
          <a:fillRect/>
        </a:stretch>
      </xdr:blipFill>
      <xdr:spPr>
        <a:xfrm>
          <a:off x="9067800" y="76200"/>
          <a:ext cx="1057275" cy="4673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364434</xdr:colOff>
          <xdr:row>0</xdr:row>
          <xdr:rowOff>41413</xdr:rowOff>
        </xdr:from>
        <xdr:to>
          <xdr:col>1</xdr:col>
          <xdr:colOff>1190624</xdr:colOff>
          <xdr:row>2</xdr:row>
          <xdr:rowOff>156955</xdr:rowOff>
        </xdr:to>
        <xdr:pic>
          <xdr:nvPicPr>
            <xdr:cNvPr id="2" name="Imagem 1">
              <a:extLst>
                <a:ext uri="{FF2B5EF4-FFF2-40B4-BE49-F238E27FC236}">
                  <a16:creationId xmlns:a16="http://schemas.microsoft.com/office/drawing/2014/main" id="{E63835ED-E01E-4654-BE86-CF1C2DD9FF30}"/>
                </a:ext>
              </a:extLst>
            </xdr:cNvPr>
            <xdr:cNvPicPr>
              <a:picLocks noChangeAspect="1"/>
              <a:extLst>
                <a:ext uri="{84589F7E-364E-4C9E-8A38-B11213B215E9}">
                  <a14:cameraTool cellRange="IMAGENS" spid="_x0000_s632063"/>
                </a:ext>
              </a:extLst>
            </xdr:cNvPicPr>
          </xdr:nvPicPr>
          <xdr:blipFill>
            <a:blip xmlns:r="http://schemas.openxmlformats.org/officeDocument/2006/relationships" r:embed="rId1"/>
            <a:stretch>
              <a:fillRect/>
            </a:stretch>
          </xdr:blipFill>
          <xdr:spPr>
            <a:xfrm>
              <a:off x="364434" y="41413"/>
              <a:ext cx="1381125" cy="504825"/>
            </a:xfrm>
            <a:prstGeom prst="rect">
              <a:avLst/>
            </a:prstGeom>
          </xdr:spPr>
        </xdr:pic>
        <xdr:clientData/>
      </xdr:twoCellAnchor>
    </mc:Choice>
    <mc:Fallback/>
  </mc:AlternateContent>
  <xdr:twoCellAnchor editAs="oneCell">
    <xdr:from>
      <xdr:col>6</xdr:col>
      <xdr:colOff>314325</xdr:colOff>
      <xdr:row>0</xdr:row>
      <xdr:rowOff>76200</xdr:rowOff>
    </xdr:from>
    <xdr:to>
      <xdr:col>6</xdr:col>
      <xdr:colOff>1371600</xdr:colOff>
      <xdr:row>2</xdr:row>
      <xdr:rowOff>153021</xdr:rowOff>
    </xdr:to>
    <xdr:pic>
      <xdr:nvPicPr>
        <xdr:cNvPr id="3" name="Imagem 2">
          <a:extLst>
            <a:ext uri="{FF2B5EF4-FFF2-40B4-BE49-F238E27FC236}">
              <a16:creationId xmlns:a16="http://schemas.microsoft.com/office/drawing/2014/main" id="{2EAAE7CB-0F5E-4C3F-818D-A8C26F8A7E9B}"/>
            </a:ext>
          </a:extLst>
        </xdr:cNvPr>
        <xdr:cNvPicPr>
          <a:picLocks noChangeAspect="1"/>
        </xdr:cNvPicPr>
      </xdr:nvPicPr>
      <xdr:blipFill>
        <a:blip xmlns:r="http://schemas.openxmlformats.org/officeDocument/2006/relationships" r:embed="rId2"/>
        <a:stretch>
          <a:fillRect/>
        </a:stretch>
      </xdr:blipFill>
      <xdr:spPr>
        <a:xfrm>
          <a:off x="9067800" y="76200"/>
          <a:ext cx="1057275" cy="46734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330013</xdr:colOff>
          <xdr:row>0</xdr:row>
          <xdr:rowOff>44263</xdr:rowOff>
        </xdr:from>
        <xdr:to>
          <xdr:col>2</xdr:col>
          <xdr:colOff>139513</xdr:colOff>
          <xdr:row>2</xdr:row>
          <xdr:rowOff>110938</xdr:rowOff>
        </xdr:to>
        <xdr:pic>
          <xdr:nvPicPr>
            <xdr:cNvPr id="2" name="Imagem 1">
              <a:extLst>
                <a:ext uri="{FF2B5EF4-FFF2-40B4-BE49-F238E27FC236}">
                  <a16:creationId xmlns:a16="http://schemas.microsoft.com/office/drawing/2014/main" id="{90CF30C4-7290-436D-B7DF-59E0211291C1}"/>
                </a:ext>
              </a:extLst>
            </xdr:cNvPr>
            <xdr:cNvPicPr>
              <a:picLocks noChangeAspect="1"/>
              <a:extLst>
                <a:ext uri="{84589F7E-364E-4C9E-8A38-B11213B215E9}">
                  <a14:cameraTool cellRange="IMAGENS" spid="_x0000_s731308"/>
                </a:ext>
              </a:extLst>
            </xdr:cNvPicPr>
          </xdr:nvPicPr>
          <xdr:blipFill>
            <a:blip xmlns:r="http://schemas.openxmlformats.org/officeDocument/2006/relationships" r:embed="rId1"/>
            <a:stretch>
              <a:fillRect/>
            </a:stretch>
          </xdr:blipFill>
          <xdr:spPr>
            <a:xfrm>
              <a:off x="330013" y="44263"/>
              <a:ext cx="1381125" cy="504825"/>
            </a:xfrm>
            <a:prstGeom prst="rect">
              <a:avLst/>
            </a:prstGeom>
          </xdr:spPr>
        </xdr:pic>
        <xdr:clientData/>
      </xdr:twoCellAnchor>
    </mc:Choice>
    <mc:Fallback/>
  </mc:AlternateContent>
  <xdr:twoCellAnchor editAs="oneCell">
    <xdr:from>
      <xdr:col>6</xdr:col>
      <xdr:colOff>685800</xdr:colOff>
      <xdr:row>0</xdr:row>
      <xdr:rowOff>133350</xdr:rowOff>
    </xdr:from>
    <xdr:to>
      <xdr:col>7</xdr:col>
      <xdr:colOff>895350</xdr:colOff>
      <xdr:row>2</xdr:row>
      <xdr:rowOff>162546</xdr:rowOff>
    </xdr:to>
    <xdr:pic>
      <xdr:nvPicPr>
        <xdr:cNvPr id="3" name="Imagem 2">
          <a:extLst>
            <a:ext uri="{FF2B5EF4-FFF2-40B4-BE49-F238E27FC236}">
              <a16:creationId xmlns:a16="http://schemas.microsoft.com/office/drawing/2014/main" id="{69490F89-A37B-4CBC-B257-58D2E1833FB5}"/>
            </a:ext>
          </a:extLst>
        </xdr:cNvPr>
        <xdr:cNvPicPr>
          <a:picLocks noChangeAspect="1"/>
        </xdr:cNvPicPr>
      </xdr:nvPicPr>
      <xdr:blipFill>
        <a:blip xmlns:r="http://schemas.openxmlformats.org/officeDocument/2006/relationships" r:embed="rId2"/>
        <a:stretch>
          <a:fillRect/>
        </a:stretch>
      </xdr:blipFill>
      <xdr:spPr>
        <a:xfrm>
          <a:off x="7600950" y="133350"/>
          <a:ext cx="1057275" cy="46734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330013</xdr:colOff>
          <xdr:row>0</xdr:row>
          <xdr:rowOff>44263</xdr:rowOff>
        </xdr:from>
        <xdr:to>
          <xdr:col>2</xdr:col>
          <xdr:colOff>247650</xdr:colOff>
          <xdr:row>2</xdr:row>
          <xdr:rowOff>176779</xdr:rowOff>
        </xdr:to>
        <xdr:pic>
          <xdr:nvPicPr>
            <xdr:cNvPr id="5" name="Imagem 4">
              <a:extLst>
                <a:ext uri="{FF2B5EF4-FFF2-40B4-BE49-F238E27FC236}">
                  <a16:creationId xmlns:a16="http://schemas.microsoft.com/office/drawing/2014/main" id="{00000000-0008-0000-0A00-000005000000}"/>
                </a:ext>
              </a:extLst>
            </xdr:cNvPr>
            <xdr:cNvPicPr>
              <a:picLocks noChangeAspect="1"/>
              <a:extLst>
                <a:ext uri="{84589F7E-364E-4C9E-8A38-B11213B215E9}">
                  <a14:cameraTool cellRange="IMAGENS" spid="_x0000_s570732"/>
                </a:ext>
              </a:extLst>
            </xdr:cNvPicPr>
          </xdr:nvPicPr>
          <xdr:blipFill>
            <a:blip xmlns:r="http://schemas.openxmlformats.org/officeDocument/2006/relationships" r:embed="rId1"/>
            <a:stretch>
              <a:fillRect/>
            </a:stretch>
          </xdr:blipFill>
          <xdr:spPr>
            <a:xfrm>
              <a:off x="330013" y="44263"/>
              <a:ext cx="1489262" cy="570666"/>
            </a:xfrm>
            <a:prstGeom prst="rect">
              <a:avLst/>
            </a:prstGeom>
          </xdr:spPr>
        </xdr:pic>
        <xdr:clientData/>
      </xdr:twoCellAnchor>
    </mc:Choice>
    <mc:Fallback/>
  </mc:AlternateContent>
  <xdr:twoCellAnchor editAs="oneCell">
    <xdr:from>
      <xdr:col>6</xdr:col>
      <xdr:colOff>685800</xdr:colOff>
      <xdr:row>0</xdr:row>
      <xdr:rowOff>133350</xdr:rowOff>
    </xdr:from>
    <xdr:to>
      <xdr:col>8</xdr:col>
      <xdr:colOff>342900</xdr:colOff>
      <xdr:row>2</xdr:row>
      <xdr:rowOff>162546</xdr:rowOff>
    </xdr:to>
    <xdr:pic>
      <xdr:nvPicPr>
        <xdr:cNvPr id="2" name="Imagem 1">
          <a:extLst>
            <a:ext uri="{FF2B5EF4-FFF2-40B4-BE49-F238E27FC236}">
              <a16:creationId xmlns:a16="http://schemas.microsoft.com/office/drawing/2014/main" id="{CBACEC64-5E78-4615-A0A9-4880ACA76B9E}"/>
            </a:ext>
          </a:extLst>
        </xdr:cNvPr>
        <xdr:cNvPicPr>
          <a:picLocks noChangeAspect="1"/>
        </xdr:cNvPicPr>
      </xdr:nvPicPr>
      <xdr:blipFill>
        <a:blip xmlns:r="http://schemas.openxmlformats.org/officeDocument/2006/relationships" r:embed="rId2"/>
        <a:stretch>
          <a:fillRect/>
        </a:stretch>
      </xdr:blipFill>
      <xdr:spPr>
        <a:xfrm>
          <a:off x="11630025" y="133350"/>
          <a:ext cx="1057275" cy="46734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330013</xdr:colOff>
          <xdr:row>0</xdr:row>
          <xdr:rowOff>44263</xdr:rowOff>
        </xdr:from>
        <xdr:to>
          <xdr:col>2</xdr:col>
          <xdr:colOff>139513</xdr:colOff>
          <xdr:row>2</xdr:row>
          <xdr:rowOff>110938</xdr:rowOff>
        </xdr:to>
        <xdr:pic>
          <xdr:nvPicPr>
            <xdr:cNvPr id="2" name="Imagem 1">
              <a:extLst>
                <a:ext uri="{FF2B5EF4-FFF2-40B4-BE49-F238E27FC236}">
                  <a16:creationId xmlns:a16="http://schemas.microsoft.com/office/drawing/2014/main" id="{15ADFEF3-2649-403D-8C7C-A01ACFCB18A6}"/>
                </a:ext>
              </a:extLst>
            </xdr:cNvPr>
            <xdr:cNvPicPr>
              <a:picLocks noChangeAspect="1"/>
              <a:extLst>
                <a:ext uri="{84589F7E-364E-4C9E-8A38-B11213B215E9}">
                  <a14:cameraTool cellRange="IMAGENS" spid="_x0000_s631040"/>
                </a:ext>
              </a:extLst>
            </xdr:cNvPicPr>
          </xdr:nvPicPr>
          <xdr:blipFill>
            <a:blip xmlns:r="http://schemas.openxmlformats.org/officeDocument/2006/relationships" r:embed="rId1"/>
            <a:stretch>
              <a:fillRect/>
            </a:stretch>
          </xdr:blipFill>
          <xdr:spPr>
            <a:xfrm>
              <a:off x="330013" y="44263"/>
              <a:ext cx="1381125" cy="504825"/>
            </a:xfrm>
            <a:prstGeom prst="rect">
              <a:avLst/>
            </a:prstGeom>
          </xdr:spPr>
        </xdr:pic>
        <xdr:clientData/>
      </xdr:twoCellAnchor>
    </mc:Choice>
    <mc:Fallback/>
  </mc:AlternateContent>
  <xdr:twoCellAnchor editAs="oneCell">
    <xdr:from>
      <xdr:col>8</xdr:col>
      <xdr:colOff>685800</xdr:colOff>
      <xdr:row>0</xdr:row>
      <xdr:rowOff>133350</xdr:rowOff>
    </xdr:from>
    <xdr:to>
      <xdr:col>9</xdr:col>
      <xdr:colOff>762000</xdr:colOff>
      <xdr:row>2</xdr:row>
      <xdr:rowOff>162546</xdr:rowOff>
    </xdr:to>
    <xdr:pic>
      <xdr:nvPicPr>
        <xdr:cNvPr id="3" name="Imagem 2">
          <a:extLst>
            <a:ext uri="{FF2B5EF4-FFF2-40B4-BE49-F238E27FC236}">
              <a16:creationId xmlns:a16="http://schemas.microsoft.com/office/drawing/2014/main" id="{05817A27-5D9B-46D3-8DFC-4EFDDE80C88C}"/>
            </a:ext>
          </a:extLst>
        </xdr:cNvPr>
        <xdr:cNvPicPr>
          <a:picLocks noChangeAspect="1"/>
        </xdr:cNvPicPr>
      </xdr:nvPicPr>
      <xdr:blipFill>
        <a:blip xmlns:r="http://schemas.openxmlformats.org/officeDocument/2006/relationships" r:embed="rId2"/>
        <a:stretch>
          <a:fillRect/>
        </a:stretch>
      </xdr:blipFill>
      <xdr:spPr>
        <a:xfrm>
          <a:off x="8105775" y="133350"/>
          <a:ext cx="1057275" cy="46734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123827</xdr:colOff>
          <xdr:row>0</xdr:row>
          <xdr:rowOff>61071</xdr:rowOff>
        </xdr:from>
        <xdr:to>
          <xdr:col>1</xdr:col>
          <xdr:colOff>571501</xdr:colOff>
          <xdr:row>2</xdr:row>
          <xdr:rowOff>185403</xdr:rowOff>
        </xdr:to>
        <xdr:pic>
          <xdr:nvPicPr>
            <xdr:cNvPr id="3" name="Imagem 2">
              <a:extLst>
                <a:ext uri="{FF2B5EF4-FFF2-40B4-BE49-F238E27FC236}">
                  <a16:creationId xmlns:a16="http://schemas.microsoft.com/office/drawing/2014/main" id="{00000000-0008-0000-0B00-000003000000}"/>
                </a:ext>
              </a:extLst>
            </xdr:cNvPr>
            <xdr:cNvPicPr>
              <a:picLocks noChangeAspect="1"/>
              <a:extLst>
                <a:ext uri="{84589F7E-364E-4C9E-8A38-B11213B215E9}">
                  <a14:cameraTool cellRange="IMAGENS" spid="_x0000_s571756"/>
                </a:ext>
              </a:extLst>
            </xdr:cNvPicPr>
          </xdr:nvPicPr>
          <xdr:blipFill>
            <a:blip xmlns:r="http://schemas.openxmlformats.org/officeDocument/2006/relationships" r:embed="rId1"/>
            <a:stretch>
              <a:fillRect/>
            </a:stretch>
          </xdr:blipFill>
          <xdr:spPr>
            <a:xfrm>
              <a:off x="123827" y="61071"/>
              <a:ext cx="1400174" cy="476757"/>
            </a:xfrm>
            <a:prstGeom prst="rect">
              <a:avLst/>
            </a:prstGeom>
          </xdr:spPr>
        </xdr:pic>
        <xdr:clientData/>
      </xdr:twoCellAnchor>
    </mc:Choice>
    <mc:Fallback/>
  </mc:AlternateContent>
  <xdr:twoCellAnchor editAs="oneCell">
    <xdr:from>
      <xdr:col>33</xdr:col>
      <xdr:colOff>371475</xdr:colOff>
      <xdr:row>0</xdr:row>
      <xdr:rowOff>38100</xdr:rowOff>
    </xdr:from>
    <xdr:to>
      <xdr:col>34</xdr:col>
      <xdr:colOff>569258</xdr:colOff>
      <xdr:row>2</xdr:row>
      <xdr:rowOff>153021</xdr:rowOff>
    </xdr:to>
    <xdr:pic>
      <xdr:nvPicPr>
        <xdr:cNvPr id="2" name="Imagem 1">
          <a:extLst>
            <a:ext uri="{FF2B5EF4-FFF2-40B4-BE49-F238E27FC236}">
              <a16:creationId xmlns:a16="http://schemas.microsoft.com/office/drawing/2014/main" id="{B31D739F-47C6-4278-868D-96C58E4E294C}"/>
            </a:ext>
          </a:extLst>
        </xdr:cNvPr>
        <xdr:cNvPicPr>
          <a:picLocks noChangeAspect="1"/>
        </xdr:cNvPicPr>
      </xdr:nvPicPr>
      <xdr:blipFill>
        <a:blip xmlns:r="http://schemas.openxmlformats.org/officeDocument/2006/relationships" r:embed="rId2"/>
        <a:stretch>
          <a:fillRect/>
        </a:stretch>
      </xdr:blipFill>
      <xdr:spPr>
        <a:xfrm>
          <a:off x="19021425" y="38100"/>
          <a:ext cx="1057275" cy="46734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123827</xdr:colOff>
          <xdr:row>0</xdr:row>
          <xdr:rowOff>61071</xdr:rowOff>
        </xdr:from>
        <xdr:to>
          <xdr:col>1</xdr:col>
          <xdr:colOff>552452</xdr:colOff>
          <xdr:row>3</xdr:row>
          <xdr:rowOff>3921</xdr:rowOff>
        </xdr:to>
        <xdr:pic>
          <xdr:nvPicPr>
            <xdr:cNvPr id="2" name="Imagem 1">
              <a:extLst>
                <a:ext uri="{FF2B5EF4-FFF2-40B4-BE49-F238E27FC236}">
                  <a16:creationId xmlns:a16="http://schemas.microsoft.com/office/drawing/2014/main" id="{A3202CBE-CBBC-44CF-97EB-EEB35F2FC3B2}"/>
                </a:ext>
              </a:extLst>
            </xdr:cNvPr>
            <xdr:cNvPicPr>
              <a:picLocks noChangeAspect="1"/>
              <a:extLst>
                <a:ext uri="{84589F7E-364E-4C9E-8A38-B11213B215E9}">
                  <a14:cameraTool cellRange="IMAGENS" spid="_x0000_s351193"/>
                </a:ext>
              </a:extLst>
            </xdr:cNvPicPr>
          </xdr:nvPicPr>
          <xdr:blipFill>
            <a:blip xmlns:r="http://schemas.openxmlformats.org/officeDocument/2006/relationships" r:embed="rId1"/>
            <a:stretch>
              <a:fillRect/>
            </a:stretch>
          </xdr:blipFill>
          <xdr:spPr>
            <a:xfrm>
              <a:off x="123827" y="61071"/>
              <a:ext cx="1381125" cy="504825"/>
            </a:xfrm>
            <a:prstGeom prst="rect">
              <a:avLst/>
            </a:prstGeom>
          </xdr:spPr>
        </xdr:pic>
        <xdr:clientData/>
      </xdr:twoCellAnchor>
    </mc:Choice>
    <mc:Fallback/>
  </mc:AlternateContent>
  <xdr:twoCellAnchor editAs="oneCell">
    <xdr:from>
      <xdr:col>18</xdr:col>
      <xdr:colOff>371475</xdr:colOff>
      <xdr:row>0</xdr:row>
      <xdr:rowOff>38100</xdr:rowOff>
    </xdr:from>
    <xdr:to>
      <xdr:col>19</xdr:col>
      <xdr:colOff>569259</xdr:colOff>
      <xdr:row>2</xdr:row>
      <xdr:rowOff>153021</xdr:rowOff>
    </xdr:to>
    <xdr:pic>
      <xdr:nvPicPr>
        <xdr:cNvPr id="3" name="Imagem 2">
          <a:extLst>
            <a:ext uri="{FF2B5EF4-FFF2-40B4-BE49-F238E27FC236}">
              <a16:creationId xmlns:a16="http://schemas.microsoft.com/office/drawing/2014/main" id="{3105D664-CEEA-467D-828A-A9063E0CBC40}"/>
            </a:ext>
          </a:extLst>
        </xdr:cNvPr>
        <xdr:cNvPicPr>
          <a:picLocks noChangeAspect="1"/>
        </xdr:cNvPicPr>
      </xdr:nvPicPr>
      <xdr:blipFill>
        <a:blip xmlns:r="http://schemas.openxmlformats.org/officeDocument/2006/relationships" r:embed="rId2"/>
        <a:stretch>
          <a:fillRect/>
        </a:stretch>
      </xdr:blipFill>
      <xdr:spPr>
        <a:xfrm>
          <a:off x="59664600" y="38100"/>
          <a:ext cx="1055034" cy="46734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9525</xdr:colOff>
          <xdr:row>5</xdr:row>
          <xdr:rowOff>19050</xdr:rowOff>
        </xdr:from>
        <xdr:to>
          <xdr:col>8</xdr:col>
          <xdr:colOff>247650</xdr:colOff>
          <xdr:row>7</xdr:row>
          <xdr:rowOff>9525</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0F00-000001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t-BR" sz="1100" b="0" i="0" u="none" strike="noStrike" baseline="0">
                  <a:solidFill>
                    <a:srgbClr val="000000"/>
                  </a:solidFill>
                  <a:latin typeface="Calibri"/>
                  <a:ea typeface="Calibri"/>
                  <a:cs typeface="Calibri"/>
                </a:rPr>
                <a:t>LIMPAR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600075</xdr:colOff>
          <xdr:row>10</xdr:row>
          <xdr:rowOff>171450</xdr:rowOff>
        </xdr:from>
        <xdr:to>
          <xdr:col>8</xdr:col>
          <xdr:colOff>400050</xdr:colOff>
          <xdr:row>12</xdr:row>
          <xdr:rowOff>161925</xdr:rowOff>
        </xdr:to>
        <xdr:sp macro="" textlink="">
          <xdr:nvSpPr>
            <xdr:cNvPr id="28674" name="Button 2" hidden="1">
              <a:extLst>
                <a:ext uri="{63B3BB69-23CF-44E3-9099-C40C66FF867C}">
                  <a14:compatExt spid="_x0000_s28674"/>
                </a:ext>
                <a:ext uri="{FF2B5EF4-FFF2-40B4-BE49-F238E27FC236}">
                  <a16:creationId xmlns:a16="http://schemas.microsoft.com/office/drawing/2014/main" id="{00000000-0008-0000-0F00-000002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t-BR" sz="1100" b="0" i="0" u="none" strike="noStrike" baseline="0">
                  <a:solidFill>
                    <a:srgbClr val="000000"/>
                  </a:solidFill>
                  <a:latin typeface="Calibri"/>
                  <a:ea typeface="Calibri"/>
                  <a:cs typeface="Calibri"/>
                </a:rPr>
                <a:t>CLASSIFICAR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xdr:row>
          <xdr:rowOff>0</xdr:rowOff>
        </xdr:from>
        <xdr:to>
          <xdr:col>8</xdr:col>
          <xdr:colOff>409575</xdr:colOff>
          <xdr:row>10</xdr:row>
          <xdr:rowOff>9525</xdr:rowOff>
        </xdr:to>
        <xdr:sp macro="" textlink="">
          <xdr:nvSpPr>
            <xdr:cNvPr id="28677" name="CommandButton1" hidden="1">
              <a:extLst>
                <a:ext uri="{63B3BB69-23CF-44E3-9099-C40C66FF867C}">
                  <a14:compatExt spid="_x0000_s28677"/>
                </a:ext>
                <a:ext uri="{FF2B5EF4-FFF2-40B4-BE49-F238E27FC236}">
                  <a16:creationId xmlns:a16="http://schemas.microsoft.com/office/drawing/2014/main" id="{00000000-0008-0000-1100-0000057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9525</xdr:colOff>
          <xdr:row>14</xdr:row>
          <xdr:rowOff>19050</xdr:rowOff>
        </xdr:from>
        <xdr:to>
          <xdr:col>8</xdr:col>
          <xdr:colOff>247650</xdr:colOff>
          <xdr:row>16</xdr:row>
          <xdr:rowOff>9525</xdr:rowOff>
        </xdr:to>
        <xdr:sp macro="" textlink="">
          <xdr:nvSpPr>
            <xdr:cNvPr id="28679" name="Button 7" hidden="1">
              <a:extLst>
                <a:ext uri="{63B3BB69-23CF-44E3-9099-C40C66FF867C}">
                  <a14:compatExt spid="_x0000_s28679"/>
                </a:ext>
                <a:ext uri="{FF2B5EF4-FFF2-40B4-BE49-F238E27FC236}">
                  <a16:creationId xmlns:a16="http://schemas.microsoft.com/office/drawing/2014/main" id="{193A3E46-98A5-4C11-74EE-C46D38B2A17C}"/>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t-BR" sz="1100" b="0" i="0" u="none" strike="noStrike" baseline="0">
                  <a:solidFill>
                    <a:srgbClr val="000000"/>
                  </a:solidFill>
                  <a:latin typeface="Calibri"/>
                  <a:ea typeface="Calibri"/>
                  <a:cs typeface="Calibri"/>
                </a:rPr>
                <a:t>LIMPAR</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9526</xdr:colOff>
          <xdr:row>0</xdr:row>
          <xdr:rowOff>95250</xdr:rowOff>
        </xdr:from>
        <xdr:to>
          <xdr:col>0</xdr:col>
          <xdr:colOff>1152526</xdr:colOff>
          <xdr:row>2</xdr:row>
          <xdr:rowOff>104249</xdr:rowOff>
        </xdr:to>
        <xdr:pic>
          <xdr:nvPicPr>
            <xdr:cNvPr id="3" name="Imagem 2">
              <a:extLst>
                <a:ext uri="{FF2B5EF4-FFF2-40B4-BE49-F238E27FC236}">
                  <a16:creationId xmlns:a16="http://schemas.microsoft.com/office/drawing/2014/main" id="{00000000-0008-0000-0C00-000003000000}"/>
                </a:ext>
              </a:extLst>
            </xdr:cNvPr>
            <xdr:cNvPicPr>
              <a:picLocks noChangeAspect="1"/>
              <a:extLst>
                <a:ext uri="{84589F7E-364E-4C9E-8A38-B11213B215E9}">
                  <a14:cameraTool cellRange="IMAGENS" spid="_x0000_s566637"/>
                </a:ext>
              </a:extLst>
            </xdr:cNvPicPr>
          </xdr:nvPicPr>
          <xdr:blipFill>
            <a:blip xmlns:r="http://schemas.openxmlformats.org/officeDocument/2006/relationships" r:embed="rId1"/>
            <a:stretch>
              <a:fillRect/>
            </a:stretch>
          </xdr:blipFill>
          <xdr:spPr>
            <a:xfrm>
              <a:off x="9526" y="95250"/>
              <a:ext cx="1143000" cy="428099"/>
            </a:xfrm>
            <a:prstGeom prst="rect">
              <a:avLst/>
            </a:prstGeom>
          </xdr:spPr>
        </xdr:pic>
        <xdr:clientData/>
      </xdr:twoCellAnchor>
    </mc:Choice>
    <mc:Fallback/>
  </mc:AlternateContent>
  <xdr:twoCellAnchor editAs="oneCell">
    <xdr:from>
      <xdr:col>8</xdr:col>
      <xdr:colOff>304800</xdr:colOff>
      <xdr:row>0</xdr:row>
      <xdr:rowOff>57150</xdr:rowOff>
    </xdr:from>
    <xdr:to>
      <xdr:col>8</xdr:col>
      <xdr:colOff>1362075</xdr:colOff>
      <xdr:row>2</xdr:row>
      <xdr:rowOff>105396</xdr:rowOff>
    </xdr:to>
    <xdr:pic>
      <xdr:nvPicPr>
        <xdr:cNvPr id="2" name="Imagem 1">
          <a:extLst>
            <a:ext uri="{FF2B5EF4-FFF2-40B4-BE49-F238E27FC236}">
              <a16:creationId xmlns:a16="http://schemas.microsoft.com/office/drawing/2014/main" id="{287BE28B-F547-4F8F-B298-1909014F8646}"/>
            </a:ext>
          </a:extLst>
        </xdr:cNvPr>
        <xdr:cNvPicPr>
          <a:picLocks noChangeAspect="1"/>
        </xdr:cNvPicPr>
      </xdr:nvPicPr>
      <xdr:blipFill>
        <a:blip xmlns:r="http://schemas.openxmlformats.org/officeDocument/2006/relationships" r:embed="rId2"/>
        <a:stretch>
          <a:fillRect/>
        </a:stretch>
      </xdr:blipFill>
      <xdr:spPr>
        <a:xfrm>
          <a:off x="10086975" y="57150"/>
          <a:ext cx="1057275" cy="46734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180975</xdr:colOff>
      <xdr:row>0</xdr:row>
      <xdr:rowOff>0</xdr:rowOff>
    </xdr:from>
    <xdr:to>
      <xdr:col>8</xdr:col>
      <xdr:colOff>0</xdr:colOff>
      <xdr:row>0</xdr:row>
      <xdr:rowOff>0</xdr:rowOff>
    </xdr:to>
    <xdr:sp macro="" textlink="">
      <xdr:nvSpPr>
        <xdr:cNvPr id="2" name="Text Box 3">
          <a:extLst>
            <a:ext uri="{FF2B5EF4-FFF2-40B4-BE49-F238E27FC236}">
              <a16:creationId xmlns:a16="http://schemas.microsoft.com/office/drawing/2014/main" id="{B1B2A88D-65AB-4CE7-960B-B23F0D79B9F1}"/>
            </a:ext>
          </a:extLst>
        </xdr:cNvPr>
        <xdr:cNvSpPr txBox="1">
          <a:spLocks noChangeArrowheads="1"/>
        </xdr:cNvSpPr>
      </xdr:nvSpPr>
      <xdr:spPr bwMode="auto">
        <a:xfrm>
          <a:off x="1533525" y="0"/>
          <a:ext cx="9420225" cy="0"/>
        </a:xfrm>
        <a:prstGeom prst="rect">
          <a:avLst/>
        </a:prstGeom>
        <a:solidFill>
          <a:srgbClr val="FFFFFF"/>
        </a:solidFill>
        <a:ln w="25400" algn="ctr">
          <a:noFill/>
          <a:miter lim="800000"/>
          <a:headEnd/>
          <a:tailEnd/>
        </a:ln>
      </xdr:spPr>
      <xdr:txBody>
        <a:bodyPr vertOverflow="clip" wrap="square" lIns="27432" tIns="22860" rIns="0" bIns="0" anchor="ctr" upright="1"/>
        <a:lstStyle/>
        <a:p>
          <a:pPr algn="ctr" rtl="0">
            <a:defRPr sz="1000"/>
          </a:pPr>
          <a:r>
            <a:rPr lang="pt-BR" sz="1100" b="1" i="0" u="none" strike="noStrike" baseline="0">
              <a:solidFill>
                <a:srgbClr val="000000"/>
              </a:solidFill>
              <a:latin typeface="Arial"/>
              <a:cs typeface="Arial"/>
            </a:rPr>
            <a:t>GOVERNO DO ESTADO DE MATO GROSSO DO SUL</a:t>
          </a:r>
        </a:p>
        <a:p>
          <a:pPr algn="ctr" rtl="0">
            <a:defRPr sz="1000"/>
          </a:pPr>
          <a:r>
            <a:rPr lang="pt-BR" sz="1100" b="1" i="0" u="none" strike="noStrike" baseline="0">
              <a:solidFill>
                <a:srgbClr val="000000"/>
              </a:solidFill>
              <a:latin typeface="Arial"/>
              <a:cs typeface="Arial"/>
            </a:rPr>
            <a:t>SECRETARIA DE ESTADO DE OBRAS PÚBLICAS E DE TRANSPORTES - SEOP</a:t>
          </a:r>
        </a:p>
        <a:p>
          <a:pPr algn="ctr" rtl="0">
            <a:defRPr sz="1000"/>
          </a:pPr>
          <a:r>
            <a:rPr lang="pt-BR" sz="1100" b="1" i="0" u="none" strike="noStrike" baseline="0">
              <a:solidFill>
                <a:srgbClr val="000000"/>
              </a:solidFill>
              <a:latin typeface="Arial"/>
              <a:cs typeface="Arial"/>
            </a:rPr>
            <a:t>AGÊNCIA ESTADUAL DE GESTÃO DE EMPREENDIMENTOS - AGESUL</a:t>
          </a:r>
        </a:p>
      </xdr:txBody>
    </xdr:sp>
    <xdr:clientData/>
  </xdr:twoCellAnchor>
  <xdr:twoCellAnchor editAs="oneCell">
    <xdr:from>
      <xdr:col>1</xdr:col>
      <xdr:colOff>0</xdr:colOff>
      <xdr:row>8</xdr:row>
      <xdr:rowOff>0</xdr:rowOff>
    </xdr:from>
    <xdr:to>
      <xdr:col>1</xdr:col>
      <xdr:colOff>304800</xdr:colOff>
      <xdr:row>9</xdr:row>
      <xdr:rowOff>131079</xdr:rowOff>
    </xdr:to>
    <xdr:sp macro="" textlink="">
      <xdr:nvSpPr>
        <xdr:cNvPr id="5" name="AutoShape 5" descr="Resultado de imagem para PLACA RUA">
          <a:extLst>
            <a:ext uri="{FF2B5EF4-FFF2-40B4-BE49-F238E27FC236}">
              <a16:creationId xmlns:a16="http://schemas.microsoft.com/office/drawing/2014/main" id="{847E3746-A0D3-4934-B07C-C46759A4EB0E}"/>
            </a:ext>
          </a:extLst>
        </xdr:cNvPr>
        <xdr:cNvSpPr>
          <a:spLocks noChangeAspect="1" noChangeArrowheads="1"/>
        </xdr:cNvSpPr>
      </xdr:nvSpPr>
      <xdr:spPr bwMode="auto">
        <a:xfrm>
          <a:off x="1352550" y="24917400"/>
          <a:ext cx="304800" cy="3025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8</xdr:row>
      <xdr:rowOff>0</xdr:rowOff>
    </xdr:from>
    <xdr:to>
      <xdr:col>1</xdr:col>
      <xdr:colOff>304800</xdr:colOff>
      <xdr:row>9</xdr:row>
      <xdr:rowOff>131079</xdr:rowOff>
    </xdr:to>
    <xdr:sp macro="" textlink="">
      <xdr:nvSpPr>
        <xdr:cNvPr id="6" name="AutoShape 6" descr="Resultado de imagem para PLACA RUA">
          <a:extLst>
            <a:ext uri="{FF2B5EF4-FFF2-40B4-BE49-F238E27FC236}">
              <a16:creationId xmlns:a16="http://schemas.microsoft.com/office/drawing/2014/main" id="{DB9DABB2-2410-4850-84B4-6ED5FD919923}"/>
            </a:ext>
          </a:extLst>
        </xdr:cNvPr>
        <xdr:cNvSpPr>
          <a:spLocks noChangeAspect="1" noChangeArrowheads="1"/>
        </xdr:cNvSpPr>
      </xdr:nvSpPr>
      <xdr:spPr bwMode="auto">
        <a:xfrm>
          <a:off x="1352550" y="24917400"/>
          <a:ext cx="304800" cy="30252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8</xdr:row>
      <xdr:rowOff>0</xdr:rowOff>
    </xdr:from>
    <xdr:to>
      <xdr:col>1</xdr:col>
      <xdr:colOff>304800</xdr:colOff>
      <xdr:row>9</xdr:row>
      <xdr:rowOff>126485</xdr:rowOff>
    </xdr:to>
    <xdr:sp macro="" textlink="">
      <xdr:nvSpPr>
        <xdr:cNvPr id="7" name="AutoShape 8" descr="Resultado de imagem para PLACA RUA">
          <a:extLst>
            <a:ext uri="{FF2B5EF4-FFF2-40B4-BE49-F238E27FC236}">
              <a16:creationId xmlns:a16="http://schemas.microsoft.com/office/drawing/2014/main" id="{3D464741-7FAA-4D71-83E6-12763E5F2A84}"/>
            </a:ext>
          </a:extLst>
        </xdr:cNvPr>
        <xdr:cNvSpPr>
          <a:spLocks noChangeAspect="1" noChangeArrowheads="1"/>
        </xdr:cNvSpPr>
      </xdr:nvSpPr>
      <xdr:spPr bwMode="auto">
        <a:xfrm>
          <a:off x="1352550" y="24917400"/>
          <a:ext cx="304800" cy="2979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8</xdr:row>
      <xdr:rowOff>0</xdr:rowOff>
    </xdr:from>
    <xdr:ext cx="304800" cy="303904"/>
    <xdr:sp macro="" textlink="">
      <xdr:nvSpPr>
        <xdr:cNvPr id="12" name="AutoShape 8" descr="Resultado de imagem para PLACA RUA">
          <a:extLst>
            <a:ext uri="{FF2B5EF4-FFF2-40B4-BE49-F238E27FC236}">
              <a16:creationId xmlns:a16="http://schemas.microsoft.com/office/drawing/2014/main" id="{BE137B67-225D-4BFC-86CB-308A7407CC04}"/>
            </a:ext>
          </a:extLst>
        </xdr:cNvPr>
        <xdr:cNvSpPr>
          <a:spLocks noChangeAspect="1" noChangeArrowheads="1"/>
        </xdr:cNvSpPr>
      </xdr:nvSpPr>
      <xdr:spPr bwMode="auto">
        <a:xfrm>
          <a:off x="1352550" y="24917400"/>
          <a:ext cx="304800" cy="303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304800" cy="303903"/>
    <xdr:sp macro="" textlink="">
      <xdr:nvSpPr>
        <xdr:cNvPr id="13" name="AutoShape 12" descr="Resultado de imagem para FAIXA DE PEDESTRE">
          <a:extLst>
            <a:ext uri="{FF2B5EF4-FFF2-40B4-BE49-F238E27FC236}">
              <a16:creationId xmlns:a16="http://schemas.microsoft.com/office/drawing/2014/main" id="{31A89CB0-E8CF-4BBF-8698-2D08AD2150FA}"/>
            </a:ext>
          </a:extLst>
        </xdr:cNvPr>
        <xdr:cNvSpPr>
          <a:spLocks noChangeAspect="1" noChangeArrowheads="1"/>
        </xdr:cNvSpPr>
      </xdr:nvSpPr>
      <xdr:spPr bwMode="auto">
        <a:xfrm>
          <a:off x="9877425" y="2491740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8965</xdr:colOff>
      <xdr:row>8</xdr:row>
      <xdr:rowOff>0</xdr:rowOff>
    </xdr:from>
    <xdr:ext cx="304800" cy="303903"/>
    <xdr:sp macro="" textlink="">
      <xdr:nvSpPr>
        <xdr:cNvPr id="14" name="AutoShape 13" descr="Resultado de imagem para FAIXA DE PEDESTRE">
          <a:extLst>
            <a:ext uri="{FF2B5EF4-FFF2-40B4-BE49-F238E27FC236}">
              <a16:creationId xmlns:a16="http://schemas.microsoft.com/office/drawing/2014/main" id="{82246931-4E7E-44FF-AA37-7EF35E581732}"/>
            </a:ext>
          </a:extLst>
        </xdr:cNvPr>
        <xdr:cNvSpPr>
          <a:spLocks noChangeAspect="1" noChangeArrowheads="1"/>
        </xdr:cNvSpPr>
      </xdr:nvSpPr>
      <xdr:spPr bwMode="auto">
        <a:xfrm>
          <a:off x="9886390" y="2491740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8</xdr:row>
      <xdr:rowOff>0</xdr:rowOff>
    </xdr:from>
    <xdr:ext cx="304800" cy="303904"/>
    <xdr:sp macro="" textlink="">
      <xdr:nvSpPr>
        <xdr:cNvPr id="15" name="AutoShape 8" descr="Resultado de imagem para PLACA RUA">
          <a:extLst>
            <a:ext uri="{FF2B5EF4-FFF2-40B4-BE49-F238E27FC236}">
              <a16:creationId xmlns:a16="http://schemas.microsoft.com/office/drawing/2014/main" id="{BDDA8B63-E94D-4B77-94DC-9BBEC43F0405}"/>
            </a:ext>
          </a:extLst>
        </xdr:cNvPr>
        <xdr:cNvSpPr>
          <a:spLocks noChangeAspect="1" noChangeArrowheads="1"/>
        </xdr:cNvSpPr>
      </xdr:nvSpPr>
      <xdr:spPr bwMode="auto">
        <a:xfrm>
          <a:off x="1352550" y="24917400"/>
          <a:ext cx="304800" cy="303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304800" cy="303903"/>
    <xdr:sp macro="" textlink="">
      <xdr:nvSpPr>
        <xdr:cNvPr id="16" name="AutoShape 12" descr="Resultado de imagem para FAIXA DE PEDESTRE">
          <a:extLst>
            <a:ext uri="{FF2B5EF4-FFF2-40B4-BE49-F238E27FC236}">
              <a16:creationId xmlns:a16="http://schemas.microsoft.com/office/drawing/2014/main" id="{DE9D39BA-3570-413E-976A-F4FE68251F76}"/>
            </a:ext>
          </a:extLst>
        </xdr:cNvPr>
        <xdr:cNvSpPr>
          <a:spLocks noChangeAspect="1" noChangeArrowheads="1"/>
        </xdr:cNvSpPr>
      </xdr:nvSpPr>
      <xdr:spPr bwMode="auto">
        <a:xfrm>
          <a:off x="9877425" y="2491740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8</xdr:row>
      <xdr:rowOff>0</xdr:rowOff>
    </xdr:from>
    <xdr:ext cx="304800" cy="303903"/>
    <xdr:sp macro="" textlink="">
      <xdr:nvSpPr>
        <xdr:cNvPr id="17" name="AutoShape 13" descr="Resultado de imagem para FAIXA DE PEDESTRE">
          <a:extLst>
            <a:ext uri="{FF2B5EF4-FFF2-40B4-BE49-F238E27FC236}">
              <a16:creationId xmlns:a16="http://schemas.microsoft.com/office/drawing/2014/main" id="{97EF6E2B-BD35-4043-B1C6-D6379BDE4EB2}"/>
            </a:ext>
          </a:extLst>
        </xdr:cNvPr>
        <xdr:cNvSpPr>
          <a:spLocks noChangeAspect="1" noChangeArrowheads="1"/>
        </xdr:cNvSpPr>
      </xdr:nvSpPr>
      <xdr:spPr bwMode="auto">
        <a:xfrm>
          <a:off x="9877425" y="2491740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8</xdr:row>
      <xdr:rowOff>0</xdr:rowOff>
    </xdr:from>
    <xdr:to>
      <xdr:col>4</xdr:col>
      <xdr:colOff>304800</xdr:colOff>
      <xdr:row>9</xdr:row>
      <xdr:rowOff>127381</xdr:rowOff>
    </xdr:to>
    <xdr:sp macro="" textlink="">
      <xdr:nvSpPr>
        <xdr:cNvPr id="18" name="AutoShape 18" descr="Resultado de imagem para SEMAFORO">
          <a:extLst>
            <a:ext uri="{FF2B5EF4-FFF2-40B4-BE49-F238E27FC236}">
              <a16:creationId xmlns:a16="http://schemas.microsoft.com/office/drawing/2014/main" id="{5DE8F6E6-4B25-4E76-8AA1-5006BDB344BB}"/>
            </a:ext>
          </a:extLst>
        </xdr:cNvPr>
        <xdr:cNvSpPr>
          <a:spLocks noChangeAspect="1" noChangeArrowheads="1"/>
        </xdr:cNvSpPr>
      </xdr:nvSpPr>
      <xdr:spPr bwMode="auto">
        <a:xfrm>
          <a:off x="5267325" y="24917400"/>
          <a:ext cx="304800" cy="2988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8</xdr:row>
      <xdr:rowOff>0</xdr:rowOff>
    </xdr:from>
    <xdr:to>
      <xdr:col>4</xdr:col>
      <xdr:colOff>304800</xdr:colOff>
      <xdr:row>9</xdr:row>
      <xdr:rowOff>127381</xdr:rowOff>
    </xdr:to>
    <xdr:sp macro="" textlink="">
      <xdr:nvSpPr>
        <xdr:cNvPr id="19" name="AutoShape 19" descr="Resultado de imagem para SEMAFORO">
          <a:extLst>
            <a:ext uri="{FF2B5EF4-FFF2-40B4-BE49-F238E27FC236}">
              <a16:creationId xmlns:a16="http://schemas.microsoft.com/office/drawing/2014/main" id="{49C659FA-7CF5-4143-91CF-14A9534F7D13}"/>
            </a:ext>
          </a:extLst>
        </xdr:cNvPr>
        <xdr:cNvSpPr>
          <a:spLocks noChangeAspect="1" noChangeArrowheads="1"/>
        </xdr:cNvSpPr>
      </xdr:nvSpPr>
      <xdr:spPr bwMode="auto">
        <a:xfrm>
          <a:off x="5267325" y="24917400"/>
          <a:ext cx="304800" cy="2988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1</xdr:colOff>
          <xdr:row>0</xdr:row>
          <xdr:rowOff>57151</xdr:rowOff>
        </xdr:from>
        <xdr:to>
          <xdr:col>0</xdr:col>
          <xdr:colOff>1302949</xdr:colOff>
          <xdr:row>2</xdr:row>
          <xdr:rowOff>85726</xdr:rowOff>
        </xdr:to>
        <xdr:pic>
          <xdr:nvPicPr>
            <xdr:cNvPr id="43" name="Imagem 42">
              <a:extLst>
                <a:ext uri="{FF2B5EF4-FFF2-40B4-BE49-F238E27FC236}">
                  <a16:creationId xmlns:a16="http://schemas.microsoft.com/office/drawing/2014/main" id="{C5A91852-A1B4-426D-9498-0EB8F370F4B7}"/>
                </a:ext>
              </a:extLst>
            </xdr:cNvPr>
            <xdr:cNvPicPr>
              <a:picLocks noChangeAspect="1"/>
              <a:extLst>
                <a:ext uri="{84589F7E-364E-4C9E-8A38-B11213B215E9}">
                  <a14:cameraTool cellRange="IMAGENS" spid="_x0000_s589121"/>
                </a:ext>
              </a:extLst>
            </xdr:cNvPicPr>
          </xdr:nvPicPr>
          <xdr:blipFill>
            <a:blip xmlns:r="http://schemas.openxmlformats.org/officeDocument/2006/relationships" r:embed="rId1"/>
            <a:stretch>
              <a:fillRect/>
            </a:stretch>
          </xdr:blipFill>
          <xdr:spPr>
            <a:xfrm>
              <a:off x="1" y="57151"/>
              <a:ext cx="1302948" cy="476250"/>
            </a:xfrm>
            <a:prstGeom prst="rect">
              <a:avLst/>
            </a:prstGeom>
          </xdr:spPr>
        </xdr:pic>
        <xdr:clientData/>
      </xdr:twoCellAnchor>
    </mc:Choice>
    <mc:Fallback/>
  </mc:AlternateContent>
  <xdr:twoCellAnchor editAs="oneCell">
    <xdr:from>
      <xdr:col>14</xdr:col>
      <xdr:colOff>245969</xdr:colOff>
      <xdr:row>0</xdr:row>
      <xdr:rowOff>87406</xdr:rowOff>
    </xdr:from>
    <xdr:to>
      <xdr:col>14</xdr:col>
      <xdr:colOff>1303804</xdr:colOff>
      <xdr:row>2</xdr:row>
      <xdr:rowOff>107077</xdr:rowOff>
    </xdr:to>
    <xdr:pic>
      <xdr:nvPicPr>
        <xdr:cNvPr id="44" name="Imagem 43">
          <a:extLst>
            <a:ext uri="{FF2B5EF4-FFF2-40B4-BE49-F238E27FC236}">
              <a16:creationId xmlns:a16="http://schemas.microsoft.com/office/drawing/2014/main" id="{1614B882-E8D7-495A-A3B3-43E1BCED21AC}"/>
            </a:ext>
          </a:extLst>
        </xdr:cNvPr>
        <xdr:cNvPicPr>
          <a:picLocks noChangeAspect="1"/>
        </xdr:cNvPicPr>
      </xdr:nvPicPr>
      <xdr:blipFill>
        <a:blip xmlns:r="http://schemas.openxmlformats.org/officeDocument/2006/relationships" r:embed="rId2"/>
        <a:stretch>
          <a:fillRect/>
        </a:stretch>
      </xdr:blipFill>
      <xdr:spPr>
        <a:xfrm>
          <a:off x="17065998" y="87406"/>
          <a:ext cx="1057835" cy="467906"/>
        </a:xfrm>
        <a:prstGeom prst="rect">
          <a:avLst/>
        </a:prstGeom>
      </xdr:spPr>
    </xdr:pic>
    <xdr:clientData/>
  </xdr:twoCellAnchor>
  <xdr:oneCellAnchor>
    <xdr:from>
      <xdr:col>0</xdr:col>
      <xdr:colOff>276225</xdr:colOff>
      <xdr:row>15</xdr:row>
      <xdr:rowOff>133350</xdr:rowOff>
    </xdr:from>
    <xdr:ext cx="714375" cy="714375"/>
    <xdr:pic>
      <xdr:nvPicPr>
        <xdr:cNvPr id="45" name="756625">
          <a:extLst>
            <a:ext uri="{FF2B5EF4-FFF2-40B4-BE49-F238E27FC236}">
              <a16:creationId xmlns:a16="http://schemas.microsoft.com/office/drawing/2014/main" id="{0917B82D-5DC5-4B88-AC50-FC1CDEC75006}"/>
            </a:ext>
          </a:extLst>
        </xdr:cNvPr>
        <xdr:cNvPicPr>
          <a:picLocks noChangeAspect="1"/>
        </xdr:cNvPicPr>
      </xdr:nvPicPr>
      <xdr:blipFill>
        <a:blip xmlns:r="http://schemas.openxmlformats.org/officeDocument/2006/relationships" r:embed="rId3" cstate="print"/>
        <a:stretch>
          <a:fillRect/>
        </a:stretch>
      </xdr:blipFill>
      <xdr:spPr>
        <a:xfrm>
          <a:off x="276225" y="2781300"/>
          <a:ext cx="714375" cy="714375"/>
        </a:xfrm>
        <a:prstGeom prst="rect">
          <a:avLst/>
        </a:prstGeom>
      </xdr:spPr>
    </xdr:pic>
    <xdr:clientData/>
  </xdr:oneCellAnchor>
  <xdr:oneCellAnchor>
    <xdr:from>
      <xdr:col>3</xdr:col>
      <xdr:colOff>282388</xdr:colOff>
      <xdr:row>15</xdr:row>
      <xdr:rowOff>47064</xdr:rowOff>
    </xdr:from>
    <xdr:ext cx="714375" cy="714375"/>
    <xdr:pic>
      <xdr:nvPicPr>
        <xdr:cNvPr id="46" name="234526">
          <a:extLst>
            <a:ext uri="{FF2B5EF4-FFF2-40B4-BE49-F238E27FC236}">
              <a16:creationId xmlns:a16="http://schemas.microsoft.com/office/drawing/2014/main" id="{2464D8DC-1EDC-4884-BBFB-394635783AA3}"/>
            </a:ext>
          </a:extLst>
        </xdr:cNvPr>
        <xdr:cNvPicPr>
          <a:picLocks noChangeAspect="1"/>
        </xdr:cNvPicPr>
      </xdr:nvPicPr>
      <xdr:blipFill>
        <a:blip xmlns:r="http://schemas.openxmlformats.org/officeDocument/2006/relationships" r:embed="rId4" cstate="print"/>
        <a:stretch>
          <a:fillRect/>
        </a:stretch>
      </xdr:blipFill>
      <xdr:spPr>
        <a:xfrm>
          <a:off x="4226859" y="3139888"/>
          <a:ext cx="714375" cy="714375"/>
        </a:xfrm>
        <a:prstGeom prst="rect">
          <a:avLst/>
        </a:prstGeom>
      </xdr:spPr>
    </xdr:pic>
    <xdr:clientData/>
  </xdr:oneCellAnchor>
  <xdr:oneCellAnchor>
    <xdr:from>
      <xdr:col>6</xdr:col>
      <xdr:colOff>226358</xdr:colOff>
      <xdr:row>15</xdr:row>
      <xdr:rowOff>91888</xdr:rowOff>
    </xdr:from>
    <xdr:ext cx="714375" cy="714375"/>
    <xdr:pic>
      <xdr:nvPicPr>
        <xdr:cNvPr id="47" name="844539">
          <a:extLst>
            <a:ext uri="{FF2B5EF4-FFF2-40B4-BE49-F238E27FC236}">
              <a16:creationId xmlns:a16="http://schemas.microsoft.com/office/drawing/2014/main" id="{5DA884B4-E5A8-43C2-9252-88FA43F452C9}"/>
            </a:ext>
          </a:extLst>
        </xdr:cNvPr>
        <xdr:cNvPicPr>
          <a:picLocks noChangeAspect="1"/>
        </xdr:cNvPicPr>
      </xdr:nvPicPr>
      <xdr:blipFill>
        <a:blip xmlns:r="http://schemas.openxmlformats.org/officeDocument/2006/relationships" r:embed="rId5" cstate="print"/>
        <a:stretch>
          <a:fillRect/>
        </a:stretch>
      </xdr:blipFill>
      <xdr:spPr>
        <a:xfrm>
          <a:off x="8529917" y="3184712"/>
          <a:ext cx="714375" cy="714375"/>
        </a:xfrm>
        <a:prstGeom prst="rect">
          <a:avLst/>
        </a:prstGeom>
      </xdr:spPr>
    </xdr:pic>
    <xdr:clientData/>
  </xdr:oneCellAnchor>
  <xdr:oneCellAnchor>
    <xdr:from>
      <xdr:col>9</xdr:col>
      <xdr:colOff>114300</xdr:colOff>
      <xdr:row>15</xdr:row>
      <xdr:rowOff>114300</xdr:rowOff>
    </xdr:from>
    <xdr:ext cx="714375" cy="714375"/>
    <xdr:pic>
      <xdr:nvPicPr>
        <xdr:cNvPr id="48" name="585028">
          <a:extLst>
            <a:ext uri="{FF2B5EF4-FFF2-40B4-BE49-F238E27FC236}">
              <a16:creationId xmlns:a16="http://schemas.microsoft.com/office/drawing/2014/main" id="{8B6F6DB4-5271-426F-8D62-0FD458B5D446}"/>
            </a:ext>
          </a:extLst>
        </xdr:cNvPr>
        <xdr:cNvPicPr>
          <a:picLocks noChangeAspect="1"/>
        </xdr:cNvPicPr>
      </xdr:nvPicPr>
      <xdr:blipFill>
        <a:blip xmlns:r="http://schemas.openxmlformats.org/officeDocument/2006/relationships" r:embed="rId6" cstate="print"/>
        <a:stretch>
          <a:fillRect/>
        </a:stretch>
      </xdr:blipFill>
      <xdr:spPr>
        <a:xfrm>
          <a:off x="10420350" y="419100"/>
          <a:ext cx="714375" cy="714375"/>
        </a:xfrm>
        <a:prstGeom prst="rect">
          <a:avLst/>
        </a:prstGeom>
      </xdr:spPr>
    </xdr:pic>
    <xdr:clientData/>
  </xdr:oneCellAnchor>
  <xdr:oneCellAnchor>
    <xdr:from>
      <xdr:col>11</xdr:col>
      <xdr:colOff>1748118</xdr:colOff>
      <xdr:row>15</xdr:row>
      <xdr:rowOff>238125</xdr:rowOff>
    </xdr:from>
    <xdr:ext cx="952500" cy="476250"/>
    <xdr:pic>
      <xdr:nvPicPr>
        <xdr:cNvPr id="49" name="908644">
          <a:extLst>
            <a:ext uri="{FF2B5EF4-FFF2-40B4-BE49-F238E27FC236}">
              <a16:creationId xmlns:a16="http://schemas.microsoft.com/office/drawing/2014/main" id="{FA85BEF4-C3D8-429D-8D11-7B6A72FD33C2}"/>
            </a:ext>
          </a:extLst>
        </xdr:cNvPr>
        <xdr:cNvPicPr>
          <a:picLocks noChangeAspect="1"/>
        </xdr:cNvPicPr>
      </xdr:nvPicPr>
      <xdr:blipFill>
        <a:blip xmlns:r="http://schemas.openxmlformats.org/officeDocument/2006/relationships" r:embed="rId7" cstate="print"/>
        <a:stretch>
          <a:fillRect/>
        </a:stretch>
      </xdr:blipFill>
      <xdr:spPr>
        <a:xfrm>
          <a:off x="15419294" y="3330949"/>
          <a:ext cx="952500" cy="476250"/>
        </a:xfrm>
        <a:prstGeom prst="rect">
          <a:avLst/>
        </a:prstGeom>
      </xdr:spPr>
    </xdr:pic>
    <xdr:clientData/>
  </xdr:oneCellAnchor>
  <xdr:oneCellAnchor>
    <xdr:from>
      <xdr:col>0</xdr:col>
      <xdr:colOff>276225</xdr:colOff>
      <xdr:row>16</xdr:row>
      <xdr:rowOff>133350</xdr:rowOff>
    </xdr:from>
    <xdr:ext cx="714375" cy="714375"/>
    <xdr:pic>
      <xdr:nvPicPr>
        <xdr:cNvPr id="50" name="554755">
          <a:extLst>
            <a:ext uri="{FF2B5EF4-FFF2-40B4-BE49-F238E27FC236}">
              <a16:creationId xmlns:a16="http://schemas.microsoft.com/office/drawing/2014/main" id="{65E71171-0767-4964-965D-7FC966288D2B}"/>
            </a:ext>
          </a:extLst>
        </xdr:cNvPr>
        <xdr:cNvPicPr>
          <a:picLocks noChangeAspect="1"/>
        </xdr:cNvPicPr>
      </xdr:nvPicPr>
      <xdr:blipFill>
        <a:blip xmlns:r="http://schemas.openxmlformats.org/officeDocument/2006/relationships" r:embed="rId8" cstate="print"/>
        <a:stretch>
          <a:fillRect/>
        </a:stretch>
      </xdr:blipFill>
      <xdr:spPr>
        <a:xfrm>
          <a:off x="276225" y="3733800"/>
          <a:ext cx="714375" cy="714375"/>
        </a:xfrm>
        <a:prstGeom prst="rect">
          <a:avLst/>
        </a:prstGeom>
      </xdr:spPr>
    </xdr:pic>
    <xdr:clientData/>
  </xdr:oneCellAnchor>
  <xdr:oneCellAnchor>
    <xdr:from>
      <xdr:col>6</xdr:col>
      <xdr:colOff>226358</xdr:colOff>
      <xdr:row>16</xdr:row>
      <xdr:rowOff>91888</xdr:rowOff>
    </xdr:from>
    <xdr:ext cx="714375" cy="714375"/>
    <xdr:pic>
      <xdr:nvPicPr>
        <xdr:cNvPr id="51" name="549719">
          <a:extLst>
            <a:ext uri="{FF2B5EF4-FFF2-40B4-BE49-F238E27FC236}">
              <a16:creationId xmlns:a16="http://schemas.microsoft.com/office/drawing/2014/main" id="{7D924A7B-ECC7-4410-A741-A86C8BD3D104}"/>
            </a:ext>
          </a:extLst>
        </xdr:cNvPr>
        <xdr:cNvPicPr>
          <a:picLocks noChangeAspect="1"/>
        </xdr:cNvPicPr>
      </xdr:nvPicPr>
      <xdr:blipFill>
        <a:blip xmlns:r="http://schemas.openxmlformats.org/officeDocument/2006/relationships" r:embed="rId9" cstate="print"/>
        <a:stretch>
          <a:fillRect/>
        </a:stretch>
      </xdr:blipFill>
      <xdr:spPr>
        <a:xfrm>
          <a:off x="8529917" y="4137212"/>
          <a:ext cx="714375" cy="714375"/>
        </a:xfrm>
        <a:prstGeom prst="rect">
          <a:avLst/>
        </a:prstGeom>
      </xdr:spPr>
    </xdr:pic>
    <xdr:clientData/>
  </xdr:oneCellAnchor>
  <xdr:oneCellAnchor>
    <xdr:from>
      <xdr:col>9</xdr:col>
      <xdr:colOff>114300</xdr:colOff>
      <xdr:row>16</xdr:row>
      <xdr:rowOff>114300</xdr:rowOff>
    </xdr:from>
    <xdr:ext cx="714375" cy="714375"/>
    <xdr:pic>
      <xdr:nvPicPr>
        <xdr:cNvPr id="52" name="984723">
          <a:extLst>
            <a:ext uri="{FF2B5EF4-FFF2-40B4-BE49-F238E27FC236}">
              <a16:creationId xmlns:a16="http://schemas.microsoft.com/office/drawing/2014/main" id="{27D9B288-689B-4CE1-A831-F319184B7961}"/>
            </a:ext>
          </a:extLst>
        </xdr:cNvPr>
        <xdr:cNvPicPr>
          <a:picLocks noChangeAspect="1"/>
        </xdr:cNvPicPr>
      </xdr:nvPicPr>
      <xdr:blipFill>
        <a:blip xmlns:r="http://schemas.openxmlformats.org/officeDocument/2006/relationships" r:embed="rId10" cstate="print"/>
        <a:stretch>
          <a:fillRect/>
        </a:stretch>
      </xdr:blipFill>
      <xdr:spPr>
        <a:xfrm>
          <a:off x="10420350" y="1371600"/>
          <a:ext cx="714375" cy="714375"/>
        </a:xfrm>
        <a:prstGeom prst="rect">
          <a:avLst/>
        </a:prstGeom>
      </xdr:spPr>
    </xdr:pic>
    <xdr:clientData/>
  </xdr:oneCellAnchor>
  <xdr:oneCellAnchor>
    <xdr:from>
      <xdr:col>12</xdr:col>
      <xdr:colOff>0</xdr:colOff>
      <xdr:row>16</xdr:row>
      <xdr:rowOff>238125</xdr:rowOff>
    </xdr:from>
    <xdr:ext cx="952500" cy="476250"/>
    <xdr:pic>
      <xdr:nvPicPr>
        <xdr:cNvPr id="53" name="301133">
          <a:extLst>
            <a:ext uri="{FF2B5EF4-FFF2-40B4-BE49-F238E27FC236}">
              <a16:creationId xmlns:a16="http://schemas.microsoft.com/office/drawing/2014/main" id="{6D757FB5-494E-4A78-9C7F-88F4A9C0BDDE}"/>
            </a:ext>
          </a:extLst>
        </xdr:cNvPr>
        <xdr:cNvPicPr>
          <a:picLocks noChangeAspect="1"/>
        </xdr:cNvPicPr>
      </xdr:nvPicPr>
      <xdr:blipFill>
        <a:blip xmlns:r="http://schemas.openxmlformats.org/officeDocument/2006/relationships" r:embed="rId11" cstate="print"/>
        <a:stretch>
          <a:fillRect/>
        </a:stretch>
      </xdr:blipFill>
      <xdr:spPr>
        <a:xfrm>
          <a:off x="13649325" y="1495425"/>
          <a:ext cx="952500" cy="476250"/>
        </a:xfrm>
        <a:prstGeom prst="rect">
          <a:avLst/>
        </a:prstGeom>
      </xdr:spPr>
    </xdr:pic>
    <xdr:clientData/>
  </xdr:oneCellAnchor>
  <xdr:oneCellAnchor>
    <xdr:from>
      <xdr:col>0</xdr:col>
      <xdr:colOff>276225</xdr:colOff>
      <xdr:row>17</xdr:row>
      <xdr:rowOff>133350</xdr:rowOff>
    </xdr:from>
    <xdr:ext cx="714375" cy="714375"/>
    <xdr:pic>
      <xdr:nvPicPr>
        <xdr:cNvPr id="54" name="267911">
          <a:extLst>
            <a:ext uri="{FF2B5EF4-FFF2-40B4-BE49-F238E27FC236}">
              <a16:creationId xmlns:a16="http://schemas.microsoft.com/office/drawing/2014/main" id="{B5891F1B-96BC-4D0D-A896-636F0BB269D6}"/>
            </a:ext>
          </a:extLst>
        </xdr:cNvPr>
        <xdr:cNvPicPr>
          <a:picLocks noChangeAspect="1"/>
        </xdr:cNvPicPr>
      </xdr:nvPicPr>
      <xdr:blipFill>
        <a:blip xmlns:r="http://schemas.openxmlformats.org/officeDocument/2006/relationships" r:embed="rId12" cstate="print"/>
        <a:stretch>
          <a:fillRect/>
        </a:stretch>
      </xdr:blipFill>
      <xdr:spPr>
        <a:xfrm>
          <a:off x="276225" y="4686300"/>
          <a:ext cx="714375" cy="714375"/>
        </a:xfrm>
        <a:prstGeom prst="rect">
          <a:avLst/>
        </a:prstGeom>
      </xdr:spPr>
    </xdr:pic>
    <xdr:clientData/>
  </xdr:oneCellAnchor>
  <xdr:oneCellAnchor>
    <xdr:from>
      <xdr:col>6</xdr:col>
      <xdr:colOff>226358</xdr:colOff>
      <xdr:row>17</xdr:row>
      <xdr:rowOff>91888</xdr:rowOff>
    </xdr:from>
    <xdr:ext cx="714375" cy="714375"/>
    <xdr:pic>
      <xdr:nvPicPr>
        <xdr:cNvPr id="55" name="710874">
          <a:extLst>
            <a:ext uri="{FF2B5EF4-FFF2-40B4-BE49-F238E27FC236}">
              <a16:creationId xmlns:a16="http://schemas.microsoft.com/office/drawing/2014/main" id="{E78CCCBF-ABA7-4A38-AD58-50AB6C7C8902}"/>
            </a:ext>
          </a:extLst>
        </xdr:cNvPr>
        <xdr:cNvPicPr>
          <a:picLocks noChangeAspect="1"/>
        </xdr:cNvPicPr>
      </xdr:nvPicPr>
      <xdr:blipFill>
        <a:blip xmlns:r="http://schemas.openxmlformats.org/officeDocument/2006/relationships" r:embed="rId13" cstate="print"/>
        <a:stretch>
          <a:fillRect/>
        </a:stretch>
      </xdr:blipFill>
      <xdr:spPr>
        <a:xfrm>
          <a:off x="8529917" y="5089712"/>
          <a:ext cx="714375" cy="714375"/>
        </a:xfrm>
        <a:prstGeom prst="rect">
          <a:avLst/>
        </a:prstGeom>
      </xdr:spPr>
    </xdr:pic>
    <xdr:clientData/>
  </xdr:oneCellAnchor>
  <xdr:oneCellAnchor>
    <xdr:from>
      <xdr:col>0</xdr:col>
      <xdr:colOff>276225</xdr:colOff>
      <xdr:row>18</xdr:row>
      <xdr:rowOff>133350</xdr:rowOff>
    </xdr:from>
    <xdr:ext cx="714375" cy="714375"/>
    <xdr:pic>
      <xdr:nvPicPr>
        <xdr:cNvPr id="56" name="192944">
          <a:extLst>
            <a:ext uri="{FF2B5EF4-FFF2-40B4-BE49-F238E27FC236}">
              <a16:creationId xmlns:a16="http://schemas.microsoft.com/office/drawing/2014/main" id="{5EB57FFD-8D7F-459A-AD8F-8268F0FBDFE4}"/>
            </a:ext>
          </a:extLst>
        </xdr:cNvPr>
        <xdr:cNvPicPr>
          <a:picLocks noChangeAspect="1"/>
        </xdr:cNvPicPr>
      </xdr:nvPicPr>
      <xdr:blipFill>
        <a:blip xmlns:r="http://schemas.openxmlformats.org/officeDocument/2006/relationships" r:embed="rId14" cstate="print"/>
        <a:stretch>
          <a:fillRect/>
        </a:stretch>
      </xdr:blipFill>
      <xdr:spPr>
        <a:xfrm>
          <a:off x="276225" y="5638800"/>
          <a:ext cx="714375" cy="714375"/>
        </a:xfrm>
        <a:prstGeom prst="rect">
          <a:avLst/>
        </a:prstGeom>
      </xdr:spPr>
    </xdr:pic>
    <xdr:clientData/>
  </xdr:oneCellAnchor>
  <xdr:oneCellAnchor>
    <xdr:from>
      <xdr:col>6</xdr:col>
      <xdr:colOff>226358</xdr:colOff>
      <xdr:row>18</xdr:row>
      <xdr:rowOff>91888</xdr:rowOff>
    </xdr:from>
    <xdr:ext cx="714375" cy="714375"/>
    <xdr:pic>
      <xdr:nvPicPr>
        <xdr:cNvPr id="57" name="477422">
          <a:extLst>
            <a:ext uri="{FF2B5EF4-FFF2-40B4-BE49-F238E27FC236}">
              <a16:creationId xmlns:a16="http://schemas.microsoft.com/office/drawing/2014/main" id="{287613E5-B6C6-4AE5-8A42-9D9F7A9FAA0F}"/>
            </a:ext>
          </a:extLst>
        </xdr:cNvPr>
        <xdr:cNvPicPr>
          <a:picLocks noChangeAspect="1"/>
        </xdr:cNvPicPr>
      </xdr:nvPicPr>
      <xdr:blipFill>
        <a:blip xmlns:r="http://schemas.openxmlformats.org/officeDocument/2006/relationships" r:embed="rId15" cstate="print"/>
        <a:stretch>
          <a:fillRect/>
        </a:stretch>
      </xdr:blipFill>
      <xdr:spPr>
        <a:xfrm>
          <a:off x="8529917" y="6042212"/>
          <a:ext cx="714375" cy="714375"/>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twoCellAnchor editAs="oneCell">
    <xdr:from>
      <xdr:col>18</xdr:col>
      <xdr:colOff>215712</xdr:colOff>
      <xdr:row>22</xdr:row>
      <xdr:rowOff>161365</xdr:rowOff>
    </xdr:from>
    <xdr:to>
      <xdr:col>20</xdr:col>
      <xdr:colOff>797860</xdr:colOff>
      <xdr:row>28</xdr:row>
      <xdr:rowOff>167379</xdr:rowOff>
    </xdr:to>
    <xdr:pic>
      <xdr:nvPicPr>
        <xdr:cNvPr id="2" name="Picture 4">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4460630" y="4885765"/>
          <a:ext cx="2590241" cy="1120439"/>
        </a:xfrm>
        <a:prstGeom prst="rect">
          <a:avLst/>
        </a:prstGeom>
        <a:solidFill>
          <a:srgbClr val="FFFFFF"/>
        </a:solidFill>
        <a:ln w="9525">
          <a:solidFill>
            <a:srgbClr val="000000"/>
          </a:solidFill>
          <a:miter lim="800000"/>
          <a:headEnd/>
          <a:tailEnd/>
        </a:ln>
      </xdr:spPr>
    </xdr:pic>
    <xdr:clientData/>
  </xdr:twoCellAnchor>
  <xdr:twoCellAnchor editAs="oneCell">
    <xdr:from>
      <xdr:col>18</xdr:col>
      <xdr:colOff>350184</xdr:colOff>
      <xdr:row>7</xdr:row>
      <xdr:rowOff>377077</xdr:rowOff>
    </xdr:from>
    <xdr:to>
      <xdr:col>20</xdr:col>
      <xdr:colOff>659989</xdr:colOff>
      <xdr:row>9</xdr:row>
      <xdr:rowOff>61854</xdr:rowOff>
    </xdr:to>
    <xdr:pic>
      <xdr:nvPicPr>
        <xdr:cNvPr id="5" name="Imagem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2"/>
        <a:stretch>
          <a:fillRect/>
        </a:stretch>
      </xdr:blipFill>
      <xdr:spPr>
        <a:xfrm>
          <a:off x="15294909" y="1958227"/>
          <a:ext cx="2271954" cy="446777"/>
        </a:xfrm>
        <a:prstGeom prst="rect">
          <a:avLst/>
        </a:prstGeom>
      </xdr:spPr>
    </xdr:pic>
    <xdr:clientData/>
  </xdr:twoCellAnchor>
  <xdr:twoCellAnchor>
    <xdr:from>
      <xdr:col>7</xdr:col>
      <xdr:colOff>188257</xdr:colOff>
      <xdr:row>8</xdr:row>
      <xdr:rowOff>8966</xdr:rowOff>
    </xdr:from>
    <xdr:to>
      <xdr:col>9</xdr:col>
      <xdr:colOff>310177</xdr:colOff>
      <xdr:row>9</xdr:row>
      <xdr:rowOff>0</xdr:rowOff>
    </xdr:to>
    <xdr:pic>
      <xdr:nvPicPr>
        <xdr:cNvPr id="6" name="Imagem 5">
          <a:extLst>
            <a:ext uri="{FF2B5EF4-FFF2-40B4-BE49-F238E27FC236}">
              <a16:creationId xmlns:a16="http://schemas.microsoft.com/office/drawing/2014/main" id="{00000000-0008-0000-0E00-000006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65692" y="1532966"/>
          <a:ext cx="1493520" cy="3675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519952</xdr:colOff>
      <xdr:row>12</xdr:row>
      <xdr:rowOff>62755</xdr:rowOff>
    </xdr:from>
    <xdr:to>
      <xdr:col>17</xdr:col>
      <xdr:colOff>125505</xdr:colOff>
      <xdr:row>14</xdr:row>
      <xdr:rowOff>10621</xdr:rowOff>
    </xdr:to>
    <xdr:pic>
      <xdr:nvPicPr>
        <xdr:cNvPr id="7" name="Imagem 6">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783670" y="2805955"/>
          <a:ext cx="1093694" cy="324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25634</xdr:colOff>
      <xdr:row>7</xdr:row>
      <xdr:rowOff>110797</xdr:rowOff>
    </xdr:from>
    <xdr:to>
      <xdr:col>14</xdr:col>
      <xdr:colOff>644197</xdr:colOff>
      <xdr:row>15</xdr:row>
      <xdr:rowOff>190360</xdr:rowOff>
    </xdr:to>
    <xdr:pic>
      <xdr:nvPicPr>
        <xdr:cNvPr id="3" name="Imagem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5"/>
        <a:stretch>
          <a:fillRect/>
        </a:stretch>
      </xdr:blipFill>
      <xdr:spPr>
        <a:xfrm>
          <a:off x="8860072" y="1682422"/>
          <a:ext cx="3785625" cy="2258407"/>
        </a:xfrm>
        <a:prstGeom prst="rect">
          <a:avLst/>
        </a:prstGeom>
      </xdr:spPr>
    </xdr:pic>
    <xdr:clientData/>
  </xdr:twoCellAnchor>
  <xdr:twoCellAnchor editAs="oneCell">
    <xdr:from>
      <xdr:col>14</xdr:col>
      <xdr:colOff>233083</xdr:colOff>
      <xdr:row>33</xdr:row>
      <xdr:rowOff>26895</xdr:rowOff>
    </xdr:from>
    <xdr:to>
      <xdr:col>16</xdr:col>
      <xdr:colOff>645460</xdr:colOff>
      <xdr:row>34</xdr:row>
      <xdr:rowOff>109269</xdr:rowOff>
    </xdr:to>
    <xdr:pic>
      <xdr:nvPicPr>
        <xdr:cNvPr id="9" name="Imagem 8">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6"/>
        <a:stretch>
          <a:fillRect/>
        </a:stretch>
      </xdr:blipFill>
      <xdr:spPr>
        <a:xfrm>
          <a:off x="11752730" y="5710519"/>
          <a:ext cx="1864659" cy="270633"/>
        </a:xfrm>
        <a:prstGeom prst="rect">
          <a:avLst/>
        </a:prstGeom>
      </xdr:spPr>
    </xdr:pic>
    <xdr:clientData/>
  </xdr:twoCellAnchor>
  <xdr:twoCellAnchor>
    <xdr:from>
      <xdr:col>15</xdr:col>
      <xdr:colOff>618565</xdr:colOff>
      <xdr:row>15</xdr:row>
      <xdr:rowOff>26893</xdr:rowOff>
    </xdr:from>
    <xdr:to>
      <xdr:col>17</xdr:col>
      <xdr:colOff>204844</xdr:colOff>
      <xdr:row>17</xdr:row>
      <xdr:rowOff>8964</xdr:rowOff>
    </xdr:to>
    <xdr:pic>
      <xdr:nvPicPr>
        <xdr:cNvPr id="10" name="Imagem 9">
          <a:extLst>
            <a:ext uri="{FF2B5EF4-FFF2-40B4-BE49-F238E27FC236}">
              <a16:creationId xmlns:a16="http://schemas.microsoft.com/office/drawing/2014/main" id="{00000000-0008-0000-0E00-00000A000000}"/>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882283" y="3334869"/>
          <a:ext cx="1074420" cy="358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533400</xdr:colOff>
      <xdr:row>7</xdr:row>
      <xdr:rowOff>76200</xdr:rowOff>
    </xdr:from>
    <xdr:to>
      <xdr:col>17</xdr:col>
      <xdr:colOff>361792</xdr:colOff>
      <xdr:row>8</xdr:row>
      <xdr:rowOff>190423</xdr:rowOff>
    </xdr:to>
    <xdr:pic>
      <xdr:nvPicPr>
        <xdr:cNvPr id="4" name="Imagem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8"/>
        <a:stretch>
          <a:fillRect/>
        </a:stretch>
      </xdr:blipFill>
      <xdr:spPr>
        <a:xfrm>
          <a:off x="13144500" y="1657350"/>
          <a:ext cx="1266667" cy="6190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419100</xdr:colOff>
          <xdr:row>0</xdr:row>
          <xdr:rowOff>57149</xdr:rowOff>
        </xdr:from>
        <xdr:to>
          <xdr:col>0</xdr:col>
          <xdr:colOff>2238375</xdr:colOff>
          <xdr:row>2</xdr:row>
          <xdr:rowOff>397816</xdr:rowOff>
        </xdr:to>
        <xdr:pic>
          <xdr:nvPicPr>
            <xdr:cNvPr id="12" name="Imagem 11">
              <a:extLst>
                <a:ext uri="{FF2B5EF4-FFF2-40B4-BE49-F238E27FC236}">
                  <a16:creationId xmlns:a16="http://schemas.microsoft.com/office/drawing/2014/main" id="{00000000-0008-0000-0E00-00000C000000}"/>
                </a:ext>
              </a:extLst>
            </xdr:cNvPr>
            <xdr:cNvPicPr>
              <a:picLocks noChangeAspect="1"/>
              <a:extLst>
                <a:ext uri="{84589F7E-364E-4C9E-8A38-B11213B215E9}">
                  <a14:cameraTool cellRange="IMAGENS" spid="_x0000_s572780"/>
                </a:ext>
              </a:extLst>
            </xdr:cNvPicPr>
          </xdr:nvPicPr>
          <xdr:blipFill>
            <a:blip xmlns:r="http://schemas.openxmlformats.org/officeDocument/2006/relationships" r:embed="rId9"/>
            <a:stretch>
              <a:fillRect/>
            </a:stretch>
          </xdr:blipFill>
          <xdr:spPr>
            <a:xfrm>
              <a:off x="419100" y="57149"/>
              <a:ext cx="1819275" cy="702617"/>
            </a:xfrm>
            <a:prstGeom prst="rect">
              <a:avLst/>
            </a:prstGeom>
          </xdr:spPr>
        </xdr:pic>
        <xdr:clientData/>
      </xdr:twoCellAnchor>
    </mc:Choice>
    <mc:Fallback/>
  </mc:AlternateContent>
  <xdr:twoCellAnchor>
    <xdr:from>
      <xdr:col>15</xdr:col>
      <xdr:colOff>519952</xdr:colOff>
      <xdr:row>12</xdr:row>
      <xdr:rowOff>62755</xdr:rowOff>
    </xdr:from>
    <xdr:to>
      <xdr:col>17</xdr:col>
      <xdr:colOff>125505</xdr:colOff>
      <xdr:row>14</xdr:row>
      <xdr:rowOff>10621</xdr:rowOff>
    </xdr:to>
    <xdr:pic>
      <xdr:nvPicPr>
        <xdr:cNvPr id="8" name="Imagem 7">
          <a:extLst>
            <a:ext uri="{FF2B5EF4-FFF2-40B4-BE49-F238E27FC236}">
              <a16:creationId xmlns:a16="http://schemas.microsoft.com/office/drawing/2014/main" id="{70387E0F-B3DA-45B2-B6CA-D1F6F39AEE8F}"/>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178927" y="3110755"/>
          <a:ext cx="1043828" cy="328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618565</xdr:colOff>
      <xdr:row>15</xdr:row>
      <xdr:rowOff>26893</xdr:rowOff>
    </xdr:from>
    <xdr:to>
      <xdr:col>17</xdr:col>
      <xdr:colOff>204844</xdr:colOff>
      <xdr:row>17</xdr:row>
      <xdr:rowOff>8964</xdr:rowOff>
    </xdr:to>
    <xdr:pic>
      <xdr:nvPicPr>
        <xdr:cNvPr id="11" name="Imagem 10">
          <a:extLst>
            <a:ext uri="{FF2B5EF4-FFF2-40B4-BE49-F238E27FC236}">
              <a16:creationId xmlns:a16="http://schemas.microsoft.com/office/drawing/2014/main" id="{9E778847-88ED-442B-8B86-18F6806DC675}"/>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277540" y="3646393"/>
          <a:ext cx="1024554" cy="363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533400</xdr:colOff>
      <xdr:row>7</xdr:row>
      <xdr:rowOff>76200</xdr:rowOff>
    </xdr:from>
    <xdr:to>
      <xdr:col>17</xdr:col>
      <xdr:colOff>361792</xdr:colOff>
      <xdr:row>8</xdr:row>
      <xdr:rowOff>190423</xdr:rowOff>
    </xdr:to>
    <xdr:pic>
      <xdr:nvPicPr>
        <xdr:cNvPr id="13" name="Imagem 12">
          <a:extLst>
            <a:ext uri="{FF2B5EF4-FFF2-40B4-BE49-F238E27FC236}">
              <a16:creationId xmlns:a16="http://schemas.microsoft.com/office/drawing/2014/main" id="{017E32F7-4F60-47E7-AEEE-CD2F6F430E24}"/>
            </a:ext>
          </a:extLst>
        </xdr:cNvPr>
        <xdr:cNvPicPr>
          <a:picLocks noChangeAspect="1"/>
        </xdr:cNvPicPr>
      </xdr:nvPicPr>
      <xdr:blipFill>
        <a:blip xmlns:r="http://schemas.openxmlformats.org/officeDocument/2006/relationships" r:embed="rId8"/>
        <a:stretch>
          <a:fillRect/>
        </a:stretch>
      </xdr:blipFill>
      <xdr:spPr>
        <a:xfrm>
          <a:off x="15192375" y="1524000"/>
          <a:ext cx="1266667" cy="61904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16650</xdr:colOff>
      <xdr:row>2</xdr:row>
      <xdr:rowOff>19050</xdr:rowOff>
    </xdr:from>
    <xdr:to>
      <xdr:col>9</xdr:col>
      <xdr:colOff>1363050</xdr:colOff>
      <xdr:row>2</xdr:row>
      <xdr:rowOff>483682</xdr:rowOff>
    </xdr:to>
    <xdr:pic>
      <xdr:nvPicPr>
        <xdr:cNvPr id="2" name="Imagem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56325" y="371475"/>
          <a:ext cx="1346400" cy="464632"/>
        </a:xfrm>
        <a:prstGeom prst="rect">
          <a:avLst/>
        </a:prstGeom>
      </xdr:spPr>
    </xdr:pic>
    <xdr:clientData/>
  </xdr:twoCellAnchor>
  <xdr:twoCellAnchor editAs="oneCell">
    <xdr:from>
      <xdr:col>9</xdr:col>
      <xdr:colOff>28577</xdr:colOff>
      <xdr:row>3</xdr:row>
      <xdr:rowOff>38100</xdr:rowOff>
    </xdr:from>
    <xdr:to>
      <xdr:col>9</xdr:col>
      <xdr:colOff>1374860</xdr:colOff>
      <xdr:row>3</xdr:row>
      <xdr:rowOff>428625</xdr:rowOff>
    </xdr:to>
    <xdr:pic>
      <xdr:nvPicPr>
        <xdr:cNvPr id="3" name="Imagem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44327" y="857250"/>
          <a:ext cx="1346283" cy="390525"/>
        </a:xfrm>
        <a:prstGeom prst="rect">
          <a:avLst/>
        </a:prstGeom>
      </xdr:spPr>
    </xdr:pic>
    <xdr:clientData/>
  </xdr:twoCellAnchor>
  <xdr:twoCellAnchor editAs="oneCell">
    <xdr:from>
      <xdr:col>9</xdr:col>
      <xdr:colOff>28575</xdr:colOff>
      <xdr:row>5</xdr:row>
      <xdr:rowOff>38101</xdr:rowOff>
    </xdr:from>
    <xdr:to>
      <xdr:col>9</xdr:col>
      <xdr:colOff>1374975</xdr:colOff>
      <xdr:row>5</xdr:row>
      <xdr:rowOff>334084</xdr:rowOff>
    </xdr:to>
    <xdr:pic>
      <xdr:nvPicPr>
        <xdr:cNvPr id="4" name="Imagem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744325" y="1390651"/>
          <a:ext cx="1346400" cy="295983"/>
        </a:xfrm>
        <a:prstGeom prst="rect">
          <a:avLst/>
        </a:prstGeom>
      </xdr:spPr>
    </xdr:pic>
    <xdr:clientData/>
  </xdr:twoCellAnchor>
  <xdr:twoCellAnchor editAs="oneCell">
    <xdr:from>
      <xdr:col>9</xdr:col>
      <xdr:colOff>19050</xdr:colOff>
      <xdr:row>6</xdr:row>
      <xdr:rowOff>19051</xdr:rowOff>
    </xdr:from>
    <xdr:to>
      <xdr:col>9</xdr:col>
      <xdr:colOff>1365450</xdr:colOff>
      <xdr:row>6</xdr:row>
      <xdr:rowOff>348938</xdr:rowOff>
    </xdr:to>
    <xdr:pic>
      <xdr:nvPicPr>
        <xdr:cNvPr id="5" name="Imagem 4">
          <a:extLst>
            <a:ext uri="{FF2B5EF4-FFF2-40B4-BE49-F238E27FC236}">
              <a16:creationId xmlns:a16="http://schemas.microsoft.com/office/drawing/2014/main" id="{00000000-0008-0000-0F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734800" y="1905001"/>
          <a:ext cx="1346400" cy="329887"/>
        </a:xfrm>
        <a:prstGeom prst="rect">
          <a:avLst/>
        </a:prstGeom>
      </xdr:spPr>
    </xdr:pic>
    <xdr:clientData/>
  </xdr:twoCellAnchor>
  <xdr:twoCellAnchor editAs="oneCell">
    <xdr:from>
      <xdr:col>9</xdr:col>
      <xdr:colOff>19050</xdr:colOff>
      <xdr:row>10</xdr:row>
      <xdr:rowOff>19050</xdr:rowOff>
    </xdr:from>
    <xdr:to>
      <xdr:col>9</xdr:col>
      <xdr:colOff>1365450</xdr:colOff>
      <xdr:row>10</xdr:row>
      <xdr:rowOff>441886</xdr:rowOff>
    </xdr:to>
    <xdr:pic>
      <xdr:nvPicPr>
        <xdr:cNvPr id="6" name="Imagem 5">
          <a:extLst>
            <a:ext uri="{FF2B5EF4-FFF2-40B4-BE49-F238E27FC236}">
              <a16:creationId xmlns:a16="http://schemas.microsoft.com/office/drawing/2014/main" id="{00000000-0008-0000-0F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734800" y="2438400"/>
          <a:ext cx="1346400" cy="422836"/>
        </a:xfrm>
        <a:prstGeom prst="rect">
          <a:avLst/>
        </a:prstGeom>
      </xdr:spPr>
    </xdr:pic>
    <xdr:clientData/>
  </xdr:twoCellAnchor>
  <xdr:twoCellAnchor editAs="oneCell">
    <xdr:from>
      <xdr:col>9</xdr:col>
      <xdr:colOff>131536</xdr:colOff>
      <xdr:row>15</xdr:row>
      <xdr:rowOff>114299</xdr:rowOff>
    </xdr:from>
    <xdr:to>
      <xdr:col>9</xdr:col>
      <xdr:colOff>1189026</xdr:colOff>
      <xdr:row>15</xdr:row>
      <xdr:rowOff>457200</xdr:rowOff>
    </xdr:to>
    <xdr:pic>
      <xdr:nvPicPr>
        <xdr:cNvPr id="8" name="Imagem 7">
          <a:extLst>
            <a:ext uri="{FF2B5EF4-FFF2-40B4-BE49-F238E27FC236}">
              <a16:creationId xmlns:a16="http://schemas.microsoft.com/office/drawing/2014/main" id="{00000000-0008-0000-0F00-00000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2771211" y="6429374"/>
          <a:ext cx="1057490" cy="342901"/>
        </a:xfrm>
        <a:prstGeom prst="rect">
          <a:avLst/>
        </a:prstGeom>
      </xdr:spPr>
    </xdr:pic>
    <xdr:clientData/>
  </xdr:twoCellAnchor>
  <xdr:twoCellAnchor editAs="oneCell">
    <xdr:from>
      <xdr:col>9</xdr:col>
      <xdr:colOff>38100</xdr:colOff>
      <xdr:row>20</xdr:row>
      <xdr:rowOff>19050</xdr:rowOff>
    </xdr:from>
    <xdr:to>
      <xdr:col>10</xdr:col>
      <xdr:colOff>3375</xdr:colOff>
      <xdr:row>20</xdr:row>
      <xdr:rowOff>415757</xdr:rowOff>
    </xdr:to>
    <xdr:pic>
      <xdr:nvPicPr>
        <xdr:cNvPr id="10" name="Imagem 9">
          <a:extLst>
            <a:ext uri="{FF2B5EF4-FFF2-40B4-BE49-F238E27FC236}">
              <a16:creationId xmlns:a16="http://schemas.microsoft.com/office/drawing/2014/main" id="{00000000-0008-0000-0F00-00000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1753850" y="4572000"/>
          <a:ext cx="1346400" cy="396707"/>
        </a:xfrm>
        <a:prstGeom prst="rect">
          <a:avLst/>
        </a:prstGeom>
      </xdr:spPr>
    </xdr:pic>
    <xdr:clientData/>
  </xdr:twoCellAnchor>
  <xdr:twoCellAnchor editAs="oneCell">
    <xdr:from>
      <xdr:col>9</xdr:col>
      <xdr:colOff>9525</xdr:colOff>
      <xdr:row>23</xdr:row>
      <xdr:rowOff>57150</xdr:rowOff>
    </xdr:from>
    <xdr:to>
      <xdr:col>9</xdr:col>
      <xdr:colOff>1355925</xdr:colOff>
      <xdr:row>23</xdr:row>
      <xdr:rowOff>473893</xdr:rowOff>
    </xdr:to>
    <xdr:pic>
      <xdr:nvPicPr>
        <xdr:cNvPr id="11" name="Imagem 10">
          <a:extLst>
            <a:ext uri="{FF2B5EF4-FFF2-40B4-BE49-F238E27FC236}">
              <a16:creationId xmlns:a16="http://schemas.microsoft.com/office/drawing/2014/main" id="{00000000-0008-0000-0F00-00000B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12649200" y="5876925"/>
          <a:ext cx="1346400" cy="416743"/>
        </a:xfrm>
        <a:prstGeom prst="rect">
          <a:avLst/>
        </a:prstGeom>
      </xdr:spPr>
    </xdr:pic>
    <xdr:clientData/>
  </xdr:twoCellAnchor>
  <xdr:twoCellAnchor editAs="oneCell">
    <xdr:from>
      <xdr:col>9</xdr:col>
      <xdr:colOff>260294</xdr:colOff>
      <xdr:row>24</xdr:row>
      <xdr:rowOff>14836</xdr:rowOff>
    </xdr:from>
    <xdr:to>
      <xdr:col>9</xdr:col>
      <xdr:colOff>1047140</xdr:colOff>
      <xdr:row>24</xdr:row>
      <xdr:rowOff>466311</xdr:rowOff>
    </xdr:to>
    <xdr:pic>
      <xdr:nvPicPr>
        <xdr:cNvPr id="14" name="Imagem 13">
          <a:extLst>
            <a:ext uri="{FF2B5EF4-FFF2-40B4-BE49-F238E27FC236}">
              <a16:creationId xmlns:a16="http://schemas.microsoft.com/office/drawing/2014/main" id="{00000000-0008-0000-0F00-00000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4090594" y="10463761"/>
          <a:ext cx="786846" cy="458929"/>
        </a:xfrm>
        <a:prstGeom prst="rect">
          <a:avLst/>
        </a:prstGeom>
      </xdr:spPr>
    </xdr:pic>
    <xdr:clientData/>
  </xdr:twoCellAnchor>
  <xdr:twoCellAnchor editAs="oneCell">
    <xdr:from>
      <xdr:col>9</xdr:col>
      <xdr:colOff>120512</xdr:colOff>
      <xdr:row>12</xdr:row>
      <xdr:rowOff>53423</xdr:rowOff>
    </xdr:from>
    <xdr:to>
      <xdr:col>9</xdr:col>
      <xdr:colOff>1195550</xdr:colOff>
      <xdr:row>12</xdr:row>
      <xdr:rowOff>471023</xdr:rowOff>
    </xdr:to>
    <xdr:pic>
      <xdr:nvPicPr>
        <xdr:cNvPr id="16" name="Imagem 15">
          <a:extLst>
            <a:ext uri="{FF2B5EF4-FFF2-40B4-BE49-F238E27FC236}">
              <a16:creationId xmlns:a16="http://schemas.microsoft.com/office/drawing/2014/main" id="{00000000-0008-0000-0F00-000010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2760187" y="3206198"/>
          <a:ext cx="1075038" cy="417600"/>
        </a:xfrm>
        <a:prstGeom prst="rect">
          <a:avLst/>
        </a:prstGeom>
      </xdr:spPr>
    </xdr:pic>
    <xdr:clientData/>
  </xdr:twoCellAnchor>
  <xdr:twoCellAnchor editAs="oneCell">
    <xdr:from>
      <xdr:col>8</xdr:col>
      <xdr:colOff>3253030</xdr:colOff>
      <xdr:row>7</xdr:row>
      <xdr:rowOff>57151</xdr:rowOff>
    </xdr:from>
    <xdr:to>
      <xdr:col>10</xdr:col>
      <xdr:colOff>28575</xdr:colOff>
      <xdr:row>7</xdr:row>
      <xdr:rowOff>474346</xdr:rowOff>
    </xdr:to>
    <xdr:pic>
      <xdr:nvPicPr>
        <xdr:cNvPr id="15" name="Imagem 14">
          <a:extLst>
            <a:ext uri="{FF2B5EF4-FFF2-40B4-BE49-F238E27FC236}">
              <a16:creationId xmlns:a16="http://schemas.microsoft.com/office/drawing/2014/main" id="{00000000-0008-0000-0F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2635155" y="2676526"/>
          <a:ext cx="1414220" cy="417195"/>
        </a:xfrm>
        <a:prstGeom prst="rect">
          <a:avLst/>
        </a:prstGeom>
      </xdr:spPr>
    </xdr:pic>
    <xdr:clientData/>
  </xdr:twoCellAnchor>
  <xdr:twoCellAnchor editAs="oneCell">
    <xdr:from>
      <xdr:col>9</xdr:col>
      <xdr:colOff>266701</xdr:colOff>
      <xdr:row>8</xdr:row>
      <xdr:rowOff>28575</xdr:rowOff>
    </xdr:from>
    <xdr:to>
      <xdr:col>9</xdr:col>
      <xdr:colOff>1143001</xdr:colOff>
      <xdr:row>9</xdr:row>
      <xdr:rowOff>3693</xdr:rowOff>
    </xdr:to>
    <xdr:pic>
      <xdr:nvPicPr>
        <xdr:cNvPr id="18" name="Imagem 17">
          <a:extLst>
            <a:ext uri="{FF2B5EF4-FFF2-40B4-BE49-F238E27FC236}">
              <a16:creationId xmlns:a16="http://schemas.microsoft.com/office/drawing/2014/main" id="{00000000-0008-0000-0F00-000012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2906376" y="3181350"/>
          <a:ext cx="876300" cy="479943"/>
        </a:xfrm>
        <a:prstGeom prst="rect">
          <a:avLst/>
        </a:prstGeom>
      </xdr:spPr>
    </xdr:pic>
    <xdr:clientData/>
  </xdr:twoCellAnchor>
  <xdr:twoCellAnchor editAs="oneCell">
    <xdr:from>
      <xdr:col>9</xdr:col>
      <xdr:colOff>57150</xdr:colOff>
      <xdr:row>9</xdr:row>
      <xdr:rowOff>0</xdr:rowOff>
    </xdr:from>
    <xdr:to>
      <xdr:col>9</xdr:col>
      <xdr:colOff>1352550</xdr:colOff>
      <xdr:row>10</xdr:row>
      <xdr:rowOff>34925</xdr:rowOff>
    </xdr:to>
    <xdr:pic>
      <xdr:nvPicPr>
        <xdr:cNvPr id="20" name="Imagem 19">
          <a:extLst>
            <a:ext uri="{FF2B5EF4-FFF2-40B4-BE49-F238E27FC236}">
              <a16:creationId xmlns:a16="http://schemas.microsoft.com/office/drawing/2014/main" id="{00000000-0008-0000-0F00-000014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2696825" y="3686175"/>
          <a:ext cx="1295400" cy="539750"/>
        </a:xfrm>
        <a:prstGeom prst="rect">
          <a:avLst/>
        </a:prstGeom>
      </xdr:spPr>
    </xdr:pic>
    <xdr:clientData/>
  </xdr:twoCellAnchor>
  <xdr:twoCellAnchor editAs="oneCell">
    <xdr:from>
      <xdr:col>9</xdr:col>
      <xdr:colOff>161925</xdr:colOff>
      <xdr:row>13</xdr:row>
      <xdr:rowOff>57150</xdr:rowOff>
    </xdr:from>
    <xdr:to>
      <xdr:col>9</xdr:col>
      <xdr:colOff>1250556</xdr:colOff>
      <xdr:row>13</xdr:row>
      <xdr:rowOff>485775</xdr:rowOff>
    </xdr:to>
    <xdr:pic>
      <xdr:nvPicPr>
        <xdr:cNvPr id="22" name="Imagem 21">
          <a:extLst>
            <a:ext uri="{FF2B5EF4-FFF2-40B4-BE49-F238E27FC236}">
              <a16:creationId xmlns:a16="http://schemas.microsoft.com/office/drawing/2014/main" id="{00000000-0008-0000-0F00-000016000000}"/>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t="11643" r="27889" b="10959"/>
        <a:stretch/>
      </xdr:blipFill>
      <xdr:spPr>
        <a:xfrm>
          <a:off x="12801600" y="5343525"/>
          <a:ext cx="1088631" cy="428625"/>
        </a:xfrm>
        <a:prstGeom prst="rect">
          <a:avLst/>
        </a:prstGeom>
      </xdr:spPr>
    </xdr:pic>
    <xdr:clientData/>
  </xdr:twoCellAnchor>
  <xdr:twoCellAnchor editAs="oneCell">
    <xdr:from>
      <xdr:col>9</xdr:col>
      <xdr:colOff>57150</xdr:colOff>
      <xdr:row>14</xdr:row>
      <xdr:rowOff>85725</xdr:rowOff>
    </xdr:from>
    <xdr:to>
      <xdr:col>9</xdr:col>
      <xdr:colOff>1346995</xdr:colOff>
      <xdr:row>14</xdr:row>
      <xdr:rowOff>457200</xdr:rowOff>
    </xdr:to>
    <xdr:pic>
      <xdr:nvPicPr>
        <xdr:cNvPr id="24" name="Imagem 23">
          <a:extLst>
            <a:ext uri="{FF2B5EF4-FFF2-40B4-BE49-F238E27FC236}">
              <a16:creationId xmlns:a16="http://schemas.microsoft.com/office/drawing/2014/main" id="{00000000-0008-0000-0F00-000018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2696825" y="5905500"/>
          <a:ext cx="1289845" cy="371475"/>
        </a:xfrm>
        <a:prstGeom prst="rect">
          <a:avLst/>
        </a:prstGeom>
      </xdr:spPr>
    </xdr:pic>
    <xdr:clientData/>
  </xdr:twoCellAnchor>
  <xdr:twoCellAnchor editAs="oneCell">
    <xdr:from>
      <xdr:col>9</xdr:col>
      <xdr:colOff>171450</xdr:colOff>
      <xdr:row>17</xdr:row>
      <xdr:rowOff>9525</xdr:rowOff>
    </xdr:from>
    <xdr:to>
      <xdr:col>9</xdr:col>
      <xdr:colOff>1238250</xdr:colOff>
      <xdr:row>17</xdr:row>
      <xdr:rowOff>489352</xdr:rowOff>
    </xdr:to>
    <xdr:pic>
      <xdr:nvPicPr>
        <xdr:cNvPr id="25" name="Imagem 24">
          <a:extLst>
            <a:ext uri="{FF2B5EF4-FFF2-40B4-BE49-F238E27FC236}">
              <a16:creationId xmlns:a16="http://schemas.microsoft.com/office/drawing/2014/main" id="{00000000-0008-0000-0F00-000019000000}"/>
            </a:ext>
          </a:extLst>
        </xdr:cNvPr>
        <xdr:cNvPicPr>
          <a:picLocks noChangeAspect="1"/>
        </xdr:cNvPicPr>
      </xdr:nvPicPr>
      <xdr:blipFill>
        <a:blip xmlns:r="http://schemas.openxmlformats.org/officeDocument/2006/relationships" r:embed="rId16"/>
        <a:stretch>
          <a:fillRect/>
        </a:stretch>
      </xdr:blipFill>
      <xdr:spPr>
        <a:xfrm>
          <a:off x="12811125" y="6924675"/>
          <a:ext cx="1066800" cy="479827"/>
        </a:xfrm>
        <a:prstGeom prst="rect">
          <a:avLst/>
        </a:prstGeom>
      </xdr:spPr>
    </xdr:pic>
    <xdr:clientData/>
  </xdr:twoCellAnchor>
  <xdr:twoCellAnchor editAs="oneCell">
    <xdr:from>
      <xdr:col>9</xdr:col>
      <xdr:colOff>436909</xdr:colOff>
      <xdr:row>18</xdr:row>
      <xdr:rowOff>39317</xdr:rowOff>
    </xdr:from>
    <xdr:to>
      <xdr:col>9</xdr:col>
      <xdr:colOff>935935</xdr:colOff>
      <xdr:row>18</xdr:row>
      <xdr:rowOff>502078</xdr:rowOff>
    </xdr:to>
    <xdr:pic>
      <xdr:nvPicPr>
        <xdr:cNvPr id="27" name="Imagem 26">
          <a:extLst>
            <a:ext uri="{FF2B5EF4-FFF2-40B4-BE49-F238E27FC236}">
              <a16:creationId xmlns:a16="http://schemas.microsoft.com/office/drawing/2014/main" id="{00000000-0008-0000-0F00-00001B000000}"/>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14268866" y="8495860"/>
          <a:ext cx="499026" cy="462761"/>
        </a:xfrm>
        <a:prstGeom prst="rect">
          <a:avLst/>
        </a:prstGeom>
      </xdr:spPr>
    </xdr:pic>
    <xdr:clientData/>
  </xdr:twoCellAnchor>
  <xdr:twoCellAnchor editAs="oneCell">
    <xdr:from>
      <xdr:col>9</xdr:col>
      <xdr:colOff>57151</xdr:colOff>
      <xdr:row>21</xdr:row>
      <xdr:rowOff>95250</xdr:rowOff>
    </xdr:from>
    <xdr:to>
      <xdr:col>9</xdr:col>
      <xdr:colOff>1357313</xdr:colOff>
      <xdr:row>21</xdr:row>
      <xdr:rowOff>466725</xdr:rowOff>
    </xdr:to>
    <xdr:pic>
      <xdr:nvPicPr>
        <xdr:cNvPr id="29" name="Imagem 28">
          <a:extLst>
            <a:ext uri="{FF2B5EF4-FFF2-40B4-BE49-F238E27FC236}">
              <a16:creationId xmlns:a16="http://schemas.microsoft.com/office/drawing/2014/main" id="{00000000-0008-0000-0F00-00001D000000}"/>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12696826" y="9648825"/>
          <a:ext cx="1300162" cy="3714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26</xdr:col>
          <xdr:colOff>276225</xdr:colOff>
          <xdr:row>2</xdr:row>
          <xdr:rowOff>266700</xdr:rowOff>
        </xdr:from>
        <xdr:to>
          <xdr:col>28</xdr:col>
          <xdr:colOff>438150</xdr:colOff>
          <xdr:row>3</xdr:row>
          <xdr:rowOff>266700</xdr:rowOff>
        </xdr:to>
        <xdr:pic>
          <xdr:nvPicPr>
            <xdr:cNvPr id="33" name="Imagem 32">
              <a:extLst>
                <a:ext uri="{FF2B5EF4-FFF2-40B4-BE49-F238E27FC236}">
                  <a16:creationId xmlns:a16="http://schemas.microsoft.com/office/drawing/2014/main" id="{00000000-0008-0000-0F00-000021000000}"/>
                </a:ext>
              </a:extLst>
            </xdr:cNvPr>
            <xdr:cNvPicPr>
              <a:picLocks noChangeAspect="1"/>
              <a:extLst>
                <a:ext uri="{84589F7E-364E-4C9E-8A38-B11213B215E9}">
                  <a14:cameraTool cellRange="LOGO_PREFEITURA" spid="_x0000_s717326"/>
                </a:ext>
              </a:extLst>
            </xdr:cNvPicPr>
          </xdr:nvPicPr>
          <xdr:blipFill>
            <a:blip xmlns:r="http://schemas.openxmlformats.org/officeDocument/2006/relationships" r:embed="rId19"/>
            <a:stretch>
              <a:fillRect/>
            </a:stretch>
          </xdr:blipFill>
          <xdr:spPr>
            <a:xfrm>
              <a:off x="16163925" y="619125"/>
              <a:ext cx="1381125" cy="504825"/>
            </a:xfrm>
            <a:prstGeom prst="rect">
              <a:avLst/>
            </a:prstGeom>
          </xdr:spPr>
        </xdr:pic>
        <xdr:clientData/>
      </xdr:twoCellAnchor>
    </mc:Choice>
    <mc:Fallback/>
  </mc:AlternateContent>
  <xdr:twoCellAnchor editAs="oneCell">
    <xdr:from>
      <xdr:col>9</xdr:col>
      <xdr:colOff>42656</xdr:colOff>
      <xdr:row>16</xdr:row>
      <xdr:rowOff>14910</xdr:rowOff>
    </xdr:from>
    <xdr:to>
      <xdr:col>9</xdr:col>
      <xdr:colOff>1350065</xdr:colOff>
      <xdr:row>16</xdr:row>
      <xdr:rowOff>390681</xdr:rowOff>
    </xdr:to>
    <xdr:pic>
      <xdr:nvPicPr>
        <xdr:cNvPr id="35" name="Imagem 34">
          <a:extLst>
            <a:ext uri="{FF2B5EF4-FFF2-40B4-BE49-F238E27FC236}">
              <a16:creationId xmlns:a16="http://schemas.microsoft.com/office/drawing/2014/main" id="{00000000-0008-0000-0F00-000023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3874613" y="7460975"/>
          <a:ext cx="1307409" cy="37577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26</xdr:col>
          <xdr:colOff>276225</xdr:colOff>
          <xdr:row>5</xdr:row>
          <xdr:rowOff>361950</xdr:rowOff>
        </xdr:from>
        <xdr:to>
          <xdr:col>30</xdr:col>
          <xdr:colOff>361950</xdr:colOff>
          <xdr:row>6</xdr:row>
          <xdr:rowOff>180975</xdr:rowOff>
        </xdr:to>
        <xdr:sp macro="" textlink="">
          <xdr:nvSpPr>
            <xdr:cNvPr id="16683" name="Drop Down 299" hidden="1">
              <a:extLst>
                <a:ext uri="{63B3BB69-23CF-44E3-9099-C40C66FF867C}">
                  <a14:compatExt spid="_x0000_s16683"/>
                </a:ext>
                <a:ext uri="{FF2B5EF4-FFF2-40B4-BE49-F238E27FC236}">
                  <a16:creationId xmlns:a16="http://schemas.microsoft.com/office/drawing/2014/main" id="{00000000-0008-0000-1300-00002B4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276225</xdr:colOff>
          <xdr:row>5</xdr:row>
          <xdr:rowOff>276225</xdr:rowOff>
        </xdr:from>
        <xdr:to>
          <xdr:col>28</xdr:col>
          <xdr:colOff>447675</xdr:colOff>
          <xdr:row>6</xdr:row>
          <xdr:rowOff>285750</xdr:rowOff>
        </xdr:to>
        <xdr:pic>
          <xdr:nvPicPr>
            <xdr:cNvPr id="36" name="Imagem 35">
              <a:extLst>
                <a:ext uri="{FF2B5EF4-FFF2-40B4-BE49-F238E27FC236}">
                  <a16:creationId xmlns:a16="http://schemas.microsoft.com/office/drawing/2014/main" id="{00000000-0008-0000-0F00-000024000000}"/>
                </a:ext>
              </a:extLst>
            </xdr:cNvPr>
            <xdr:cNvPicPr>
              <a:picLocks noChangeAspect="1" noChangeArrowheads="1"/>
              <a:extLst>
                <a:ext uri="{84589F7E-364E-4C9E-8A38-B11213B215E9}">
                  <a14:cameraTool cellRange="IMAGENS" spid="_x0000_s717327"/>
                </a:ext>
              </a:extLst>
            </xdr:cNvPicPr>
          </xdr:nvPicPr>
          <xdr:blipFill>
            <a:blip xmlns:r="http://schemas.openxmlformats.org/officeDocument/2006/relationships" r:embed="rId19"/>
            <a:srcRect/>
            <a:stretch>
              <a:fillRect/>
            </a:stretch>
          </xdr:blipFill>
          <xdr:spPr bwMode="auto">
            <a:xfrm>
              <a:off x="16163925" y="2143125"/>
              <a:ext cx="1390650" cy="5143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oneCellAnchor>
        <xdr:from>
          <xdr:col>15</xdr:col>
          <xdr:colOff>16650</xdr:colOff>
          <xdr:row>2</xdr:row>
          <xdr:rowOff>19050</xdr:rowOff>
        </xdr:from>
        <xdr:ext cx="1381125" cy="504825"/>
        <xdr:pic>
          <xdr:nvPicPr>
            <xdr:cNvPr id="7" name="Imagem 6">
              <a:extLst>
                <a:ext uri="{FF2B5EF4-FFF2-40B4-BE49-F238E27FC236}">
                  <a16:creationId xmlns:a16="http://schemas.microsoft.com/office/drawing/2014/main" id="{00000000-0008-0000-0F00-000007000000}"/>
                </a:ext>
              </a:extLst>
            </xdr:cNvPr>
            <xdr:cNvPicPr>
              <a:picLocks noChangeAspect="1"/>
              <a:extLst>
                <a:ext uri="{84589F7E-364E-4C9E-8A38-B11213B215E9}">
                  <a14:cameraTool cellRange="IMAGENS" spid="_x0000_s717328"/>
                </a:ext>
              </a:extLst>
            </xdr:cNvPicPr>
          </xdr:nvPicPr>
          <xdr:blipFill>
            <a:blip xmlns:r="http://schemas.openxmlformats.org/officeDocument/2006/relationships" r:embed="rId19"/>
            <a:stretch>
              <a:fillRect/>
            </a:stretch>
          </xdr:blipFill>
          <xdr:spPr>
            <a:xfrm>
              <a:off x="9198750" y="371475"/>
              <a:ext cx="1381125" cy="504825"/>
            </a:xfrm>
            <a:prstGeom prst="rect">
              <a:avLst/>
            </a:prstGeom>
          </xdr:spPr>
        </xdr:pic>
        <xdr:clientData/>
      </xdr:oneCellAnchor>
    </mc:Choice>
    <mc:Fallback/>
  </mc:AlternateContent>
  <xdr:twoCellAnchor editAs="oneCell">
    <xdr:from>
      <xdr:col>9</xdr:col>
      <xdr:colOff>57151</xdr:colOff>
      <xdr:row>22</xdr:row>
      <xdr:rowOff>66675</xdr:rowOff>
    </xdr:from>
    <xdr:to>
      <xdr:col>9</xdr:col>
      <xdr:colOff>1371601</xdr:colOff>
      <xdr:row>22</xdr:row>
      <xdr:rowOff>449884</xdr:rowOff>
    </xdr:to>
    <xdr:pic>
      <xdr:nvPicPr>
        <xdr:cNvPr id="13" name="Imagem 12">
          <a:extLst>
            <a:ext uri="{FF2B5EF4-FFF2-40B4-BE49-F238E27FC236}">
              <a16:creationId xmlns:a16="http://schemas.microsoft.com/office/drawing/2014/main" id="{00000000-0008-0000-0F00-00000D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924301" y="9505950"/>
          <a:ext cx="1314450" cy="383209"/>
        </a:xfrm>
        <a:prstGeom prst="rect">
          <a:avLst/>
        </a:prstGeom>
      </xdr:spPr>
    </xdr:pic>
    <xdr:clientData/>
  </xdr:twoCellAnchor>
  <xdr:twoCellAnchor editAs="oneCell">
    <xdr:from>
      <xdr:col>9</xdr:col>
      <xdr:colOff>0</xdr:colOff>
      <xdr:row>25</xdr:row>
      <xdr:rowOff>20920</xdr:rowOff>
    </xdr:from>
    <xdr:to>
      <xdr:col>9</xdr:col>
      <xdr:colOff>1343025</xdr:colOff>
      <xdr:row>25</xdr:row>
      <xdr:rowOff>407444</xdr:rowOff>
    </xdr:to>
    <xdr:pic>
      <xdr:nvPicPr>
        <xdr:cNvPr id="17" name="Imagem 16">
          <a:extLst>
            <a:ext uri="{FF2B5EF4-FFF2-40B4-BE49-F238E27FC236}">
              <a16:creationId xmlns:a16="http://schemas.microsoft.com/office/drawing/2014/main" id="{C7EA3287-9DE7-9A0A-4DBE-3C18932AD4CF}"/>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3830300" y="10974670"/>
          <a:ext cx="1343025" cy="390251"/>
        </a:xfrm>
        <a:prstGeom prst="rect">
          <a:avLst/>
        </a:prstGeom>
      </xdr:spPr>
    </xdr:pic>
    <xdr:clientData/>
  </xdr:twoCellAnchor>
  <xdr:twoCellAnchor editAs="oneCell">
    <xdr:from>
      <xdr:col>9</xdr:col>
      <xdr:colOff>78441</xdr:colOff>
      <xdr:row>19</xdr:row>
      <xdr:rowOff>73082</xdr:rowOff>
    </xdr:from>
    <xdr:to>
      <xdr:col>9</xdr:col>
      <xdr:colOff>1343493</xdr:colOff>
      <xdr:row>19</xdr:row>
      <xdr:rowOff>476493</xdr:rowOff>
    </xdr:to>
    <xdr:pic>
      <xdr:nvPicPr>
        <xdr:cNvPr id="23" name="Imagem 22">
          <a:extLst>
            <a:ext uri="{FF2B5EF4-FFF2-40B4-BE49-F238E27FC236}">
              <a16:creationId xmlns:a16="http://schemas.microsoft.com/office/drawing/2014/main" id="{4B514349-5F9F-74D5-A745-2350E65FABBF}"/>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13910398" y="9034865"/>
          <a:ext cx="1265052" cy="403411"/>
        </a:xfrm>
        <a:prstGeom prst="rect">
          <a:avLst/>
        </a:prstGeom>
      </xdr:spPr>
    </xdr:pic>
    <xdr:clientData/>
  </xdr:twoCellAnchor>
  <xdr:twoCellAnchor editAs="oneCell">
    <xdr:from>
      <xdr:col>9</xdr:col>
      <xdr:colOff>1</xdr:colOff>
      <xdr:row>4</xdr:row>
      <xdr:rowOff>1</xdr:rowOff>
    </xdr:from>
    <xdr:to>
      <xdr:col>9</xdr:col>
      <xdr:colOff>1341782</xdr:colOff>
      <xdr:row>4</xdr:row>
      <xdr:rowOff>487601</xdr:rowOff>
    </xdr:to>
    <xdr:pic>
      <xdr:nvPicPr>
        <xdr:cNvPr id="12" name="Imagem 11">
          <a:extLst>
            <a:ext uri="{FF2B5EF4-FFF2-40B4-BE49-F238E27FC236}">
              <a16:creationId xmlns:a16="http://schemas.microsoft.com/office/drawing/2014/main" id="{2F8039E7-A8E7-C9EE-E780-975C49E555A7}"/>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13831958" y="1383197"/>
          <a:ext cx="1341781" cy="487600"/>
        </a:xfrm>
        <a:prstGeom prst="rect">
          <a:avLst/>
        </a:prstGeom>
      </xdr:spPr>
    </xdr:pic>
    <xdr:clientData/>
  </xdr:twoCellAnchor>
  <xdr:twoCellAnchor editAs="oneCell">
    <xdr:from>
      <xdr:col>9</xdr:col>
      <xdr:colOff>57980</xdr:colOff>
      <xdr:row>11</xdr:row>
      <xdr:rowOff>66261</xdr:rowOff>
    </xdr:from>
    <xdr:to>
      <xdr:col>9</xdr:col>
      <xdr:colOff>1333501</xdr:colOff>
      <xdr:row>11</xdr:row>
      <xdr:rowOff>498427</xdr:rowOff>
    </xdr:to>
    <xdr:pic>
      <xdr:nvPicPr>
        <xdr:cNvPr id="21" name="Imagem 20">
          <a:extLst>
            <a:ext uri="{FF2B5EF4-FFF2-40B4-BE49-F238E27FC236}">
              <a16:creationId xmlns:a16="http://schemas.microsoft.com/office/drawing/2014/main" id="{6FB8FB42-0769-14B0-3A14-8B5ACF7F4053}"/>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13889937" y="4986131"/>
          <a:ext cx="1275521" cy="432166"/>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40822</xdr:colOff>
          <xdr:row>0</xdr:row>
          <xdr:rowOff>140155</xdr:rowOff>
        </xdr:from>
        <xdr:to>
          <xdr:col>0</xdr:col>
          <xdr:colOff>898072</xdr:colOff>
          <xdr:row>2</xdr:row>
          <xdr:rowOff>4458</xdr:rowOff>
        </xdr:to>
        <xdr:pic>
          <xdr:nvPicPr>
            <xdr:cNvPr id="15" name="Imagem 14">
              <a:extLst>
                <a:ext uri="{FF2B5EF4-FFF2-40B4-BE49-F238E27FC236}">
                  <a16:creationId xmlns:a16="http://schemas.microsoft.com/office/drawing/2014/main" id="{43F75BDC-F266-4DE9-AB06-7BBF0205966E}"/>
                </a:ext>
              </a:extLst>
            </xdr:cNvPr>
            <xdr:cNvPicPr>
              <a:picLocks noChangeAspect="1"/>
              <a:extLst>
                <a:ext uri="{84589F7E-364E-4C9E-8A38-B11213B215E9}">
                  <a14:cameraTool cellRange="IMAGENS" spid="_x0000_s599321"/>
                </a:ext>
              </a:extLst>
            </xdr:cNvPicPr>
          </xdr:nvPicPr>
          <xdr:blipFill>
            <a:blip xmlns:r="http://schemas.openxmlformats.org/officeDocument/2006/relationships" r:embed="rId1"/>
            <a:stretch>
              <a:fillRect/>
            </a:stretch>
          </xdr:blipFill>
          <xdr:spPr>
            <a:xfrm>
              <a:off x="40822" y="140155"/>
              <a:ext cx="857250" cy="313339"/>
            </a:xfrm>
            <a:prstGeom prst="rect">
              <a:avLst/>
            </a:prstGeom>
          </xdr:spPr>
        </xdr:pic>
        <xdr:clientData/>
      </xdr:twoCellAnchor>
    </mc:Choice>
    <mc:Fallback/>
  </mc:AlternateContent>
  <xdr:twoCellAnchor editAs="oneCell">
    <xdr:from>
      <xdr:col>13</xdr:col>
      <xdr:colOff>251127</xdr:colOff>
      <xdr:row>0</xdr:row>
      <xdr:rowOff>31750</xdr:rowOff>
    </xdr:from>
    <xdr:to>
      <xdr:col>14</xdr:col>
      <xdr:colOff>432707</xdr:colOff>
      <xdr:row>2</xdr:row>
      <xdr:rowOff>118096</xdr:rowOff>
    </xdr:to>
    <xdr:pic>
      <xdr:nvPicPr>
        <xdr:cNvPr id="16" name="Imagem 15">
          <a:extLst>
            <a:ext uri="{FF2B5EF4-FFF2-40B4-BE49-F238E27FC236}">
              <a16:creationId xmlns:a16="http://schemas.microsoft.com/office/drawing/2014/main" id="{DDD2E535-DE6B-4A29-BF5A-EF631766FC6B}"/>
            </a:ext>
          </a:extLst>
        </xdr:cNvPr>
        <xdr:cNvPicPr>
          <a:picLocks noChangeAspect="1"/>
        </xdr:cNvPicPr>
      </xdr:nvPicPr>
      <xdr:blipFill>
        <a:blip xmlns:r="http://schemas.openxmlformats.org/officeDocument/2006/relationships" r:embed="rId2"/>
        <a:stretch>
          <a:fillRect/>
        </a:stretch>
      </xdr:blipFill>
      <xdr:spPr>
        <a:xfrm>
          <a:off x="11395377" y="31750"/>
          <a:ext cx="1059997" cy="541429"/>
        </a:xfrm>
        <a:prstGeom prst="rect">
          <a:avLst/>
        </a:prstGeom>
      </xdr:spPr>
    </xdr:pic>
    <xdr:clientData/>
  </xdr:twoCellAnchor>
  <xdr:oneCellAnchor>
    <xdr:from>
      <xdr:col>3</xdr:col>
      <xdr:colOff>152400</xdr:colOff>
      <xdr:row>13</xdr:row>
      <xdr:rowOff>38100</xdr:rowOff>
    </xdr:from>
    <xdr:ext cx="714375" cy="714375"/>
    <xdr:pic>
      <xdr:nvPicPr>
        <xdr:cNvPr id="55" name="435040">
          <a:extLst>
            <a:ext uri="{FF2B5EF4-FFF2-40B4-BE49-F238E27FC236}">
              <a16:creationId xmlns:a16="http://schemas.microsoft.com/office/drawing/2014/main" id="{245C8535-5B8A-4B59-BA51-11578C57AFA8}"/>
            </a:ext>
          </a:extLst>
        </xdr:cNvPr>
        <xdr:cNvPicPr>
          <a:picLocks noChangeAspect="1"/>
        </xdr:cNvPicPr>
      </xdr:nvPicPr>
      <xdr:blipFill>
        <a:blip xmlns:r="http://schemas.openxmlformats.org/officeDocument/2006/relationships" r:embed="rId3" cstate="print"/>
        <a:stretch>
          <a:fillRect/>
        </a:stretch>
      </xdr:blipFill>
      <xdr:spPr>
        <a:xfrm>
          <a:off x="2925233" y="2927350"/>
          <a:ext cx="714375" cy="714375"/>
        </a:xfrm>
        <a:prstGeom prst="rect">
          <a:avLst/>
        </a:prstGeom>
      </xdr:spPr>
    </xdr:pic>
    <xdr:clientData/>
  </xdr:oneCellAnchor>
  <xdr:oneCellAnchor>
    <xdr:from>
      <xdr:col>12</xdr:col>
      <xdr:colOff>47625</xdr:colOff>
      <xdr:row>13</xdr:row>
      <xdr:rowOff>219075</xdr:rowOff>
    </xdr:from>
    <xdr:ext cx="952500" cy="476250"/>
    <xdr:pic>
      <xdr:nvPicPr>
        <xdr:cNvPr id="62" name="181508">
          <a:extLst>
            <a:ext uri="{FF2B5EF4-FFF2-40B4-BE49-F238E27FC236}">
              <a16:creationId xmlns:a16="http://schemas.microsoft.com/office/drawing/2014/main" id="{5812FBB8-4DD4-451E-A897-5616282D7834}"/>
            </a:ext>
          </a:extLst>
        </xdr:cNvPr>
        <xdr:cNvPicPr>
          <a:picLocks noChangeAspect="1"/>
        </xdr:cNvPicPr>
      </xdr:nvPicPr>
      <xdr:blipFill>
        <a:blip xmlns:r="http://schemas.openxmlformats.org/officeDocument/2006/relationships" r:embed="rId4" cstate="print"/>
        <a:stretch>
          <a:fillRect/>
        </a:stretch>
      </xdr:blipFill>
      <xdr:spPr>
        <a:xfrm>
          <a:off x="10229850" y="3105150"/>
          <a:ext cx="952500" cy="476250"/>
        </a:xfrm>
        <a:prstGeom prst="rect">
          <a:avLst/>
        </a:prstGeom>
      </xdr:spPr>
    </xdr:pic>
    <xdr:clientData/>
  </xdr:oneCellAnchor>
  <xdr:oneCellAnchor>
    <xdr:from>
      <xdr:col>12</xdr:col>
      <xdr:colOff>47625</xdr:colOff>
      <xdr:row>14</xdr:row>
      <xdr:rowOff>219075</xdr:rowOff>
    </xdr:from>
    <xdr:ext cx="952500" cy="476250"/>
    <xdr:pic>
      <xdr:nvPicPr>
        <xdr:cNvPr id="63" name="956036">
          <a:extLst>
            <a:ext uri="{FF2B5EF4-FFF2-40B4-BE49-F238E27FC236}">
              <a16:creationId xmlns:a16="http://schemas.microsoft.com/office/drawing/2014/main" id="{EBA04398-8F76-4FFA-850F-01C5F0421401}"/>
            </a:ext>
          </a:extLst>
        </xdr:cNvPr>
        <xdr:cNvPicPr>
          <a:picLocks noChangeAspect="1"/>
        </xdr:cNvPicPr>
      </xdr:nvPicPr>
      <xdr:blipFill>
        <a:blip xmlns:r="http://schemas.openxmlformats.org/officeDocument/2006/relationships" r:embed="rId5" cstate="print"/>
        <a:stretch>
          <a:fillRect/>
        </a:stretch>
      </xdr:blipFill>
      <xdr:spPr>
        <a:xfrm>
          <a:off x="11265958" y="4060825"/>
          <a:ext cx="952500" cy="476250"/>
        </a:xfrm>
        <a:prstGeom prst="rect">
          <a:avLst/>
        </a:prstGeom>
      </xdr:spPr>
    </xdr:pic>
    <xdr:clientData/>
  </xdr:oneCellAnchor>
  <xdr:oneCellAnchor>
    <xdr:from>
      <xdr:col>0</xdr:col>
      <xdr:colOff>127000</xdr:colOff>
      <xdr:row>13</xdr:row>
      <xdr:rowOff>105833</xdr:rowOff>
    </xdr:from>
    <xdr:ext cx="714375" cy="714375"/>
    <xdr:pic>
      <xdr:nvPicPr>
        <xdr:cNvPr id="3" name="208309">
          <a:extLst>
            <a:ext uri="{FF2B5EF4-FFF2-40B4-BE49-F238E27FC236}">
              <a16:creationId xmlns:a16="http://schemas.microsoft.com/office/drawing/2014/main" id="{F23078F6-D69E-4A6D-AA7C-92B974C98CCD}"/>
            </a:ext>
          </a:extLst>
        </xdr:cNvPr>
        <xdr:cNvPicPr>
          <a:picLocks noChangeAspect="1"/>
        </xdr:cNvPicPr>
      </xdr:nvPicPr>
      <xdr:blipFill>
        <a:blip xmlns:r="http://schemas.openxmlformats.org/officeDocument/2006/relationships" r:embed="rId6" cstate="print"/>
        <a:stretch>
          <a:fillRect/>
        </a:stretch>
      </xdr:blipFill>
      <xdr:spPr>
        <a:xfrm>
          <a:off x="127000" y="2995083"/>
          <a:ext cx="714375" cy="714375"/>
        </a:xfrm>
        <a:prstGeom prst="rect">
          <a:avLst/>
        </a:prstGeom>
      </xdr:spPr>
    </xdr:pic>
    <xdr:clientData/>
  </xdr:oneCellAnchor>
  <xdr:oneCellAnchor>
    <xdr:from>
      <xdr:col>0</xdr:col>
      <xdr:colOff>116417</xdr:colOff>
      <xdr:row>14</xdr:row>
      <xdr:rowOff>127000</xdr:rowOff>
    </xdr:from>
    <xdr:ext cx="714375" cy="714375"/>
    <xdr:pic>
      <xdr:nvPicPr>
        <xdr:cNvPr id="4" name="516948">
          <a:extLst>
            <a:ext uri="{FF2B5EF4-FFF2-40B4-BE49-F238E27FC236}">
              <a16:creationId xmlns:a16="http://schemas.microsoft.com/office/drawing/2014/main" id="{FAA1688B-7C53-45BB-A4FA-0B2CDE191974}"/>
            </a:ext>
          </a:extLst>
        </xdr:cNvPr>
        <xdr:cNvPicPr>
          <a:picLocks noChangeAspect="1"/>
        </xdr:cNvPicPr>
      </xdr:nvPicPr>
      <xdr:blipFill>
        <a:blip xmlns:r="http://schemas.openxmlformats.org/officeDocument/2006/relationships" r:embed="rId7" cstate="print"/>
        <a:stretch>
          <a:fillRect/>
        </a:stretch>
      </xdr:blipFill>
      <xdr:spPr>
        <a:xfrm>
          <a:off x="116417" y="3968750"/>
          <a:ext cx="714375" cy="714375"/>
        </a:xfrm>
        <a:prstGeom prst="rect">
          <a:avLst/>
        </a:prstGeom>
      </xdr:spPr>
    </xdr:pic>
    <xdr:clientData/>
  </xdr:oneCellAnchor>
  <xdr:oneCellAnchor>
    <xdr:from>
      <xdr:col>0</xdr:col>
      <xdr:colOff>116417</xdr:colOff>
      <xdr:row>15</xdr:row>
      <xdr:rowOff>127000</xdr:rowOff>
    </xdr:from>
    <xdr:ext cx="714375" cy="714375"/>
    <xdr:pic>
      <xdr:nvPicPr>
        <xdr:cNvPr id="5" name="109328">
          <a:extLst>
            <a:ext uri="{FF2B5EF4-FFF2-40B4-BE49-F238E27FC236}">
              <a16:creationId xmlns:a16="http://schemas.microsoft.com/office/drawing/2014/main" id="{C3208370-8679-4336-8B40-E8F0500680DE}"/>
            </a:ext>
          </a:extLst>
        </xdr:cNvPr>
        <xdr:cNvPicPr>
          <a:picLocks noChangeAspect="1"/>
        </xdr:cNvPicPr>
      </xdr:nvPicPr>
      <xdr:blipFill>
        <a:blip xmlns:r="http://schemas.openxmlformats.org/officeDocument/2006/relationships" r:embed="rId8" cstate="print"/>
        <a:stretch>
          <a:fillRect/>
        </a:stretch>
      </xdr:blipFill>
      <xdr:spPr>
        <a:xfrm>
          <a:off x="116417" y="4921250"/>
          <a:ext cx="714375" cy="714375"/>
        </a:xfrm>
        <a:prstGeom prst="rect">
          <a:avLst/>
        </a:prstGeom>
      </xdr:spPr>
    </xdr:pic>
    <xdr:clientData/>
  </xdr:oneCellAnchor>
  <xdr:oneCellAnchor>
    <xdr:from>
      <xdr:col>0</xdr:col>
      <xdr:colOff>84666</xdr:colOff>
      <xdr:row>16</xdr:row>
      <xdr:rowOff>148167</xdr:rowOff>
    </xdr:from>
    <xdr:ext cx="714375" cy="714375"/>
    <xdr:pic>
      <xdr:nvPicPr>
        <xdr:cNvPr id="6" name="622633">
          <a:extLst>
            <a:ext uri="{FF2B5EF4-FFF2-40B4-BE49-F238E27FC236}">
              <a16:creationId xmlns:a16="http://schemas.microsoft.com/office/drawing/2014/main" id="{7591C382-7904-4415-9E0E-E6CECD37977D}"/>
            </a:ext>
          </a:extLst>
        </xdr:cNvPr>
        <xdr:cNvPicPr>
          <a:picLocks noChangeAspect="1"/>
        </xdr:cNvPicPr>
      </xdr:nvPicPr>
      <xdr:blipFill>
        <a:blip xmlns:r="http://schemas.openxmlformats.org/officeDocument/2006/relationships" r:embed="rId9" cstate="print"/>
        <a:stretch>
          <a:fillRect/>
        </a:stretch>
      </xdr:blipFill>
      <xdr:spPr>
        <a:xfrm>
          <a:off x="84666" y="5894917"/>
          <a:ext cx="714375" cy="714375"/>
        </a:xfrm>
        <a:prstGeom prst="rect">
          <a:avLst/>
        </a:prstGeom>
      </xdr:spPr>
    </xdr:pic>
    <xdr:clientData/>
  </xdr:oneCellAnchor>
  <xdr:twoCellAnchor editAs="oneCell">
    <xdr:from>
      <xdr:col>3</xdr:col>
      <xdr:colOff>232833</xdr:colOff>
      <xdr:row>15</xdr:row>
      <xdr:rowOff>276294</xdr:rowOff>
    </xdr:from>
    <xdr:to>
      <xdr:col>3</xdr:col>
      <xdr:colOff>679522</xdr:colOff>
      <xdr:row>15</xdr:row>
      <xdr:rowOff>677000</xdr:rowOff>
    </xdr:to>
    <xdr:pic>
      <xdr:nvPicPr>
        <xdr:cNvPr id="7" name="Imagem 6" descr="TACHAS REFLETIVAS">
          <a:extLst>
            <a:ext uri="{FF2B5EF4-FFF2-40B4-BE49-F238E27FC236}">
              <a16:creationId xmlns:a16="http://schemas.microsoft.com/office/drawing/2014/main" id="{CA5AEB6E-DEF0-4B61-AFF4-46A25443331B}"/>
            </a:ext>
          </a:extLst>
        </xdr:cNvPr>
        <xdr:cNvPicPr>
          <a:picLocks noChangeAspect="1"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31759" t="58554" r="44740" b="24815"/>
        <a:stretch>
          <a:fillRect/>
        </a:stretch>
      </xdr:blipFill>
      <xdr:spPr bwMode="auto">
        <a:xfrm rot="5400000">
          <a:off x="3028658" y="5047552"/>
          <a:ext cx="400706" cy="446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277622</xdr:colOff>
      <xdr:row>14</xdr:row>
      <xdr:rowOff>275167</xdr:rowOff>
    </xdr:from>
    <xdr:to>
      <xdr:col>3</xdr:col>
      <xdr:colOff>668351</xdr:colOff>
      <xdr:row>14</xdr:row>
      <xdr:rowOff>757020</xdr:rowOff>
    </xdr:to>
    <xdr:pic>
      <xdr:nvPicPr>
        <xdr:cNvPr id="10" name="Imagem 9" descr="Tacha refletiva Monodirecional Plástico injetado - Branca">
          <a:extLst>
            <a:ext uri="{FF2B5EF4-FFF2-40B4-BE49-F238E27FC236}">
              <a16:creationId xmlns:a16="http://schemas.microsoft.com/office/drawing/2014/main" id="{2E38FCE4-08F3-40B6-BA5C-A7B14206D3A3}"/>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32716" t="33529" r="15850" b="24853"/>
        <a:stretch>
          <a:fillRect/>
        </a:stretch>
      </xdr:blipFill>
      <xdr:spPr bwMode="auto">
        <a:xfrm rot="5400000">
          <a:off x="3004893" y="4162479"/>
          <a:ext cx="481853" cy="3907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105833</xdr:colOff>
      <xdr:row>13</xdr:row>
      <xdr:rowOff>158750</xdr:rowOff>
    </xdr:from>
    <xdr:ext cx="714375" cy="714375"/>
    <xdr:pic>
      <xdr:nvPicPr>
        <xdr:cNvPr id="14" name="988981">
          <a:extLst>
            <a:ext uri="{FF2B5EF4-FFF2-40B4-BE49-F238E27FC236}">
              <a16:creationId xmlns:a16="http://schemas.microsoft.com/office/drawing/2014/main" id="{E311A119-BEE1-4704-B20C-A6E3FDF29596}"/>
            </a:ext>
          </a:extLst>
        </xdr:cNvPr>
        <xdr:cNvPicPr>
          <a:picLocks noChangeAspect="1"/>
        </xdr:cNvPicPr>
      </xdr:nvPicPr>
      <xdr:blipFill>
        <a:blip xmlns:r="http://schemas.openxmlformats.org/officeDocument/2006/relationships" r:embed="rId12" cstate="print"/>
        <a:stretch>
          <a:fillRect/>
        </a:stretch>
      </xdr:blipFill>
      <xdr:spPr>
        <a:xfrm>
          <a:off x="5778500" y="3048000"/>
          <a:ext cx="714375" cy="714375"/>
        </a:xfrm>
        <a:prstGeom prst="rect">
          <a:avLst/>
        </a:prstGeom>
      </xdr:spPr>
    </xdr:pic>
    <xdr:clientData/>
  </xdr:oneCellAnchor>
  <xdr:oneCellAnchor>
    <xdr:from>
      <xdr:col>6</xdr:col>
      <xdr:colOff>105833</xdr:colOff>
      <xdr:row>14</xdr:row>
      <xdr:rowOff>158750</xdr:rowOff>
    </xdr:from>
    <xdr:ext cx="714375" cy="714375"/>
    <xdr:pic>
      <xdr:nvPicPr>
        <xdr:cNvPr id="17" name="799337">
          <a:extLst>
            <a:ext uri="{FF2B5EF4-FFF2-40B4-BE49-F238E27FC236}">
              <a16:creationId xmlns:a16="http://schemas.microsoft.com/office/drawing/2014/main" id="{E609DF3F-7891-418D-927C-129CC793E69B}"/>
            </a:ext>
          </a:extLst>
        </xdr:cNvPr>
        <xdr:cNvPicPr>
          <a:picLocks noChangeAspect="1"/>
        </xdr:cNvPicPr>
      </xdr:nvPicPr>
      <xdr:blipFill>
        <a:blip xmlns:r="http://schemas.openxmlformats.org/officeDocument/2006/relationships" r:embed="rId13" cstate="print"/>
        <a:stretch>
          <a:fillRect/>
        </a:stretch>
      </xdr:blipFill>
      <xdr:spPr>
        <a:xfrm>
          <a:off x="5778500" y="4000500"/>
          <a:ext cx="714375" cy="714375"/>
        </a:xfrm>
        <a:prstGeom prst="rect">
          <a:avLst/>
        </a:prstGeom>
      </xdr:spPr>
    </xdr:pic>
    <xdr:clientData/>
  </xdr:oneCellAnchor>
  <xdr:oneCellAnchor>
    <xdr:from>
      <xdr:col>6</xdr:col>
      <xdr:colOff>105833</xdr:colOff>
      <xdr:row>15</xdr:row>
      <xdr:rowOff>158750</xdr:rowOff>
    </xdr:from>
    <xdr:ext cx="714375" cy="714375"/>
    <xdr:pic>
      <xdr:nvPicPr>
        <xdr:cNvPr id="18" name="982020">
          <a:extLst>
            <a:ext uri="{FF2B5EF4-FFF2-40B4-BE49-F238E27FC236}">
              <a16:creationId xmlns:a16="http://schemas.microsoft.com/office/drawing/2014/main" id="{C3DFF4ED-AC89-41F5-B216-D9FE40BD4894}"/>
            </a:ext>
          </a:extLst>
        </xdr:cNvPr>
        <xdr:cNvPicPr>
          <a:picLocks noChangeAspect="1"/>
        </xdr:cNvPicPr>
      </xdr:nvPicPr>
      <xdr:blipFill>
        <a:blip xmlns:r="http://schemas.openxmlformats.org/officeDocument/2006/relationships" r:embed="rId14" cstate="print"/>
        <a:stretch>
          <a:fillRect/>
        </a:stretch>
      </xdr:blipFill>
      <xdr:spPr>
        <a:xfrm>
          <a:off x="5778500" y="4953000"/>
          <a:ext cx="714375" cy="714375"/>
        </a:xfrm>
        <a:prstGeom prst="rect">
          <a:avLst/>
        </a:prstGeom>
      </xdr:spPr>
    </xdr:pic>
    <xdr:clientData/>
  </xdr:oneCellAnchor>
  <xdr:oneCellAnchor>
    <xdr:from>
      <xdr:col>6</xdr:col>
      <xdr:colOff>105833</xdr:colOff>
      <xdr:row>16</xdr:row>
      <xdr:rowOff>158750</xdr:rowOff>
    </xdr:from>
    <xdr:ext cx="714375" cy="714375"/>
    <xdr:pic>
      <xdr:nvPicPr>
        <xdr:cNvPr id="19" name="400483">
          <a:extLst>
            <a:ext uri="{FF2B5EF4-FFF2-40B4-BE49-F238E27FC236}">
              <a16:creationId xmlns:a16="http://schemas.microsoft.com/office/drawing/2014/main" id="{F7A284D7-0BEA-4611-8ADA-16932CF12F13}"/>
            </a:ext>
          </a:extLst>
        </xdr:cNvPr>
        <xdr:cNvPicPr>
          <a:picLocks noChangeAspect="1"/>
        </xdr:cNvPicPr>
      </xdr:nvPicPr>
      <xdr:blipFill>
        <a:blip xmlns:r="http://schemas.openxmlformats.org/officeDocument/2006/relationships" r:embed="rId15" cstate="print"/>
        <a:stretch>
          <a:fillRect/>
        </a:stretch>
      </xdr:blipFill>
      <xdr:spPr>
        <a:xfrm>
          <a:off x="5778500" y="5905500"/>
          <a:ext cx="714375" cy="714375"/>
        </a:xfrm>
        <a:prstGeom prst="rect">
          <a:avLst/>
        </a:prstGeom>
      </xdr:spPr>
    </xdr:pic>
    <xdr:clientData/>
  </xdr:oneCellAnchor>
  <xdr:oneCellAnchor>
    <xdr:from>
      <xdr:col>6</xdr:col>
      <xdr:colOff>105833</xdr:colOff>
      <xdr:row>17</xdr:row>
      <xdr:rowOff>158750</xdr:rowOff>
    </xdr:from>
    <xdr:ext cx="714375" cy="714375"/>
    <xdr:pic>
      <xdr:nvPicPr>
        <xdr:cNvPr id="20" name="660265">
          <a:extLst>
            <a:ext uri="{FF2B5EF4-FFF2-40B4-BE49-F238E27FC236}">
              <a16:creationId xmlns:a16="http://schemas.microsoft.com/office/drawing/2014/main" id="{FDCE6B24-E345-44F5-BDA6-180BB012E1B2}"/>
            </a:ext>
          </a:extLst>
        </xdr:cNvPr>
        <xdr:cNvPicPr>
          <a:picLocks noChangeAspect="1"/>
        </xdr:cNvPicPr>
      </xdr:nvPicPr>
      <xdr:blipFill>
        <a:blip xmlns:r="http://schemas.openxmlformats.org/officeDocument/2006/relationships" r:embed="rId16" cstate="print"/>
        <a:stretch>
          <a:fillRect/>
        </a:stretch>
      </xdr:blipFill>
      <xdr:spPr>
        <a:xfrm>
          <a:off x="5778500" y="6858000"/>
          <a:ext cx="714375" cy="714375"/>
        </a:xfrm>
        <a:prstGeom prst="rect">
          <a:avLst/>
        </a:prstGeom>
      </xdr:spPr>
    </xdr:pic>
    <xdr:clientData/>
  </xdr:oneCellAnchor>
  <xdr:oneCellAnchor>
    <xdr:from>
      <xdr:col>9</xdr:col>
      <xdr:colOff>148167</xdr:colOff>
      <xdr:row>13</xdr:row>
      <xdr:rowOff>116416</xdr:rowOff>
    </xdr:from>
    <xdr:ext cx="714375" cy="714375"/>
    <xdr:pic>
      <xdr:nvPicPr>
        <xdr:cNvPr id="21" name="440435">
          <a:extLst>
            <a:ext uri="{FF2B5EF4-FFF2-40B4-BE49-F238E27FC236}">
              <a16:creationId xmlns:a16="http://schemas.microsoft.com/office/drawing/2014/main" id="{696EE35A-E967-42ED-BE74-8DA1AF51604D}"/>
            </a:ext>
          </a:extLst>
        </xdr:cNvPr>
        <xdr:cNvPicPr>
          <a:picLocks noChangeAspect="1"/>
        </xdr:cNvPicPr>
      </xdr:nvPicPr>
      <xdr:blipFill>
        <a:blip xmlns:r="http://schemas.openxmlformats.org/officeDocument/2006/relationships" r:embed="rId17" cstate="print"/>
        <a:stretch>
          <a:fillRect/>
        </a:stretch>
      </xdr:blipFill>
      <xdr:spPr>
        <a:xfrm>
          <a:off x="8297334" y="3005666"/>
          <a:ext cx="714375" cy="714375"/>
        </a:xfrm>
        <a:prstGeom prst="rect">
          <a:avLst/>
        </a:prstGeom>
      </xdr:spPr>
    </xdr:pic>
    <xdr:clientData/>
  </xdr:oneCellAnchor>
  <xdr:twoCellAnchor editAs="oneCell">
    <xdr:from>
      <xdr:col>9</xdr:col>
      <xdr:colOff>31750</xdr:colOff>
      <xdr:row>15</xdr:row>
      <xdr:rowOff>221436</xdr:rowOff>
    </xdr:from>
    <xdr:to>
      <xdr:col>9</xdr:col>
      <xdr:colOff>1153846</xdr:colOff>
      <xdr:row>15</xdr:row>
      <xdr:rowOff>822243</xdr:rowOff>
    </xdr:to>
    <xdr:pic>
      <xdr:nvPicPr>
        <xdr:cNvPr id="22" name="Imagem 21">
          <a:extLst>
            <a:ext uri="{FF2B5EF4-FFF2-40B4-BE49-F238E27FC236}">
              <a16:creationId xmlns:a16="http://schemas.microsoft.com/office/drawing/2014/main" id="{A87BC39C-CA7D-4401-B15D-E796080C2332}"/>
            </a:ext>
          </a:extLst>
        </xdr:cNvPr>
        <xdr:cNvPicPr>
          <a:picLocks noChangeAspect="1"/>
        </xdr:cNvPicPr>
      </xdr:nvPicPr>
      <xdr:blipFill>
        <a:blip xmlns:r="http://schemas.openxmlformats.org/officeDocument/2006/relationships" r:embed="rId18"/>
        <a:stretch>
          <a:fillRect/>
        </a:stretch>
      </xdr:blipFill>
      <xdr:spPr>
        <a:xfrm>
          <a:off x="8180917" y="5015686"/>
          <a:ext cx="1122096" cy="600807"/>
        </a:xfrm>
        <a:prstGeom prst="rect">
          <a:avLst/>
        </a:prstGeom>
      </xdr:spPr>
    </xdr:pic>
    <xdr:clientData/>
  </xdr:twoCellAnchor>
  <xdr:twoCellAnchor editAs="oneCell">
    <xdr:from>
      <xdr:col>9</xdr:col>
      <xdr:colOff>61058</xdr:colOff>
      <xdr:row>14</xdr:row>
      <xdr:rowOff>148167</xdr:rowOff>
    </xdr:from>
    <xdr:to>
      <xdr:col>9</xdr:col>
      <xdr:colOff>1138116</xdr:colOff>
      <xdr:row>14</xdr:row>
      <xdr:rowOff>741821</xdr:rowOff>
    </xdr:to>
    <xdr:pic>
      <xdr:nvPicPr>
        <xdr:cNvPr id="23" name="Imagem 22">
          <a:extLst>
            <a:ext uri="{FF2B5EF4-FFF2-40B4-BE49-F238E27FC236}">
              <a16:creationId xmlns:a16="http://schemas.microsoft.com/office/drawing/2014/main" id="{E8D35A29-650B-4B7C-807F-66E0B703026C}"/>
            </a:ext>
          </a:extLst>
        </xdr:cNvPr>
        <xdr:cNvPicPr>
          <a:picLocks noChangeAspect="1"/>
        </xdr:cNvPicPr>
      </xdr:nvPicPr>
      <xdr:blipFill>
        <a:blip xmlns:r="http://schemas.openxmlformats.org/officeDocument/2006/relationships" r:embed="rId19"/>
        <a:stretch>
          <a:fillRect/>
        </a:stretch>
      </xdr:blipFill>
      <xdr:spPr>
        <a:xfrm>
          <a:off x="8210225" y="3989917"/>
          <a:ext cx="1077058" cy="593654"/>
        </a:xfrm>
        <a:prstGeom prst="rect">
          <a:avLst/>
        </a:prstGeom>
      </xdr:spPr>
    </xdr:pic>
    <xdr:clientData/>
  </xdr:twoCellAnchor>
  <xdr:twoCellAnchor editAs="oneCell">
    <xdr:from>
      <xdr:col>9</xdr:col>
      <xdr:colOff>86295</xdr:colOff>
      <xdr:row>16</xdr:row>
      <xdr:rowOff>87922</xdr:rowOff>
    </xdr:from>
    <xdr:to>
      <xdr:col>9</xdr:col>
      <xdr:colOff>1054670</xdr:colOff>
      <xdr:row>16</xdr:row>
      <xdr:rowOff>934589</xdr:rowOff>
    </xdr:to>
    <xdr:pic>
      <xdr:nvPicPr>
        <xdr:cNvPr id="24" name="Imagem 23">
          <a:extLst>
            <a:ext uri="{FF2B5EF4-FFF2-40B4-BE49-F238E27FC236}">
              <a16:creationId xmlns:a16="http://schemas.microsoft.com/office/drawing/2014/main" id="{40B19508-B9A8-467F-858F-EABC5D6FAEE0}"/>
            </a:ext>
          </a:extLst>
        </xdr:cNvPr>
        <xdr:cNvPicPr>
          <a:picLocks noChangeAspect="1"/>
        </xdr:cNvPicPr>
      </xdr:nvPicPr>
      <xdr:blipFill>
        <a:blip xmlns:r="http://schemas.openxmlformats.org/officeDocument/2006/relationships" r:embed="rId20"/>
        <a:stretch>
          <a:fillRect/>
        </a:stretch>
      </xdr:blipFill>
      <xdr:spPr>
        <a:xfrm>
          <a:off x="8235462" y="5834672"/>
          <a:ext cx="968375" cy="846667"/>
        </a:xfrm>
        <a:prstGeom prst="rect">
          <a:avLst/>
        </a:prstGeom>
      </xdr:spPr>
    </xdr:pic>
    <xdr:clientData/>
  </xdr:twoCellAnchor>
  <xdr:twoCellAnchor editAs="oneCell">
    <xdr:from>
      <xdr:col>9</xdr:col>
      <xdr:colOff>122278</xdr:colOff>
      <xdr:row>17</xdr:row>
      <xdr:rowOff>123905</xdr:rowOff>
    </xdr:from>
    <xdr:to>
      <xdr:col>9</xdr:col>
      <xdr:colOff>1090653</xdr:colOff>
      <xdr:row>17</xdr:row>
      <xdr:rowOff>970572</xdr:rowOff>
    </xdr:to>
    <xdr:pic>
      <xdr:nvPicPr>
        <xdr:cNvPr id="25" name="Imagem 24">
          <a:extLst>
            <a:ext uri="{FF2B5EF4-FFF2-40B4-BE49-F238E27FC236}">
              <a16:creationId xmlns:a16="http://schemas.microsoft.com/office/drawing/2014/main" id="{64FB2727-5214-4836-ACB1-3FB0522DD768}"/>
            </a:ext>
          </a:extLst>
        </xdr:cNvPr>
        <xdr:cNvPicPr>
          <a:picLocks noChangeAspect="1"/>
        </xdr:cNvPicPr>
      </xdr:nvPicPr>
      <xdr:blipFill>
        <a:blip xmlns:r="http://schemas.openxmlformats.org/officeDocument/2006/relationships" r:embed="rId20"/>
        <a:stretch>
          <a:fillRect/>
        </a:stretch>
      </xdr:blipFill>
      <xdr:spPr>
        <a:xfrm>
          <a:off x="8271445" y="6823155"/>
          <a:ext cx="968375" cy="846667"/>
        </a:xfrm>
        <a:prstGeom prst="rect">
          <a:avLst/>
        </a:prstGeom>
      </xdr:spPr>
    </xdr:pic>
    <xdr:clientData/>
  </xdr:twoCellAnchor>
  <xdr:oneCellAnchor>
    <xdr:from>
      <xdr:col>12</xdr:col>
      <xdr:colOff>0</xdr:colOff>
      <xdr:row>15</xdr:row>
      <xdr:rowOff>264584</xdr:rowOff>
    </xdr:from>
    <xdr:ext cx="952500" cy="476250"/>
    <xdr:pic>
      <xdr:nvPicPr>
        <xdr:cNvPr id="27" name="956694">
          <a:extLst>
            <a:ext uri="{FF2B5EF4-FFF2-40B4-BE49-F238E27FC236}">
              <a16:creationId xmlns:a16="http://schemas.microsoft.com/office/drawing/2014/main" id="{AA388F96-FC3C-4FA9-B82B-C92F90A792C1}"/>
            </a:ext>
          </a:extLst>
        </xdr:cNvPr>
        <xdr:cNvPicPr>
          <a:picLocks noChangeAspect="1"/>
        </xdr:cNvPicPr>
      </xdr:nvPicPr>
      <xdr:blipFill>
        <a:blip xmlns:r="http://schemas.openxmlformats.org/officeDocument/2006/relationships" r:embed="rId21" cstate="print"/>
        <a:stretch>
          <a:fillRect/>
        </a:stretch>
      </xdr:blipFill>
      <xdr:spPr>
        <a:xfrm>
          <a:off x="11218333" y="5058834"/>
          <a:ext cx="952500" cy="476250"/>
        </a:xfrm>
        <a:prstGeom prst="rect">
          <a:avLst/>
        </a:prstGeom>
      </xdr:spPr>
    </xdr:pic>
    <xdr:clientData/>
  </xdr:oneCellAnchor>
  <xdr:oneCellAnchor>
    <xdr:from>
      <xdr:col>6</xdr:col>
      <xdr:colOff>114300</xdr:colOff>
      <xdr:row>18</xdr:row>
      <xdr:rowOff>47625</xdr:rowOff>
    </xdr:from>
    <xdr:ext cx="714375" cy="714375"/>
    <xdr:pic>
      <xdr:nvPicPr>
        <xdr:cNvPr id="2" name="568497">
          <a:extLst>
            <a:ext uri="{FF2B5EF4-FFF2-40B4-BE49-F238E27FC236}">
              <a16:creationId xmlns:a16="http://schemas.microsoft.com/office/drawing/2014/main" id="{C0A033C5-4589-4FA2-8B07-C4BE965225A0}"/>
            </a:ext>
          </a:extLst>
        </xdr:cNvPr>
        <xdr:cNvPicPr>
          <a:picLocks noChangeAspect="1"/>
        </xdr:cNvPicPr>
      </xdr:nvPicPr>
      <xdr:blipFill>
        <a:blip xmlns:r="http://schemas.openxmlformats.org/officeDocument/2006/relationships" r:embed="rId22" cstate="print"/>
        <a:stretch>
          <a:fillRect/>
        </a:stretch>
      </xdr:blipFill>
      <xdr:spPr>
        <a:xfrm>
          <a:off x="5905500" y="7772400"/>
          <a:ext cx="714375" cy="714375"/>
        </a:xfrm>
        <a:prstGeom prst="rect">
          <a:avLst/>
        </a:prstGeom>
      </xdr:spPr>
    </xdr:pic>
    <xdr:clientData/>
  </xdr:oneCellAnchor>
  <xdr:oneCellAnchor>
    <xdr:from>
      <xdr:col>9</xdr:col>
      <xdr:colOff>266700</xdr:colOff>
      <xdr:row>18</xdr:row>
      <xdr:rowOff>38100</xdr:rowOff>
    </xdr:from>
    <xdr:ext cx="714375" cy="714375"/>
    <xdr:pic>
      <xdr:nvPicPr>
        <xdr:cNvPr id="11" name="703258">
          <a:extLst>
            <a:ext uri="{FF2B5EF4-FFF2-40B4-BE49-F238E27FC236}">
              <a16:creationId xmlns:a16="http://schemas.microsoft.com/office/drawing/2014/main" id="{41349EFA-9D02-428D-B015-D264360E15EC}"/>
            </a:ext>
          </a:extLst>
        </xdr:cNvPr>
        <xdr:cNvPicPr>
          <a:picLocks noChangeAspect="1"/>
        </xdr:cNvPicPr>
      </xdr:nvPicPr>
      <xdr:blipFill>
        <a:blip xmlns:r="http://schemas.openxmlformats.org/officeDocument/2006/relationships" r:embed="rId23" cstate="print"/>
        <a:stretch>
          <a:fillRect/>
        </a:stretch>
      </xdr:blipFill>
      <xdr:spPr>
        <a:xfrm>
          <a:off x="8534400" y="7762875"/>
          <a:ext cx="714375" cy="714375"/>
        </a:xfrm>
        <a:prstGeom prst="rect">
          <a:avLst/>
        </a:prstGeom>
      </xdr:spPr>
    </xdr:pic>
    <xdr:clientData/>
  </xdr:oneCellAnchor>
  <xdr:oneCellAnchor>
    <xdr:from>
      <xdr:col>0</xdr:col>
      <xdr:colOff>0</xdr:colOff>
      <xdr:row>18</xdr:row>
      <xdr:rowOff>257175</xdr:rowOff>
    </xdr:from>
    <xdr:ext cx="936967" cy="438150"/>
    <xdr:pic>
      <xdr:nvPicPr>
        <xdr:cNvPr id="26" name="Imagem 25">
          <a:extLst>
            <a:ext uri="{FF2B5EF4-FFF2-40B4-BE49-F238E27FC236}">
              <a16:creationId xmlns:a16="http://schemas.microsoft.com/office/drawing/2014/main" id="{5623CF2A-D869-41EE-855B-127F67A225DC}"/>
            </a:ext>
          </a:extLst>
        </xdr:cNvPr>
        <xdr:cNvPicPr>
          <a:picLocks noChangeAspect="1"/>
        </xdr:cNvPicPr>
      </xdr:nvPicPr>
      <xdr:blipFill>
        <a:blip xmlns:r="http://schemas.openxmlformats.org/officeDocument/2006/relationships" r:embed="rId24"/>
        <a:stretch>
          <a:fillRect/>
        </a:stretch>
      </xdr:blipFill>
      <xdr:spPr>
        <a:xfrm>
          <a:off x="0" y="6957805"/>
          <a:ext cx="936967" cy="438150"/>
        </a:xfrm>
        <a:prstGeom prst="rect">
          <a:avLst/>
        </a:prstGeom>
      </xdr:spPr>
    </xdr:pic>
    <xdr:clientData/>
  </xdr:oneCellAnchor>
  <xdr:oneCellAnchor>
    <xdr:from>
      <xdr:col>0</xdr:col>
      <xdr:colOff>124239</xdr:colOff>
      <xdr:row>17</xdr:row>
      <xdr:rowOff>173935</xdr:rowOff>
    </xdr:from>
    <xdr:ext cx="714375" cy="714375"/>
    <xdr:pic>
      <xdr:nvPicPr>
        <xdr:cNvPr id="28" name="311760">
          <a:extLst>
            <a:ext uri="{FF2B5EF4-FFF2-40B4-BE49-F238E27FC236}">
              <a16:creationId xmlns:a16="http://schemas.microsoft.com/office/drawing/2014/main" id="{51B25EDB-233D-4AB8-A84E-F58937FFBE4A}"/>
            </a:ext>
          </a:extLst>
        </xdr:cNvPr>
        <xdr:cNvPicPr>
          <a:picLocks noChangeAspect="1"/>
        </xdr:cNvPicPr>
      </xdr:nvPicPr>
      <xdr:blipFill>
        <a:blip xmlns:r="http://schemas.openxmlformats.org/officeDocument/2006/relationships" r:embed="rId25" cstate="print"/>
        <a:stretch>
          <a:fillRect/>
        </a:stretch>
      </xdr:blipFill>
      <xdr:spPr>
        <a:xfrm>
          <a:off x="124239" y="6874565"/>
          <a:ext cx="714375" cy="714375"/>
        </a:xfrm>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twoCellAnchor>
    <xdr:from>
      <xdr:col>1</xdr:col>
      <xdr:colOff>180975</xdr:colOff>
      <xdr:row>0</xdr:row>
      <xdr:rowOff>0</xdr:rowOff>
    </xdr:from>
    <xdr:to>
      <xdr:col>10</xdr:col>
      <xdr:colOff>0</xdr:colOff>
      <xdr:row>0</xdr:row>
      <xdr:rowOff>0</xdr:rowOff>
    </xdr:to>
    <xdr:sp macro="" textlink="">
      <xdr:nvSpPr>
        <xdr:cNvPr id="2" name="Text Box 3">
          <a:extLst>
            <a:ext uri="{FF2B5EF4-FFF2-40B4-BE49-F238E27FC236}">
              <a16:creationId xmlns:a16="http://schemas.microsoft.com/office/drawing/2014/main" id="{00000000-0008-0000-1100-000002000000}"/>
            </a:ext>
          </a:extLst>
        </xdr:cNvPr>
        <xdr:cNvSpPr txBox="1">
          <a:spLocks noChangeArrowheads="1"/>
        </xdr:cNvSpPr>
      </xdr:nvSpPr>
      <xdr:spPr bwMode="auto">
        <a:xfrm>
          <a:off x="1685925" y="0"/>
          <a:ext cx="10182225" cy="0"/>
        </a:xfrm>
        <a:prstGeom prst="rect">
          <a:avLst/>
        </a:prstGeom>
        <a:solidFill>
          <a:srgbClr val="FFFFFF"/>
        </a:solidFill>
        <a:ln w="25400" algn="ctr">
          <a:noFill/>
          <a:miter lim="800000"/>
          <a:headEnd/>
          <a:tailEnd/>
        </a:ln>
      </xdr:spPr>
      <xdr:txBody>
        <a:bodyPr vertOverflow="clip" wrap="square" lIns="27432" tIns="22860" rIns="0" bIns="0" anchor="ctr" upright="1"/>
        <a:lstStyle/>
        <a:p>
          <a:pPr algn="ctr" rtl="0">
            <a:defRPr sz="1000"/>
          </a:pPr>
          <a:r>
            <a:rPr lang="pt-BR" sz="1100" b="1" i="0" u="none" strike="noStrike" baseline="0">
              <a:solidFill>
                <a:srgbClr val="000000"/>
              </a:solidFill>
              <a:latin typeface="Arial"/>
              <a:cs typeface="Arial"/>
            </a:rPr>
            <a:t>GOVERNO DO ESTADO DE MATO GROSSO DO SUL</a:t>
          </a:r>
        </a:p>
        <a:p>
          <a:pPr algn="ctr" rtl="0">
            <a:defRPr sz="1000"/>
          </a:pPr>
          <a:r>
            <a:rPr lang="pt-BR" sz="1100" b="1" i="0" u="none" strike="noStrike" baseline="0">
              <a:solidFill>
                <a:srgbClr val="000000"/>
              </a:solidFill>
              <a:latin typeface="Arial"/>
              <a:cs typeface="Arial"/>
            </a:rPr>
            <a:t>SECRETARIA DE ESTADO DE OBRAS PÚBLICAS E DE TRANSPORTES - SEOP</a:t>
          </a:r>
        </a:p>
        <a:p>
          <a:pPr algn="ctr" rtl="0">
            <a:defRPr sz="1000"/>
          </a:pPr>
          <a:r>
            <a:rPr lang="pt-BR" sz="1100" b="1" i="0" u="none" strike="noStrike" baseline="0">
              <a:solidFill>
                <a:srgbClr val="000000"/>
              </a:solidFill>
              <a:latin typeface="Arial"/>
              <a:cs typeface="Arial"/>
            </a:rPr>
            <a:t>AGÊNCIA ESTADUAL DE GESTÃO DE EMPREENDIMENTOS - AGESUL</a:t>
          </a:r>
        </a:p>
      </xdr:txBody>
    </xdr:sp>
    <xdr:clientData/>
  </xdr:twoCellAnchor>
  <xdr:twoCellAnchor editAs="oneCell">
    <xdr:from>
      <xdr:col>1</xdr:col>
      <xdr:colOff>0</xdr:colOff>
      <xdr:row>16</xdr:row>
      <xdr:rowOff>0</xdr:rowOff>
    </xdr:from>
    <xdr:to>
      <xdr:col>1</xdr:col>
      <xdr:colOff>304800</xdr:colOff>
      <xdr:row>16</xdr:row>
      <xdr:rowOff>306338</xdr:rowOff>
    </xdr:to>
    <xdr:sp macro="" textlink="">
      <xdr:nvSpPr>
        <xdr:cNvPr id="3" name="AutoShape 5" descr="Resultado de imagem para PLACA RUA">
          <a:extLst>
            <a:ext uri="{FF2B5EF4-FFF2-40B4-BE49-F238E27FC236}">
              <a16:creationId xmlns:a16="http://schemas.microsoft.com/office/drawing/2014/main" id="{00000000-0008-0000-1100-000003000000}"/>
            </a:ext>
          </a:extLst>
        </xdr:cNvPr>
        <xdr:cNvSpPr>
          <a:spLocks noChangeAspect="1" noChangeArrowheads="1"/>
        </xdr:cNvSpPr>
      </xdr:nvSpPr>
      <xdr:spPr bwMode="auto">
        <a:xfrm>
          <a:off x="1504950" y="7077075"/>
          <a:ext cx="304800" cy="3063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16</xdr:row>
      <xdr:rowOff>0</xdr:rowOff>
    </xdr:from>
    <xdr:to>
      <xdr:col>1</xdr:col>
      <xdr:colOff>304800</xdr:colOff>
      <xdr:row>16</xdr:row>
      <xdr:rowOff>306338</xdr:rowOff>
    </xdr:to>
    <xdr:sp macro="" textlink="">
      <xdr:nvSpPr>
        <xdr:cNvPr id="4" name="AutoShape 6" descr="Resultado de imagem para PLACA RUA">
          <a:extLst>
            <a:ext uri="{FF2B5EF4-FFF2-40B4-BE49-F238E27FC236}">
              <a16:creationId xmlns:a16="http://schemas.microsoft.com/office/drawing/2014/main" id="{00000000-0008-0000-1100-000004000000}"/>
            </a:ext>
          </a:extLst>
        </xdr:cNvPr>
        <xdr:cNvSpPr>
          <a:spLocks noChangeAspect="1" noChangeArrowheads="1"/>
        </xdr:cNvSpPr>
      </xdr:nvSpPr>
      <xdr:spPr bwMode="auto">
        <a:xfrm>
          <a:off x="1504950" y="7077075"/>
          <a:ext cx="304800" cy="3063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16</xdr:row>
      <xdr:rowOff>0</xdr:rowOff>
    </xdr:from>
    <xdr:to>
      <xdr:col>1</xdr:col>
      <xdr:colOff>304800</xdr:colOff>
      <xdr:row>16</xdr:row>
      <xdr:rowOff>303649</xdr:rowOff>
    </xdr:to>
    <xdr:sp macro="" textlink="">
      <xdr:nvSpPr>
        <xdr:cNvPr id="5" name="AutoShape 8" descr="Resultado de imagem para PLACA RUA">
          <a:extLst>
            <a:ext uri="{FF2B5EF4-FFF2-40B4-BE49-F238E27FC236}">
              <a16:creationId xmlns:a16="http://schemas.microsoft.com/office/drawing/2014/main" id="{00000000-0008-0000-1100-000005000000}"/>
            </a:ext>
          </a:extLst>
        </xdr:cNvPr>
        <xdr:cNvSpPr>
          <a:spLocks noChangeAspect="1" noChangeArrowheads="1"/>
        </xdr:cNvSpPr>
      </xdr:nvSpPr>
      <xdr:spPr bwMode="auto">
        <a:xfrm>
          <a:off x="1504950" y="7077075"/>
          <a:ext cx="304800" cy="3036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16</xdr:row>
      <xdr:rowOff>0</xdr:rowOff>
    </xdr:from>
    <xdr:ext cx="304800" cy="303904"/>
    <xdr:sp macro="" textlink="">
      <xdr:nvSpPr>
        <xdr:cNvPr id="6" name="AutoShape 8" descr="Resultado de imagem para PLACA RUA">
          <a:extLst>
            <a:ext uri="{FF2B5EF4-FFF2-40B4-BE49-F238E27FC236}">
              <a16:creationId xmlns:a16="http://schemas.microsoft.com/office/drawing/2014/main" id="{00000000-0008-0000-1100-000006000000}"/>
            </a:ext>
          </a:extLst>
        </xdr:cNvPr>
        <xdr:cNvSpPr>
          <a:spLocks noChangeAspect="1" noChangeArrowheads="1"/>
        </xdr:cNvSpPr>
      </xdr:nvSpPr>
      <xdr:spPr bwMode="auto">
        <a:xfrm>
          <a:off x="1504950" y="7077075"/>
          <a:ext cx="304800" cy="303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7" name="AutoShape 12" descr="Resultado de imagem para FAIXA DE PEDESTRE">
          <a:extLst>
            <a:ext uri="{FF2B5EF4-FFF2-40B4-BE49-F238E27FC236}">
              <a16:creationId xmlns:a16="http://schemas.microsoft.com/office/drawing/2014/main" id="{00000000-0008-0000-1100-000007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8" name="AutoShape 13" descr="Resultado de imagem para FAIXA DE PEDESTRE">
          <a:extLst>
            <a:ext uri="{FF2B5EF4-FFF2-40B4-BE49-F238E27FC236}">
              <a16:creationId xmlns:a16="http://schemas.microsoft.com/office/drawing/2014/main" id="{00000000-0008-0000-1100-000008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9" name="AutoShape 12" descr="Resultado de imagem para FAIXA DE PEDESTRE">
          <a:extLst>
            <a:ext uri="{FF2B5EF4-FFF2-40B4-BE49-F238E27FC236}">
              <a16:creationId xmlns:a16="http://schemas.microsoft.com/office/drawing/2014/main" id="{00000000-0008-0000-1100-000009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8</xdr:row>
      <xdr:rowOff>0</xdr:rowOff>
    </xdr:from>
    <xdr:ext cx="304800" cy="303903"/>
    <xdr:sp macro="" textlink="">
      <xdr:nvSpPr>
        <xdr:cNvPr id="10" name="AutoShape 13" descr="Resultado de imagem para FAIXA DE PEDESTRE">
          <a:extLst>
            <a:ext uri="{FF2B5EF4-FFF2-40B4-BE49-F238E27FC236}">
              <a16:creationId xmlns:a16="http://schemas.microsoft.com/office/drawing/2014/main" id="{00000000-0008-0000-1100-00000A000000}"/>
            </a:ext>
          </a:extLst>
        </xdr:cNvPr>
        <xdr:cNvSpPr>
          <a:spLocks noChangeAspect="1" noChangeArrowheads="1"/>
        </xdr:cNvSpPr>
      </xdr:nvSpPr>
      <xdr:spPr bwMode="auto">
        <a:xfrm>
          <a:off x="9124950" y="1876425"/>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0</xdr:colOff>
      <xdr:row>16</xdr:row>
      <xdr:rowOff>0</xdr:rowOff>
    </xdr:from>
    <xdr:to>
      <xdr:col>6</xdr:col>
      <xdr:colOff>304800</xdr:colOff>
      <xdr:row>16</xdr:row>
      <xdr:rowOff>304545</xdr:rowOff>
    </xdr:to>
    <xdr:sp macro="" textlink="">
      <xdr:nvSpPr>
        <xdr:cNvPr id="11" name="AutoShape 18" descr="Resultado de imagem para SEMAFORO">
          <a:extLst>
            <a:ext uri="{FF2B5EF4-FFF2-40B4-BE49-F238E27FC236}">
              <a16:creationId xmlns:a16="http://schemas.microsoft.com/office/drawing/2014/main" id="{00000000-0008-0000-1100-00000B000000}"/>
            </a:ext>
          </a:extLst>
        </xdr:cNvPr>
        <xdr:cNvSpPr>
          <a:spLocks noChangeAspect="1" noChangeArrowheads="1"/>
        </xdr:cNvSpPr>
      </xdr:nvSpPr>
      <xdr:spPr bwMode="auto">
        <a:xfrm>
          <a:off x="6934200" y="7077075"/>
          <a:ext cx="304800" cy="3045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16</xdr:row>
      <xdr:rowOff>0</xdr:rowOff>
    </xdr:from>
    <xdr:to>
      <xdr:col>6</xdr:col>
      <xdr:colOff>304800</xdr:colOff>
      <xdr:row>16</xdr:row>
      <xdr:rowOff>304545</xdr:rowOff>
    </xdr:to>
    <xdr:sp macro="" textlink="">
      <xdr:nvSpPr>
        <xdr:cNvPr id="12" name="AutoShape 19" descr="Resultado de imagem para SEMAFORO">
          <a:extLst>
            <a:ext uri="{FF2B5EF4-FFF2-40B4-BE49-F238E27FC236}">
              <a16:creationId xmlns:a16="http://schemas.microsoft.com/office/drawing/2014/main" id="{00000000-0008-0000-1100-00000C000000}"/>
            </a:ext>
          </a:extLst>
        </xdr:cNvPr>
        <xdr:cNvSpPr>
          <a:spLocks noChangeAspect="1" noChangeArrowheads="1"/>
        </xdr:cNvSpPr>
      </xdr:nvSpPr>
      <xdr:spPr bwMode="auto">
        <a:xfrm>
          <a:off x="6934200" y="7077075"/>
          <a:ext cx="304800" cy="3045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57150</xdr:colOff>
          <xdr:row>0</xdr:row>
          <xdr:rowOff>38100</xdr:rowOff>
        </xdr:from>
        <xdr:to>
          <xdr:col>0</xdr:col>
          <xdr:colOff>1438275</xdr:colOff>
          <xdr:row>2</xdr:row>
          <xdr:rowOff>95250</xdr:rowOff>
        </xdr:to>
        <xdr:pic>
          <xdr:nvPicPr>
            <xdr:cNvPr id="15" name="Imagem 14">
              <a:extLst>
                <a:ext uri="{FF2B5EF4-FFF2-40B4-BE49-F238E27FC236}">
                  <a16:creationId xmlns:a16="http://schemas.microsoft.com/office/drawing/2014/main" id="{00000000-0008-0000-1100-00000F000000}"/>
                </a:ext>
              </a:extLst>
            </xdr:cNvPr>
            <xdr:cNvPicPr>
              <a:picLocks noChangeAspect="1"/>
              <a:extLst>
                <a:ext uri="{84589F7E-364E-4C9E-8A38-B11213B215E9}">
                  <a14:cameraTool cellRange="IMAGENS" spid="_x0000_s725166"/>
                </a:ext>
              </a:extLst>
            </xdr:cNvPicPr>
          </xdr:nvPicPr>
          <xdr:blipFill>
            <a:blip xmlns:r="http://schemas.openxmlformats.org/officeDocument/2006/relationships" r:embed="rId1"/>
            <a:stretch>
              <a:fillRect/>
            </a:stretch>
          </xdr:blipFill>
          <xdr:spPr>
            <a:xfrm>
              <a:off x="57150" y="38100"/>
              <a:ext cx="1381125" cy="504825"/>
            </a:xfrm>
            <a:prstGeom prst="rect">
              <a:avLst/>
            </a:prstGeom>
          </xdr:spPr>
        </xdr:pic>
        <xdr:clientData/>
      </xdr:twoCellAnchor>
    </mc:Choice>
    <mc:Fallback/>
  </mc:AlternateContent>
  <xdr:twoCellAnchor editAs="oneCell">
    <xdr:from>
      <xdr:col>7</xdr:col>
      <xdr:colOff>514350</xdr:colOff>
      <xdr:row>0</xdr:row>
      <xdr:rowOff>47625</xdr:rowOff>
    </xdr:from>
    <xdr:to>
      <xdr:col>7</xdr:col>
      <xdr:colOff>1571625</xdr:colOff>
      <xdr:row>2</xdr:row>
      <xdr:rowOff>67296</xdr:rowOff>
    </xdr:to>
    <xdr:pic>
      <xdr:nvPicPr>
        <xdr:cNvPr id="13" name="Imagem 12">
          <a:extLst>
            <a:ext uri="{FF2B5EF4-FFF2-40B4-BE49-F238E27FC236}">
              <a16:creationId xmlns:a16="http://schemas.microsoft.com/office/drawing/2014/main" id="{B363DC3B-B610-4440-8DA1-39FD4D891B26}"/>
            </a:ext>
          </a:extLst>
        </xdr:cNvPr>
        <xdr:cNvPicPr>
          <a:picLocks noChangeAspect="1"/>
        </xdr:cNvPicPr>
      </xdr:nvPicPr>
      <xdr:blipFill>
        <a:blip xmlns:r="http://schemas.openxmlformats.org/officeDocument/2006/relationships" r:embed="rId2"/>
        <a:stretch>
          <a:fillRect/>
        </a:stretch>
      </xdr:blipFill>
      <xdr:spPr>
        <a:xfrm>
          <a:off x="9448800" y="47625"/>
          <a:ext cx="1057275" cy="46734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82363</xdr:colOff>
          <xdr:row>0</xdr:row>
          <xdr:rowOff>72838</xdr:rowOff>
        </xdr:from>
        <xdr:to>
          <xdr:col>1</xdr:col>
          <xdr:colOff>493843</xdr:colOff>
          <xdr:row>2</xdr:row>
          <xdr:rowOff>181423</xdr:rowOff>
        </xdr:to>
        <xdr:pic>
          <xdr:nvPicPr>
            <xdr:cNvPr id="2" name="Imagem 1">
              <a:extLst>
                <a:ext uri="{FF2B5EF4-FFF2-40B4-BE49-F238E27FC236}">
                  <a16:creationId xmlns:a16="http://schemas.microsoft.com/office/drawing/2014/main" id="{00000000-0008-0000-1000-000002000000}"/>
                </a:ext>
              </a:extLst>
            </xdr:cNvPr>
            <xdr:cNvPicPr>
              <a:picLocks noChangeAspect="1"/>
              <a:extLst>
                <a:ext uri="{84589F7E-364E-4C9E-8A38-B11213B215E9}">
                  <a14:cameraTool cellRange="IMAGENS" spid="_x0000_s588101"/>
                </a:ext>
              </a:extLst>
            </xdr:cNvPicPr>
          </xdr:nvPicPr>
          <xdr:blipFill>
            <a:blip xmlns:r="http://schemas.openxmlformats.org/officeDocument/2006/relationships" r:embed="rId1"/>
            <a:stretch>
              <a:fillRect/>
            </a:stretch>
          </xdr:blipFill>
          <xdr:spPr>
            <a:xfrm>
              <a:off x="82363" y="72838"/>
              <a:ext cx="1383030" cy="508635"/>
            </a:xfrm>
            <a:prstGeom prst="rect">
              <a:avLst/>
            </a:prstGeom>
          </xdr:spPr>
        </xdr:pic>
        <xdr:clientData/>
      </xdr:twoCellAnchor>
    </mc:Choice>
    <mc:Fallback/>
  </mc:AlternateContent>
  <xdr:twoCellAnchor editAs="oneCell">
    <xdr:from>
      <xdr:col>10</xdr:col>
      <xdr:colOff>876300</xdr:colOff>
      <xdr:row>0</xdr:row>
      <xdr:rowOff>66675</xdr:rowOff>
    </xdr:from>
    <xdr:to>
      <xdr:col>10</xdr:col>
      <xdr:colOff>1933575</xdr:colOff>
      <xdr:row>2</xdr:row>
      <xdr:rowOff>133971</xdr:rowOff>
    </xdr:to>
    <xdr:pic>
      <xdr:nvPicPr>
        <xdr:cNvPr id="3" name="Imagem 2">
          <a:extLst>
            <a:ext uri="{FF2B5EF4-FFF2-40B4-BE49-F238E27FC236}">
              <a16:creationId xmlns:a16="http://schemas.microsoft.com/office/drawing/2014/main" id="{D546D1A0-DDF7-4313-9C66-D95032D726CE}"/>
            </a:ext>
          </a:extLst>
        </xdr:cNvPr>
        <xdr:cNvPicPr>
          <a:picLocks noChangeAspect="1"/>
        </xdr:cNvPicPr>
      </xdr:nvPicPr>
      <xdr:blipFill>
        <a:blip xmlns:r="http://schemas.openxmlformats.org/officeDocument/2006/relationships" r:embed="rId2"/>
        <a:stretch>
          <a:fillRect/>
        </a:stretch>
      </xdr:blipFill>
      <xdr:spPr>
        <a:xfrm>
          <a:off x="8191500" y="66675"/>
          <a:ext cx="1057275" cy="467346"/>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14</xdr:col>
      <xdr:colOff>734786</xdr:colOff>
      <xdr:row>7</xdr:row>
      <xdr:rowOff>62432</xdr:rowOff>
    </xdr:from>
    <xdr:to>
      <xdr:col>19</xdr:col>
      <xdr:colOff>381000</xdr:colOff>
      <xdr:row>19</xdr:row>
      <xdr:rowOff>157861</xdr:rowOff>
    </xdr:to>
    <xdr:pic>
      <xdr:nvPicPr>
        <xdr:cNvPr id="8" name="Imagem 7" descr="manual tecnico RIB LOC">
          <a:extLst>
            <a:ext uri="{FF2B5EF4-FFF2-40B4-BE49-F238E27FC236}">
              <a16:creationId xmlns:a16="http://schemas.microsoft.com/office/drawing/2014/main" id="{00000000-0008-0000-12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729607" y="1776932"/>
          <a:ext cx="4503964" cy="27352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0</xdr:col>
          <xdr:colOff>26895</xdr:colOff>
          <xdr:row>0</xdr:row>
          <xdr:rowOff>57149</xdr:rowOff>
        </xdr:from>
        <xdr:to>
          <xdr:col>0</xdr:col>
          <xdr:colOff>1408020</xdr:colOff>
          <xdr:row>2</xdr:row>
          <xdr:rowOff>169768</xdr:rowOff>
        </xdr:to>
        <xdr:pic>
          <xdr:nvPicPr>
            <xdr:cNvPr id="14" name="Imagem 13">
              <a:extLst>
                <a:ext uri="{FF2B5EF4-FFF2-40B4-BE49-F238E27FC236}">
                  <a16:creationId xmlns:a16="http://schemas.microsoft.com/office/drawing/2014/main" id="{00000000-0008-0000-1200-00000E000000}"/>
                </a:ext>
              </a:extLst>
            </xdr:cNvPr>
            <xdr:cNvPicPr>
              <a:picLocks noChangeAspect="1"/>
              <a:extLst>
                <a:ext uri="{84589F7E-364E-4C9E-8A38-B11213B215E9}">
                  <a14:cameraTool cellRange="IMAGENS" spid="_x0000_s802868"/>
                </a:ext>
              </a:extLst>
            </xdr:cNvPicPr>
          </xdr:nvPicPr>
          <xdr:blipFill>
            <a:blip xmlns:r="http://schemas.openxmlformats.org/officeDocument/2006/relationships" r:embed="rId2"/>
            <a:stretch>
              <a:fillRect/>
            </a:stretch>
          </xdr:blipFill>
          <xdr:spPr>
            <a:xfrm>
              <a:off x="26895" y="57149"/>
              <a:ext cx="1381125" cy="504825"/>
            </a:xfrm>
            <a:prstGeom prst="rect">
              <a:avLst/>
            </a:prstGeom>
          </xdr:spPr>
        </xdr:pic>
        <xdr:clientData/>
      </xdr:twoCellAnchor>
    </mc:Choice>
    <mc:Fallback/>
  </mc:AlternateContent>
  <xdr:twoCellAnchor>
    <xdr:from>
      <xdr:col>0</xdr:col>
      <xdr:colOff>1255059</xdr:colOff>
      <xdr:row>16</xdr:row>
      <xdr:rowOff>176155</xdr:rowOff>
    </xdr:from>
    <xdr:to>
      <xdr:col>2</xdr:col>
      <xdr:colOff>638736</xdr:colOff>
      <xdr:row>19</xdr:row>
      <xdr:rowOff>137943</xdr:rowOff>
    </xdr:to>
    <mc:AlternateContent xmlns:mc="http://schemas.openxmlformats.org/markup-compatibility/2006" xmlns:a14="http://schemas.microsoft.com/office/drawing/2010/main">
      <mc:Choice Requires="a14">
        <xdr:sp macro="" textlink="">
          <xdr:nvSpPr>
            <xdr:cNvPr id="15" name="CaixaDeTexto 14">
              <a:extLst>
                <a:ext uri="{FF2B5EF4-FFF2-40B4-BE49-F238E27FC236}">
                  <a16:creationId xmlns:a16="http://schemas.microsoft.com/office/drawing/2014/main" id="{00000000-0008-0000-1200-00000F000000}"/>
                </a:ext>
              </a:extLst>
            </xdr:cNvPr>
            <xdr:cNvSpPr txBox="1"/>
          </xdr:nvSpPr>
          <xdr:spPr>
            <a:xfrm>
              <a:off x="1255059" y="3952537"/>
              <a:ext cx="1927412" cy="533288"/>
            </a:xfrm>
            <a:prstGeom prst="rect">
              <a:avLst/>
            </a:prstGeom>
            <a:solidFill>
              <a:schemeClr val="bg1"/>
            </a:solidFill>
            <a:ln>
              <a:solidFill>
                <a:sysClr val="windowText" lastClr="000000"/>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r>
                      <a:rPr lang="pt-BR" sz="1600" b="0" i="1">
                        <a:latin typeface="Cambria Math" panose="02040503050406030204" pitchFamily="18" charset="0"/>
                      </a:rPr>
                      <m:t>𝑖</m:t>
                    </m:r>
                    <m:r>
                      <a:rPr lang="pt-BR" sz="1600" i="1">
                        <a:latin typeface="Cambria Math" panose="02040503050406030204" pitchFamily="18" charset="0"/>
                      </a:rPr>
                      <m:t>=</m:t>
                    </m:r>
                    <m:f>
                      <m:fPr>
                        <m:ctrlPr>
                          <a:rPr lang="pt-BR" sz="1600" i="1">
                            <a:latin typeface="Cambria Math" panose="02040503050406030204" pitchFamily="18" charset="0"/>
                          </a:rPr>
                        </m:ctrlPr>
                      </m:fPr>
                      <m:num>
                        <m:r>
                          <a:rPr lang="pt-BR" sz="1600" b="0" i="1">
                            <a:latin typeface="Cambria Math" panose="02040503050406030204" pitchFamily="18" charset="0"/>
                          </a:rPr>
                          <m:t>𝐾</m:t>
                        </m:r>
                        <m:r>
                          <a:rPr lang="pt-BR" sz="1600" b="0" i="1">
                            <a:latin typeface="Cambria Math" panose="02040503050406030204" pitchFamily="18" charset="0"/>
                            <a:ea typeface="Cambria Math" panose="02040503050406030204" pitchFamily="18" charset="0"/>
                          </a:rPr>
                          <m:t>∙</m:t>
                        </m:r>
                        <m:sSup>
                          <m:sSupPr>
                            <m:ctrlPr>
                              <a:rPr lang="pt-BR" sz="1600" b="0" i="1">
                                <a:latin typeface="Cambria Math" panose="02040503050406030204" pitchFamily="18" charset="0"/>
                                <a:ea typeface="Cambria Math" panose="02040503050406030204" pitchFamily="18" charset="0"/>
                              </a:rPr>
                            </m:ctrlPr>
                          </m:sSupPr>
                          <m:e>
                            <m:sSub>
                              <m:sSubPr>
                                <m:ctrlPr>
                                  <a:rPr lang="pt-BR" sz="1600" b="0" i="1">
                                    <a:latin typeface="Cambria Math" panose="02040503050406030204" pitchFamily="18" charset="0"/>
                                    <a:ea typeface="Cambria Math" panose="02040503050406030204" pitchFamily="18" charset="0"/>
                                  </a:rPr>
                                </m:ctrlPr>
                              </m:sSubPr>
                              <m:e>
                                <m:r>
                                  <a:rPr lang="pt-BR" sz="1600" b="0" i="1">
                                    <a:latin typeface="Cambria Math" panose="02040503050406030204" pitchFamily="18" charset="0"/>
                                    <a:ea typeface="Cambria Math" panose="02040503050406030204" pitchFamily="18" charset="0"/>
                                  </a:rPr>
                                  <m:t>𝑇</m:t>
                                </m:r>
                              </m:e>
                              <m:sub>
                                <m:r>
                                  <a:rPr lang="pt-BR" sz="1600" b="0" i="1">
                                    <a:latin typeface="Cambria Math" panose="02040503050406030204" pitchFamily="18" charset="0"/>
                                    <a:ea typeface="Cambria Math" panose="02040503050406030204" pitchFamily="18" charset="0"/>
                                  </a:rPr>
                                  <m:t>𝑟</m:t>
                                </m:r>
                              </m:sub>
                            </m:sSub>
                          </m:e>
                          <m:sup>
                            <m:r>
                              <a:rPr lang="pt-BR" sz="1600" b="0" i="1">
                                <a:latin typeface="Cambria Math" panose="02040503050406030204" pitchFamily="18" charset="0"/>
                                <a:ea typeface="Cambria Math" panose="02040503050406030204" pitchFamily="18" charset="0"/>
                              </a:rPr>
                              <m:t>𝑎</m:t>
                            </m:r>
                          </m:sup>
                        </m:sSup>
                      </m:num>
                      <m:den>
                        <m:sSup>
                          <m:sSupPr>
                            <m:ctrlPr>
                              <a:rPr lang="pt-BR" sz="1600" i="1">
                                <a:latin typeface="Cambria Math" panose="02040503050406030204" pitchFamily="18" charset="0"/>
                              </a:rPr>
                            </m:ctrlPr>
                          </m:sSupPr>
                          <m:e>
                            <m:r>
                              <a:rPr lang="pt-BR" sz="1600" b="0" i="1">
                                <a:latin typeface="Cambria Math" panose="02040503050406030204" pitchFamily="18" charset="0"/>
                              </a:rPr>
                              <m:t>(</m:t>
                            </m:r>
                            <m:r>
                              <a:rPr lang="pt-BR" sz="1600" b="0" i="1">
                                <a:latin typeface="Cambria Math" panose="02040503050406030204" pitchFamily="18" charset="0"/>
                              </a:rPr>
                              <m:t>𝑡</m:t>
                            </m:r>
                            <m:r>
                              <a:rPr lang="pt-BR" sz="1600" b="0" i="1">
                                <a:latin typeface="Cambria Math" panose="02040503050406030204" pitchFamily="18" charset="0"/>
                              </a:rPr>
                              <m:t>+</m:t>
                            </m:r>
                            <m:r>
                              <a:rPr lang="pt-BR" sz="1600" b="0" i="1">
                                <a:latin typeface="Cambria Math" panose="02040503050406030204" pitchFamily="18" charset="0"/>
                              </a:rPr>
                              <m:t>𝑏</m:t>
                            </m:r>
                            <m:r>
                              <a:rPr lang="pt-BR" sz="1600" b="0" i="1">
                                <a:latin typeface="Cambria Math" panose="02040503050406030204" pitchFamily="18" charset="0"/>
                              </a:rPr>
                              <m:t>)</m:t>
                            </m:r>
                          </m:e>
                          <m:sup>
                            <m:r>
                              <a:rPr lang="pt-BR" sz="1600" b="0" i="1">
                                <a:latin typeface="Cambria Math" panose="02040503050406030204" pitchFamily="18" charset="0"/>
                              </a:rPr>
                              <m:t>𝑐</m:t>
                            </m:r>
                          </m:sup>
                        </m:sSup>
                      </m:den>
                    </m:f>
                  </m:oMath>
                </m:oMathPara>
              </a14:m>
              <a:endParaRPr lang="pt-BR" sz="1600"/>
            </a:p>
          </xdr:txBody>
        </xdr:sp>
      </mc:Choice>
      <mc:Fallback xmlns="">
        <xdr:sp macro="" textlink="">
          <xdr:nvSpPr>
            <xdr:cNvPr id="15" name="CaixaDeTexto 14">
              <a:extLst>
                <a:ext uri="{FF2B5EF4-FFF2-40B4-BE49-F238E27FC236}">
                  <a16:creationId xmlns:a16="http://schemas.microsoft.com/office/drawing/2014/main" id="{FB8C4CB1-F16C-433B-BF27-8D98FA738225}"/>
                </a:ext>
              </a:extLst>
            </xdr:cNvPr>
            <xdr:cNvSpPr txBox="1"/>
          </xdr:nvSpPr>
          <xdr:spPr>
            <a:xfrm>
              <a:off x="1255059" y="3952537"/>
              <a:ext cx="1927412" cy="533288"/>
            </a:xfrm>
            <a:prstGeom prst="rect">
              <a:avLst/>
            </a:prstGeom>
            <a:solidFill>
              <a:schemeClr val="bg1"/>
            </a:solidFill>
            <a:ln>
              <a:solidFill>
                <a:sysClr val="windowText" lastClr="000000"/>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pt-BR" sz="1600" b="0" i="0">
                  <a:latin typeface="Cambria Math" panose="02040503050406030204" pitchFamily="18" charset="0"/>
                </a:rPr>
                <a:t>𝑖</a:t>
              </a:r>
              <a:r>
                <a:rPr lang="pt-BR" sz="1600" i="0">
                  <a:latin typeface="Cambria Math" panose="02040503050406030204" pitchFamily="18" charset="0"/>
                </a:rPr>
                <a:t>=(</a:t>
              </a:r>
              <a:r>
                <a:rPr lang="pt-BR" sz="1600" b="0" i="0">
                  <a:latin typeface="Cambria Math" panose="02040503050406030204" pitchFamily="18" charset="0"/>
                </a:rPr>
                <a:t>𝐾</a:t>
              </a:r>
              <a:r>
                <a:rPr lang="pt-BR" sz="1600" b="0" i="0">
                  <a:latin typeface="Cambria Math" panose="02040503050406030204" pitchFamily="18" charset="0"/>
                  <a:ea typeface="Cambria Math" panose="02040503050406030204" pitchFamily="18" charset="0"/>
                </a:rPr>
                <a:t>∙〖𝑇_𝑟〗^𝑎)/〖</a:t>
              </a:r>
              <a:r>
                <a:rPr lang="pt-BR" sz="1600" b="0" i="0">
                  <a:latin typeface="Cambria Math" panose="02040503050406030204" pitchFamily="18" charset="0"/>
                </a:rPr>
                <a:t>(𝑡+𝑏)〗^𝑐 </a:t>
              </a:r>
              <a:endParaRPr lang="pt-BR" sz="1600"/>
            </a:p>
          </xdr:txBody>
        </xdr:sp>
      </mc:Fallback>
    </mc:AlternateContent>
    <xdr:clientData/>
  </xdr:twoCellAnchor>
  <xdr:twoCellAnchor editAs="oneCell">
    <xdr:from>
      <xdr:col>0</xdr:col>
      <xdr:colOff>54685</xdr:colOff>
      <xdr:row>11</xdr:row>
      <xdr:rowOff>44822</xdr:rowOff>
    </xdr:from>
    <xdr:to>
      <xdr:col>3</xdr:col>
      <xdr:colOff>579247</xdr:colOff>
      <xdr:row>14</xdr:row>
      <xdr:rowOff>67235</xdr:rowOff>
    </xdr:to>
    <xdr:pic>
      <xdr:nvPicPr>
        <xdr:cNvPr id="16" name="Picture 3">
          <a:extLst>
            <a:ext uri="{FF2B5EF4-FFF2-40B4-BE49-F238E27FC236}">
              <a16:creationId xmlns:a16="http://schemas.microsoft.com/office/drawing/2014/main" id="{00000000-0008-0000-1200-000010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5333" t="61630" r="25166" b="26814"/>
        <a:stretch>
          <a:fillRect/>
        </a:stretch>
      </xdr:blipFill>
      <xdr:spPr bwMode="auto">
        <a:xfrm>
          <a:off x="54685" y="2868704"/>
          <a:ext cx="4082340" cy="593913"/>
        </a:xfrm>
        <a:prstGeom prst="rect">
          <a:avLst/>
        </a:prstGeom>
        <a:noFill/>
        <a:ln>
          <a:noFill/>
        </a:ln>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Lst>
      </xdr:spPr>
    </xdr:pic>
    <xdr:clientData/>
  </xdr:twoCellAnchor>
  <xdr:twoCellAnchor>
    <xdr:from>
      <xdr:col>0</xdr:col>
      <xdr:colOff>109370</xdr:colOff>
      <xdr:row>14</xdr:row>
      <xdr:rowOff>104213</xdr:rowOff>
    </xdr:from>
    <xdr:to>
      <xdr:col>3</xdr:col>
      <xdr:colOff>515471</xdr:colOff>
      <xdr:row>16</xdr:row>
      <xdr:rowOff>134471</xdr:rowOff>
    </xdr:to>
    <mc:AlternateContent xmlns:mc="http://schemas.openxmlformats.org/markup-compatibility/2006" xmlns:a14="http://schemas.microsoft.com/office/drawing/2010/main">
      <mc:Choice Requires="a14">
        <xdr:sp macro="" textlink="">
          <xdr:nvSpPr>
            <xdr:cNvPr id="17" name="CaixaDeTexto 13">
              <a:extLst>
                <a:ext uri="{FF2B5EF4-FFF2-40B4-BE49-F238E27FC236}">
                  <a16:creationId xmlns:a16="http://schemas.microsoft.com/office/drawing/2014/main" id="{00000000-0008-0000-1200-000011000000}"/>
                </a:ext>
              </a:extLst>
            </xdr:cNvPr>
            <xdr:cNvSpPr txBox="1"/>
          </xdr:nvSpPr>
          <xdr:spPr>
            <a:xfrm>
              <a:off x="109370" y="3499595"/>
              <a:ext cx="3812689" cy="411258"/>
            </a:xfrm>
            <a:prstGeom prst="rect">
              <a:avLst/>
            </a:prstGeom>
            <a:solidFill>
              <a:schemeClr val="bg1"/>
            </a:solidFill>
            <a:ln>
              <a:solidFill>
                <a:schemeClr val="tx1"/>
              </a:solidFill>
            </a:ln>
          </xdr:spPr>
          <xdr:txBody>
            <a:bodyPr wrap="square" lIns="0" tIns="0" rIns="0" bIns="0" rtlCol="0">
              <a:no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r>
                      <a:rPr lang="pt-BR" sz="1800" b="0" i="1">
                        <a:latin typeface="Cambria Math" panose="02040503050406030204" pitchFamily="18" charset="0"/>
                      </a:rPr>
                      <m:t>𝑑</m:t>
                    </m:r>
                    <m:r>
                      <a:rPr lang="pt-BR" sz="1800" i="1">
                        <a:latin typeface="Cambria Math" panose="02040503050406030204" pitchFamily="18" charset="0"/>
                      </a:rPr>
                      <m:t>=</m:t>
                    </m:r>
                    <m:r>
                      <a:rPr lang="pt-BR" sz="1800" b="0" i="1">
                        <a:latin typeface="Cambria Math" panose="02040503050406030204" pitchFamily="18" charset="0"/>
                      </a:rPr>
                      <m:t>1,511</m:t>
                    </m:r>
                    <m:r>
                      <a:rPr lang="pt-BR" sz="1800" b="0" i="1">
                        <a:latin typeface="Cambria Math" panose="02040503050406030204" pitchFamily="18" charset="0"/>
                        <a:ea typeface="Cambria Math" panose="02040503050406030204" pitchFamily="18" charset="0"/>
                      </a:rPr>
                      <m:t>∙(</m:t>
                    </m:r>
                    <m:r>
                      <a:rPr lang="pt-BR" sz="1800" b="0" i="1">
                        <a:latin typeface="Cambria Math" panose="02040503050406030204" pitchFamily="18" charset="0"/>
                        <a:ea typeface="Cambria Math" panose="02040503050406030204" pitchFamily="18" charset="0"/>
                      </a:rPr>
                      <m:t>𝑛</m:t>
                    </m:r>
                    <m:r>
                      <a:rPr lang="pt-BR" sz="1800" b="0" i="1">
                        <a:latin typeface="Cambria Math" panose="02040503050406030204" pitchFamily="18" charset="0"/>
                        <a:ea typeface="Cambria Math" panose="02040503050406030204" pitchFamily="18" charset="0"/>
                      </a:rPr>
                      <m:t>∙</m:t>
                    </m:r>
                    <m:r>
                      <a:rPr lang="pt-BR" sz="1800" b="0" i="1">
                        <a:latin typeface="Cambria Math" panose="02040503050406030204" pitchFamily="18" charset="0"/>
                        <a:ea typeface="Cambria Math" panose="02040503050406030204" pitchFamily="18" charset="0"/>
                      </a:rPr>
                      <m:t>𝑄</m:t>
                    </m:r>
                    <m:r>
                      <a:rPr lang="pt-BR" sz="1800" i="1">
                        <a:latin typeface="Cambria Math" panose="02040503050406030204" pitchFamily="18" charset="0"/>
                        <a:ea typeface="Cambria Math" panose="02040503050406030204" pitchFamily="18" charset="0"/>
                      </a:rPr>
                      <m:t>∙</m:t>
                    </m:r>
                    <m:sSup>
                      <m:sSupPr>
                        <m:ctrlPr>
                          <a:rPr lang="pt-BR" sz="1800" i="1">
                            <a:latin typeface="Cambria Math" panose="02040503050406030204" pitchFamily="18" charset="0"/>
                            <a:ea typeface="Cambria Math" panose="02040503050406030204" pitchFamily="18" charset="0"/>
                          </a:rPr>
                        </m:ctrlPr>
                      </m:sSupPr>
                      <m:e>
                        <m:sSup>
                          <m:sSupPr>
                            <m:ctrlPr>
                              <a:rPr lang="pt-BR" sz="1800" i="1">
                                <a:latin typeface="Cambria Math" panose="02040503050406030204" pitchFamily="18" charset="0"/>
                                <a:ea typeface="Cambria Math" panose="02040503050406030204" pitchFamily="18" charset="0"/>
                              </a:rPr>
                            </m:ctrlPr>
                          </m:sSupPr>
                          <m:e>
                            <m:r>
                              <a:rPr lang="pt-BR" sz="1800" b="0" i="1">
                                <a:latin typeface="Cambria Math" panose="02040503050406030204" pitchFamily="18" charset="0"/>
                                <a:ea typeface="Cambria Math" panose="02040503050406030204" pitchFamily="18" charset="0"/>
                              </a:rPr>
                              <m:t>𝐼</m:t>
                            </m:r>
                          </m:e>
                          <m:sup>
                            <m:r>
                              <a:rPr lang="pt-BR" sz="1800" b="0" i="1">
                                <a:latin typeface="Cambria Math" panose="02040503050406030204" pitchFamily="18" charset="0"/>
                                <a:ea typeface="Cambria Math" panose="02040503050406030204" pitchFamily="18" charset="0"/>
                              </a:rPr>
                              <m:t>−1/2</m:t>
                            </m:r>
                          </m:sup>
                        </m:sSup>
                        <m:r>
                          <a:rPr lang="pt-BR" sz="1800" b="0" i="1">
                            <a:latin typeface="Cambria Math" panose="02040503050406030204" pitchFamily="18" charset="0"/>
                            <a:ea typeface="Cambria Math" panose="02040503050406030204" pitchFamily="18" charset="0"/>
                          </a:rPr>
                          <m:t>)</m:t>
                        </m:r>
                      </m:e>
                      <m:sup>
                        <m:r>
                          <a:rPr lang="pt-BR" sz="1800" b="0" i="1">
                            <a:latin typeface="Cambria Math" panose="02040503050406030204" pitchFamily="18" charset="0"/>
                            <a:ea typeface="Cambria Math" panose="02040503050406030204" pitchFamily="18" charset="0"/>
                          </a:rPr>
                          <m:t>3/8</m:t>
                        </m:r>
                      </m:sup>
                    </m:sSup>
                  </m:oMath>
                </m:oMathPara>
              </a14:m>
              <a:endParaRPr lang="pt-BR" sz="1800"/>
            </a:p>
          </xdr:txBody>
        </xdr:sp>
      </mc:Choice>
      <mc:Fallback xmlns="">
        <xdr:sp macro="" textlink="">
          <xdr:nvSpPr>
            <xdr:cNvPr id="17" name="CaixaDeTexto 13">
              <a:extLst>
                <a:ext uri="{FF2B5EF4-FFF2-40B4-BE49-F238E27FC236}">
                  <a16:creationId xmlns:a16="http://schemas.microsoft.com/office/drawing/2014/main" id="{849CD316-E97A-4705-8FE7-7FFC9285F678}"/>
                </a:ext>
              </a:extLst>
            </xdr:cNvPr>
            <xdr:cNvSpPr txBox="1"/>
          </xdr:nvSpPr>
          <xdr:spPr>
            <a:xfrm>
              <a:off x="109370" y="3499595"/>
              <a:ext cx="3812689" cy="411258"/>
            </a:xfrm>
            <a:prstGeom prst="rect">
              <a:avLst/>
            </a:prstGeom>
            <a:solidFill>
              <a:schemeClr val="bg1"/>
            </a:solidFill>
            <a:ln>
              <a:solidFill>
                <a:schemeClr val="tx1"/>
              </a:solidFill>
            </a:ln>
          </xdr:spPr>
          <xdr:txBody>
            <a:bodyPr wrap="square" lIns="0" tIns="0" rIns="0" bIns="0" rtlCol="0">
              <a:no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pt-BR" sz="1800" b="0" i="0">
                  <a:latin typeface="Cambria Math" panose="02040503050406030204" pitchFamily="18" charset="0"/>
                </a:rPr>
                <a:t>𝑑</a:t>
              </a:r>
              <a:r>
                <a:rPr lang="pt-BR" sz="1800" i="0">
                  <a:latin typeface="Cambria Math" panose="02040503050406030204" pitchFamily="18" charset="0"/>
                </a:rPr>
                <a:t>=</a:t>
              </a:r>
              <a:r>
                <a:rPr lang="pt-BR" sz="1800" b="0" i="0">
                  <a:latin typeface="Cambria Math" panose="02040503050406030204" pitchFamily="18" charset="0"/>
                </a:rPr>
                <a:t>1,511</a:t>
              </a:r>
              <a:r>
                <a:rPr lang="pt-BR" sz="1800" b="0" i="0">
                  <a:latin typeface="Cambria Math" panose="02040503050406030204" pitchFamily="18" charset="0"/>
                  <a:ea typeface="Cambria Math" panose="02040503050406030204" pitchFamily="18" charset="0"/>
                </a:rPr>
                <a:t>∙(𝑛∙𝑄</a:t>
              </a:r>
              <a:r>
                <a:rPr lang="pt-BR" sz="1800" i="0">
                  <a:latin typeface="Cambria Math" panose="02040503050406030204" pitchFamily="18" charset="0"/>
                  <a:ea typeface="Cambria Math" panose="02040503050406030204" pitchFamily="18" charset="0"/>
                </a:rPr>
                <a:t>∙〖</a:t>
              </a:r>
              <a:r>
                <a:rPr lang="pt-BR" sz="1800" b="0" i="0">
                  <a:latin typeface="Cambria Math" panose="02040503050406030204" pitchFamily="18" charset="0"/>
                  <a:ea typeface="Cambria Math" panose="02040503050406030204" pitchFamily="18" charset="0"/>
                </a:rPr>
                <a:t>𝐼^(−1/2))〗^(3/8)</a:t>
              </a:r>
              <a:endParaRPr lang="pt-BR" sz="1800"/>
            </a:p>
          </xdr:txBody>
        </xdr:sp>
      </mc:Fallback>
    </mc:AlternateContent>
    <xdr:clientData/>
  </xdr:twoCellAnchor>
  <xdr:twoCellAnchor>
    <xdr:from>
      <xdr:col>4</xdr:col>
      <xdr:colOff>100854</xdr:colOff>
      <xdr:row>11</xdr:row>
      <xdr:rowOff>56029</xdr:rowOff>
    </xdr:from>
    <xdr:to>
      <xdr:col>7</xdr:col>
      <xdr:colOff>0</xdr:colOff>
      <xdr:row>14</xdr:row>
      <xdr:rowOff>44824</xdr:rowOff>
    </xdr:to>
    <mc:AlternateContent xmlns:mc="http://schemas.openxmlformats.org/markup-compatibility/2006" xmlns:a14="http://schemas.microsoft.com/office/drawing/2010/main">
      <mc:Choice Requires="a14">
        <xdr:sp macro="" textlink="">
          <xdr:nvSpPr>
            <xdr:cNvPr id="18" name="CaixaDeTexto 13">
              <a:extLst>
                <a:ext uri="{FF2B5EF4-FFF2-40B4-BE49-F238E27FC236}">
                  <a16:creationId xmlns:a16="http://schemas.microsoft.com/office/drawing/2014/main" id="{00000000-0008-0000-1200-000012000000}"/>
                </a:ext>
              </a:extLst>
            </xdr:cNvPr>
            <xdr:cNvSpPr txBox="1"/>
          </xdr:nvSpPr>
          <xdr:spPr>
            <a:xfrm>
              <a:off x="4370295" y="2879911"/>
              <a:ext cx="2745440" cy="560295"/>
            </a:xfrm>
            <a:prstGeom prst="rect">
              <a:avLst/>
            </a:prstGeom>
            <a:solidFill>
              <a:schemeClr val="bg1"/>
            </a:solidFill>
            <a:ln>
              <a:solidFill>
                <a:schemeClr val="tx1"/>
              </a:solidFill>
            </a:ln>
          </xdr:spPr>
          <xdr:txBody>
            <a:bodyPr wrap="square" lIns="0" tIns="0" rIns="0" bIns="0" rtlCol="0">
              <a:no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r>
                      <a:rPr lang="pt-BR" sz="1600" b="0" i="1">
                        <a:latin typeface="Cambria Math" panose="02040503050406030204" pitchFamily="18" charset="0"/>
                      </a:rPr>
                      <m:t>𝑑</m:t>
                    </m:r>
                    <m:r>
                      <a:rPr lang="pt-BR" sz="1600" i="1">
                        <a:latin typeface="Cambria Math" panose="02040503050406030204" pitchFamily="18" charset="0"/>
                      </a:rPr>
                      <m:t>=</m:t>
                    </m:r>
                    <m:r>
                      <a:rPr lang="pt-BR" sz="1600" b="0" i="1">
                        <a:latin typeface="Cambria Math" panose="02040503050406030204" pitchFamily="18" charset="0"/>
                      </a:rPr>
                      <m:t>1,511</m:t>
                    </m:r>
                    <m:r>
                      <a:rPr lang="pt-BR" sz="1600" b="0" i="1">
                        <a:latin typeface="Cambria Math" panose="02040503050406030204" pitchFamily="18" charset="0"/>
                        <a:ea typeface="Cambria Math" panose="02040503050406030204" pitchFamily="18" charset="0"/>
                      </a:rPr>
                      <m:t>∙(</m:t>
                    </m:r>
                    <m:r>
                      <a:rPr lang="pt-BR" sz="1600" b="0" i="1">
                        <a:latin typeface="Cambria Math" panose="02040503050406030204" pitchFamily="18" charset="0"/>
                        <a:ea typeface="Cambria Math" panose="02040503050406030204" pitchFamily="18" charset="0"/>
                      </a:rPr>
                      <m:t>𝑛</m:t>
                    </m:r>
                    <m:r>
                      <a:rPr lang="pt-BR" sz="1600" b="0" i="1">
                        <a:latin typeface="Cambria Math" panose="02040503050406030204" pitchFamily="18" charset="0"/>
                        <a:ea typeface="Cambria Math" panose="02040503050406030204" pitchFamily="18" charset="0"/>
                      </a:rPr>
                      <m:t>∙</m:t>
                    </m:r>
                    <m:r>
                      <a:rPr lang="pt-BR" sz="1600" b="0" i="1">
                        <a:latin typeface="Cambria Math" panose="02040503050406030204" pitchFamily="18" charset="0"/>
                        <a:ea typeface="Cambria Math" panose="02040503050406030204" pitchFamily="18" charset="0"/>
                      </a:rPr>
                      <m:t>𝑄</m:t>
                    </m:r>
                    <m:r>
                      <a:rPr lang="pt-BR" sz="1600" i="1">
                        <a:latin typeface="Cambria Math" panose="02040503050406030204" pitchFamily="18" charset="0"/>
                        <a:ea typeface="Cambria Math" panose="02040503050406030204" pitchFamily="18" charset="0"/>
                      </a:rPr>
                      <m:t>∙</m:t>
                    </m:r>
                    <m:sSup>
                      <m:sSupPr>
                        <m:ctrlPr>
                          <a:rPr lang="pt-BR" sz="1600" i="1">
                            <a:latin typeface="Cambria Math" panose="02040503050406030204" pitchFamily="18" charset="0"/>
                            <a:ea typeface="Cambria Math" panose="02040503050406030204" pitchFamily="18" charset="0"/>
                          </a:rPr>
                        </m:ctrlPr>
                      </m:sSupPr>
                      <m:e>
                        <m:sSup>
                          <m:sSupPr>
                            <m:ctrlPr>
                              <a:rPr lang="pt-BR" sz="1600" i="1">
                                <a:latin typeface="Cambria Math" panose="02040503050406030204" pitchFamily="18" charset="0"/>
                                <a:ea typeface="Cambria Math" panose="02040503050406030204" pitchFamily="18" charset="0"/>
                              </a:rPr>
                            </m:ctrlPr>
                          </m:sSupPr>
                          <m:e>
                            <m:r>
                              <a:rPr lang="pt-BR" sz="1600" b="0" i="1">
                                <a:latin typeface="Cambria Math" panose="02040503050406030204" pitchFamily="18" charset="0"/>
                                <a:ea typeface="Cambria Math" panose="02040503050406030204" pitchFamily="18" charset="0"/>
                              </a:rPr>
                              <m:t>𝐼</m:t>
                            </m:r>
                          </m:e>
                          <m:sup>
                            <m:r>
                              <a:rPr lang="pt-BR" sz="1600" b="0" i="1">
                                <a:latin typeface="Cambria Math" panose="02040503050406030204" pitchFamily="18" charset="0"/>
                                <a:ea typeface="Cambria Math" panose="02040503050406030204" pitchFamily="18" charset="0"/>
                              </a:rPr>
                              <m:t>−1/2</m:t>
                            </m:r>
                          </m:sup>
                        </m:sSup>
                        <m:r>
                          <a:rPr lang="pt-BR" sz="1600" b="0" i="1">
                            <a:latin typeface="Cambria Math" panose="02040503050406030204" pitchFamily="18" charset="0"/>
                            <a:ea typeface="Cambria Math" panose="02040503050406030204" pitchFamily="18" charset="0"/>
                          </a:rPr>
                          <m:t>)</m:t>
                        </m:r>
                      </m:e>
                      <m:sup>
                        <m:r>
                          <a:rPr lang="pt-BR" sz="1600" b="0" i="1">
                            <a:latin typeface="Cambria Math" panose="02040503050406030204" pitchFamily="18" charset="0"/>
                            <a:ea typeface="Cambria Math" panose="02040503050406030204" pitchFamily="18" charset="0"/>
                          </a:rPr>
                          <m:t>3/8</m:t>
                        </m:r>
                      </m:sup>
                    </m:sSup>
                  </m:oMath>
                </m:oMathPara>
              </a14:m>
              <a:endParaRPr lang="pt-BR" sz="1600"/>
            </a:p>
          </xdr:txBody>
        </xdr:sp>
      </mc:Choice>
      <mc:Fallback xmlns="">
        <xdr:sp macro="" textlink="">
          <xdr:nvSpPr>
            <xdr:cNvPr id="18" name="CaixaDeTexto 13">
              <a:extLst>
                <a:ext uri="{FF2B5EF4-FFF2-40B4-BE49-F238E27FC236}">
                  <a16:creationId xmlns:a16="http://schemas.microsoft.com/office/drawing/2014/main" id="{2CEF2CA9-6A24-4169-927F-3B04A8857508}"/>
                </a:ext>
              </a:extLst>
            </xdr:cNvPr>
            <xdr:cNvSpPr txBox="1"/>
          </xdr:nvSpPr>
          <xdr:spPr>
            <a:xfrm>
              <a:off x="4370295" y="2879911"/>
              <a:ext cx="2745440" cy="560295"/>
            </a:xfrm>
            <a:prstGeom prst="rect">
              <a:avLst/>
            </a:prstGeom>
            <a:solidFill>
              <a:schemeClr val="bg1"/>
            </a:solidFill>
            <a:ln>
              <a:solidFill>
                <a:schemeClr val="tx1"/>
              </a:solidFill>
            </a:ln>
          </xdr:spPr>
          <xdr:txBody>
            <a:bodyPr wrap="square" lIns="0" tIns="0" rIns="0" bIns="0" rtlCol="0">
              <a:no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pt-BR" sz="1600" b="0" i="0">
                  <a:latin typeface="Cambria Math" panose="02040503050406030204" pitchFamily="18" charset="0"/>
                </a:rPr>
                <a:t>𝑑</a:t>
              </a:r>
              <a:r>
                <a:rPr lang="pt-BR" sz="1600" i="0">
                  <a:latin typeface="Cambria Math" panose="02040503050406030204" pitchFamily="18" charset="0"/>
                </a:rPr>
                <a:t>=</a:t>
              </a:r>
              <a:r>
                <a:rPr lang="pt-BR" sz="1600" b="0" i="0">
                  <a:latin typeface="Cambria Math" panose="02040503050406030204" pitchFamily="18" charset="0"/>
                </a:rPr>
                <a:t>1,511</a:t>
              </a:r>
              <a:r>
                <a:rPr lang="pt-BR" sz="1600" b="0" i="0">
                  <a:latin typeface="Cambria Math" panose="02040503050406030204" pitchFamily="18" charset="0"/>
                  <a:ea typeface="Cambria Math" panose="02040503050406030204" pitchFamily="18" charset="0"/>
                </a:rPr>
                <a:t>∙(𝑛∙𝑄</a:t>
              </a:r>
              <a:r>
                <a:rPr lang="pt-BR" sz="1600" i="0">
                  <a:latin typeface="Cambria Math" panose="02040503050406030204" pitchFamily="18" charset="0"/>
                  <a:ea typeface="Cambria Math" panose="02040503050406030204" pitchFamily="18" charset="0"/>
                </a:rPr>
                <a:t>∙〖</a:t>
              </a:r>
              <a:r>
                <a:rPr lang="pt-BR" sz="1600" b="0" i="0">
                  <a:latin typeface="Cambria Math" panose="02040503050406030204" pitchFamily="18" charset="0"/>
                  <a:ea typeface="Cambria Math" panose="02040503050406030204" pitchFamily="18" charset="0"/>
                </a:rPr>
                <a:t>𝐼^(−1/2))〗^(3/8)</a:t>
              </a:r>
              <a:endParaRPr lang="pt-BR" sz="1600"/>
            </a:p>
          </xdr:txBody>
        </xdr:sp>
      </mc:Fallback>
    </mc:AlternateContent>
    <xdr:clientData/>
  </xdr:twoCellAnchor>
  <xdr:twoCellAnchor>
    <xdr:from>
      <xdr:col>8</xdr:col>
      <xdr:colOff>2241</xdr:colOff>
      <xdr:row>11</xdr:row>
      <xdr:rowOff>67236</xdr:rowOff>
    </xdr:from>
    <xdr:to>
      <xdr:col>11</xdr:col>
      <xdr:colOff>461233</xdr:colOff>
      <xdr:row>15</xdr:row>
      <xdr:rowOff>39158</xdr:rowOff>
    </xdr:to>
    <mc:AlternateContent xmlns:mc="http://schemas.openxmlformats.org/markup-compatibility/2006" xmlns:a14="http://schemas.microsoft.com/office/drawing/2010/main">
      <mc:Choice Requires="a14">
        <xdr:sp macro="" textlink="">
          <xdr:nvSpPr>
            <xdr:cNvPr id="19" name="CaixaDeTexto 11">
              <a:extLst>
                <a:ext uri="{FF2B5EF4-FFF2-40B4-BE49-F238E27FC236}">
                  <a16:creationId xmlns:a16="http://schemas.microsoft.com/office/drawing/2014/main" id="{00000000-0008-0000-1200-000013000000}"/>
                </a:ext>
              </a:extLst>
            </xdr:cNvPr>
            <xdr:cNvSpPr txBox="1"/>
          </xdr:nvSpPr>
          <xdr:spPr>
            <a:xfrm>
              <a:off x="8048065" y="2891118"/>
              <a:ext cx="2554492" cy="733922"/>
            </a:xfrm>
            <a:prstGeom prst="rect">
              <a:avLst/>
            </a:prstGeom>
            <a:solidFill>
              <a:schemeClr val="bg1"/>
            </a:solidFill>
            <a:ln>
              <a:solidFill>
                <a:sysClr val="windowText" lastClr="000000"/>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pt-BR" sz="1800" b="0" i="1">
                            <a:latin typeface="Cambria Math" panose="02040503050406030204" pitchFamily="18" charset="0"/>
                          </a:rPr>
                        </m:ctrlPr>
                      </m:sSubPr>
                      <m:e>
                        <m:r>
                          <a:rPr lang="pt-BR" sz="1800" b="0" i="1">
                            <a:latin typeface="Cambria Math" panose="02040503050406030204" pitchFamily="18" charset="0"/>
                          </a:rPr>
                          <m:t>𝑄</m:t>
                        </m:r>
                      </m:e>
                      <m:sub>
                        <m:r>
                          <a:rPr lang="pt-BR" sz="1800" b="0" i="1">
                            <a:latin typeface="Cambria Math" panose="02040503050406030204" pitchFamily="18" charset="0"/>
                          </a:rPr>
                          <m:t>𝑝</m:t>
                        </m:r>
                      </m:sub>
                    </m:sSub>
                    <m:r>
                      <a:rPr lang="pt-BR" sz="1800" i="1">
                        <a:latin typeface="Cambria Math" panose="02040503050406030204" pitchFamily="18" charset="0"/>
                      </a:rPr>
                      <m:t>=</m:t>
                    </m:r>
                    <m:f>
                      <m:fPr>
                        <m:ctrlPr>
                          <a:rPr lang="pt-BR" sz="1800" i="1">
                            <a:latin typeface="Cambria Math" panose="02040503050406030204" pitchFamily="18" charset="0"/>
                          </a:rPr>
                        </m:ctrlPr>
                      </m:fPr>
                      <m:num>
                        <m:r>
                          <a:rPr lang="pt-BR" sz="1800" i="1">
                            <a:latin typeface="Cambria Math" panose="02040503050406030204" pitchFamily="18" charset="0"/>
                            <a:ea typeface="Cambria Math" panose="02040503050406030204" pitchFamily="18" charset="0"/>
                          </a:rPr>
                          <m:t>𝜋</m:t>
                        </m:r>
                        <m:sSup>
                          <m:sSupPr>
                            <m:ctrlPr>
                              <a:rPr lang="pt-BR" sz="1800" i="1">
                                <a:latin typeface="Cambria Math" panose="02040503050406030204" pitchFamily="18" charset="0"/>
                                <a:ea typeface="Cambria Math" panose="02040503050406030204" pitchFamily="18" charset="0"/>
                              </a:rPr>
                            </m:ctrlPr>
                          </m:sSupPr>
                          <m:e>
                            <m:r>
                              <a:rPr lang="pt-BR" sz="1800" b="0" i="1">
                                <a:latin typeface="Cambria Math" panose="02040503050406030204" pitchFamily="18" charset="0"/>
                                <a:ea typeface="Cambria Math" panose="02040503050406030204" pitchFamily="18" charset="0"/>
                              </a:rPr>
                              <m:t>𝑑</m:t>
                            </m:r>
                          </m:e>
                          <m:sup>
                            <m:r>
                              <a:rPr lang="pt-BR" sz="1800" b="0" i="1">
                                <a:latin typeface="Cambria Math" panose="02040503050406030204" pitchFamily="18" charset="0"/>
                                <a:ea typeface="Cambria Math" panose="02040503050406030204" pitchFamily="18" charset="0"/>
                              </a:rPr>
                              <m:t>2</m:t>
                            </m:r>
                          </m:sup>
                        </m:sSup>
                      </m:num>
                      <m:den>
                        <m:r>
                          <a:rPr lang="pt-BR" sz="1800" b="0" i="1">
                            <a:latin typeface="Cambria Math" panose="02040503050406030204" pitchFamily="18" charset="0"/>
                          </a:rPr>
                          <m:t>4</m:t>
                        </m:r>
                        <m:r>
                          <a:rPr lang="pt-BR" sz="1800" b="0" i="1">
                            <a:latin typeface="Cambria Math" panose="02040503050406030204" pitchFamily="18" charset="0"/>
                            <a:ea typeface="Cambria Math" panose="02040503050406030204" pitchFamily="18" charset="0"/>
                          </a:rPr>
                          <m:t>∙</m:t>
                        </m:r>
                        <m:r>
                          <a:rPr lang="pt-BR" sz="1800" b="0" i="1">
                            <a:latin typeface="Cambria Math" panose="02040503050406030204" pitchFamily="18" charset="0"/>
                            <a:ea typeface="Cambria Math" panose="02040503050406030204" pitchFamily="18" charset="0"/>
                          </a:rPr>
                          <m:t>𝑛</m:t>
                        </m:r>
                      </m:den>
                    </m:f>
                    <m:r>
                      <a:rPr lang="pt-BR" sz="1800" i="1">
                        <a:latin typeface="Cambria Math" panose="02040503050406030204" pitchFamily="18" charset="0"/>
                        <a:ea typeface="Cambria Math" panose="02040503050406030204" pitchFamily="18" charset="0"/>
                      </a:rPr>
                      <m:t>∙</m:t>
                    </m:r>
                    <m:sSup>
                      <m:sSupPr>
                        <m:ctrlPr>
                          <a:rPr lang="pt-BR" sz="1800" i="1">
                            <a:latin typeface="Cambria Math" panose="02040503050406030204" pitchFamily="18" charset="0"/>
                            <a:ea typeface="Cambria Math" panose="02040503050406030204" pitchFamily="18" charset="0"/>
                          </a:rPr>
                        </m:ctrlPr>
                      </m:sSupPr>
                      <m:e>
                        <m:d>
                          <m:dPr>
                            <m:ctrlPr>
                              <a:rPr lang="pt-BR" sz="1800" i="1">
                                <a:latin typeface="Cambria Math" panose="02040503050406030204" pitchFamily="18" charset="0"/>
                                <a:ea typeface="Cambria Math" panose="02040503050406030204" pitchFamily="18" charset="0"/>
                              </a:rPr>
                            </m:ctrlPr>
                          </m:dPr>
                          <m:e>
                            <m:f>
                              <m:fPr>
                                <m:ctrlPr>
                                  <a:rPr lang="pt-BR" sz="1800" i="1">
                                    <a:latin typeface="Cambria Math" panose="02040503050406030204" pitchFamily="18" charset="0"/>
                                    <a:ea typeface="Cambria Math" panose="02040503050406030204" pitchFamily="18" charset="0"/>
                                  </a:rPr>
                                </m:ctrlPr>
                              </m:fPr>
                              <m:num>
                                <m:r>
                                  <a:rPr lang="pt-BR" sz="1800" b="0" i="1">
                                    <a:latin typeface="Cambria Math" panose="02040503050406030204" pitchFamily="18" charset="0"/>
                                    <a:ea typeface="Cambria Math" panose="02040503050406030204" pitchFamily="18" charset="0"/>
                                  </a:rPr>
                                  <m:t>𝑑</m:t>
                                </m:r>
                              </m:num>
                              <m:den>
                                <m:r>
                                  <a:rPr lang="pt-BR" sz="1800" b="0" i="1">
                                    <a:latin typeface="Cambria Math" panose="02040503050406030204" pitchFamily="18" charset="0"/>
                                    <a:ea typeface="Cambria Math" panose="02040503050406030204" pitchFamily="18" charset="0"/>
                                  </a:rPr>
                                  <m:t>4</m:t>
                                </m:r>
                              </m:den>
                            </m:f>
                          </m:e>
                        </m:d>
                      </m:e>
                      <m:sup>
                        <m:r>
                          <a:rPr lang="pt-BR" sz="1800" b="0" i="1">
                            <a:latin typeface="Cambria Math" panose="02040503050406030204" pitchFamily="18" charset="0"/>
                            <a:ea typeface="Cambria Math" panose="02040503050406030204" pitchFamily="18" charset="0"/>
                          </a:rPr>
                          <m:t>2/3</m:t>
                        </m:r>
                      </m:sup>
                    </m:sSup>
                    <m:r>
                      <a:rPr lang="pt-BR" sz="1800" i="1">
                        <a:latin typeface="Cambria Math" panose="02040503050406030204" pitchFamily="18" charset="0"/>
                        <a:ea typeface="Cambria Math" panose="02040503050406030204" pitchFamily="18" charset="0"/>
                      </a:rPr>
                      <m:t>∙</m:t>
                    </m:r>
                    <m:sSup>
                      <m:sSupPr>
                        <m:ctrlPr>
                          <a:rPr lang="pt-BR" sz="1800" i="1">
                            <a:latin typeface="Cambria Math" panose="02040503050406030204" pitchFamily="18" charset="0"/>
                            <a:ea typeface="Cambria Math" panose="02040503050406030204" pitchFamily="18" charset="0"/>
                          </a:rPr>
                        </m:ctrlPr>
                      </m:sSupPr>
                      <m:e>
                        <m:r>
                          <a:rPr lang="pt-BR" sz="1800" b="0" i="1">
                            <a:latin typeface="Cambria Math" panose="02040503050406030204" pitchFamily="18" charset="0"/>
                            <a:ea typeface="Cambria Math" panose="02040503050406030204" pitchFamily="18" charset="0"/>
                          </a:rPr>
                          <m:t>𝐼</m:t>
                        </m:r>
                      </m:e>
                      <m:sup>
                        <m:r>
                          <a:rPr lang="pt-BR" sz="1800" b="0" i="1">
                            <a:latin typeface="Cambria Math" panose="02040503050406030204" pitchFamily="18" charset="0"/>
                            <a:ea typeface="Cambria Math" panose="02040503050406030204" pitchFamily="18" charset="0"/>
                          </a:rPr>
                          <m:t>1/2</m:t>
                        </m:r>
                      </m:sup>
                    </m:sSup>
                  </m:oMath>
                </m:oMathPara>
              </a14:m>
              <a:endParaRPr lang="pt-BR" sz="1800"/>
            </a:p>
          </xdr:txBody>
        </xdr:sp>
      </mc:Choice>
      <mc:Fallback xmlns="">
        <xdr:sp macro="" textlink="">
          <xdr:nvSpPr>
            <xdr:cNvPr id="19" name="CaixaDeTexto 11">
              <a:extLst>
                <a:ext uri="{FF2B5EF4-FFF2-40B4-BE49-F238E27FC236}">
                  <a16:creationId xmlns:a16="http://schemas.microsoft.com/office/drawing/2014/main" id="{D047144A-A0C9-422E-A884-3DB81709AFD0}"/>
                </a:ext>
              </a:extLst>
            </xdr:cNvPr>
            <xdr:cNvSpPr txBox="1"/>
          </xdr:nvSpPr>
          <xdr:spPr>
            <a:xfrm>
              <a:off x="8048065" y="2891118"/>
              <a:ext cx="2554492" cy="733922"/>
            </a:xfrm>
            <a:prstGeom prst="rect">
              <a:avLst/>
            </a:prstGeom>
            <a:solidFill>
              <a:schemeClr val="bg1"/>
            </a:solidFill>
            <a:ln>
              <a:solidFill>
                <a:sysClr val="windowText" lastClr="000000"/>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pt-BR" sz="1800" b="0" i="0">
                  <a:latin typeface="Cambria Math" panose="02040503050406030204" pitchFamily="18" charset="0"/>
                </a:rPr>
                <a:t>𝑄_𝑝</a:t>
              </a:r>
              <a:r>
                <a:rPr lang="pt-BR" sz="1800" i="0">
                  <a:latin typeface="Cambria Math" panose="02040503050406030204" pitchFamily="18" charset="0"/>
                </a:rPr>
                <a:t>=(</a:t>
              </a:r>
              <a:r>
                <a:rPr lang="pt-BR" sz="1800" i="0">
                  <a:latin typeface="Cambria Math" panose="02040503050406030204" pitchFamily="18" charset="0"/>
                  <a:ea typeface="Cambria Math" panose="02040503050406030204" pitchFamily="18" charset="0"/>
                </a:rPr>
                <a:t>𝜋</a:t>
              </a:r>
              <a:r>
                <a:rPr lang="pt-BR" sz="1800" b="0" i="0">
                  <a:latin typeface="Cambria Math" panose="02040503050406030204" pitchFamily="18" charset="0"/>
                  <a:ea typeface="Cambria Math" panose="02040503050406030204" pitchFamily="18" charset="0"/>
                </a:rPr>
                <a:t>𝑑^2)/(</a:t>
              </a:r>
              <a:r>
                <a:rPr lang="pt-BR" sz="1800" b="0" i="0">
                  <a:latin typeface="Cambria Math" panose="02040503050406030204" pitchFamily="18" charset="0"/>
                </a:rPr>
                <a:t>4</a:t>
              </a:r>
              <a:r>
                <a:rPr lang="pt-BR" sz="1800" b="0" i="0">
                  <a:latin typeface="Cambria Math" panose="02040503050406030204" pitchFamily="18" charset="0"/>
                  <a:ea typeface="Cambria Math" panose="02040503050406030204" pitchFamily="18" charset="0"/>
                </a:rPr>
                <a:t>∙𝑛)</a:t>
              </a:r>
              <a:r>
                <a:rPr lang="pt-BR" sz="1800" i="0">
                  <a:latin typeface="Cambria Math" panose="02040503050406030204" pitchFamily="18" charset="0"/>
                  <a:ea typeface="Cambria Math" panose="02040503050406030204" pitchFamily="18" charset="0"/>
                </a:rPr>
                <a:t>∙(</a:t>
              </a:r>
              <a:r>
                <a:rPr lang="pt-BR" sz="1800" b="0" i="0">
                  <a:latin typeface="Cambria Math" panose="02040503050406030204" pitchFamily="18" charset="0"/>
                  <a:ea typeface="Cambria Math" panose="02040503050406030204" pitchFamily="18" charset="0"/>
                </a:rPr>
                <a:t>𝑑/4)^(2/3)</a:t>
              </a:r>
              <a:r>
                <a:rPr lang="pt-BR" sz="1800" i="0">
                  <a:latin typeface="Cambria Math" panose="02040503050406030204" pitchFamily="18" charset="0"/>
                  <a:ea typeface="Cambria Math" panose="02040503050406030204" pitchFamily="18" charset="0"/>
                </a:rPr>
                <a:t>∙</a:t>
              </a:r>
              <a:r>
                <a:rPr lang="pt-BR" sz="1800" b="0" i="0">
                  <a:latin typeface="Cambria Math" panose="02040503050406030204" pitchFamily="18" charset="0"/>
                  <a:ea typeface="Cambria Math" panose="02040503050406030204" pitchFamily="18" charset="0"/>
                </a:rPr>
                <a:t>𝐼^(1/2)</a:t>
              </a:r>
              <a:endParaRPr lang="pt-BR" sz="1800"/>
            </a:p>
          </xdr:txBody>
        </xdr:sp>
      </mc:Fallback>
    </mc:AlternateContent>
    <xdr:clientData/>
  </xdr:twoCellAnchor>
  <xdr:twoCellAnchor>
    <xdr:from>
      <xdr:col>11</xdr:col>
      <xdr:colOff>694819</xdr:colOff>
      <xdr:row>11</xdr:row>
      <xdr:rowOff>0</xdr:rowOff>
    </xdr:from>
    <xdr:to>
      <xdr:col>13</xdr:col>
      <xdr:colOff>1056938</xdr:colOff>
      <xdr:row>14</xdr:row>
      <xdr:rowOff>162422</xdr:rowOff>
    </xdr:to>
    <mc:AlternateContent xmlns:mc="http://schemas.openxmlformats.org/markup-compatibility/2006" xmlns:a14="http://schemas.microsoft.com/office/drawing/2010/main">
      <mc:Choice Requires="a14">
        <xdr:sp macro="" textlink="">
          <xdr:nvSpPr>
            <xdr:cNvPr id="20" name="CaixaDeTexto 15">
              <a:extLst>
                <a:ext uri="{FF2B5EF4-FFF2-40B4-BE49-F238E27FC236}">
                  <a16:creationId xmlns:a16="http://schemas.microsoft.com/office/drawing/2014/main" id="{00000000-0008-0000-1200-000014000000}"/>
                </a:ext>
              </a:extLst>
            </xdr:cNvPr>
            <xdr:cNvSpPr txBox="1"/>
          </xdr:nvSpPr>
          <xdr:spPr>
            <a:xfrm>
              <a:off x="10836143" y="2823882"/>
              <a:ext cx="2132648" cy="733922"/>
            </a:xfrm>
            <a:prstGeom prst="rect">
              <a:avLst/>
            </a:prstGeom>
            <a:solidFill>
              <a:schemeClr val="bg1"/>
            </a:solidFill>
            <a:ln>
              <a:solidFill>
                <a:schemeClr val="tx1"/>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pt-BR" sz="1800" b="0" i="1">
                            <a:latin typeface="Cambria Math" panose="02040503050406030204" pitchFamily="18" charset="0"/>
                          </a:rPr>
                        </m:ctrlPr>
                      </m:sSubPr>
                      <m:e>
                        <m:r>
                          <a:rPr lang="pt-BR" sz="1800" b="0" i="1">
                            <a:latin typeface="Cambria Math" panose="02040503050406030204" pitchFamily="18" charset="0"/>
                          </a:rPr>
                          <m:t>𝑣</m:t>
                        </m:r>
                      </m:e>
                      <m:sub>
                        <m:r>
                          <a:rPr lang="pt-BR" sz="1800" b="0" i="1">
                            <a:latin typeface="Cambria Math" panose="02040503050406030204" pitchFamily="18" charset="0"/>
                          </a:rPr>
                          <m:t>𝑝</m:t>
                        </m:r>
                      </m:sub>
                    </m:sSub>
                    <m:r>
                      <a:rPr lang="pt-BR" sz="1800" i="1">
                        <a:latin typeface="Cambria Math" panose="02040503050406030204" pitchFamily="18" charset="0"/>
                      </a:rPr>
                      <m:t>=</m:t>
                    </m:r>
                    <m:f>
                      <m:fPr>
                        <m:ctrlPr>
                          <a:rPr lang="pt-BR" sz="1800" i="1">
                            <a:latin typeface="Cambria Math" panose="02040503050406030204" pitchFamily="18" charset="0"/>
                          </a:rPr>
                        </m:ctrlPr>
                      </m:fPr>
                      <m:num>
                        <m:r>
                          <a:rPr lang="pt-BR" sz="1800" i="1">
                            <a:latin typeface="Cambria Math" panose="02040503050406030204" pitchFamily="18" charset="0"/>
                            <a:ea typeface="Cambria Math" panose="02040503050406030204" pitchFamily="18" charset="0"/>
                          </a:rPr>
                          <m:t>1</m:t>
                        </m:r>
                      </m:num>
                      <m:den>
                        <m:r>
                          <a:rPr lang="pt-BR" sz="1800" b="0" i="1">
                            <a:latin typeface="Cambria Math" panose="02040503050406030204" pitchFamily="18" charset="0"/>
                            <a:ea typeface="Cambria Math" panose="02040503050406030204" pitchFamily="18" charset="0"/>
                          </a:rPr>
                          <m:t>𝑛</m:t>
                        </m:r>
                      </m:den>
                    </m:f>
                    <m:r>
                      <a:rPr lang="pt-BR" sz="1800" i="1">
                        <a:latin typeface="Cambria Math" panose="02040503050406030204" pitchFamily="18" charset="0"/>
                        <a:ea typeface="Cambria Math" panose="02040503050406030204" pitchFamily="18" charset="0"/>
                      </a:rPr>
                      <m:t>∙</m:t>
                    </m:r>
                    <m:sSup>
                      <m:sSupPr>
                        <m:ctrlPr>
                          <a:rPr lang="pt-BR" sz="1800" i="1">
                            <a:latin typeface="Cambria Math" panose="02040503050406030204" pitchFamily="18" charset="0"/>
                            <a:ea typeface="Cambria Math" panose="02040503050406030204" pitchFamily="18" charset="0"/>
                          </a:rPr>
                        </m:ctrlPr>
                      </m:sSupPr>
                      <m:e>
                        <m:d>
                          <m:dPr>
                            <m:ctrlPr>
                              <a:rPr lang="pt-BR" sz="1800" i="1">
                                <a:latin typeface="Cambria Math" panose="02040503050406030204" pitchFamily="18" charset="0"/>
                                <a:ea typeface="Cambria Math" panose="02040503050406030204" pitchFamily="18" charset="0"/>
                              </a:rPr>
                            </m:ctrlPr>
                          </m:dPr>
                          <m:e>
                            <m:f>
                              <m:fPr>
                                <m:ctrlPr>
                                  <a:rPr lang="pt-BR" sz="1800" i="1">
                                    <a:latin typeface="Cambria Math" panose="02040503050406030204" pitchFamily="18" charset="0"/>
                                    <a:ea typeface="Cambria Math" panose="02040503050406030204" pitchFamily="18" charset="0"/>
                                  </a:rPr>
                                </m:ctrlPr>
                              </m:fPr>
                              <m:num>
                                <m:r>
                                  <a:rPr lang="pt-BR" sz="1800" b="0" i="1">
                                    <a:latin typeface="Cambria Math" panose="02040503050406030204" pitchFamily="18" charset="0"/>
                                    <a:ea typeface="Cambria Math" panose="02040503050406030204" pitchFamily="18" charset="0"/>
                                  </a:rPr>
                                  <m:t>𝑑</m:t>
                                </m:r>
                              </m:num>
                              <m:den>
                                <m:r>
                                  <a:rPr lang="pt-BR" sz="1800" b="0" i="1">
                                    <a:latin typeface="Cambria Math" panose="02040503050406030204" pitchFamily="18" charset="0"/>
                                    <a:ea typeface="Cambria Math" panose="02040503050406030204" pitchFamily="18" charset="0"/>
                                  </a:rPr>
                                  <m:t>4</m:t>
                                </m:r>
                              </m:den>
                            </m:f>
                          </m:e>
                        </m:d>
                      </m:e>
                      <m:sup>
                        <m:r>
                          <a:rPr lang="pt-BR" sz="1800" b="0" i="1">
                            <a:latin typeface="Cambria Math" panose="02040503050406030204" pitchFamily="18" charset="0"/>
                            <a:ea typeface="Cambria Math" panose="02040503050406030204" pitchFamily="18" charset="0"/>
                          </a:rPr>
                          <m:t>2/3</m:t>
                        </m:r>
                      </m:sup>
                    </m:sSup>
                    <m:r>
                      <a:rPr lang="pt-BR" sz="1800" i="1">
                        <a:latin typeface="Cambria Math" panose="02040503050406030204" pitchFamily="18" charset="0"/>
                        <a:ea typeface="Cambria Math" panose="02040503050406030204" pitchFamily="18" charset="0"/>
                      </a:rPr>
                      <m:t>∙</m:t>
                    </m:r>
                    <m:sSup>
                      <m:sSupPr>
                        <m:ctrlPr>
                          <a:rPr lang="pt-BR" sz="1800" i="1">
                            <a:latin typeface="Cambria Math" panose="02040503050406030204" pitchFamily="18" charset="0"/>
                            <a:ea typeface="Cambria Math" panose="02040503050406030204" pitchFamily="18" charset="0"/>
                          </a:rPr>
                        </m:ctrlPr>
                      </m:sSupPr>
                      <m:e>
                        <m:r>
                          <a:rPr lang="pt-BR" sz="1800" b="0" i="1">
                            <a:latin typeface="Cambria Math" panose="02040503050406030204" pitchFamily="18" charset="0"/>
                            <a:ea typeface="Cambria Math" panose="02040503050406030204" pitchFamily="18" charset="0"/>
                          </a:rPr>
                          <m:t>𝐼</m:t>
                        </m:r>
                      </m:e>
                      <m:sup>
                        <m:r>
                          <a:rPr lang="pt-BR" sz="1800" b="0" i="1">
                            <a:latin typeface="Cambria Math" panose="02040503050406030204" pitchFamily="18" charset="0"/>
                            <a:ea typeface="Cambria Math" panose="02040503050406030204" pitchFamily="18" charset="0"/>
                          </a:rPr>
                          <m:t>1/2</m:t>
                        </m:r>
                      </m:sup>
                    </m:sSup>
                  </m:oMath>
                </m:oMathPara>
              </a14:m>
              <a:endParaRPr lang="pt-BR" sz="1800"/>
            </a:p>
          </xdr:txBody>
        </xdr:sp>
      </mc:Choice>
      <mc:Fallback xmlns="">
        <xdr:sp macro="" textlink="">
          <xdr:nvSpPr>
            <xdr:cNvPr id="20" name="CaixaDeTexto 15">
              <a:extLst>
                <a:ext uri="{FF2B5EF4-FFF2-40B4-BE49-F238E27FC236}">
                  <a16:creationId xmlns:a16="http://schemas.microsoft.com/office/drawing/2014/main" id="{94F1E31D-2A3C-409A-B2DA-1AEADF34AFFA}"/>
                </a:ext>
              </a:extLst>
            </xdr:cNvPr>
            <xdr:cNvSpPr txBox="1"/>
          </xdr:nvSpPr>
          <xdr:spPr>
            <a:xfrm>
              <a:off x="10836143" y="2823882"/>
              <a:ext cx="2132648" cy="733922"/>
            </a:xfrm>
            <a:prstGeom prst="rect">
              <a:avLst/>
            </a:prstGeom>
            <a:solidFill>
              <a:schemeClr val="bg1"/>
            </a:solidFill>
            <a:ln>
              <a:solidFill>
                <a:schemeClr val="tx1"/>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pt-BR" sz="1800" b="0" i="0">
                  <a:latin typeface="Cambria Math" panose="02040503050406030204" pitchFamily="18" charset="0"/>
                </a:rPr>
                <a:t>𝑣_𝑝</a:t>
              </a:r>
              <a:r>
                <a:rPr lang="pt-BR" sz="1800" i="0">
                  <a:latin typeface="Cambria Math" panose="02040503050406030204" pitchFamily="18" charset="0"/>
                </a:rPr>
                <a:t>=</a:t>
              </a:r>
              <a:r>
                <a:rPr lang="pt-BR" sz="1800" i="0">
                  <a:latin typeface="Cambria Math" panose="02040503050406030204" pitchFamily="18" charset="0"/>
                  <a:ea typeface="Cambria Math" panose="02040503050406030204" pitchFamily="18" charset="0"/>
                </a:rPr>
                <a:t>1/</a:t>
              </a:r>
              <a:r>
                <a:rPr lang="pt-BR" sz="1800" b="0" i="0">
                  <a:latin typeface="Cambria Math" panose="02040503050406030204" pitchFamily="18" charset="0"/>
                  <a:ea typeface="Cambria Math" panose="02040503050406030204" pitchFamily="18" charset="0"/>
                </a:rPr>
                <a:t>𝑛</a:t>
              </a:r>
              <a:r>
                <a:rPr lang="pt-BR" sz="1800" i="0">
                  <a:latin typeface="Cambria Math" panose="02040503050406030204" pitchFamily="18" charset="0"/>
                  <a:ea typeface="Cambria Math" panose="02040503050406030204" pitchFamily="18" charset="0"/>
                </a:rPr>
                <a:t>∙(</a:t>
              </a:r>
              <a:r>
                <a:rPr lang="pt-BR" sz="1800" b="0" i="0">
                  <a:latin typeface="Cambria Math" panose="02040503050406030204" pitchFamily="18" charset="0"/>
                  <a:ea typeface="Cambria Math" panose="02040503050406030204" pitchFamily="18" charset="0"/>
                </a:rPr>
                <a:t>𝑑/4)^(2/3)</a:t>
              </a:r>
              <a:r>
                <a:rPr lang="pt-BR" sz="1800" i="0">
                  <a:latin typeface="Cambria Math" panose="02040503050406030204" pitchFamily="18" charset="0"/>
                  <a:ea typeface="Cambria Math" panose="02040503050406030204" pitchFamily="18" charset="0"/>
                </a:rPr>
                <a:t>∙</a:t>
              </a:r>
              <a:r>
                <a:rPr lang="pt-BR" sz="1800" b="0" i="0">
                  <a:latin typeface="Cambria Math" panose="02040503050406030204" pitchFamily="18" charset="0"/>
                  <a:ea typeface="Cambria Math" panose="02040503050406030204" pitchFamily="18" charset="0"/>
                </a:rPr>
                <a:t>𝐼^(1/2)</a:t>
              </a:r>
              <a:endParaRPr lang="pt-BR" sz="1800"/>
            </a:p>
          </xdr:txBody>
        </xdr:sp>
      </mc:Fallback>
    </mc:AlternateContent>
    <xdr:clientData/>
  </xdr:twoCellAnchor>
  <xdr:twoCellAnchor>
    <xdr:from>
      <xdr:col>8</xdr:col>
      <xdr:colOff>22411</xdr:colOff>
      <xdr:row>15</xdr:row>
      <xdr:rowOff>168089</xdr:rowOff>
    </xdr:from>
    <xdr:to>
      <xdr:col>14</xdr:col>
      <xdr:colOff>15856</xdr:colOff>
      <xdr:row>18</xdr:row>
      <xdr:rowOff>109293</xdr:rowOff>
    </xdr:to>
    <mc:AlternateContent xmlns:mc="http://schemas.openxmlformats.org/markup-compatibility/2006" xmlns:a14="http://schemas.microsoft.com/office/drawing/2010/main">
      <mc:Choice Requires="a14">
        <xdr:sp macro="" textlink="">
          <xdr:nvSpPr>
            <xdr:cNvPr id="21" name="CaixaDeTexto 5">
              <a:extLst>
                <a:ext uri="{FF2B5EF4-FFF2-40B4-BE49-F238E27FC236}">
                  <a16:creationId xmlns:a16="http://schemas.microsoft.com/office/drawing/2014/main" id="{00000000-0008-0000-1200-000015000000}"/>
                </a:ext>
              </a:extLst>
            </xdr:cNvPr>
            <xdr:cNvSpPr txBox="1"/>
          </xdr:nvSpPr>
          <xdr:spPr>
            <a:xfrm>
              <a:off x="8068235" y="3753971"/>
              <a:ext cx="4946445" cy="512704"/>
            </a:xfrm>
            <a:prstGeom prst="rect">
              <a:avLst/>
            </a:prstGeom>
            <a:solidFill>
              <a:schemeClr val="bg1"/>
            </a:solidFill>
            <a:ln>
              <a:solidFill>
                <a:sysClr val="windowText" lastClr="000000"/>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centerGroup"/>
                  </m:oMathParaPr>
                  <m:oMath xmlns:m="http://schemas.openxmlformats.org/officeDocument/2006/math">
                    <m:sSub>
                      <m:sSubPr>
                        <m:ctrlPr>
                          <a:rPr lang="pt-BR" sz="1600" b="0" i="1">
                            <a:latin typeface="Cambria Math" panose="02040503050406030204" pitchFamily="18" charset="0"/>
                          </a:rPr>
                        </m:ctrlPr>
                      </m:sSubPr>
                      <m:e>
                        <m:r>
                          <a:rPr lang="pt-BR" sz="1600" b="0" i="1">
                            <a:latin typeface="Cambria Math" panose="02040503050406030204" pitchFamily="18" charset="0"/>
                          </a:rPr>
                          <m:t>𝑡</m:t>
                        </m:r>
                      </m:e>
                      <m:sub>
                        <m:r>
                          <a:rPr lang="pt-BR" sz="1600" b="0" i="1">
                            <a:latin typeface="Cambria Math" panose="02040503050406030204" pitchFamily="18" charset="0"/>
                          </a:rPr>
                          <m:t>𝑒</m:t>
                        </m:r>
                      </m:sub>
                    </m:sSub>
                    <m:r>
                      <a:rPr lang="pt-BR" sz="1600" i="1">
                        <a:latin typeface="Cambria Math" panose="02040503050406030204" pitchFamily="18" charset="0"/>
                      </a:rPr>
                      <m:t>=</m:t>
                    </m:r>
                    <m:f>
                      <m:fPr>
                        <m:ctrlPr>
                          <a:rPr lang="pt-BR" sz="1600" i="1">
                            <a:latin typeface="Cambria Math" panose="02040503050406030204" pitchFamily="18" charset="0"/>
                          </a:rPr>
                        </m:ctrlPr>
                      </m:fPr>
                      <m:num>
                        <m:r>
                          <a:rPr lang="pt-BR" sz="1600" b="0" i="1">
                            <a:latin typeface="Cambria Math" panose="02040503050406030204" pitchFamily="18" charset="0"/>
                          </a:rPr>
                          <m:t>𝐿</m:t>
                        </m:r>
                        <m:r>
                          <a:rPr lang="pt-BR" sz="1600" b="0" i="1">
                            <a:latin typeface="Cambria Math" panose="02040503050406030204" pitchFamily="18" charset="0"/>
                          </a:rPr>
                          <m:t> (</m:t>
                        </m:r>
                        <m:r>
                          <a:rPr lang="pt-BR" sz="1600" b="0" i="1">
                            <a:latin typeface="Cambria Math" panose="02040503050406030204" pitchFamily="18" charset="0"/>
                          </a:rPr>
                          <m:t>𝑒𝑥𝑡𝑒𝑛𝑠</m:t>
                        </m:r>
                        <m:r>
                          <a:rPr lang="pt-BR" sz="1600" b="0" i="1">
                            <a:latin typeface="Cambria Math" panose="02040503050406030204" pitchFamily="18" charset="0"/>
                          </a:rPr>
                          <m:t>ã</m:t>
                        </m:r>
                        <m:r>
                          <a:rPr lang="pt-BR" sz="1600" b="0" i="1">
                            <a:latin typeface="Cambria Math" panose="02040503050406030204" pitchFamily="18" charset="0"/>
                          </a:rPr>
                          <m:t>𝑜</m:t>
                        </m:r>
                        <m:r>
                          <a:rPr lang="pt-BR" sz="1600" b="0" i="1">
                            <a:latin typeface="Cambria Math" panose="02040503050406030204" pitchFamily="18" charset="0"/>
                          </a:rPr>
                          <m:t> </m:t>
                        </m:r>
                        <m:r>
                          <a:rPr lang="pt-BR" sz="1600" b="0" i="1">
                            <a:latin typeface="Cambria Math" panose="02040503050406030204" pitchFamily="18" charset="0"/>
                          </a:rPr>
                          <m:t>𝑑𝑜</m:t>
                        </m:r>
                        <m:r>
                          <a:rPr lang="pt-BR" sz="1600" b="0" i="1">
                            <a:latin typeface="Cambria Math" panose="02040503050406030204" pitchFamily="18" charset="0"/>
                          </a:rPr>
                          <m:t> </m:t>
                        </m:r>
                        <m:r>
                          <a:rPr lang="pt-BR" sz="1600" b="0" i="1">
                            <a:latin typeface="Cambria Math" panose="02040503050406030204" pitchFamily="18" charset="0"/>
                          </a:rPr>
                          <m:t>𝑡𝑟𝑒𝑐h𝑜</m:t>
                        </m:r>
                        <m:r>
                          <a:rPr lang="pt-BR" sz="1600" b="0" i="1">
                            <a:latin typeface="Cambria Math" panose="02040503050406030204" pitchFamily="18" charset="0"/>
                          </a:rPr>
                          <m:t>)</m:t>
                        </m:r>
                      </m:num>
                      <m:den>
                        <m:r>
                          <a:rPr lang="pt-BR" sz="1600" b="0" i="1">
                            <a:latin typeface="Cambria Math" panose="02040503050406030204" pitchFamily="18" charset="0"/>
                          </a:rPr>
                          <m:t>𝑣</m:t>
                        </m:r>
                        <m:r>
                          <a:rPr lang="pt-BR" sz="1600" b="0" i="1">
                            <a:latin typeface="Cambria Math" panose="02040503050406030204" pitchFamily="18" charset="0"/>
                          </a:rPr>
                          <m:t> (</m:t>
                        </m:r>
                        <m:r>
                          <a:rPr lang="pt-BR" sz="1600" b="0" i="1">
                            <a:latin typeface="Cambria Math" panose="02040503050406030204" pitchFamily="18" charset="0"/>
                          </a:rPr>
                          <m:t>𝑣𝑒𝑙𝑜𝑐𝑖𝑑𝑎𝑑𝑒</m:t>
                        </m:r>
                        <m:r>
                          <a:rPr lang="pt-BR" sz="1600" b="0" i="1">
                            <a:latin typeface="Cambria Math" panose="02040503050406030204" pitchFamily="18" charset="0"/>
                          </a:rPr>
                          <m:t> </m:t>
                        </m:r>
                        <m:r>
                          <a:rPr lang="pt-BR" sz="1600" b="0" i="1">
                            <a:latin typeface="Cambria Math" panose="02040503050406030204" pitchFamily="18" charset="0"/>
                          </a:rPr>
                          <m:t>𝑑𝑒</m:t>
                        </m:r>
                        <m:r>
                          <a:rPr lang="pt-BR" sz="1600" b="0" i="1">
                            <a:latin typeface="Cambria Math" panose="02040503050406030204" pitchFamily="18" charset="0"/>
                          </a:rPr>
                          <m:t> </m:t>
                        </m:r>
                        <m:r>
                          <a:rPr lang="pt-BR" sz="1600" b="0" i="1">
                            <a:latin typeface="Cambria Math" panose="02040503050406030204" pitchFamily="18" charset="0"/>
                          </a:rPr>
                          <m:t>𝑒𝑠𝑐𝑜𝑎𝑚𝑒𝑛𝑡𝑜</m:t>
                        </m:r>
                        <m:r>
                          <a:rPr lang="pt-BR" sz="1600" b="0" i="1">
                            <a:latin typeface="Cambria Math" panose="02040503050406030204" pitchFamily="18" charset="0"/>
                          </a:rPr>
                          <m:t> </m:t>
                        </m:r>
                        <m:r>
                          <a:rPr lang="pt-BR" sz="1600" b="0" i="1">
                            <a:latin typeface="Cambria Math" panose="02040503050406030204" pitchFamily="18" charset="0"/>
                          </a:rPr>
                          <m:t>𝑑𝑜</m:t>
                        </m:r>
                        <m:r>
                          <a:rPr lang="pt-BR" sz="1600" b="0" i="1">
                            <a:latin typeface="Cambria Math" panose="02040503050406030204" pitchFamily="18" charset="0"/>
                          </a:rPr>
                          <m:t> </m:t>
                        </m:r>
                        <m:r>
                          <a:rPr lang="pt-BR" sz="1600" b="0" i="1">
                            <a:latin typeface="Cambria Math" panose="02040503050406030204" pitchFamily="18" charset="0"/>
                          </a:rPr>
                          <m:t>𝑡𝑟𝑒𝑐h𝑜</m:t>
                        </m:r>
                        <m:r>
                          <a:rPr lang="pt-BR" sz="1600" b="0" i="1">
                            <a:latin typeface="Cambria Math" panose="02040503050406030204" pitchFamily="18" charset="0"/>
                          </a:rPr>
                          <m:t>)</m:t>
                        </m:r>
                      </m:den>
                    </m:f>
                    <m:r>
                      <a:rPr lang="pt-BR" sz="1600" b="0" i="0">
                        <a:latin typeface="Cambria Math" panose="02040503050406030204" pitchFamily="18" charset="0"/>
                        <a:ea typeface="Cambria Math" panose="02040503050406030204" pitchFamily="18" charset="0"/>
                      </a:rPr>
                      <m:t>∙</m:t>
                    </m:r>
                    <m:f>
                      <m:fPr>
                        <m:ctrlPr>
                          <a:rPr lang="pt-BR" sz="1600" b="0" i="1">
                            <a:latin typeface="Cambria Math" panose="02040503050406030204" pitchFamily="18" charset="0"/>
                            <a:ea typeface="Cambria Math" panose="02040503050406030204" pitchFamily="18" charset="0"/>
                          </a:rPr>
                        </m:ctrlPr>
                      </m:fPr>
                      <m:num>
                        <m:r>
                          <a:rPr lang="pt-BR" sz="1600" b="0" i="1">
                            <a:latin typeface="Cambria Math" panose="02040503050406030204" pitchFamily="18" charset="0"/>
                            <a:ea typeface="Cambria Math" panose="02040503050406030204" pitchFamily="18" charset="0"/>
                          </a:rPr>
                          <m:t>1</m:t>
                        </m:r>
                      </m:num>
                      <m:den>
                        <m:r>
                          <a:rPr lang="pt-BR" sz="1600" b="0" i="1">
                            <a:latin typeface="Cambria Math" panose="02040503050406030204" pitchFamily="18" charset="0"/>
                            <a:ea typeface="Cambria Math" panose="02040503050406030204" pitchFamily="18" charset="0"/>
                          </a:rPr>
                          <m:t>60</m:t>
                        </m:r>
                      </m:den>
                    </m:f>
                  </m:oMath>
                </m:oMathPara>
              </a14:m>
              <a:endParaRPr lang="pt-BR" sz="1600"/>
            </a:p>
          </xdr:txBody>
        </xdr:sp>
      </mc:Choice>
      <mc:Fallback xmlns="">
        <xdr:sp macro="" textlink="">
          <xdr:nvSpPr>
            <xdr:cNvPr id="21" name="CaixaDeTexto 5">
              <a:extLst>
                <a:ext uri="{FF2B5EF4-FFF2-40B4-BE49-F238E27FC236}">
                  <a16:creationId xmlns:a16="http://schemas.microsoft.com/office/drawing/2014/main" id="{801107C7-90D5-4C12-BC8D-E242E87F470C}"/>
                </a:ext>
              </a:extLst>
            </xdr:cNvPr>
            <xdr:cNvSpPr txBox="1"/>
          </xdr:nvSpPr>
          <xdr:spPr>
            <a:xfrm>
              <a:off x="8068235" y="3753971"/>
              <a:ext cx="4946445" cy="512704"/>
            </a:xfrm>
            <a:prstGeom prst="rect">
              <a:avLst/>
            </a:prstGeom>
            <a:solidFill>
              <a:schemeClr val="bg1"/>
            </a:solidFill>
            <a:ln>
              <a:solidFill>
                <a:sysClr val="windowText" lastClr="000000"/>
              </a:solidFill>
            </a:ln>
          </xdr:spPr>
          <xdr:txBody>
            <a:bodyPr wrap="square" lIns="0" tIns="0" rIns="0" bIns="0" rtlCol="0">
              <a:spAutoFit/>
            </a:bodyPr>
            <a:lstStyle>
              <a:defPPr>
                <a:defRPr lang="pt-B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pt-BR" sz="1600" b="0" i="0">
                  <a:latin typeface="Cambria Math" panose="02040503050406030204" pitchFamily="18" charset="0"/>
                </a:rPr>
                <a:t>𝑡_𝑒</a:t>
              </a:r>
              <a:r>
                <a:rPr lang="pt-BR" sz="1600" i="0">
                  <a:latin typeface="Cambria Math" panose="02040503050406030204" pitchFamily="18" charset="0"/>
                </a:rPr>
                <a:t>=(</a:t>
              </a:r>
              <a:r>
                <a:rPr lang="pt-BR" sz="1600" b="0" i="0">
                  <a:latin typeface="Cambria Math" panose="02040503050406030204" pitchFamily="18" charset="0"/>
                </a:rPr>
                <a:t>𝐿 (𝑒𝑥𝑡𝑒𝑛𝑠ã𝑜 𝑑𝑜 𝑡𝑟𝑒𝑐ℎ𝑜))/(𝑣 (𝑣𝑒𝑙𝑜𝑐𝑖𝑑𝑎𝑑𝑒 𝑑𝑒 𝑒𝑠𝑐𝑜𝑎𝑚𝑒𝑛𝑡𝑜 𝑑𝑜 𝑡𝑟𝑒𝑐ℎ𝑜))</a:t>
              </a:r>
              <a:r>
                <a:rPr lang="pt-BR" sz="1600" b="0" i="0">
                  <a:latin typeface="Cambria Math" panose="02040503050406030204" pitchFamily="18" charset="0"/>
                  <a:ea typeface="Cambria Math" panose="02040503050406030204" pitchFamily="18" charset="0"/>
                </a:rPr>
                <a:t>∙1/60</a:t>
              </a:r>
              <a:endParaRPr lang="pt-BR" sz="1600"/>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ENGELUGA%20-%20Copia\ENGELUGA\Clientes\Navirai\2024\PAVIMENTA&#199;&#195;O%20-%20AV.%20JO&#195;O%20RIGONATO\PROJETO%20EXECUTIVO\02-OR&#199;AMENTO\RV03\NAV-PAV-DRE-OR&#199;AMENTO-06-2025-RV04.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IL-DESMOB"/>
      <sheetName val="CAPA"/>
      <sheetName val="QUADRO RESUMO"/>
      <sheetName val="ORÇAMENTO_DES"/>
      <sheetName val="COMPOSIÇÕES"/>
      <sheetName val="ENVIO_COMPOSIÇÃO"/>
      <sheetName val="Planilha4"/>
      <sheetName val="CRONOGRAMA_DES"/>
      <sheetName val="BDI DESONERADO"/>
      <sheetName val="COTAÇÕES"/>
      <sheetName val="CRONOGRAMA_NAO_DES"/>
      <sheetName val="BDI S DES"/>
      <sheetName val="CAMADAS"/>
      <sheetName val="MOVIMENTO DE TERRA"/>
      <sheetName val="RECAPE"/>
      <sheetName val="PAVIMENTAÇÃO"/>
      <sheetName val="DRENAGEM"/>
      <sheetName val="BANCO_DRENAGEM"/>
      <sheetName val="CALÇADAS E RAMPAS"/>
      <sheetName val="SINALIZAÇÃO (2)"/>
      <sheetName val="CHUVA"/>
      <sheetName val="DADOS"/>
      <sheetName val="SINALIZAÇÃO"/>
      <sheetName val="SERVIÇOS PRELIMINARES"/>
      <sheetName val="DMT"/>
      <sheetName val="GALERIAS"/>
      <sheetName val="Parametros IDF"/>
    </sheetNames>
    <sheetDataSet>
      <sheetData sheetId="0"/>
      <sheetData sheetId="1"/>
      <sheetData sheetId="2"/>
      <sheetData sheetId="3">
        <row r="6">
          <cell r="C6" t="str">
            <v>INFRAESTRUTURA URBANA – PAVIMENTAÇÃO ASFÁLTICA, DRENAGEM,  E SINALIZAÇÃO VIÁRIA NO ACESSO AO CEMITERIO MUNICIPAL DE NAVIRAÍ/ MS</v>
          </cell>
        </row>
        <row r="7">
          <cell r="C7" t="str">
            <v>NAVIRAÍ</v>
          </cell>
        </row>
        <row r="8">
          <cell r="C8" t="str">
            <v>AVENIDA JOÃO RIGONATO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2">
          <cell r="L2" t="str">
            <v>TUBO</v>
          </cell>
          <cell r="M2" t="str">
            <v>DN_x000D_
(m)</v>
          </cell>
          <cell r="N2" t="str">
            <v>COMPRIMENTO_x000D_
(m)</v>
          </cell>
          <cell r="O2" t="str">
            <v>DECLIVIDADE_x000D_
(%)</v>
          </cell>
          <cell r="P2" t="str">
            <v>COTA DE_x000D_
INICIO</v>
          </cell>
          <cell r="Q2" t="str">
            <v>COTA_x000D_
FINAL</v>
          </cell>
          <cell r="R2" t="str">
            <v>MATERIAL</v>
          </cell>
          <cell r="S2" t="str">
            <v>VERIFICAÇÃO</v>
          </cell>
          <cell r="T2" t="str">
            <v>MONTANTE</v>
          </cell>
          <cell r="U2" t="str">
            <v>JUSANTE</v>
          </cell>
          <cell r="V2" t="str">
            <v>MONTANTE - COTA</v>
          </cell>
          <cell r="W2" t="str">
            <v>JUSANTE - COTA</v>
          </cell>
        </row>
        <row r="3">
          <cell r="L3" t="str">
            <v>BIGODE - 01</v>
          </cell>
          <cell r="M3">
            <v>400</v>
          </cell>
          <cell r="N3">
            <v>10.496655899876997</v>
          </cell>
          <cell r="O3"/>
          <cell r="P3">
            <v>356.67844827791987</v>
          </cell>
          <cell r="Q3">
            <v>356.6259649984205</v>
          </cell>
          <cell r="R3"/>
          <cell r="S3" t="str">
            <v>BIGODE</v>
          </cell>
          <cell r="T3" t="str">
            <v>BLD - 01</v>
          </cell>
          <cell r="U3" t="str">
            <v>PV -02</v>
          </cell>
          <cell r="V3">
            <v>357.87844827791986</v>
          </cell>
          <cell r="W3">
            <v>355.78425925974682</v>
          </cell>
        </row>
        <row r="4">
          <cell r="L4" t="str">
            <v>BIGODE - 02</v>
          </cell>
          <cell r="M4">
            <v>400</v>
          </cell>
          <cell r="N4">
            <v>10.594983044033263</v>
          </cell>
          <cell r="O4"/>
          <cell r="P4">
            <v>356.64654900631825</v>
          </cell>
          <cell r="Q4">
            <v>356.59357409109811</v>
          </cell>
          <cell r="R4"/>
          <cell r="S4" t="str">
            <v>BIGODE</v>
          </cell>
          <cell r="T4" t="str">
            <v>BLD - 02</v>
          </cell>
          <cell r="U4" t="str">
            <v>PV -02</v>
          </cell>
          <cell r="V4">
            <v>357.84654900631824</v>
          </cell>
          <cell r="W4">
            <v>355.78425925974682</v>
          </cell>
        </row>
        <row r="5">
          <cell r="L5" t="str">
            <v>BIGODE - 03</v>
          </cell>
          <cell r="M5">
            <v>400</v>
          </cell>
          <cell r="N5">
            <v>13.58882620510448</v>
          </cell>
          <cell r="O5"/>
          <cell r="P5">
            <v>353.17009497069063</v>
          </cell>
          <cell r="Q5">
            <v>353.10215083966511</v>
          </cell>
          <cell r="R5"/>
          <cell r="S5" t="str">
            <v>BIGODE</v>
          </cell>
          <cell r="T5" t="str">
            <v>PV -03</v>
          </cell>
          <cell r="U5" t="str">
            <v>BLD - 03</v>
          </cell>
          <cell r="V5">
            <v>354.5700949706906</v>
          </cell>
          <cell r="W5">
            <v>353.00215083966509</v>
          </cell>
        </row>
        <row r="6">
          <cell r="L6" t="str">
            <v>BIGODE - 04</v>
          </cell>
          <cell r="M6">
            <v>400</v>
          </cell>
          <cell r="N6">
            <v>15.911800585341876</v>
          </cell>
          <cell r="O6"/>
          <cell r="P6">
            <v>353.17009497069063</v>
          </cell>
          <cell r="Q6">
            <v>353.09053596776391</v>
          </cell>
          <cell r="R6"/>
          <cell r="S6" t="str">
            <v>BIGODE</v>
          </cell>
          <cell r="T6" t="str">
            <v>PV -03</v>
          </cell>
          <cell r="U6" t="str">
            <v>BLD - 04</v>
          </cell>
          <cell r="V6">
            <v>354.5700949706906</v>
          </cell>
          <cell r="W6">
            <v>352.99053596776389</v>
          </cell>
        </row>
        <row r="7">
          <cell r="L7" t="str">
            <v>BIGODE - 05</v>
          </cell>
          <cell r="M7">
            <v>400</v>
          </cell>
          <cell r="N7">
            <v>8.2604536673846631</v>
          </cell>
          <cell r="O7"/>
          <cell r="P7">
            <v>349.84113500394307</v>
          </cell>
          <cell r="Q7">
            <v>349.69983273560609</v>
          </cell>
          <cell r="R7"/>
          <cell r="S7" t="str">
            <v>BIGODE</v>
          </cell>
          <cell r="T7" t="str">
            <v>PV -04</v>
          </cell>
          <cell r="U7" t="str">
            <v>BLD - 05</v>
          </cell>
          <cell r="V7">
            <v>350.9606896573145</v>
          </cell>
          <cell r="W7">
            <v>349.59983273560607</v>
          </cell>
        </row>
        <row r="8">
          <cell r="L8" t="str">
            <v>BIGODE - 06</v>
          </cell>
          <cell r="M8">
            <v>400</v>
          </cell>
          <cell r="N8">
            <v>9.0091443613358155</v>
          </cell>
          <cell r="O8"/>
          <cell r="P8">
            <v>349.84113500394307</v>
          </cell>
          <cell r="Q8">
            <v>349.69608928213637</v>
          </cell>
          <cell r="R8"/>
          <cell r="S8" t="str">
            <v>BIGODE</v>
          </cell>
          <cell r="T8" t="str">
            <v>PV -04</v>
          </cell>
          <cell r="U8" t="str">
            <v>BLD - 06</v>
          </cell>
          <cell r="V8">
            <v>350.9606896573145</v>
          </cell>
          <cell r="W8">
            <v>349.59608928213635</v>
          </cell>
        </row>
        <row r="9">
          <cell r="L9" t="str">
            <v>BIGODE - 07</v>
          </cell>
          <cell r="M9">
            <v>400</v>
          </cell>
          <cell r="N9">
            <v>15.627212944557002</v>
          </cell>
          <cell r="O9"/>
          <cell r="P9">
            <v>346.93129868387132</v>
          </cell>
          <cell r="Q9">
            <v>346.46432759015227</v>
          </cell>
          <cell r="R9"/>
          <cell r="S9" t="str">
            <v>BIGODE</v>
          </cell>
          <cell r="T9" t="str">
            <v>BLD - 07</v>
          </cell>
          <cell r="U9" t="str">
            <v>PV -05</v>
          </cell>
          <cell r="V9">
            <v>347.73129868387133</v>
          </cell>
          <cell r="W9">
            <v>345.76432759015228</v>
          </cell>
        </row>
        <row r="10">
          <cell r="L10" t="str">
            <v>BIGODE - 08</v>
          </cell>
          <cell r="M10">
            <v>400</v>
          </cell>
          <cell r="N10">
            <v>14.729520072541485</v>
          </cell>
          <cell r="O10"/>
          <cell r="P10">
            <v>346.88203728888664</v>
          </cell>
          <cell r="Q10">
            <v>346.4518143899864</v>
          </cell>
          <cell r="R10"/>
          <cell r="S10" t="str">
            <v>BIGODE</v>
          </cell>
          <cell r="T10" t="str">
            <v>BLD - 08</v>
          </cell>
          <cell r="U10" t="str">
            <v>PV -05</v>
          </cell>
          <cell r="V10">
            <v>347.67901843171114</v>
          </cell>
          <cell r="W10">
            <v>345.76432759015228</v>
          </cell>
        </row>
        <row r="11">
          <cell r="L11" t="str">
            <v>BIGODE - 09</v>
          </cell>
          <cell r="M11">
            <v>400</v>
          </cell>
          <cell r="N11">
            <v>16.12115347377765</v>
          </cell>
          <cell r="O11"/>
          <cell r="P11">
            <v>341.67533383509021</v>
          </cell>
          <cell r="Q11">
            <v>341.02662850799965</v>
          </cell>
          <cell r="R11"/>
          <cell r="S11" t="str">
            <v>BIGODE</v>
          </cell>
          <cell r="T11" t="str">
            <v>BLD - 09</v>
          </cell>
          <cell r="U11" t="str">
            <v>PV -06</v>
          </cell>
          <cell r="V11">
            <v>342.64710390562738</v>
          </cell>
          <cell r="W11">
            <v>340.50281301412633</v>
          </cell>
        </row>
        <row r="12">
          <cell r="L12" t="str">
            <v>BIGODE - 10</v>
          </cell>
          <cell r="M12">
            <v>400</v>
          </cell>
          <cell r="N12">
            <v>16.576308582709391</v>
          </cell>
          <cell r="O12"/>
          <cell r="P12">
            <v>341.45486627028396</v>
          </cell>
          <cell r="Q12">
            <v>340.88394340173909</v>
          </cell>
          <cell r="R12"/>
          <cell r="S12" t="str">
            <v>BIGODE</v>
          </cell>
          <cell r="T12" t="str">
            <v>BLD - 10</v>
          </cell>
          <cell r="U12" t="str">
            <v>PV -06</v>
          </cell>
          <cell r="V12">
            <v>342.51606534801715</v>
          </cell>
          <cell r="W12">
            <v>340.50281301412633</v>
          </cell>
        </row>
        <row r="13">
          <cell r="L13" t="str">
            <v>TRECHO - 01</v>
          </cell>
          <cell r="M13">
            <v>800</v>
          </cell>
          <cell r="N13">
            <v>104.07695134604538</v>
          </cell>
          <cell r="O13"/>
          <cell r="P13">
            <v>358.02150458258456</v>
          </cell>
          <cell r="Q13">
            <v>356.00000000000256</v>
          </cell>
          <cell r="R13"/>
          <cell r="S13" t="str">
            <v>TRECHO</v>
          </cell>
          <cell r="T13" t="str">
            <v>PV -01</v>
          </cell>
          <cell r="U13" t="str">
            <v>PV -02</v>
          </cell>
          <cell r="V13">
            <v>360.41508420480528</v>
          </cell>
          <cell r="W13">
            <v>355.78425925974682</v>
          </cell>
        </row>
        <row r="14">
          <cell r="L14" t="str">
            <v>TRECHO - 02</v>
          </cell>
          <cell r="M14">
            <v>800</v>
          </cell>
          <cell r="N14">
            <v>100.00124998988291</v>
          </cell>
          <cell r="O14"/>
          <cell r="P14">
            <v>355.88425925974684</v>
          </cell>
          <cell r="Q14">
            <v>352.97009497069064</v>
          </cell>
          <cell r="R14"/>
          <cell r="S14" t="str">
            <v>TRECHO</v>
          </cell>
          <cell r="T14" t="str">
            <v>PV -02</v>
          </cell>
          <cell r="U14" t="str">
            <v>PV -03</v>
          </cell>
          <cell r="V14">
            <v>357.87705318797634</v>
          </cell>
          <cell r="W14">
            <v>352.06774388065639</v>
          </cell>
        </row>
        <row r="15">
          <cell r="L15" t="str">
            <v>TRECHO - 03</v>
          </cell>
          <cell r="M15">
            <v>800</v>
          </cell>
          <cell r="N15">
            <v>75.682252456145349</v>
          </cell>
          <cell r="O15"/>
          <cell r="P15">
            <v>352.16774388065642</v>
          </cell>
          <cell r="Q15">
            <v>349.56068965731453</v>
          </cell>
          <cell r="R15"/>
          <cell r="S15" t="str">
            <v>TRECHO</v>
          </cell>
          <cell r="T15" t="str">
            <v>PV -03</v>
          </cell>
          <cell r="U15" t="str">
            <v>PV -04</v>
          </cell>
          <cell r="V15">
            <v>354.5700949706906</v>
          </cell>
          <cell r="W15">
            <v>349.4606896573145</v>
          </cell>
        </row>
        <row r="16">
          <cell r="L16" t="str">
            <v>TRECHO - 04</v>
          </cell>
          <cell r="M16">
            <v>800</v>
          </cell>
          <cell r="N16">
            <v>74.186027241059335</v>
          </cell>
          <cell r="O16"/>
          <cell r="P16">
            <v>349.64113500394308</v>
          </cell>
          <cell r="Q16">
            <v>345.8643275901523</v>
          </cell>
          <cell r="R16"/>
          <cell r="S16" t="str">
            <v>TRECHO</v>
          </cell>
          <cell r="T16" t="str">
            <v>PV -04</v>
          </cell>
          <cell r="U16" t="str">
            <v>PV -05</v>
          </cell>
          <cell r="V16">
            <v>350.9606896573145</v>
          </cell>
          <cell r="W16">
            <v>345.76432759015228</v>
          </cell>
        </row>
        <row r="17">
          <cell r="L17" t="str">
            <v>TRECHO - 05</v>
          </cell>
          <cell r="M17">
            <v>800</v>
          </cell>
          <cell r="N17">
            <v>105.59711317333395</v>
          </cell>
          <cell r="O17"/>
          <cell r="P17">
            <v>345.8643275901523</v>
          </cell>
          <cell r="Q17">
            <v>340.60281301412635</v>
          </cell>
          <cell r="R17"/>
          <cell r="S17" t="str">
            <v>TRECHO</v>
          </cell>
          <cell r="T17" t="str">
            <v>PV -05</v>
          </cell>
          <cell r="U17" t="str">
            <v>PV -06</v>
          </cell>
          <cell r="V17">
            <v>347.26432759015228</v>
          </cell>
          <cell r="W17">
            <v>340.50281301412633</v>
          </cell>
        </row>
        <row r="18">
          <cell r="L18" t="str">
            <v>TRECHO - 06</v>
          </cell>
          <cell r="M18">
            <v>800</v>
          </cell>
          <cell r="N18">
            <v>65.823679939801892</v>
          </cell>
          <cell r="O18"/>
          <cell r="P18">
            <v>340.60281301412635</v>
          </cell>
          <cell r="Q18">
            <v>337.19284970802829</v>
          </cell>
          <cell r="R18"/>
          <cell r="S18" t="str">
            <v>TRECHO</v>
          </cell>
          <cell r="T18" t="str">
            <v>PV -06</v>
          </cell>
          <cell r="U18" t="str">
            <v>PV -07</v>
          </cell>
          <cell r="V18">
            <v>342.00281301412633</v>
          </cell>
          <cell r="W18">
            <v>337.09284970802827</v>
          </cell>
        </row>
        <row r="19">
          <cell r="L19" t="str">
            <v>TRECHO - 07</v>
          </cell>
          <cell r="M19">
            <v>800</v>
          </cell>
          <cell r="N19">
            <v>69.094754483909654</v>
          </cell>
          <cell r="O19"/>
          <cell r="P19">
            <v>337.19284970802829</v>
          </cell>
          <cell r="Q19">
            <v>331.81667490120697</v>
          </cell>
          <cell r="R19"/>
          <cell r="S19" t="str">
            <v>TRECHO</v>
          </cell>
          <cell r="T19" t="str">
            <v>PV -07</v>
          </cell>
          <cell r="U19" t="str">
            <v>PV -08</v>
          </cell>
          <cell r="V19">
            <v>338.59284970802827</v>
          </cell>
          <cell r="W19">
            <v>331.52580575248851</v>
          </cell>
        </row>
        <row r="20">
          <cell r="L20" t="str">
            <v>TRECHO - 08</v>
          </cell>
          <cell r="M20">
            <v>800</v>
          </cell>
          <cell r="N20">
            <v>101.55218172683614</v>
          </cell>
          <cell r="O20"/>
          <cell r="P20">
            <v>331.52580575248851</v>
          </cell>
          <cell r="Q20">
            <v>324.05729571079269</v>
          </cell>
          <cell r="R20"/>
          <cell r="S20" t="str">
            <v>TRECHO</v>
          </cell>
          <cell r="T20" t="str">
            <v>PV -08</v>
          </cell>
          <cell r="U20" t="str">
            <v>PV -09</v>
          </cell>
          <cell r="V20">
            <v>333.21667490120694</v>
          </cell>
          <cell r="W20">
            <v>323.79441987840198</v>
          </cell>
        </row>
        <row r="21">
          <cell r="L21" t="str">
            <v>TRECHO - 09</v>
          </cell>
          <cell r="M21">
            <v>800</v>
          </cell>
          <cell r="N21">
            <v>64.574764671973711</v>
          </cell>
          <cell r="O21"/>
          <cell r="P21">
            <v>323.79441987840198</v>
          </cell>
          <cell r="Q21">
            <v>321.16692291760836</v>
          </cell>
          <cell r="R21"/>
          <cell r="S21" t="str">
            <v>TRECHO</v>
          </cell>
          <cell r="T21" t="str">
            <v>PV -09</v>
          </cell>
          <cell r="U21" t="str">
            <v>PV -10</v>
          </cell>
          <cell r="V21">
            <v>325.6481648595111</v>
          </cell>
          <cell r="W21">
            <v>321.06692291760834</v>
          </cell>
        </row>
        <row r="22">
          <cell r="L22" t="str">
            <v>TRECHO - 10</v>
          </cell>
          <cell r="M22">
            <v>800</v>
          </cell>
          <cell r="N22">
            <v>42.088755600265827</v>
          </cell>
          <cell r="O22"/>
          <cell r="P22">
            <v>321.16692291760836</v>
          </cell>
          <cell r="Q22">
            <v>318.81269358109409</v>
          </cell>
          <cell r="R22"/>
          <cell r="S22" t="str">
            <v>TRECHO</v>
          </cell>
          <cell r="T22" t="str">
            <v>PV -10</v>
          </cell>
          <cell r="U22" t="str">
            <v>DISSIPADOR DE ENERGIA</v>
          </cell>
          <cell r="V22">
            <v>322.72979874999902</v>
          </cell>
          <cell r="W22">
            <v>315.97000000000003</v>
          </cell>
        </row>
        <row r="23">
          <cell r="L23" t="str">
            <v>TRECHO - 11</v>
          </cell>
          <cell r="M23">
            <v>600</v>
          </cell>
          <cell r="N23">
            <v>18.741659678224813</v>
          </cell>
          <cell r="O23"/>
          <cell r="P23">
            <v>358.21521288097563</v>
          </cell>
          <cell r="Q23">
            <v>358.12150458258452</v>
          </cell>
          <cell r="R23"/>
          <cell r="S23" t="str">
            <v>TRECHO</v>
          </cell>
          <cell r="T23" t="str">
            <v>CX COLETORA - 03</v>
          </cell>
          <cell r="U23" t="str">
            <v>PV -01</v>
          </cell>
          <cell r="V23">
            <v>360.32995137689358</v>
          </cell>
          <cell r="W23">
            <v>357.85821354203716</v>
          </cell>
        </row>
        <row r="24">
          <cell r="L24" t="str">
            <v>TRECHO - 12</v>
          </cell>
          <cell r="M24">
            <v>600</v>
          </cell>
          <cell r="N24">
            <v>18.016735576820516</v>
          </cell>
          <cell r="O24"/>
          <cell r="P24">
            <v>358.59511984919925</v>
          </cell>
          <cell r="Q24">
            <v>357.95821354203719</v>
          </cell>
          <cell r="R24"/>
          <cell r="S24" t="str">
            <v>TRECHO</v>
          </cell>
          <cell r="T24" t="str">
            <v>CX COLETORA - 01</v>
          </cell>
          <cell r="U24" t="str">
            <v>PV -01</v>
          </cell>
          <cell r="V24">
            <v>361.45424219145713</v>
          </cell>
          <cell r="W24">
            <v>357.85821354203716</v>
          </cell>
        </row>
        <row r="25">
          <cell r="L25" t="str">
            <v>TRECHO - 13</v>
          </cell>
          <cell r="M25">
            <v>600</v>
          </cell>
          <cell r="N25">
            <v>9.2069482811286871</v>
          </cell>
          <cell r="O25"/>
          <cell r="P25">
            <v>358.66379109730855</v>
          </cell>
          <cell r="Q25">
            <v>358.15214752493091</v>
          </cell>
          <cell r="R25"/>
          <cell r="S25" t="str">
            <v>TRECHO</v>
          </cell>
          <cell r="T25" t="str">
            <v>CX COLETORA - 02</v>
          </cell>
          <cell r="U25" t="str">
            <v>PV -01</v>
          </cell>
          <cell r="V25">
            <v>360.59998382078271</v>
          </cell>
          <cell r="W25">
            <v>357.85821354203716</v>
          </cell>
        </row>
        <row r="26">
          <cell r="L26" t="str">
            <v>TRECHO - 14</v>
          </cell>
          <cell r="M26">
            <v>600</v>
          </cell>
          <cell r="N26">
            <v>25.197350689401301</v>
          </cell>
          <cell r="O26"/>
          <cell r="P26">
            <v>360.00214146458904</v>
          </cell>
          <cell r="Q26">
            <v>359.77940400608418</v>
          </cell>
          <cell r="R26"/>
          <cell r="S26" t="str">
            <v>TRECHO</v>
          </cell>
          <cell r="T26" t="str">
            <v>ALAS - 01</v>
          </cell>
          <cell r="U26" t="str">
            <v>ALAS - 02</v>
          </cell>
          <cell r="V26">
            <v>361.65214146458902</v>
          </cell>
          <cell r="W26">
            <v>359.77940400608418</v>
          </cell>
        </row>
        <row r="27">
          <cell r="L27" t="str">
            <v>VALETA - 01</v>
          </cell>
          <cell r="M27">
            <v>600</v>
          </cell>
          <cell r="N27">
            <v>77.23332627534748</v>
          </cell>
          <cell r="O27"/>
          <cell r="P27">
            <v>360.96318666513639</v>
          </cell>
          <cell r="Q27">
            <v>359.83395198932482</v>
          </cell>
          <cell r="R27"/>
          <cell r="S27" t="str">
            <v>VALETA</v>
          </cell>
          <cell r="T27" t="str">
            <v>VAL-ESTRU-01</v>
          </cell>
          <cell r="U27" t="str">
            <v>ALAS - 01</v>
          </cell>
          <cell r="V27">
            <v>362.01400000000001</v>
          </cell>
          <cell r="W27">
            <v>360.00214146458904</v>
          </cell>
        </row>
        <row r="28">
          <cell r="L28" t="str">
            <v>VALETA - 02</v>
          </cell>
          <cell r="M28">
            <v>600</v>
          </cell>
          <cell r="N28">
            <v>69.718082740654779</v>
          </cell>
          <cell r="O28"/>
          <cell r="P28">
            <v>359.49920818070478</v>
          </cell>
          <cell r="Q28">
            <v>358.49862556465536</v>
          </cell>
          <cell r="R28"/>
          <cell r="S28" t="str">
            <v>VALETA</v>
          </cell>
          <cell r="T28" t="str">
            <v>ALAS - 02</v>
          </cell>
          <cell r="U28" t="str">
            <v>CX COLETORA - 03</v>
          </cell>
          <cell r="V28">
            <v>361.42940400608398</v>
          </cell>
          <cell r="W28">
            <v>358.11521288097561</v>
          </cell>
        </row>
        <row r="29">
          <cell r="L29" t="str">
            <v>VALETA - 03</v>
          </cell>
          <cell r="M29">
            <v>600</v>
          </cell>
          <cell r="N29">
            <v>173.69635815835747</v>
          </cell>
          <cell r="O29"/>
          <cell r="P29">
            <v>360.34689804289337</v>
          </cell>
          <cell r="Q29">
            <v>358.89511984919926</v>
          </cell>
          <cell r="R29"/>
          <cell r="S29" t="str">
            <v>VALETA</v>
          </cell>
          <cell r="T29" t="str">
            <v>SARG-ESTRU-01</v>
          </cell>
          <cell r="U29" t="str">
            <v>CX COLETORA - 01</v>
          </cell>
          <cell r="V29">
            <v>361.45424219145713</v>
          </cell>
          <cell r="W29">
            <v>358.49511984919923</v>
          </cell>
        </row>
        <row r="30">
          <cell r="L30" t="str">
            <v>SARGETA - 04</v>
          </cell>
          <cell r="M30">
            <v>500</v>
          </cell>
          <cell r="N30">
            <v>152.09587782460184</v>
          </cell>
          <cell r="O30"/>
          <cell r="P30">
            <v>361.42231930595869</v>
          </cell>
          <cell r="Q30">
            <v>359.28975477533987</v>
          </cell>
          <cell r="R30"/>
          <cell r="S30" t="str">
            <v>SARGET</v>
          </cell>
          <cell r="T30" t="str">
            <v>VAL-ESTRU-03</v>
          </cell>
          <cell r="U30" t="str">
            <v>CX COLETORA - 02</v>
          </cell>
          <cell r="V30">
            <v>360.87700000000001</v>
          </cell>
          <cell r="W30">
            <v>358.56379109730852</v>
          </cell>
        </row>
      </sheetData>
      <sheetData sheetId="18"/>
      <sheetData sheetId="19"/>
      <sheetData sheetId="20"/>
      <sheetData sheetId="21"/>
      <sheetData sheetId="22"/>
      <sheetData sheetId="23"/>
      <sheetData sheetId="24"/>
      <sheetData sheetId="25"/>
      <sheetData sheetId="26"/>
    </sheetDataSet>
  </externalBook>
</externalLink>
</file>

<file path=xl/persons/person.xml><?xml version="1.0" encoding="utf-8"?>
<personList xmlns="http://schemas.microsoft.com/office/spreadsheetml/2018/threadedcomments" xmlns:x="http://schemas.openxmlformats.org/spreadsheetml/2006/main">
  <person displayName="Kaiky Alcantara" id="{B66DEC21-6C28-4482-979E-ABAF6D3107FA}" userId="bc2e9437ab7cdb03" providerId="Windows Live"/>
</personList>
</file>

<file path=xl/tables/table1.xml><?xml version="1.0" encoding="utf-8"?>
<table xmlns="http://schemas.openxmlformats.org/spreadsheetml/2006/main" id="1" name="Tabela1" displayName="Tabela1" ref="A1:F45" totalsRowShown="0" headerRowDxfId="5">
  <autoFilter ref="A1:F45"/>
  <sortState ref="A2:F45">
    <sortCondition ref="A2:A45"/>
    <sortCondition ref="B2:B45"/>
  </sortState>
  <tableColumns count="6">
    <tableColumn id="1" name="Serviços" dataDxfId="4"/>
    <tableColumn id="2" name="Cidade_insumo" dataDxfId="3"/>
    <tableColumn id="3" name="Latitude" dataDxfId="2"/>
    <tableColumn id="5" name="Longitude"/>
    <tableColumn id="6" name="Latitude_GD" dataDxfId="1">
      <calculatedColumnFormula array="1">ConverterParaDecimal(Tabela1[[#This Row],[Latitude]])</calculatedColumnFormula>
    </tableColumn>
    <tableColumn id="7" name="Longitude_GD" dataDxfId="0">
      <calculatedColumnFormula array="1">ConverterParaDecimal(Tabela1[[#This Row],[Longitude]])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006F71"/>
        </a:solidFill>
        <a:ln>
          <a:solidFill>
            <a:srgbClr val="006F71"/>
          </a:solidFill>
        </a:ln>
      </a:spPr>
      <a:bodyPr vertOverflow="clip" horzOverflow="clip" rtlCol="0" anchor="ctr"/>
      <a:lstStyle>
        <a:defPPr algn="ctr">
          <a:defRPr sz="1100" kern="1200"/>
        </a:defPPr>
      </a:lstStyle>
      <a:style>
        <a:lnRef idx="2">
          <a:schemeClr val="accent1">
            <a:shade val="15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0" dT="2025-09-15T20:11:27.27" personId="{B66DEC21-6C28-4482-979E-ABAF6D3107FA}" id="{7E15A317-EE5C-46AD-8AE5-4857E9CC304F}">
    <text>As coordenadas devem ser em formato: Graus, Minutos e Segundos</text>
  </threadedComment>
  <threadedComment ref="C19" dT="2025-01-08T14:38:46.42" personId="{B66DEC21-6C28-4482-979E-ABAF6D3107FA}" id="{437AD2BD-F0AC-43D4-8C2A-6C2FF97FCD42}">
    <text>Exemplo de preenchimento: (JANEIRO/2024)</text>
  </threadedComment>
</ThreadedComments>
</file>

<file path=xl/threadedComments/threadedComment3.xml><?xml version="1.0" encoding="utf-8"?>
<ThreadedComments xmlns="http://schemas.microsoft.com/office/spreadsheetml/2018/threadedcomments" xmlns:x="http://schemas.openxmlformats.org/spreadsheetml/2006/main">
  <threadedComment ref="S2" dT="2025-05-13T01:57:46.61" personId="{B66DEC21-6C28-4482-979E-ABAF6D3107FA}" id="{0FD57EE8-FBCF-4141-8123-72E00AB96D2D}">
    <text>PREENCHIMENTO MANUAL, CASO FOR IMPLANTAÇÃO COLOQUE I se for reconstrução R se não for existente E</text>
  </threadedComment>
</ThreadedComments>
</file>

<file path=xl/threadedComments/threadedComment4.xml><?xml version="1.0" encoding="utf-8"?>
<ThreadedComments xmlns="http://schemas.microsoft.com/office/spreadsheetml/2018/threadedcomments" xmlns:x="http://schemas.openxmlformats.org/spreadsheetml/2006/main">
  <threadedComment ref="D46" dT="2025-07-11T14:40:55.81" personId="{B66DEC21-6C28-4482-979E-ABAF6D3107FA}" id="{1B37A732-A62B-43C9-B748-EDE08AE96E0D}">
    <text xml:space="preserve">V=0,40×0,40×0,025=0,004m3 
Densidade mediana do concreto :2,4 t/m³
Peso da peça 
P=0,004m3×2,4t/m3=0,0096t=9,6kg 
Peso linear (por metro linear) 
2,5×9,6kg=24kg=0,024t/m 
</text>
  </threadedComment>
</ThreadedComments>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 Id="rId4" Type="http://schemas.microsoft.com/office/2011/relationships/webextension" Target="webextension4.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 dockstate="right" visibility="0" width="350" row="10">
    <wetp:webextensionref xmlns:r="http://schemas.openxmlformats.org/officeDocument/2006/relationships" r:id="rId2"/>
  </wetp:taskpane>
  <wetp:taskpane dockstate="right" visibility="0" width="350" row="8">
    <wetp:webextensionref xmlns:r="http://schemas.openxmlformats.org/officeDocument/2006/relationships" r:id="rId3"/>
  </wetp:taskpane>
  <wetp:taskpane dockstate="right" visibility="0" width="350" row="9">
    <wetp:webextensionref xmlns:r="http://schemas.openxmlformats.org/officeDocument/2006/relationships" r:id="rId4"/>
  </wetp:taskpane>
</wetp:taskpanes>
</file>

<file path=xl/webextensions/webextension1.xml><?xml version="1.0" encoding="utf-8"?>
<we:webextension xmlns:we="http://schemas.microsoft.com/office/webextensions/webextension/2010/11" id="{4B1C1405-5573-4C6C-AC69-B5D693DB8C2A}">
  <we:reference id="wa200005502" version="1.0.0.11" store="pt-BR" storeType="OMEX"/>
  <we:alternateReferences>
    <we:reference id="WA200005502" version="1.0.0.11" store="" storeType="OMEX"/>
  </we:alternateReferences>
  <we:properties>
    <we:property name="docId" value="&quot;pzpkuLpn_LFLL5FLT7Skw&quot;"/>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462433B3-390D-458A-90D6-82D3370988D9}">
  <we:reference id="wa104381695" version="1.0.10.0" store="pt-BR" storeType="OMEX"/>
  <we:alternateReferences>
    <we:reference id="WA104381695" version="1.0.10.0" store=""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_xldudf_CS_TIME</we:customFunctionIds>
        <we:customFunctionIds>_xldudf_CS_ATH</we:customFunctionIds>
        <we:customFunctionIds>_xldudf_CS_ENDPOINTS</we:customFunctionIds>
        <we:customFunctionIds>_xldudf_CS_EXCHANGES</we:customFunctionIds>
        <we:customFunctionIds>_xldudf_CS_EXRATE</we:customFunctionIds>
        <we:customFunctionIds>_xldudf_CS_OHLCV</we:customFunctionIds>
        <we:customFunctionIds>_xldudf_CS_ORDERBOOKS</we:customFunctionIds>
        <we:customFunctionIds>_xldudf_CS_PARAMETERS</we:customFunctionIds>
        <we:customFunctionIds>_xldudf_CS_PRICE</we:customFunctionIds>
        <we:customFunctionIds>_xldudf_CS_PRICEA</we:customFunctionIds>
        <we:customFunctionIds>_xldudf_CS_PROVIDERS</we:customFunctionIds>
        <we:customFunctionIds>_xldudf_CS_QUERY</we:customFunctionIds>
        <we:customFunctionIds>_xldudf_CS_QUERYA</we:customFunctionIds>
        <we:customFunctionIds>_xldudf_CS_SYMBOLS</we:customFunctionIds>
        <we:customFunctionIds>_xldudf_CS_TA</we:customFunctionIds>
        <we:customFunctionIds>_xldudf_CS_TAHIS</we:customFunctionIds>
        <we:customFunctionIds>_xldudf_CS_TRADES</we:customFunctionIds>
        <we:customFunctionIds>_xldudf_CS_ORDERBOOKSL3A</we:customFunctionIds>
        <we:customFunctionIds>_xldudf_CS_OHLCVA</we:customFunctionIds>
        <we:customFunctionIds>_xldudf_CS_ADDRESS</we:customFunctionIds>
        <we:customFunctionIds>_xldudf_CS_CHAIN</we:customFunctionIds>
        <we:customFunctionIds>_xldudf_CS_CLUSTERS</we:customFunctionIds>
        <we:customFunctionIds>_xldudf_CS_IDEAS</we:customFunctionIds>
        <we:customFunctionIds>_xldudf_CS_METRICS</we:customFunctionIds>
        <we:customFunctionIds>_xldudf_CS_AD</we:customFunctionIds>
        <we:customFunctionIds>_xldudf_CS_ADOSC</we:customFunctionIds>
        <we:customFunctionIds>_xldudf_CS_ADX</we:customFunctionIds>
        <we:customFunctionIds>_xldudf_CS_APO</we:customFunctionIds>
        <we:customFunctionIds>_xldudf_CS_AROON</we:customFunctionIds>
        <we:customFunctionIds>_xldudf_CS_AROONOSC</we:customFunctionIds>
        <we:customFunctionIds>_xldudf_CS_ATR</we:customFunctionIds>
        <we:customFunctionIds>_xldudf_CS_BBANDS</we:customFunctionIds>
        <we:customFunctionIds>_xldudf_CS_BETA</we:customFunctionIds>
        <we:customFunctionIds>_xldudf_CS_CCI</we:customFunctionIds>
        <we:customFunctionIds>_xldudf_CS_CDLINNECK</we:customFunctionIds>
        <we:customFunctionIds>_xldudf_CS_CDLMARUBOZU</we:customFunctionIds>
        <we:customFunctionIds>_xldudf_CS_CORREL</we:customFunctionIds>
        <we:customFunctionIds>_xldudf_CS_DEMA</we:customFunctionIds>
        <we:customFunctionIds>_xldudf_CS_DX</we:customFunctionIds>
        <we:customFunctionIds>_xldudf_CS_EMA</we:customFunctionIds>
        <we:customFunctionIds>_xldudf_CS_LINEARREG</we:customFunctionIds>
        <we:customFunctionIds>_xldudf_CS_LINEARREGANGLE</we:customFunctionIds>
        <we:customFunctionIds>_xldudf_CS_LINEARREGINTERCEPT</we:customFunctionIds>
        <we:customFunctionIds>_xldudf_CS_LINEARREGSLOPE</we:customFunctionIds>
        <we:customFunctionIds>_xldudf_CS_MACD</we:customFunctionIds>
        <we:customFunctionIds>_xldudf_CS_MACDEXT</we:customFunctionIds>
        <we:customFunctionIds>_xldudf_CS_MACDFIX</we:customFunctionIds>
        <we:customFunctionIds>_xldudf_CS_MFI</we:customFunctionIds>
        <we:customFunctionIds>_xldudf_CS_MOM</we:customFunctionIds>
        <we:customFunctionIds>_xldudf_CS_NATR</we:customFunctionIds>
        <we:customFunctionIds>_xldudf_CS_OBV</we:customFunctionIds>
        <we:customFunctionIds>_xldudf_CS_ROC</we:customFunctionIds>
        <we:customFunctionIds>_xldudf_CS_ROCP</we:customFunctionIds>
        <we:customFunctionIds>_xldudf_CS_ROCR</we:customFunctionIds>
        <we:customFunctionIds>_xldudf_CS_RSI</we:customFunctionIds>
        <we:customFunctionIds>_xldudf_CS_SAREXT</we:customFunctionIds>
        <we:customFunctionIds>_xldudf_CS_SMA</we:customFunctionIds>
        <we:customFunctionIds>_xldudf_CS_STDDEV</we:customFunctionIds>
        <we:customFunctionIds>_xldudf_CS_STOCH</we:customFunctionIds>
        <we:customFunctionIds>_xldudf_CS_T3</we:customFunctionIds>
        <we:customFunctionIds>_xldudf_CS_TEMA</we:customFunctionIds>
        <we:customFunctionIds>_xldudf_CS_TRANGE</we:customFunctionIds>
        <we:customFunctionIds>_xldudf_CS_TRIX</we:customFunctionIds>
        <we:customFunctionIds>_xldudf_CS_TSF</we:customFunctionIds>
        <we:customFunctionIds>_xldudf_CS_ULTOSC</we:customFunctionIds>
        <we:customFunctionIds>_xldudf_CS_VARI</we:customFunctionIds>
        <we:customFunctionIds>_xldudf_CS_WCLPRICE</we:customFunctionIds>
        <we:customFunctionIds>_xldudf_CS_WILLR</we:customFunctionIds>
        <we:customFunctionIds>_xldudf_CS_WMA</we:customFunctionIds>
        <we:customFunctionIds>_xldudf_CS_STATUS</we:customFunctionIds>
        <we:customFunctionIds>_xldudf_CS_LOGIN</we:customFunctionIds>
        <we:customFunctionIds>_xldudf_CS_TAMETADATA</we:customFunctionIds>
        <we:customFunctionIds>_xldudf_CS_FLOOR</we:customFunctionIds>
        <we:customFunctionIds>_xldudf_CS_LN</we:customFunctionIds>
        <we:customFunctionIds>_xldudf_CS_EXP</we:customFunctionIds>
        <we:customFunctionIds>_xldudf_CS_FIELDS</we:customFunctionIds>
        <we:customFunctionIds>_xldudf_CS_TRADESA</we:customFunctionIds>
        <we:customFunctionIds>_xldudf_CS_ORDERBOOKSA</we:customFunctionIds>
        <we:customFunctionIds>_xldudf_CS_METRICSA</we:customFunctionIds>
        <we:customFunctionIds>_xldudf_CS_METRICSMETADATA</we:customFunctionIds>
      </we:customFunctionIdList>
    </a:ext>
  </we:extLst>
</we:webextension>
</file>

<file path=xl/webextensions/webextension3.xml><?xml version="1.0" encoding="utf-8"?>
<we:webextension xmlns:we="http://schemas.microsoft.com/office/webextensions/webextension/2010/11" id="{C0A4D7F9-5C03-496B-BD98-60016FD72FE6}">
  <we:reference id="wa200005271" version="2.5.5.0" store="en-US" storeType="OMEX"/>
  <we:alternateReferences>
    <we:reference id="WA200005271" version="2.5.5.0" store=""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ebextensions/webextension4.xml><?xml version="1.0" encoding="utf-8"?>
<we:webextension xmlns:we="http://schemas.microsoft.com/office/webextensions/webextension/2010/11" id="{6B9E4288-5AAB-4D81-BB6E-8EE498EDDB92}">
  <we:reference id="wa104380330" version="1.3.0.1" store="pt-BR" storeType="OMEX"/>
  <we:alternateReferences>
    <we:reference id="WA104380330" version="1.3.0.1" store="WA104380330" storeType="OMEX"/>
  </we:alternateReferences>
  <we:properties>
    <we:property name="RuntimeConfig" value="{&quot;HostName&quot;:&quot;&quot;,&quot;Applets&quot;:{},&quot;ActiveAppletId&quot;:&quot;&quot;,&quot;Language&quot;:&quot;PT-BR&quot;,&quot;DocumentId&quot;:&quot;423b5c2c-2b06-47f3-891e-9bd33b8cc063&quot;,&quot;DateCreated&quot;:&quot;2025-07-16T20:52:21.682Z&quot;,&quot;GenerationActivityId&quot;:&quot;&quot;}"/>
    <we:property name="Features" value="{&quot;LogDomEvents&quot;:false,&quot;LogTelemetry&quot;:true,&quot;ResourceHeadersRefresh&quot;:true}"/>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18.vml"/><Relationship Id="rId7" Type="http://schemas.openxmlformats.org/officeDocument/2006/relationships/ctrlProp" Target="../ctrlProps/ctrlProp3.x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trlProp" Target="../ctrlProps/ctrlProp2.xml"/><Relationship Id="rId5" Type="http://schemas.openxmlformats.org/officeDocument/2006/relationships/image" Target="../media/image8.emf"/><Relationship Id="rId10" Type="http://schemas.microsoft.com/office/2017/10/relationships/threadedComment" Target="../threadedComments/threadedComment3.xml"/><Relationship Id="rId4" Type="http://schemas.openxmlformats.org/officeDocument/2006/relationships/control" Target="../activeX/activeX1.xml"/><Relationship Id="rId9" Type="http://schemas.openxmlformats.org/officeDocument/2006/relationships/comments" Target="../comments2.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5" Type="http://schemas.microsoft.com/office/2017/10/relationships/threadedComment" Target="../threadedComments/threadedComment4.xml"/><Relationship Id="rId4" Type="http://schemas.openxmlformats.org/officeDocument/2006/relationships/comments" Target="../comments3.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trlProp" Target="../ctrlProps/ctrlProp5.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8"/>
  <dimension ref="A1:E25"/>
  <sheetViews>
    <sheetView workbookViewId="0"/>
  </sheetViews>
  <sheetFormatPr defaultColWidth="0" defaultRowHeight="15.75" zeroHeight="1" x14ac:dyDescent="0.25"/>
  <cols>
    <col min="1" max="1" width="9.140625" style="173" customWidth="1"/>
    <col min="2" max="2" width="40.28515625" style="172" customWidth="1"/>
    <col min="3" max="3" width="73.85546875" style="173" customWidth="1"/>
    <col min="4" max="4" width="11.7109375" style="173" bestFit="1" customWidth="1"/>
    <col min="5" max="5" width="9.140625" style="173" customWidth="1"/>
    <col min="6" max="16384" width="9.140625" style="173" hidden="1"/>
  </cols>
  <sheetData>
    <row r="1" spans="2:3" ht="2.25" customHeight="1" thickBot="1" x14ac:dyDescent="0.3"/>
    <row r="2" spans="2:3" x14ac:dyDescent="0.25">
      <c r="B2" s="779"/>
      <c r="C2" s="780"/>
    </row>
    <row r="3" spans="2:3" x14ac:dyDescent="0.25">
      <c r="B3" s="781"/>
      <c r="C3" s="782"/>
    </row>
    <row r="4" spans="2:3" x14ac:dyDescent="0.25">
      <c r="B4" s="781"/>
      <c r="C4" s="782"/>
    </row>
    <row r="5" spans="2:3" ht="16.5" thickBot="1" x14ac:dyDescent="0.3">
      <c r="B5" s="783"/>
      <c r="C5" s="784"/>
    </row>
    <row r="6" spans="2:3" ht="16.5" thickBot="1" x14ac:dyDescent="0.3">
      <c r="B6" s="785" t="s">
        <v>810</v>
      </c>
      <c r="C6" s="786"/>
    </row>
    <row r="7" spans="2:3" x14ac:dyDescent="0.25">
      <c r="B7" s="587" t="s">
        <v>797</v>
      </c>
      <c r="C7" s="588"/>
    </row>
    <row r="8" spans="2:3" x14ac:dyDescent="0.25">
      <c r="B8" s="584" t="s">
        <v>798</v>
      </c>
      <c r="C8" s="585" t="s">
        <v>1304</v>
      </c>
    </row>
    <row r="9" spans="2:3" x14ac:dyDescent="0.25">
      <c r="B9" s="584" t="s">
        <v>799</v>
      </c>
      <c r="C9" s="585" t="str">
        <f ca="1">RIGHT(OFFSET(DADOS!$I$2,DADOS!$A$7,0,1,1),LEN(OFFSET(DADOS!$I$2,DADOS!$A$7,0,1,1))-24)</f>
        <v>NAVIRAÍ</v>
      </c>
    </row>
    <row r="10" spans="2:3" x14ac:dyDescent="0.25">
      <c r="B10" s="584" t="s">
        <v>1280</v>
      </c>
      <c r="C10" s="585" t="s">
        <v>1306</v>
      </c>
    </row>
    <row r="11" spans="2:3" x14ac:dyDescent="0.25">
      <c r="B11" s="584" t="s">
        <v>1281</v>
      </c>
      <c r="C11" s="585" t="s">
        <v>1305</v>
      </c>
    </row>
    <row r="12" spans="2:3" ht="16.5" thickBot="1" x14ac:dyDescent="0.3">
      <c r="B12" s="586" t="s">
        <v>1296</v>
      </c>
      <c r="C12" s="605">
        <v>360</v>
      </c>
    </row>
    <row r="13" spans="2:3" ht="16.5" thickBot="1" x14ac:dyDescent="0.3">
      <c r="B13" s="789"/>
      <c r="C13" s="790"/>
    </row>
    <row r="14" spans="2:3" ht="16.5" thickBot="1" x14ac:dyDescent="0.3">
      <c r="B14" s="785" t="s">
        <v>807</v>
      </c>
      <c r="C14" s="786"/>
    </row>
    <row r="15" spans="2:3" ht="31.5" x14ac:dyDescent="0.25">
      <c r="B15" s="174" t="s">
        <v>800</v>
      </c>
      <c r="C15" s="177" t="s">
        <v>1354</v>
      </c>
    </row>
    <row r="16" spans="2:3" x14ac:dyDescent="0.25">
      <c r="B16" s="175" t="s">
        <v>801</v>
      </c>
      <c r="C16" s="181" t="e">
        <f>N.BDIS</f>
        <v>#REF!</v>
      </c>
    </row>
    <row r="17" spans="2:5" x14ac:dyDescent="0.25">
      <c r="B17" s="175" t="s">
        <v>802</v>
      </c>
      <c r="C17" s="181" t="e">
        <f>N.BDIM</f>
        <v>#REF!</v>
      </c>
    </row>
    <row r="18" spans="2:5" x14ac:dyDescent="0.25">
      <c r="B18" s="175" t="s">
        <v>803</v>
      </c>
      <c r="C18" s="178" t="s">
        <v>818</v>
      </c>
    </row>
    <row r="19" spans="2:5" x14ac:dyDescent="0.25">
      <c r="B19" s="175" t="s">
        <v>804</v>
      </c>
      <c r="C19" s="178" t="s">
        <v>1403</v>
      </c>
    </row>
    <row r="20" spans="2:5" x14ac:dyDescent="0.25">
      <c r="B20" s="175" t="s">
        <v>805</v>
      </c>
      <c r="C20" s="178" t="s">
        <v>1403</v>
      </c>
    </row>
    <row r="21" spans="2:5" ht="16.5" thickBot="1" x14ac:dyDescent="0.3">
      <c r="B21" s="176" t="s">
        <v>815</v>
      </c>
      <c r="C21" s="179"/>
      <c r="D21" s="173" t="str" cm="1">
        <f t="array" ref="D21">B.A_SICRO</f>
        <v/>
      </c>
      <c r="E21" s="173" t="str" cm="1">
        <f t="array" ref="E21">B.A_SICRO</f>
        <v/>
      </c>
    </row>
    <row r="22" spans="2:5" ht="16.5" thickBot="1" x14ac:dyDescent="0.3">
      <c r="B22" s="787"/>
      <c r="C22" s="788"/>
    </row>
    <row r="23" spans="2:5" ht="16.5" thickBot="1" x14ac:dyDescent="0.3">
      <c r="B23" s="785" t="s">
        <v>806</v>
      </c>
      <c r="C23" s="786"/>
    </row>
    <row r="24" spans="2:5" x14ac:dyDescent="0.25">
      <c r="B24" s="174" t="s">
        <v>808</v>
      </c>
      <c r="C24" s="180" t="s">
        <v>816</v>
      </c>
    </row>
    <row r="25" spans="2:5" ht="16.5" thickBot="1" x14ac:dyDescent="0.3">
      <c r="B25" s="176" t="s">
        <v>809</v>
      </c>
      <c r="C25" s="179" t="s">
        <v>1158</v>
      </c>
    </row>
  </sheetData>
  <mergeCells count="6">
    <mergeCell ref="B2:C5"/>
    <mergeCell ref="B6:C6"/>
    <mergeCell ref="B14:C14"/>
    <mergeCell ref="B23:C23"/>
    <mergeCell ref="B22:C22"/>
    <mergeCell ref="B13:C13"/>
  </mergeCells>
  <pageMargins left="0.511811024" right="0.511811024" top="0.78740157499999996" bottom="0.78740157499999996" header="0.31496062000000002" footer="0.31496062000000002"/>
  <pageSetup paperSize="9" scale="76" orientation="portrait" horizontalDpi="1200" verticalDpi="1200" r:id="rId1"/>
  <colBreaks count="1" manualBreakCount="1">
    <brk id="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Drop Down 1">
              <controlPr locked="0" defaultSize="0" autoLine="0" autoPict="0">
                <anchor moveWithCells="1">
                  <from>
                    <xdr:col>2</xdr:col>
                    <xdr:colOff>9525</xdr:colOff>
                    <xdr:row>6</xdr:row>
                    <xdr:rowOff>19050</xdr:rowOff>
                  </from>
                  <to>
                    <xdr:col>2</xdr:col>
                    <xdr:colOff>4914900</xdr:colOff>
                    <xdr:row>7</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9">
    <tabColor rgb="FF006F71"/>
  </sheetPr>
  <dimension ref="B2:L18"/>
  <sheetViews>
    <sheetView workbookViewId="0"/>
  </sheetViews>
  <sheetFormatPr defaultRowHeight="16.5" x14ac:dyDescent="0.3"/>
  <cols>
    <col min="1" max="1" width="9.140625" style="192"/>
    <col min="2" max="2" width="11.28515625" style="192" customWidth="1"/>
    <col min="3" max="3" width="13.28515625" style="192" customWidth="1"/>
    <col min="4" max="4" width="9.140625" style="192"/>
    <col min="5" max="5" width="6.5703125" style="192" customWidth="1"/>
    <col min="6" max="6" width="18.5703125" style="192" customWidth="1"/>
    <col min="7" max="7" width="29.42578125" style="192" customWidth="1"/>
    <col min="8" max="8" width="18.140625" style="192" customWidth="1"/>
    <col min="9" max="9" width="16.85546875" style="192" bestFit="1" customWidth="1"/>
    <col min="10" max="10" width="16.85546875" style="192" customWidth="1"/>
    <col min="11" max="11" width="11.140625" style="192" bestFit="1" customWidth="1"/>
    <col min="12" max="12" width="9.140625" style="192"/>
    <col min="13" max="23" width="9.140625" style="192" customWidth="1"/>
    <col min="24" max="16384" width="9.140625" style="192"/>
  </cols>
  <sheetData>
    <row r="2" spans="2:12" x14ac:dyDescent="0.3">
      <c r="B2" s="295"/>
      <c r="C2" s="296"/>
      <c r="D2" s="289" t="str">
        <f>N.GOV</f>
        <v>GOVERNO DO ESTADO DE MATO GROSSO DO SUL</v>
      </c>
      <c r="E2" s="296"/>
      <c r="F2" s="296"/>
      <c r="G2" s="296"/>
      <c r="H2" s="296"/>
      <c r="I2" s="296"/>
      <c r="J2" s="296"/>
      <c r="K2" s="297"/>
    </row>
    <row r="3" spans="2:12" x14ac:dyDescent="0.3">
      <c r="B3" s="298"/>
      <c r="D3" s="222" t="str" cm="1">
        <f t="array" aca="1" ref="D3" ca="1">N.PREFEITURA</f>
        <v>PREFEITURA MUNICIPAL DE NAVIRAÍ</v>
      </c>
      <c r="E3" s="299"/>
      <c r="F3" s="299"/>
      <c r="G3" s="299"/>
      <c r="H3" s="299"/>
      <c r="K3" s="300"/>
    </row>
    <row r="4" spans="2:12" x14ac:dyDescent="0.3">
      <c r="B4" s="301"/>
      <c r="C4" s="302"/>
      <c r="D4" s="290" t="str" cm="1">
        <f t="array" aca="1" ref="D4" ca="1">N.SECRETARIA</f>
        <v>SECRETARIA DE PLANEJAMENTO</v>
      </c>
      <c r="E4" s="302"/>
      <c r="F4" s="302"/>
      <c r="G4" s="302"/>
      <c r="H4" s="302"/>
      <c r="I4" s="302"/>
      <c r="J4" s="302"/>
      <c r="K4" s="303"/>
    </row>
    <row r="5" spans="2:12" x14ac:dyDescent="0.3">
      <c r="B5" s="795" t="s">
        <v>1184</v>
      </c>
      <c r="C5" s="796"/>
      <c r="D5" s="796"/>
      <c r="E5" s="796"/>
      <c r="F5" s="796"/>
      <c r="G5" s="796"/>
      <c r="H5" s="796"/>
      <c r="I5" s="796"/>
      <c r="J5" s="796"/>
      <c r="K5" s="797"/>
    </row>
    <row r="6" spans="2:12" x14ac:dyDescent="0.3">
      <c r="B6" s="212" t="s">
        <v>76</v>
      </c>
      <c r="C6" s="548" t="str">
        <f>N.DESCRICAO</f>
        <v>INFRAESTRUTURA URBANA – PAVIMENTAÇÃO ASFÁLTICA, DRENAGEM, E SINALIZAÇÃO VIÁRIA NO ACESSO AO CEMITERIO MUNICIPAL DE NAVIRAÍ/ MS</v>
      </c>
      <c r="D6" s="548"/>
      <c r="E6" s="548"/>
      <c r="F6" s="548"/>
      <c r="G6" s="548"/>
      <c r="H6" s="548"/>
      <c r="I6" s="548"/>
      <c r="J6" s="548"/>
      <c r="K6" s="566"/>
    </row>
    <row r="7" spans="2:12" ht="15" customHeight="1" x14ac:dyDescent="0.3">
      <c r="B7" s="212" t="s">
        <v>77</v>
      </c>
      <c r="C7" s="548" t="str">
        <f ca="1">N.MUNICIPIO</f>
        <v>NAVIRAÍ</v>
      </c>
      <c r="D7" s="548"/>
      <c r="E7" s="548"/>
      <c r="F7" s="548"/>
      <c r="G7" s="548"/>
      <c r="H7" s="548"/>
      <c r="I7" s="548"/>
      <c r="J7" s="548"/>
      <c r="K7" s="566"/>
    </row>
    <row r="8" spans="2:12" ht="15" customHeight="1" x14ac:dyDescent="0.3">
      <c r="B8" s="212" t="s">
        <v>78</v>
      </c>
      <c r="C8" s="548" t="str" cm="1">
        <f t="array" ref="C8">N.LOCAL</f>
        <v>AVENIDA JOÃO RIGONATO</v>
      </c>
      <c r="D8" s="548"/>
      <c r="E8" s="548"/>
      <c r="F8" s="548"/>
      <c r="G8" s="548"/>
      <c r="H8" s="548"/>
      <c r="I8" s="548"/>
      <c r="J8" s="548"/>
      <c r="K8" s="566"/>
    </row>
    <row r="9" spans="2:12" ht="15" customHeight="1" x14ac:dyDescent="0.3">
      <c r="B9" s="212" t="s">
        <v>817</v>
      </c>
      <c r="C9" s="567" t="e">
        <f>N.BDIS</f>
        <v>#REF!</v>
      </c>
      <c r="D9" s="548" t="s">
        <v>776</v>
      </c>
      <c r="E9" s="567" t="e">
        <f>N.BDIM</f>
        <v>#REF!</v>
      </c>
      <c r="F9" s="548"/>
      <c r="G9" s="548"/>
      <c r="H9" s="548"/>
      <c r="I9" s="548"/>
      <c r="J9" s="548"/>
      <c r="K9" s="566"/>
    </row>
    <row r="10" spans="2:12" x14ac:dyDescent="0.3">
      <c r="B10" s="212" t="s">
        <v>813</v>
      </c>
      <c r="C10" s="548" t="str" cm="1">
        <f t="array" ref="C10">N.BASE</f>
        <v>AGESUL(SETEMBRO/2025)/SINAPI(SETEMBRO/2025)</v>
      </c>
      <c r="D10" s="548"/>
      <c r="E10" s="548"/>
      <c r="F10" s="548"/>
      <c r="G10" s="548"/>
      <c r="H10" s="548"/>
      <c r="I10" s="548"/>
      <c r="J10" s="548"/>
      <c r="K10" s="566"/>
    </row>
    <row r="11" spans="2:12" ht="16.5" customHeight="1" x14ac:dyDescent="0.3">
      <c r="B11" s="798" t="s">
        <v>1185</v>
      </c>
      <c r="C11" s="798"/>
      <c r="D11" s="798"/>
      <c r="E11" s="798"/>
      <c r="F11" s="798"/>
      <c r="G11" s="798"/>
      <c r="H11" s="798"/>
      <c r="I11" s="798"/>
      <c r="J11" s="798"/>
      <c r="K11" s="799"/>
    </row>
    <row r="12" spans="2:12" ht="15" customHeight="1" x14ac:dyDescent="0.3">
      <c r="B12" s="471" t="s">
        <v>819</v>
      </c>
      <c r="C12" s="791" t="s">
        <v>931</v>
      </c>
      <c r="D12" s="792"/>
      <c r="E12" s="792"/>
      <c r="F12" s="792"/>
      <c r="G12" s="792"/>
      <c r="H12" s="793"/>
      <c r="I12" s="564" t="s">
        <v>63</v>
      </c>
      <c r="J12" s="564" t="s">
        <v>308</v>
      </c>
      <c r="K12" s="471" t="s">
        <v>125</v>
      </c>
    </row>
    <row r="13" spans="2:12" ht="52.5" customHeight="1" x14ac:dyDescent="0.3">
      <c r="B13" s="568" t="s">
        <v>822</v>
      </c>
      <c r="C13" s="794" t="e">
        <f>VLOOKUP(B13,#REF!,5,0)</f>
        <v>#REF!</v>
      </c>
      <c r="D13" s="794"/>
      <c r="E13" s="794"/>
      <c r="F13" s="794"/>
      <c r="G13" s="794"/>
      <c r="H13" s="794"/>
      <c r="I13" s="569" t="e">
        <f>VLOOKUP(B13,#REF!,12,0)</f>
        <v>#REF!</v>
      </c>
      <c r="J13" s="569" t="e">
        <f>VLOOKUP(B13,#REF!,7,0)</f>
        <v>#REF!</v>
      </c>
      <c r="K13" s="570" t="e">
        <f>VLOOKUP(B13,#REF!,8,0)</f>
        <v>#REF!</v>
      </c>
      <c r="L13" s="304"/>
    </row>
    <row r="14" spans="2:12" ht="47.25" customHeight="1" x14ac:dyDescent="0.3">
      <c r="B14" s="800" t="s">
        <v>1186</v>
      </c>
      <c r="C14" s="801"/>
      <c r="D14" s="801"/>
      <c r="E14" s="801"/>
      <c r="F14" s="801"/>
      <c r="G14" s="801"/>
      <c r="H14" s="801"/>
      <c r="I14" s="801"/>
      <c r="J14" s="801"/>
      <c r="K14" s="802"/>
    </row>
    <row r="15" spans="2:12" x14ac:dyDescent="0.3">
      <c r="B15" s="798" t="s">
        <v>1187</v>
      </c>
      <c r="C15" s="798"/>
      <c r="D15" s="798"/>
      <c r="E15" s="798"/>
      <c r="F15" s="798"/>
      <c r="G15" s="798"/>
      <c r="H15" s="798"/>
      <c r="I15" s="798"/>
      <c r="J15" s="798"/>
      <c r="K15" s="799"/>
    </row>
    <row r="16" spans="2:12" x14ac:dyDescent="0.3">
      <c r="B16" s="471" t="s">
        <v>819</v>
      </c>
      <c r="C16" s="791" t="s">
        <v>931</v>
      </c>
      <c r="D16" s="792"/>
      <c r="E16" s="792"/>
      <c r="F16" s="792"/>
      <c r="G16" s="792"/>
      <c r="H16" s="793"/>
      <c r="I16" s="564" t="s">
        <v>63</v>
      </c>
      <c r="J16" s="564" t="s">
        <v>308</v>
      </c>
      <c r="K16" s="471" t="s">
        <v>125</v>
      </c>
    </row>
    <row r="17" spans="2:11" x14ac:dyDescent="0.3">
      <c r="B17" s="568" t="s">
        <v>1113</v>
      </c>
      <c r="C17" s="794" t="e">
        <f>VLOOKUP(B17,#REF!,5,0)</f>
        <v>#REF!</v>
      </c>
      <c r="D17" s="794"/>
      <c r="E17" s="794"/>
      <c r="F17" s="794"/>
      <c r="G17" s="794"/>
      <c r="H17" s="794"/>
      <c r="I17" s="569" t="e">
        <f>VLOOKUP(B17,#REF!,12,0)</f>
        <v>#REF!</v>
      </c>
      <c r="J17" s="569" t="e">
        <f>VLOOKUP(B17,#REF!,7,0)</f>
        <v>#REF!</v>
      </c>
      <c r="K17" s="570" t="e">
        <f>VLOOKUP(B17,#REF!,8,0)</f>
        <v>#REF!</v>
      </c>
    </row>
    <row r="18" spans="2:11" ht="39.75" customHeight="1" x14ac:dyDescent="0.3">
      <c r="B18" s="568" t="s">
        <v>1114</v>
      </c>
      <c r="C18" s="794" t="e">
        <f>VLOOKUP(B18,#REF!,5,0)</f>
        <v>#REF!</v>
      </c>
      <c r="D18" s="794"/>
      <c r="E18" s="794"/>
      <c r="F18" s="794"/>
      <c r="G18" s="794"/>
      <c r="H18" s="794"/>
      <c r="I18" s="569" t="e">
        <f>VLOOKUP(B18,#REF!,12,0)</f>
        <v>#REF!</v>
      </c>
      <c r="J18" s="569" t="e">
        <f>VLOOKUP(B18,#REF!,7,0)</f>
        <v>#REF!</v>
      </c>
      <c r="K18" s="570" t="e">
        <f>VLOOKUP(B18,#REF!,8,0)</f>
        <v>#REF!</v>
      </c>
    </row>
  </sheetData>
  <mergeCells count="9">
    <mergeCell ref="C16:H16"/>
    <mergeCell ref="C17:H17"/>
    <mergeCell ref="C18:H18"/>
    <mergeCell ref="C13:H13"/>
    <mergeCell ref="B5:K5"/>
    <mergeCell ref="B11:K11"/>
    <mergeCell ref="C12:H12"/>
    <mergeCell ref="B14:K14"/>
    <mergeCell ref="B15:K15"/>
  </mergeCells>
  <pageMargins left="0.511811024" right="0.511811024" top="0.78740157499999996" bottom="0.78740157499999996" header="0.31496062000000002" footer="0.31496062000000002"/>
  <pageSetup paperSize="9" scale="85" orientation="landscape" horizontalDpi="1200" verticalDpi="12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
    <tabColor rgb="FF008080"/>
    <pageSetUpPr fitToPage="1"/>
  </sheetPr>
  <dimension ref="B1:Z39"/>
  <sheetViews>
    <sheetView workbookViewId="0"/>
  </sheetViews>
  <sheetFormatPr defaultRowHeight="15" x14ac:dyDescent="0.25"/>
  <cols>
    <col min="2" max="3" width="16.7109375" customWidth="1"/>
    <col min="4" max="4" width="21.140625" customWidth="1"/>
    <col min="5" max="5" width="52.5703125" customWidth="1"/>
    <col min="6" max="6" width="11.5703125" customWidth="1"/>
    <col min="7" max="7" width="8.85546875" customWidth="1"/>
    <col min="8" max="8" width="14.85546875" customWidth="1"/>
    <col min="9" max="12" width="12.7109375" customWidth="1"/>
    <col min="13" max="13" width="11.5703125" customWidth="1"/>
    <col min="15" max="15" width="12.5703125" customWidth="1"/>
    <col min="16" max="16" width="11.7109375" customWidth="1"/>
    <col min="17" max="17" width="16.7109375" customWidth="1"/>
    <col min="18" max="18" width="9.140625" customWidth="1"/>
    <col min="19" max="19" width="10.5703125" customWidth="1"/>
    <col min="20" max="20" width="11.7109375" customWidth="1"/>
    <col min="21" max="21" width="10.85546875" customWidth="1"/>
    <col min="22" max="22" width="11" customWidth="1"/>
    <col min="23" max="25" width="9.140625" customWidth="1"/>
    <col min="26" max="26" width="41.85546875" customWidth="1"/>
    <col min="27" max="28" width="9.140625" customWidth="1"/>
  </cols>
  <sheetData>
    <row r="1" spans="2:26" ht="16.5" x14ac:dyDescent="0.3">
      <c r="B1" s="825"/>
      <c r="C1" s="826"/>
      <c r="D1" s="289" t="str">
        <f>N.GOV</f>
        <v>GOVERNO DO ESTADO DE MATO GROSSO DO SUL</v>
      </c>
      <c r="E1" s="289"/>
      <c r="F1" s="289"/>
      <c r="G1" s="296"/>
      <c r="H1" s="296"/>
      <c r="I1" s="296"/>
      <c r="J1" s="296"/>
      <c r="K1" s="296"/>
      <c r="L1" s="296"/>
      <c r="M1" s="296"/>
      <c r="N1" s="296"/>
      <c r="O1" s="478"/>
      <c r="P1" s="478"/>
      <c r="Q1" s="479"/>
    </row>
    <row r="2" spans="2:26" ht="16.5" x14ac:dyDescent="0.3">
      <c r="B2" s="827"/>
      <c r="C2" s="828"/>
      <c r="D2" s="222" t="str" cm="1">
        <f t="array" aca="1" ref="D2" ca="1">N.PREFEITURA</f>
        <v>PREFEITURA MUNICIPAL DE NAVIRAÍ</v>
      </c>
      <c r="E2" s="222"/>
      <c r="F2" s="222"/>
      <c r="G2" s="299"/>
      <c r="H2" s="299"/>
      <c r="I2" s="299"/>
      <c r="J2" s="299"/>
      <c r="K2" s="192"/>
      <c r="L2" s="192"/>
      <c r="M2" s="192"/>
      <c r="N2" s="192"/>
      <c r="Q2" s="480"/>
    </row>
    <row r="3" spans="2:26" ht="16.5" x14ac:dyDescent="0.3">
      <c r="B3" s="829"/>
      <c r="C3" s="830"/>
      <c r="D3" s="290" t="str" cm="1">
        <f t="array" aca="1" ref="D3" ca="1">N.SECRETARIA</f>
        <v>SECRETARIA DE PLANEJAMENTO</v>
      </c>
      <c r="E3" s="290"/>
      <c r="F3" s="290"/>
      <c r="G3" s="302"/>
      <c r="H3" s="302"/>
      <c r="I3" s="302"/>
      <c r="J3" s="302"/>
      <c r="K3" s="302"/>
      <c r="L3" s="302"/>
      <c r="M3" s="302"/>
      <c r="N3" s="302"/>
      <c r="O3" s="481"/>
      <c r="P3" s="481"/>
      <c r="Q3" s="482"/>
    </row>
    <row r="4" spans="2:26" ht="16.5" x14ac:dyDescent="0.3">
      <c r="B4" s="831" t="s">
        <v>343</v>
      </c>
      <c r="C4" s="832"/>
      <c r="D4" s="832"/>
      <c r="E4" s="832"/>
      <c r="F4" s="832"/>
      <c r="G4" s="832"/>
      <c r="H4" s="832"/>
      <c r="I4" s="832"/>
      <c r="J4" s="832"/>
      <c r="K4" s="832"/>
      <c r="L4" s="832"/>
      <c r="M4" s="832"/>
      <c r="N4" s="832"/>
      <c r="O4" s="832"/>
      <c r="P4" s="832"/>
      <c r="Q4" s="833"/>
      <c r="R4" s="192"/>
      <c r="S4" s="192"/>
    </row>
    <row r="5" spans="2:26" ht="28.5" customHeight="1" x14ac:dyDescent="0.3">
      <c r="B5" s="212" t="s">
        <v>76</v>
      </c>
      <c r="C5" s="834" t="str">
        <f>N.DESCRICAO</f>
        <v>INFRAESTRUTURA URBANA – PAVIMENTAÇÃO ASFÁLTICA, DRENAGEM, E SINALIZAÇÃO VIÁRIA NO ACESSO AO CEMITERIO MUNICIPAL DE NAVIRAÍ/ MS</v>
      </c>
      <c r="D5" s="834"/>
      <c r="E5" s="834"/>
      <c r="F5" s="834"/>
      <c r="G5" s="834"/>
      <c r="H5" s="834"/>
      <c r="I5" s="834"/>
      <c r="J5" s="834"/>
      <c r="K5" s="834"/>
      <c r="L5" s="834"/>
      <c r="M5" s="834"/>
      <c r="N5" s="834"/>
      <c r="O5" s="835" t="s">
        <v>305</v>
      </c>
      <c r="P5" s="836"/>
      <c r="Q5" s="837"/>
      <c r="R5" s="192"/>
      <c r="S5" s="192"/>
    </row>
    <row r="6" spans="2:26" ht="16.5" x14ac:dyDescent="0.3">
      <c r="B6" s="212" t="s">
        <v>77</v>
      </c>
      <c r="C6" s="834" t="str">
        <f ca="1">N.MUNICIPIO</f>
        <v>NAVIRAÍ</v>
      </c>
      <c r="D6" s="834"/>
      <c r="E6" s="834"/>
      <c r="F6" s="834"/>
      <c r="G6" s="834"/>
      <c r="H6" s="834"/>
      <c r="I6" s="834"/>
      <c r="J6" s="834"/>
      <c r="K6" s="834"/>
      <c r="L6" s="834"/>
      <c r="M6" s="834"/>
      <c r="N6" s="834"/>
      <c r="O6" s="815" t="s">
        <v>855</v>
      </c>
      <c r="P6" s="816"/>
      <c r="Q6" s="817"/>
      <c r="R6" s="192"/>
      <c r="S6" s="192"/>
    </row>
    <row r="7" spans="2:26" ht="16.5" x14ac:dyDescent="0.3">
      <c r="B7" s="212" t="s">
        <v>78</v>
      </c>
      <c r="C7" s="807" t="str" cm="1">
        <f t="array" ref="C7">N.LOCAL</f>
        <v>AVENIDA JOÃO RIGONATO</v>
      </c>
      <c r="D7" s="807"/>
      <c r="E7" s="807"/>
      <c r="F7" s="807"/>
      <c r="G7" s="807"/>
      <c r="H7" s="807"/>
      <c r="I7" s="807"/>
      <c r="J7" s="807"/>
      <c r="K7" s="807"/>
      <c r="L7" s="807"/>
      <c r="M7" s="807"/>
      <c r="N7" s="807"/>
      <c r="O7" s="815" t="str">
        <f>N.Engenheiro</f>
        <v>FÁBIO MARQUES RIBEIRO</v>
      </c>
      <c r="P7" s="816"/>
      <c r="Q7" s="817"/>
      <c r="R7" s="192"/>
      <c r="S7" s="192"/>
    </row>
    <row r="8" spans="2:26" ht="16.5" x14ac:dyDescent="0.3">
      <c r="B8" s="212" t="s">
        <v>813</v>
      </c>
      <c r="C8" s="818" t="str" cm="1">
        <f t="array" ref="C8">N.BASE</f>
        <v>AGESUL(SETEMBRO/2025)/SINAPI(SETEMBRO/2025)</v>
      </c>
      <c r="D8" s="818"/>
      <c r="E8" s="818"/>
      <c r="F8" s="818"/>
      <c r="G8" s="818"/>
      <c r="H8" s="818"/>
      <c r="I8" s="818"/>
      <c r="J8" s="818"/>
      <c r="K8" s="818"/>
      <c r="L8" s="818"/>
      <c r="M8" s="818"/>
      <c r="N8" s="818"/>
      <c r="O8" s="819" t="str">
        <f>N.CREA</f>
        <v>ENGENHEIRO CIVIL - 15.276 D/MS</v>
      </c>
      <c r="P8" s="820"/>
      <c r="Q8" s="821"/>
      <c r="R8" s="192"/>
      <c r="S8" s="192"/>
    </row>
    <row r="9" spans="2:26" ht="16.5" x14ac:dyDescent="0.3">
      <c r="B9" s="483"/>
      <c r="C9" s="483"/>
      <c r="D9" s="483"/>
      <c r="E9" s="484"/>
      <c r="F9" s="183"/>
      <c r="G9" s="183"/>
      <c r="H9" s="485"/>
      <c r="I9" s="171"/>
      <c r="J9" s="171"/>
      <c r="K9" s="171"/>
      <c r="L9" s="171"/>
      <c r="M9" s="192"/>
      <c r="N9" s="192"/>
      <c r="O9" s="192"/>
      <c r="P9" s="192"/>
      <c r="Q9" s="192"/>
      <c r="R9" s="192"/>
      <c r="S9" s="192"/>
    </row>
    <row r="10" spans="2:26" ht="16.5" x14ac:dyDescent="0.3">
      <c r="B10" s="474" t="s">
        <v>1076</v>
      </c>
      <c r="C10" s="513" t="s">
        <v>343</v>
      </c>
      <c r="D10" s="513"/>
      <c r="E10" s="513"/>
      <c r="F10" s="513"/>
      <c r="G10" s="513"/>
      <c r="H10" s="513"/>
      <c r="I10" s="513"/>
      <c r="J10" s="513"/>
      <c r="K10" s="513"/>
      <c r="L10" s="513"/>
      <c r="M10" s="513"/>
      <c r="N10" s="513"/>
      <c r="O10" s="513"/>
      <c r="P10" s="513"/>
      <c r="Q10" s="471" t="s">
        <v>256</v>
      </c>
      <c r="R10" s="192"/>
      <c r="S10" s="192"/>
    </row>
    <row r="11" spans="2:26" ht="15" customHeight="1" x14ac:dyDescent="0.3">
      <c r="B11" s="822" t="s">
        <v>306</v>
      </c>
      <c r="C11" s="822" t="s">
        <v>858</v>
      </c>
      <c r="D11" s="822" t="s">
        <v>264</v>
      </c>
      <c r="E11" s="823" t="s">
        <v>124</v>
      </c>
      <c r="F11" s="813" t="s">
        <v>344</v>
      </c>
      <c r="G11" s="813"/>
      <c r="H11" s="813" t="s">
        <v>79</v>
      </c>
      <c r="I11" s="813"/>
      <c r="J11" s="814" t="s">
        <v>345</v>
      </c>
      <c r="K11" s="814" t="s">
        <v>346</v>
      </c>
      <c r="L11" s="814" t="s">
        <v>1077</v>
      </c>
      <c r="M11" s="814" t="s">
        <v>347</v>
      </c>
      <c r="N11" s="814" t="s">
        <v>125</v>
      </c>
      <c r="O11" s="824" t="s">
        <v>348</v>
      </c>
      <c r="P11" s="824"/>
      <c r="Q11" s="824"/>
      <c r="R11" s="192"/>
      <c r="S11" s="192"/>
      <c r="W11" s="489" t="s">
        <v>1078</v>
      </c>
      <c r="X11" s="489"/>
      <c r="Y11" s="489"/>
      <c r="Z11" s="489"/>
    </row>
    <row r="12" spans="2:26" ht="59.25" customHeight="1" x14ac:dyDescent="0.3">
      <c r="B12" s="822"/>
      <c r="C12" s="822"/>
      <c r="D12" s="822"/>
      <c r="E12" s="823"/>
      <c r="F12" s="490" t="s">
        <v>349</v>
      </c>
      <c r="G12" s="490" t="s">
        <v>350</v>
      </c>
      <c r="H12" s="490" t="s">
        <v>351</v>
      </c>
      <c r="I12" s="490" t="s">
        <v>352</v>
      </c>
      <c r="J12" s="814"/>
      <c r="K12" s="814"/>
      <c r="L12" s="814"/>
      <c r="M12" s="814"/>
      <c r="N12" s="814"/>
      <c r="O12" s="488" t="s">
        <v>353</v>
      </c>
      <c r="P12" s="488" t="s">
        <v>354</v>
      </c>
      <c r="Q12" s="487" t="s">
        <v>355</v>
      </c>
      <c r="R12" s="192"/>
      <c r="S12" s="192"/>
      <c r="W12" s="486" t="s">
        <v>1079</v>
      </c>
      <c r="X12" s="486" t="s">
        <v>1080</v>
      </c>
      <c r="Y12" s="486" t="s">
        <v>1081</v>
      </c>
      <c r="Z12" s="486" t="s">
        <v>1082</v>
      </c>
    </row>
    <row r="13" spans="2:26" ht="97.5" customHeight="1" x14ac:dyDescent="0.3">
      <c r="B13" s="491">
        <v>3363</v>
      </c>
      <c r="C13" s="491" t="s">
        <v>309</v>
      </c>
      <c r="D13" s="491" t="s">
        <v>861</v>
      </c>
      <c r="E13" s="492" t="s">
        <v>1129</v>
      </c>
      <c r="F13" s="491" t="s">
        <v>356</v>
      </c>
      <c r="G13" s="493">
        <v>1</v>
      </c>
      <c r="H13" s="494">
        <f t="shared" ref="H13:H36" si="0">$F$39</f>
        <v>366.4</v>
      </c>
      <c r="I13" s="495">
        <v>0</v>
      </c>
      <c r="J13" s="495">
        <v>80</v>
      </c>
      <c r="K13" s="495">
        <v>30</v>
      </c>
      <c r="L13" s="496">
        <v>2</v>
      </c>
      <c r="M13" s="496">
        <f>(H13/J13+I13/K13)*L13</f>
        <v>9.16</v>
      </c>
      <c r="N13" s="497">
        <v>1</v>
      </c>
      <c r="O13" s="498">
        <f>S13</f>
        <v>397.79969999999997</v>
      </c>
      <c r="P13" s="499">
        <v>0</v>
      </c>
      <c r="Q13" s="500">
        <f>((H13*L13*'MOBIL-DESMOB'!G13)/J13)*O13</f>
        <v>3643.8452519999996</v>
      </c>
      <c r="R13" s="192"/>
      <c r="S13" s="192">
        <v>397.79969999999997</v>
      </c>
      <c r="T13" t="e">
        <v>#REF!</v>
      </c>
      <c r="V13" s="192"/>
      <c r="W13" s="501" t="s">
        <v>356</v>
      </c>
      <c r="X13" s="501">
        <f>SUMIFS($Q$13:$Q$36,$F$13:$F$36,W13)</f>
        <v>61945.369283999993</v>
      </c>
      <c r="Y13" s="501" t="e">
        <f>VLOOKUP(W13,$F$13:$T$36,15,0)</f>
        <v>#REF!</v>
      </c>
      <c r="Z13" s="501" t="e">
        <f>X13/Y13</f>
        <v>#REF!</v>
      </c>
    </row>
    <row r="14" spans="2:26" ht="68.25" customHeight="1" x14ac:dyDescent="0.3">
      <c r="B14" s="491">
        <v>4090</v>
      </c>
      <c r="C14" s="491" t="s">
        <v>309</v>
      </c>
      <c r="D14" s="491" t="s">
        <v>861</v>
      </c>
      <c r="E14" s="492" t="s">
        <v>1130</v>
      </c>
      <c r="F14" s="491" t="s">
        <v>356</v>
      </c>
      <c r="G14" s="493">
        <v>1</v>
      </c>
      <c r="H14" s="494">
        <f t="shared" si="0"/>
        <v>366.4</v>
      </c>
      <c r="I14" s="495">
        <v>0</v>
      </c>
      <c r="J14" s="495">
        <v>80</v>
      </c>
      <c r="K14" s="495">
        <v>30</v>
      </c>
      <c r="L14" s="496">
        <v>2</v>
      </c>
      <c r="M14" s="496">
        <f t="shared" ref="M14:M24" si="1">(H14/J14+I14/K14)*L14</f>
        <v>9.16</v>
      </c>
      <c r="N14" s="497">
        <v>1</v>
      </c>
      <c r="O14" s="498">
        <f t="shared" ref="O14:O27" si="2">S14</f>
        <v>397.79969999999997</v>
      </c>
      <c r="P14" s="499">
        <v>0</v>
      </c>
      <c r="Q14" s="500">
        <f t="shared" ref="Q14:Q27" si="3">((H14*L14*G14)/J14)*O14</f>
        <v>3643.8452519999996</v>
      </c>
      <c r="R14" s="192"/>
      <c r="S14" s="192">
        <v>397.79969999999997</v>
      </c>
      <c r="T14" t="e">
        <v>#REF!</v>
      </c>
      <c r="W14" s="501">
        <v>83362</v>
      </c>
      <c r="X14" s="501">
        <f>SUMIFS($Q$13:$Q$36,$F$13:$F$36,W14)</f>
        <v>2371.4323999999997</v>
      </c>
      <c r="Y14" s="501" t="e">
        <f>VLOOKUP(W14,$F$13:$T$36,15,0)</f>
        <v>#REF!</v>
      </c>
      <c r="Z14" s="501" t="e">
        <f>X14/Y14</f>
        <v>#REF!</v>
      </c>
    </row>
    <row r="15" spans="2:26" ht="68.25" customHeight="1" x14ac:dyDescent="0.3">
      <c r="B15" s="491">
        <v>4262</v>
      </c>
      <c r="C15" s="491" t="s">
        <v>309</v>
      </c>
      <c r="D15" s="491" t="s">
        <v>861</v>
      </c>
      <c r="E15" s="492" t="s">
        <v>1131</v>
      </c>
      <c r="F15" s="491" t="s">
        <v>356</v>
      </c>
      <c r="G15" s="493">
        <v>1</v>
      </c>
      <c r="H15" s="494">
        <f t="shared" si="0"/>
        <v>366.4</v>
      </c>
      <c r="I15" s="495">
        <v>0</v>
      </c>
      <c r="J15" s="495">
        <v>80</v>
      </c>
      <c r="K15" s="495">
        <v>30</v>
      </c>
      <c r="L15" s="496">
        <v>2</v>
      </c>
      <c r="M15" s="496">
        <f t="shared" si="1"/>
        <v>9.16</v>
      </c>
      <c r="N15" s="497">
        <v>1</v>
      </c>
      <c r="O15" s="498">
        <f t="shared" si="2"/>
        <v>397.79969999999997</v>
      </c>
      <c r="P15" s="499">
        <v>0</v>
      </c>
      <c r="Q15" s="500">
        <f t="shared" si="3"/>
        <v>3643.8452519999996</v>
      </c>
      <c r="R15" s="192"/>
      <c r="S15" s="192">
        <v>397.79969999999997</v>
      </c>
      <c r="T15" t="e">
        <v>#REF!</v>
      </c>
      <c r="W15" s="501" t="s">
        <v>357</v>
      </c>
      <c r="X15" s="501">
        <f>SUMIFS($Q$13:$Q$36,$F$13:$F$36,W15)</f>
        <v>2937.1393439999997</v>
      </c>
      <c r="Y15" s="501" t="e">
        <f>VLOOKUP(W15,$F$13:$T$36,15,0)</f>
        <v>#REF!</v>
      </c>
      <c r="Z15" s="501" t="e">
        <f>X15/Y15</f>
        <v>#REF!</v>
      </c>
    </row>
    <row r="16" spans="2:26" ht="68.25" customHeight="1" x14ac:dyDescent="0.3">
      <c r="B16" s="491">
        <v>7622</v>
      </c>
      <c r="C16" s="491" t="s">
        <v>309</v>
      </c>
      <c r="D16" s="491" t="s">
        <v>861</v>
      </c>
      <c r="E16" s="492" t="s">
        <v>1132</v>
      </c>
      <c r="F16" s="491" t="s">
        <v>356</v>
      </c>
      <c r="G16" s="493">
        <v>1</v>
      </c>
      <c r="H16" s="494">
        <f t="shared" si="0"/>
        <v>366.4</v>
      </c>
      <c r="I16" s="495">
        <v>0</v>
      </c>
      <c r="J16" s="495">
        <v>80</v>
      </c>
      <c r="K16" s="495">
        <v>30</v>
      </c>
      <c r="L16" s="496">
        <v>2</v>
      </c>
      <c r="M16" s="496">
        <f t="shared" si="1"/>
        <v>9.16</v>
      </c>
      <c r="N16" s="497">
        <v>1</v>
      </c>
      <c r="O16" s="498">
        <f t="shared" si="2"/>
        <v>397.79969999999997</v>
      </c>
      <c r="P16" s="499">
        <v>0</v>
      </c>
      <c r="Q16" s="500">
        <f t="shared" si="3"/>
        <v>3643.8452519999996</v>
      </c>
      <c r="R16" s="192"/>
      <c r="S16" s="192">
        <v>397.79969999999997</v>
      </c>
      <c r="T16" t="e">
        <v>#REF!</v>
      </c>
      <c r="W16" s="501" t="s">
        <v>358</v>
      </c>
      <c r="X16" s="501">
        <f>SUMIFS($Q$13:$Q$36,$F$13:$F$36,W16)</f>
        <v>1319.55754</v>
      </c>
      <c r="Y16" s="501" t="e">
        <f>VLOOKUP(W16,$F$13:$T$36,15,0)</f>
        <v>#REF!</v>
      </c>
      <c r="Z16" s="501" t="e">
        <f>X16/Y16</f>
        <v>#REF!</v>
      </c>
    </row>
    <row r="17" spans="2:26" ht="68.25" customHeight="1" x14ac:dyDescent="0.3">
      <c r="B17" s="491">
        <v>7640</v>
      </c>
      <c r="C17" s="491" t="s">
        <v>309</v>
      </c>
      <c r="D17" s="491" t="s">
        <v>861</v>
      </c>
      <c r="E17" s="492" t="s">
        <v>1133</v>
      </c>
      <c r="F17" s="491" t="s">
        <v>356</v>
      </c>
      <c r="G17" s="493">
        <v>0.5</v>
      </c>
      <c r="H17" s="494">
        <f t="shared" si="0"/>
        <v>366.4</v>
      </c>
      <c r="I17" s="495">
        <v>0</v>
      </c>
      <c r="J17" s="495">
        <v>80</v>
      </c>
      <c r="K17" s="495">
        <v>30</v>
      </c>
      <c r="L17" s="496">
        <v>2</v>
      </c>
      <c r="M17" s="496">
        <f t="shared" si="1"/>
        <v>9.16</v>
      </c>
      <c r="N17" s="497">
        <v>1</v>
      </c>
      <c r="O17" s="498">
        <f t="shared" si="2"/>
        <v>397.79969999999997</v>
      </c>
      <c r="P17" s="499">
        <v>0</v>
      </c>
      <c r="Q17" s="500">
        <f t="shared" si="3"/>
        <v>1821.9226259999998</v>
      </c>
      <c r="R17" s="192"/>
      <c r="S17" s="192">
        <v>397.79969999999997</v>
      </c>
      <c r="T17" t="e">
        <v>#REF!</v>
      </c>
      <c r="W17" s="501" t="s">
        <v>359</v>
      </c>
      <c r="X17" s="501">
        <f>SUMIFS($Q$13:$Q$36,$F$13:$F$36,W17)</f>
        <v>2788.0585120000001</v>
      </c>
      <c r="Y17" s="501" t="e">
        <f>VLOOKUP(W17,$F$13:$T$36,15,0)</f>
        <v>#REF!</v>
      </c>
      <c r="Z17" s="501" t="e">
        <f>X17/Y17</f>
        <v>#REF!</v>
      </c>
    </row>
    <row r="18" spans="2:26" ht="68.25" customHeight="1" x14ac:dyDescent="0.3">
      <c r="B18" s="491">
        <v>10535</v>
      </c>
      <c r="C18" s="491" t="s">
        <v>309</v>
      </c>
      <c r="D18" s="491" t="s">
        <v>861</v>
      </c>
      <c r="E18" s="492" t="s">
        <v>1134</v>
      </c>
      <c r="F18" s="491" t="s">
        <v>356</v>
      </c>
      <c r="G18" s="493">
        <v>0.5</v>
      </c>
      <c r="H18" s="494">
        <f t="shared" si="0"/>
        <v>366.4</v>
      </c>
      <c r="I18" s="495">
        <v>0</v>
      </c>
      <c r="J18" s="495">
        <v>80</v>
      </c>
      <c r="K18" s="495">
        <v>30</v>
      </c>
      <c r="L18" s="496">
        <v>2</v>
      </c>
      <c r="M18" s="496">
        <f t="shared" si="1"/>
        <v>9.16</v>
      </c>
      <c r="N18" s="497">
        <v>1</v>
      </c>
      <c r="O18" s="498">
        <f t="shared" si="2"/>
        <v>397.79969999999997</v>
      </c>
      <c r="P18" s="499">
        <v>0</v>
      </c>
      <c r="Q18" s="500">
        <f t="shared" si="3"/>
        <v>1821.9226259999998</v>
      </c>
      <c r="R18" s="192"/>
      <c r="S18" s="192">
        <v>397.79969999999997</v>
      </c>
      <c r="T18" t="e">
        <v>#REF!</v>
      </c>
    </row>
    <row r="19" spans="2:26" ht="68.25" customHeight="1" x14ac:dyDescent="0.3">
      <c r="B19" s="491">
        <v>10646</v>
      </c>
      <c r="C19" s="491" t="s">
        <v>309</v>
      </c>
      <c r="D19" s="491" t="s">
        <v>861</v>
      </c>
      <c r="E19" s="492" t="s">
        <v>1135</v>
      </c>
      <c r="F19" s="491" t="s">
        <v>356</v>
      </c>
      <c r="G19" s="493">
        <v>0.5</v>
      </c>
      <c r="H19" s="494">
        <f t="shared" si="0"/>
        <v>366.4</v>
      </c>
      <c r="I19" s="495">
        <v>0</v>
      </c>
      <c r="J19" s="495">
        <v>80</v>
      </c>
      <c r="K19" s="495">
        <v>30</v>
      </c>
      <c r="L19" s="496">
        <v>2</v>
      </c>
      <c r="M19" s="496">
        <f t="shared" si="1"/>
        <v>9.16</v>
      </c>
      <c r="N19" s="497">
        <v>1</v>
      </c>
      <c r="O19" s="498">
        <f t="shared" si="2"/>
        <v>397.79969999999997</v>
      </c>
      <c r="P19" s="499">
        <v>0</v>
      </c>
      <c r="Q19" s="500">
        <f t="shared" si="3"/>
        <v>1821.9226259999998</v>
      </c>
      <c r="R19" s="192"/>
      <c r="S19" s="192">
        <v>397.79969999999997</v>
      </c>
      <c r="T19" t="e">
        <v>#REF!</v>
      </c>
    </row>
    <row r="20" spans="2:26" ht="68.25" customHeight="1" x14ac:dyDescent="0.3">
      <c r="B20" s="491">
        <v>10685</v>
      </c>
      <c r="C20" s="491" t="s">
        <v>309</v>
      </c>
      <c r="D20" s="491" t="s">
        <v>861</v>
      </c>
      <c r="E20" s="492" t="s">
        <v>1136</v>
      </c>
      <c r="F20" s="491" t="s">
        <v>356</v>
      </c>
      <c r="G20" s="493">
        <v>1</v>
      </c>
      <c r="H20" s="494">
        <f t="shared" si="0"/>
        <v>366.4</v>
      </c>
      <c r="I20" s="495">
        <v>0</v>
      </c>
      <c r="J20" s="495">
        <v>80</v>
      </c>
      <c r="K20" s="495">
        <v>30</v>
      </c>
      <c r="L20" s="496">
        <v>2</v>
      </c>
      <c r="M20" s="496">
        <f t="shared" si="1"/>
        <v>9.16</v>
      </c>
      <c r="N20" s="497">
        <v>1</v>
      </c>
      <c r="O20" s="498">
        <f t="shared" si="2"/>
        <v>397.79969999999997</v>
      </c>
      <c r="P20" s="499">
        <v>0</v>
      </c>
      <c r="Q20" s="500">
        <f t="shared" si="3"/>
        <v>3643.8452519999996</v>
      </c>
      <c r="R20" s="192"/>
      <c r="S20" s="192">
        <v>397.79969999999997</v>
      </c>
      <c r="T20" t="e">
        <v>#REF!</v>
      </c>
    </row>
    <row r="21" spans="2:26" ht="68.25" customHeight="1" x14ac:dyDescent="0.3">
      <c r="B21" s="491">
        <v>13458</v>
      </c>
      <c r="C21" s="491" t="s">
        <v>309</v>
      </c>
      <c r="D21" s="491" t="s">
        <v>861</v>
      </c>
      <c r="E21" s="492" t="s">
        <v>1137</v>
      </c>
      <c r="F21" s="491" t="s">
        <v>356</v>
      </c>
      <c r="G21" s="493">
        <v>1</v>
      </c>
      <c r="H21" s="494">
        <f t="shared" si="0"/>
        <v>366.4</v>
      </c>
      <c r="I21" s="495">
        <v>0</v>
      </c>
      <c r="J21" s="495">
        <v>80</v>
      </c>
      <c r="K21" s="495">
        <v>30</v>
      </c>
      <c r="L21" s="496">
        <v>2</v>
      </c>
      <c r="M21" s="496">
        <f t="shared" si="1"/>
        <v>9.16</v>
      </c>
      <c r="N21" s="497">
        <v>1</v>
      </c>
      <c r="O21" s="498">
        <f t="shared" si="2"/>
        <v>397.79969999999997</v>
      </c>
      <c r="P21" s="499">
        <v>0</v>
      </c>
      <c r="Q21" s="500">
        <f t="shared" si="3"/>
        <v>3643.8452519999996</v>
      </c>
      <c r="R21" s="192"/>
      <c r="S21" s="192">
        <v>397.79969999999997</v>
      </c>
      <c r="T21" t="e">
        <v>#REF!</v>
      </c>
    </row>
    <row r="22" spans="2:26" ht="68.25" customHeight="1" x14ac:dyDescent="0.3">
      <c r="B22" s="491">
        <v>13726</v>
      </c>
      <c r="C22" s="491" t="s">
        <v>309</v>
      </c>
      <c r="D22" s="491" t="s">
        <v>861</v>
      </c>
      <c r="E22" s="492" t="s">
        <v>1138</v>
      </c>
      <c r="F22" s="491" t="s">
        <v>356</v>
      </c>
      <c r="G22" s="493">
        <v>1</v>
      </c>
      <c r="H22" s="494">
        <f t="shared" si="0"/>
        <v>366.4</v>
      </c>
      <c r="I22" s="495">
        <v>0</v>
      </c>
      <c r="J22" s="495">
        <v>80</v>
      </c>
      <c r="K22" s="495">
        <v>30</v>
      </c>
      <c r="L22" s="496">
        <v>2</v>
      </c>
      <c r="M22" s="496">
        <f t="shared" si="1"/>
        <v>9.16</v>
      </c>
      <c r="N22" s="497">
        <v>1</v>
      </c>
      <c r="O22" s="498">
        <f t="shared" si="2"/>
        <v>397.79969999999997</v>
      </c>
      <c r="P22" s="499">
        <v>0</v>
      </c>
      <c r="Q22" s="500">
        <f t="shared" si="3"/>
        <v>3643.8452519999996</v>
      </c>
      <c r="R22" s="192"/>
      <c r="S22" s="192">
        <v>397.79969999999997</v>
      </c>
      <c r="T22" t="e">
        <v>#REF!</v>
      </c>
    </row>
    <row r="23" spans="2:26" ht="68.25" customHeight="1" x14ac:dyDescent="0.3">
      <c r="B23" s="491">
        <v>13836</v>
      </c>
      <c r="C23" s="491" t="s">
        <v>309</v>
      </c>
      <c r="D23" s="491" t="s">
        <v>861</v>
      </c>
      <c r="E23" s="492" t="s">
        <v>1139</v>
      </c>
      <c r="F23" s="491" t="s">
        <v>356</v>
      </c>
      <c r="G23" s="493">
        <v>1</v>
      </c>
      <c r="H23" s="494">
        <f t="shared" si="0"/>
        <v>366.4</v>
      </c>
      <c r="I23" s="495">
        <v>0</v>
      </c>
      <c r="J23" s="495">
        <v>80</v>
      </c>
      <c r="K23" s="495">
        <v>30</v>
      </c>
      <c r="L23" s="496">
        <v>2</v>
      </c>
      <c r="M23" s="496">
        <f t="shared" si="1"/>
        <v>9.16</v>
      </c>
      <c r="N23" s="497">
        <v>1</v>
      </c>
      <c r="O23" s="498">
        <f t="shared" si="2"/>
        <v>397.79969999999997</v>
      </c>
      <c r="P23" s="499">
        <v>0</v>
      </c>
      <c r="Q23" s="500">
        <f t="shared" si="3"/>
        <v>3643.8452519999996</v>
      </c>
      <c r="R23" s="192"/>
      <c r="S23" s="192">
        <v>397.79969999999997</v>
      </c>
      <c r="T23" t="e">
        <v>#REF!</v>
      </c>
    </row>
    <row r="24" spans="2:26" ht="68.25" customHeight="1" x14ac:dyDescent="0.3">
      <c r="B24" s="491">
        <v>14511</v>
      </c>
      <c r="C24" s="491" t="s">
        <v>309</v>
      </c>
      <c r="D24" s="491" t="s">
        <v>861</v>
      </c>
      <c r="E24" s="492" t="s">
        <v>1140</v>
      </c>
      <c r="F24" s="491" t="s">
        <v>356</v>
      </c>
      <c r="G24" s="493">
        <v>1</v>
      </c>
      <c r="H24" s="494">
        <f t="shared" si="0"/>
        <v>366.4</v>
      </c>
      <c r="I24" s="495">
        <v>0</v>
      </c>
      <c r="J24" s="495">
        <v>80</v>
      </c>
      <c r="K24" s="495">
        <v>30</v>
      </c>
      <c r="L24" s="496">
        <v>2</v>
      </c>
      <c r="M24" s="496">
        <f t="shared" si="1"/>
        <v>9.16</v>
      </c>
      <c r="N24" s="498">
        <v>1</v>
      </c>
      <c r="O24" s="498">
        <f t="shared" si="2"/>
        <v>397.79969999999997</v>
      </c>
      <c r="P24" s="499">
        <v>0</v>
      </c>
      <c r="Q24" s="500">
        <f t="shared" si="3"/>
        <v>3643.8452519999996</v>
      </c>
      <c r="R24" s="192"/>
      <c r="S24" s="192">
        <v>397.79969999999997</v>
      </c>
      <c r="T24" t="e">
        <v>#REF!</v>
      </c>
    </row>
    <row r="25" spans="2:26" ht="68.25" customHeight="1" x14ac:dyDescent="0.3">
      <c r="B25" s="491">
        <v>14525</v>
      </c>
      <c r="C25" s="491" t="s">
        <v>309</v>
      </c>
      <c r="D25" s="491" t="s">
        <v>861</v>
      </c>
      <c r="E25" s="492" t="s">
        <v>1141</v>
      </c>
      <c r="F25" s="491" t="s">
        <v>356</v>
      </c>
      <c r="G25" s="493">
        <v>1</v>
      </c>
      <c r="H25" s="494">
        <f t="shared" si="0"/>
        <v>366.4</v>
      </c>
      <c r="I25" s="495">
        <v>0</v>
      </c>
      <c r="J25" s="495">
        <v>80</v>
      </c>
      <c r="K25" s="495">
        <v>30</v>
      </c>
      <c r="L25" s="496">
        <v>2</v>
      </c>
      <c r="M25" s="496">
        <f>(H25/J25+I25/K25)*L25</f>
        <v>9.16</v>
      </c>
      <c r="N25" s="497">
        <v>1</v>
      </c>
      <c r="O25" s="498">
        <f t="shared" si="2"/>
        <v>397.79969999999997</v>
      </c>
      <c r="P25" s="499">
        <v>0</v>
      </c>
      <c r="Q25" s="500">
        <f t="shared" si="3"/>
        <v>3643.8452519999996</v>
      </c>
      <c r="R25" s="192"/>
      <c r="S25" s="192">
        <v>397.79969999999997</v>
      </c>
      <c r="T25" t="e">
        <v>#REF!</v>
      </c>
    </row>
    <row r="26" spans="2:26" ht="68.25" customHeight="1" x14ac:dyDescent="0.3">
      <c r="B26" s="491">
        <v>14626</v>
      </c>
      <c r="C26" s="491" t="s">
        <v>309</v>
      </c>
      <c r="D26" s="491" t="s">
        <v>861</v>
      </c>
      <c r="E26" s="492" t="s">
        <v>1142</v>
      </c>
      <c r="F26" s="491" t="s">
        <v>356</v>
      </c>
      <c r="G26" s="493">
        <v>1</v>
      </c>
      <c r="H26" s="494">
        <f t="shared" si="0"/>
        <v>366.4</v>
      </c>
      <c r="I26" s="495">
        <v>0</v>
      </c>
      <c r="J26" s="495">
        <v>80</v>
      </c>
      <c r="K26" s="495">
        <v>30</v>
      </c>
      <c r="L26" s="496">
        <v>2</v>
      </c>
      <c r="M26" s="496">
        <f>(H26/J26+I26/K26)*L26</f>
        <v>9.16</v>
      </c>
      <c r="N26" s="497">
        <v>1</v>
      </c>
      <c r="O26" s="498">
        <f t="shared" si="2"/>
        <v>397.79969999999997</v>
      </c>
      <c r="P26" s="499">
        <v>0</v>
      </c>
      <c r="Q26" s="500">
        <f t="shared" si="3"/>
        <v>3643.8452519999996</v>
      </c>
      <c r="R26" s="192"/>
      <c r="S26" s="192">
        <v>397.79969999999997</v>
      </c>
      <c r="T26" t="e">
        <v>#REF!</v>
      </c>
    </row>
    <row r="27" spans="2:26" ht="97.5" customHeight="1" x14ac:dyDescent="0.3">
      <c r="B27" s="491">
        <v>36531</v>
      </c>
      <c r="C27" s="491" t="s">
        <v>309</v>
      </c>
      <c r="D27" s="491" t="s">
        <v>861</v>
      </c>
      <c r="E27" s="492" t="s">
        <v>1143</v>
      </c>
      <c r="F27" s="491" t="s">
        <v>356</v>
      </c>
      <c r="G27" s="493">
        <v>1</v>
      </c>
      <c r="H27" s="494">
        <f t="shared" si="0"/>
        <v>366.4</v>
      </c>
      <c r="I27" s="495">
        <v>0</v>
      </c>
      <c r="J27" s="495">
        <v>80</v>
      </c>
      <c r="K27" s="495">
        <v>30</v>
      </c>
      <c r="L27" s="496">
        <v>2</v>
      </c>
      <c r="M27" s="496">
        <f>(H27/J27+I27/K27)*L27</f>
        <v>9.16</v>
      </c>
      <c r="N27" s="497">
        <v>1</v>
      </c>
      <c r="O27" s="498">
        <f t="shared" si="2"/>
        <v>397.79969999999997</v>
      </c>
      <c r="P27" s="499">
        <v>0</v>
      </c>
      <c r="Q27" s="500">
        <f t="shared" si="3"/>
        <v>3643.8452519999996</v>
      </c>
      <c r="R27" s="192"/>
      <c r="S27" s="192">
        <v>397.79969999999997</v>
      </c>
      <c r="T27" t="e">
        <v>#REF!</v>
      </c>
    </row>
    <row r="28" spans="2:26" ht="81.75" customHeight="1" x14ac:dyDescent="0.3">
      <c r="B28" s="491">
        <v>10488</v>
      </c>
      <c r="C28" s="491" t="s">
        <v>309</v>
      </c>
      <c r="D28" s="491" t="s">
        <v>861</v>
      </c>
      <c r="E28" s="502" t="s">
        <v>1144</v>
      </c>
      <c r="F28" s="491" t="s">
        <v>356</v>
      </c>
      <c r="G28" s="493">
        <v>1</v>
      </c>
      <c r="H28" s="494">
        <f t="shared" si="0"/>
        <v>366.4</v>
      </c>
      <c r="I28" s="495">
        <v>0</v>
      </c>
      <c r="J28" s="495">
        <v>80</v>
      </c>
      <c r="K28" s="495">
        <v>30</v>
      </c>
      <c r="L28" s="496">
        <v>2</v>
      </c>
      <c r="M28" s="496">
        <f>(H28/J28+I28/K28)*L28</f>
        <v>9.16</v>
      </c>
      <c r="N28" s="497">
        <v>1</v>
      </c>
      <c r="O28" s="498">
        <f t="shared" ref="O28:O36" si="4">S28</f>
        <v>397.79969999999997</v>
      </c>
      <c r="P28" s="499">
        <v>0</v>
      </c>
      <c r="Q28" s="500">
        <f t="shared" ref="Q28:Q36" si="5">((H28*L28*G28)/J28)*O28</f>
        <v>3643.8452519999996</v>
      </c>
      <c r="R28" s="192"/>
      <c r="S28" s="192">
        <v>397.79969999999997</v>
      </c>
      <c r="T28" t="e">
        <v>#REF!</v>
      </c>
    </row>
    <row r="29" spans="2:26" ht="118.5" customHeight="1" x14ac:dyDescent="0.3">
      <c r="B29" s="491">
        <v>36484</v>
      </c>
      <c r="C29" s="491" t="s">
        <v>309</v>
      </c>
      <c r="D29" s="491" t="s">
        <v>861</v>
      </c>
      <c r="E29" s="502" t="s">
        <v>1145</v>
      </c>
      <c r="F29" s="491">
        <v>83362</v>
      </c>
      <c r="G29" s="493">
        <v>1</v>
      </c>
      <c r="H29" s="494">
        <f t="shared" si="0"/>
        <v>366.4</v>
      </c>
      <c r="I29" s="495">
        <v>0</v>
      </c>
      <c r="J29" s="495">
        <v>80</v>
      </c>
      <c r="K29" s="495">
        <v>30</v>
      </c>
      <c r="L29" s="496">
        <v>2</v>
      </c>
      <c r="M29" s="496">
        <f>(H29/J29+I29/K29)*L29</f>
        <v>9.16</v>
      </c>
      <c r="N29" s="497">
        <v>1</v>
      </c>
      <c r="O29" s="498" t="str">
        <f t="shared" si="4"/>
        <v>258,89</v>
      </c>
      <c r="P29" s="499">
        <v>0</v>
      </c>
      <c r="Q29" s="500">
        <f t="shared" si="5"/>
        <v>2371.4323999999997</v>
      </c>
      <c r="R29" s="192"/>
      <c r="S29" s="192" t="s">
        <v>1150</v>
      </c>
      <c r="T29" t="e">
        <v>#REF!</v>
      </c>
    </row>
    <row r="30" spans="2:26" ht="45" customHeight="1" x14ac:dyDescent="0.3">
      <c r="B30" s="491" t="s">
        <v>356</v>
      </c>
      <c r="C30" s="491" t="s">
        <v>309</v>
      </c>
      <c r="D30" s="491" t="s">
        <v>861</v>
      </c>
      <c r="E30" s="492" t="s">
        <v>1146</v>
      </c>
      <c r="F30" s="491" t="s">
        <v>356</v>
      </c>
      <c r="G30" s="493">
        <v>1</v>
      </c>
      <c r="H30" s="494">
        <f t="shared" si="0"/>
        <v>366.4</v>
      </c>
      <c r="I30" s="495">
        <v>0</v>
      </c>
      <c r="J30" s="495">
        <v>80</v>
      </c>
      <c r="K30" s="495">
        <v>30</v>
      </c>
      <c r="L30" s="496">
        <v>2</v>
      </c>
      <c r="M30" s="496">
        <f t="shared" ref="M30:M36" si="6">(H30/J30+I30/K30)*L30</f>
        <v>9.16</v>
      </c>
      <c r="N30" s="497">
        <v>1</v>
      </c>
      <c r="O30" s="498">
        <f t="shared" si="4"/>
        <v>397.79969999999997</v>
      </c>
      <c r="P30" s="499">
        <v>0</v>
      </c>
      <c r="Q30" s="500">
        <f t="shared" si="5"/>
        <v>3643.8452519999996</v>
      </c>
      <c r="R30" s="192"/>
      <c r="S30" s="192">
        <v>397.79969999999997</v>
      </c>
      <c r="T30" t="e">
        <v>#REF!</v>
      </c>
    </row>
    <row r="31" spans="2:26" ht="45" customHeight="1" x14ac:dyDescent="0.3">
      <c r="B31" s="491" t="s">
        <v>357</v>
      </c>
      <c r="C31" s="491" t="s">
        <v>309</v>
      </c>
      <c r="D31" s="491" t="s">
        <v>861</v>
      </c>
      <c r="E31" s="492" t="s">
        <v>1147</v>
      </c>
      <c r="F31" s="491" t="s">
        <v>357</v>
      </c>
      <c r="G31" s="493">
        <v>1</v>
      </c>
      <c r="H31" s="494">
        <f t="shared" si="0"/>
        <v>366.4</v>
      </c>
      <c r="I31" s="495">
        <v>0</v>
      </c>
      <c r="J31" s="495">
        <v>80</v>
      </c>
      <c r="K31" s="495">
        <v>30</v>
      </c>
      <c r="L31" s="496">
        <v>2</v>
      </c>
      <c r="M31" s="496">
        <f t="shared" si="6"/>
        <v>9.16</v>
      </c>
      <c r="N31" s="497">
        <v>1</v>
      </c>
      <c r="O31" s="498">
        <f t="shared" si="4"/>
        <v>320.64839999999998</v>
      </c>
      <c r="P31" s="499">
        <v>0</v>
      </c>
      <c r="Q31" s="500">
        <f t="shared" si="5"/>
        <v>2937.1393439999997</v>
      </c>
      <c r="R31" s="192"/>
      <c r="S31" s="192">
        <v>320.64839999999998</v>
      </c>
      <c r="T31" t="e">
        <v>#REF!</v>
      </c>
    </row>
    <row r="32" spans="2:26" ht="45" customHeight="1" x14ac:dyDescent="0.3">
      <c r="B32" s="491" t="s">
        <v>358</v>
      </c>
      <c r="C32" s="491" t="s">
        <v>309</v>
      </c>
      <c r="D32" s="491" t="s">
        <v>861</v>
      </c>
      <c r="E32" s="492" t="s">
        <v>1148</v>
      </c>
      <c r="F32" s="491" t="s">
        <v>358</v>
      </c>
      <c r="G32" s="493">
        <v>1</v>
      </c>
      <c r="H32" s="494">
        <f t="shared" si="0"/>
        <v>366.4</v>
      </c>
      <c r="I32" s="495">
        <v>0</v>
      </c>
      <c r="J32" s="495">
        <v>80</v>
      </c>
      <c r="K32" s="495">
        <v>30</v>
      </c>
      <c r="L32" s="496">
        <v>2</v>
      </c>
      <c r="M32" s="496">
        <f t="shared" si="6"/>
        <v>9.16</v>
      </c>
      <c r="N32" s="497">
        <v>1</v>
      </c>
      <c r="O32" s="498">
        <f t="shared" si="4"/>
        <v>144.0565</v>
      </c>
      <c r="P32" s="499">
        <v>0</v>
      </c>
      <c r="Q32" s="500">
        <f t="shared" si="5"/>
        <v>1319.55754</v>
      </c>
      <c r="R32" s="192"/>
      <c r="S32" s="192">
        <v>144.0565</v>
      </c>
      <c r="T32" t="e">
        <v>#REF!</v>
      </c>
    </row>
    <row r="33" spans="2:20" ht="45" customHeight="1" x14ac:dyDescent="0.3">
      <c r="B33" s="491" t="s">
        <v>359</v>
      </c>
      <c r="C33" s="491" t="s">
        <v>309</v>
      </c>
      <c r="D33" s="491" t="s">
        <v>861</v>
      </c>
      <c r="E33" s="492" t="s">
        <v>1149</v>
      </c>
      <c r="F33" s="491" t="s">
        <v>359</v>
      </c>
      <c r="G33" s="493">
        <v>1</v>
      </c>
      <c r="H33" s="494">
        <f t="shared" si="0"/>
        <v>366.4</v>
      </c>
      <c r="I33" s="495">
        <v>0</v>
      </c>
      <c r="J33" s="495">
        <v>80</v>
      </c>
      <c r="K33" s="495">
        <v>30</v>
      </c>
      <c r="L33" s="496">
        <v>2</v>
      </c>
      <c r="M33" s="496">
        <f t="shared" si="6"/>
        <v>9.16</v>
      </c>
      <c r="N33" s="497">
        <v>5</v>
      </c>
      <c r="O33" s="498">
        <f t="shared" si="4"/>
        <v>304.3732</v>
      </c>
      <c r="P33" s="499">
        <v>0</v>
      </c>
      <c r="Q33" s="500">
        <f t="shared" si="5"/>
        <v>2788.0585120000001</v>
      </c>
      <c r="R33" s="192"/>
      <c r="S33" s="192">
        <v>304.3732</v>
      </c>
      <c r="T33" t="e">
        <v>#REF!</v>
      </c>
    </row>
    <row r="34" spans="2:20" ht="79.5" customHeight="1" x14ac:dyDescent="0.3">
      <c r="B34" s="491">
        <v>10775</v>
      </c>
      <c r="C34" s="491" t="s">
        <v>309</v>
      </c>
      <c r="D34" s="491" t="s">
        <v>861</v>
      </c>
      <c r="E34" s="492" t="s">
        <v>938</v>
      </c>
      <c r="F34" s="491" t="s">
        <v>356</v>
      </c>
      <c r="G34" s="493">
        <v>0.5</v>
      </c>
      <c r="H34" s="494">
        <f t="shared" si="0"/>
        <v>366.4</v>
      </c>
      <c r="I34" s="495">
        <v>0</v>
      </c>
      <c r="J34" s="495">
        <v>80</v>
      </c>
      <c r="K34" s="495">
        <v>30</v>
      </c>
      <c r="L34" s="496">
        <v>2</v>
      </c>
      <c r="M34" s="496">
        <f t="shared" si="6"/>
        <v>9.16</v>
      </c>
      <c r="N34" s="498">
        <v>1</v>
      </c>
      <c r="O34" s="498">
        <f t="shared" si="4"/>
        <v>397.79969999999997</v>
      </c>
      <c r="P34" s="499">
        <v>0</v>
      </c>
      <c r="Q34" s="500">
        <f t="shared" si="5"/>
        <v>1821.9226259999998</v>
      </c>
      <c r="R34" s="192"/>
      <c r="S34" s="192">
        <v>397.79969999999997</v>
      </c>
      <c r="T34" t="e">
        <v>#REF!</v>
      </c>
    </row>
    <row r="35" spans="2:20" ht="79.5" customHeight="1" x14ac:dyDescent="0.3">
      <c r="B35" s="491">
        <v>10776</v>
      </c>
      <c r="C35" s="491" t="s">
        <v>309</v>
      </c>
      <c r="D35" s="491" t="s">
        <v>861</v>
      </c>
      <c r="E35" s="492" t="s">
        <v>940</v>
      </c>
      <c r="F35" s="491" t="s">
        <v>356</v>
      </c>
      <c r="G35" s="493">
        <v>0.5</v>
      </c>
      <c r="H35" s="494">
        <f t="shared" si="0"/>
        <v>366.4</v>
      </c>
      <c r="I35" s="495">
        <v>0</v>
      </c>
      <c r="J35" s="495">
        <v>80</v>
      </c>
      <c r="K35" s="495">
        <v>30</v>
      </c>
      <c r="L35" s="496">
        <v>2</v>
      </c>
      <c r="M35" s="496">
        <f t="shared" si="6"/>
        <v>9.16</v>
      </c>
      <c r="N35" s="498">
        <v>1</v>
      </c>
      <c r="O35" s="498">
        <f t="shared" si="4"/>
        <v>397.79969999999997</v>
      </c>
      <c r="P35" s="499">
        <v>0</v>
      </c>
      <c r="Q35" s="500">
        <f t="shared" si="5"/>
        <v>1821.9226259999998</v>
      </c>
      <c r="R35" s="192"/>
      <c r="S35" s="192">
        <v>397.79969999999997</v>
      </c>
      <c r="T35" t="e">
        <v>#REF!</v>
      </c>
    </row>
    <row r="36" spans="2:20" ht="79.5" customHeight="1" x14ac:dyDescent="0.3">
      <c r="B36" s="491">
        <v>10779</v>
      </c>
      <c r="C36" s="491" t="s">
        <v>309</v>
      </c>
      <c r="D36" s="491" t="s">
        <v>861</v>
      </c>
      <c r="E36" s="492" t="s">
        <v>939</v>
      </c>
      <c r="F36" s="491" t="s">
        <v>356</v>
      </c>
      <c r="G36" s="493">
        <v>0.5</v>
      </c>
      <c r="H36" s="494">
        <f t="shared" si="0"/>
        <v>366.4</v>
      </c>
      <c r="I36" s="495">
        <v>0</v>
      </c>
      <c r="J36" s="495">
        <v>80</v>
      </c>
      <c r="K36" s="495">
        <v>30</v>
      </c>
      <c r="L36" s="496">
        <v>2</v>
      </c>
      <c r="M36" s="496">
        <f t="shared" si="6"/>
        <v>9.16</v>
      </c>
      <c r="N36" s="498">
        <v>1</v>
      </c>
      <c r="O36" s="498">
        <f t="shared" si="4"/>
        <v>397.79969999999997</v>
      </c>
      <c r="P36" s="499">
        <v>0</v>
      </c>
      <c r="Q36" s="500">
        <f t="shared" si="5"/>
        <v>1821.9226259999998</v>
      </c>
      <c r="R36" s="192"/>
      <c r="S36" s="192">
        <v>397.79969999999997</v>
      </c>
      <c r="T36" t="e">
        <v>#REF!</v>
      </c>
    </row>
    <row r="37" spans="2:20" ht="16.5" x14ac:dyDescent="0.3">
      <c r="B37" s="503"/>
      <c r="C37" s="504"/>
      <c r="D37" s="504"/>
      <c r="E37" s="504"/>
      <c r="F37" s="504"/>
      <c r="G37" s="504"/>
      <c r="H37" s="504"/>
      <c r="I37" s="504"/>
      <c r="J37" s="504"/>
      <c r="K37" s="504"/>
      <c r="L37" s="504"/>
      <c r="M37" s="504"/>
      <c r="N37" s="505"/>
      <c r="O37" s="296"/>
      <c r="P37" s="296"/>
      <c r="Q37" s="506">
        <f>SUM(Q13:Q36)</f>
        <v>71361.557079999999</v>
      </c>
      <c r="R37" s="192"/>
      <c r="S37" s="192"/>
    </row>
    <row r="38" spans="2:20" ht="16.5" x14ac:dyDescent="0.3">
      <c r="C38" s="808" t="s">
        <v>360</v>
      </c>
      <c r="D38" s="809"/>
      <c r="E38" s="507" t="s">
        <v>2</v>
      </c>
      <c r="F38" s="812" t="s">
        <v>79</v>
      </c>
      <c r="G38" s="812"/>
      <c r="H38" s="508"/>
      <c r="I38" s="508"/>
      <c r="J38" s="509"/>
      <c r="K38" s="510"/>
      <c r="L38" s="510"/>
      <c r="M38" s="192"/>
      <c r="N38" s="192"/>
      <c r="O38" s="192"/>
      <c r="P38" s="192"/>
      <c r="Q38" s="192"/>
      <c r="R38" s="192"/>
      <c r="S38" s="192"/>
    </row>
    <row r="39" spans="2:20" ht="16.5" x14ac:dyDescent="0.3">
      <c r="C39" s="810"/>
      <c r="D39" s="811"/>
      <c r="E39" s="511" t="s">
        <v>1083</v>
      </c>
      <c r="F39" s="512">
        <v>366.4</v>
      </c>
      <c r="G39" s="511" t="s">
        <v>361</v>
      </c>
      <c r="H39" s="192"/>
      <c r="I39" s="192"/>
      <c r="J39" s="192"/>
      <c r="K39" s="192"/>
      <c r="L39" s="192"/>
      <c r="M39" s="192"/>
      <c r="N39" s="192"/>
      <c r="O39" s="192"/>
      <c r="P39" s="192"/>
      <c r="Q39" s="192"/>
      <c r="R39" s="192"/>
      <c r="S39" s="192"/>
    </row>
  </sheetData>
  <mergeCells count="24">
    <mergeCell ref="B1:C3"/>
    <mergeCell ref="B4:Q4"/>
    <mergeCell ref="C5:N5"/>
    <mergeCell ref="O5:Q5"/>
    <mergeCell ref="C6:N6"/>
    <mergeCell ref="O6:Q6"/>
    <mergeCell ref="C7:N7"/>
    <mergeCell ref="O7:Q7"/>
    <mergeCell ref="C8:N8"/>
    <mergeCell ref="O8:Q8"/>
    <mergeCell ref="B11:B12"/>
    <mergeCell ref="C11:C12"/>
    <mergeCell ref="D11:D12"/>
    <mergeCell ref="E11:E12"/>
    <mergeCell ref="F11:G11"/>
    <mergeCell ref="O11:Q11"/>
    <mergeCell ref="L11:L12"/>
    <mergeCell ref="M11:M12"/>
    <mergeCell ref="N11:N12"/>
    <mergeCell ref="C38:D39"/>
    <mergeCell ref="F38:G38"/>
    <mergeCell ref="H11:I11"/>
    <mergeCell ref="J11:J12"/>
    <mergeCell ref="K11:K12"/>
  </mergeCells>
  <conditionalFormatting sqref="B9:D9 O5:O8 B5:B8">
    <cfRule type="expression" dxfId="322" priority="5">
      <formula>$G5="NAO ENCONTRADO"</formula>
    </cfRule>
  </conditionalFormatting>
  <conditionalFormatting sqref="F9:H9">
    <cfRule type="expression" dxfId="321" priority="4">
      <formula>$G9="NAO ENCONTRADO"</formula>
    </cfRule>
  </conditionalFormatting>
  <conditionalFormatting sqref="B10">
    <cfRule type="expression" dxfId="320" priority="3">
      <formula>$G10="NAO ENCONTRADO"</formula>
    </cfRule>
  </conditionalFormatting>
  <conditionalFormatting sqref="C10">
    <cfRule type="expression" dxfId="319" priority="2">
      <formula>$G10="NAO ENCONTRADO"</formula>
    </cfRule>
  </conditionalFormatting>
  <conditionalFormatting sqref="Q10">
    <cfRule type="expression" dxfId="318" priority="1">
      <formula>$G10="NAO ENCONTRADO"</formula>
    </cfRule>
  </conditionalFormatting>
  <pageMargins left="0.7" right="0.7" top="0.75" bottom="0.75" header="0.3" footer="0.3"/>
  <pageSetup paperSize="9" scale="49"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3">
    <tabColor rgb="FF006F71"/>
  </sheetPr>
  <dimension ref="A1:M475"/>
  <sheetViews>
    <sheetView workbookViewId="0">
      <selection activeCell="H12" sqref="H12"/>
    </sheetView>
  </sheetViews>
  <sheetFormatPr defaultRowHeight="16.5" x14ac:dyDescent="0.3"/>
  <cols>
    <col min="1" max="1" width="14.28515625" style="192" bestFit="1" customWidth="1"/>
    <col min="2" max="2" width="12.7109375" style="192" bestFit="1" customWidth="1"/>
    <col min="3" max="3" width="12.42578125" style="192" customWidth="1"/>
    <col min="4" max="4" width="19.140625" style="192" bestFit="1" customWidth="1"/>
    <col min="5" max="5" width="66.42578125" style="192" customWidth="1"/>
    <col min="6" max="6" width="15.85546875" style="223" customWidth="1"/>
    <col min="7" max="7" width="13.7109375" style="192" bestFit="1" customWidth="1"/>
    <col min="8" max="8" width="17.28515625" style="192" bestFit="1" customWidth="1"/>
    <col min="9" max="9" width="14.42578125" style="192" bestFit="1" customWidth="1"/>
    <col min="10" max="10" width="9.140625" style="192"/>
    <col min="11" max="11" width="13.85546875" style="192" bestFit="1" customWidth="1"/>
    <col min="12" max="12" width="20" style="304" bestFit="1" customWidth="1"/>
    <col min="13" max="16384" width="9.140625" style="192"/>
  </cols>
  <sheetData>
    <row r="1" spans="1:13" x14ac:dyDescent="0.3">
      <c r="D1" s="183" t="str">
        <f>N.GOV</f>
        <v>GOVERNO DO ESTADO DE MATO GROSSO DO SUL</v>
      </c>
    </row>
    <row r="2" spans="1:13" x14ac:dyDescent="0.3">
      <c r="D2" s="273" t="str" cm="1">
        <f t="array" aca="1" ref="D2" ca="1">N.PREFEITURA</f>
        <v>PREFEITURA MUNICIPAL DE NAVIRAÍ</v>
      </c>
      <c r="E2" s="299"/>
    </row>
    <row r="3" spans="1:13" x14ac:dyDescent="0.3">
      <c r="D3" s="183" t="str" cm="1">
        <f t="array" aca="1" ref="D3" ca="1">N.SECRETARIA</f>
        <v>SECRETARIA DE PLANEJAMENTO</v>
      </c>
    </row>
    <row r="4" spans="1:13" x14ac:dyDescent="0.3">
      <c r="B4" s="838" t="s">
        <v>322</v>
      </c>
      <c r="C4" s="839"/>
      <c r="D4" s="839"/>
      <c r="E4" s="839"/>
      <c r="F4" s="839"/>
      <c r="G4" s="839"/>
      <c r="H4" s="839"/>
      <c r="I4" s="840"/>
    </row>
    <row r="5" spans="1:13" x14ac:dyDescent="0.3">
      <c r="B5" s="212" t="s">
        <v>76</v>
      </c>
      <c r="C5" s="848" t="str">
        <f>N.DESCRICAO</f>
        <v>INFRAESTRUTURA URBANA – PAVIMENTAÇÃO ASFÁLTICA, DRENAGEM, E SINALIZAÇÃO VIÁRIA NO ACESSO AO CEMITERIO MUNICIPAL DE NAVIRAÍ/ MS</v>
      </c>
      <c r="D5" s="848"/>
      <c r="E5" s="848"/>
      <c r="F5" s="849"/>
      <c r="G5" s="841" t="s">
        <v>305</v>
      </c>
      <c r="H5" s="842"/>
      <c r="I5" s="843"/>
    </row>
    <row r="6" spans="1:13" x14ac:dyDescent="0.3">
      <c r="B6" s="212" t="s">
        <v>77</v>
      </c>
      <c r="C6" s="213" t="str">
        <f ca="1">N.MUNICIPIO</f>
        <v>NAVIRAÍ</v>
      </c>
      <c r="D6" s="214"/>
      <c r="E6" s="214"/>
      <c r="F6" s="215"/>
      <c r="G6" s="844" t="s">
        <v>855</v>
      </c>
      <c r="H6" s="816"/>
      <c r="I6" s="845"/>
    </row>
    <row r="7" spans="1:13" x14ac:dyDescent="0.3">
      <c r="B7" s="212" t="s">
        <v>78</v>
      </c>
      <c r="C7" s="213" t="str" cm="1">
        <f t="array" ref="C7">N.LOCAL</f>
        <v>AVENIDA JOÃO RIGONATO</v>
      </c>
      <c r="D7" s="214"/>
      <c r="E7" s="214"/>
      <c r="F7" s="215"/>
      <c r="G7" s="844" t="str">
        <f>N.Engenheiro</f>
        <v>FÁBIO MARQUES RIBEIRO</v>
      </c>
      <c r="H7" s="816"/>
      <c r="I7" s="845"/>
    </row>
    <row r="8" spans="1:13" x14ac:dyDescent="0.3">
      <c r="B8" s="212" t="s">
        <v>813</v>
      </c>
      <c r="C8" s="305" t="str" cm="1">
        <f t="array" ref="C8">N.BASE</f>
        <v>AGESUL(SETEMBRO/2025)/SINAPI(SETEMBRO/2025)</v>
      </c>
      <c r="D8" s="214"/>
      <c r="E8" s="214"/>
      <c r="F8" s="215"/>
      <c r="G8" s="846" t="str">
        <f>N.CREA</f>
        <v>ENGENHEIRO CIVIL - 15.276 D/MS</v>
      </c>
      <c r="H8" s="820"/>
      <c r="I8" s="847"/>
    </row>
    <row r="9" spans="1:13" x14ac:dyDescent="0.3">
      <c r="B9" s="185" t="s">
        <v>857</v>
      </c>
      <c r="C9" s="185" t="s">
        <v>858</v>
      </c>
      <c r="D9" s="185" t="s">
        <v>264</v>
      </c>
      <c r="E9" s="185" t="s">
        <v>124</v>
      </c>
      <c r="F9" s="186" t="s">
        <v>308</v>
      </c>
      <c r="G9" s="185" t="s">
        <v>859</v>
      </c>
      <c r="H9" s="185" t="s">
        <v>860</v>
      </c>
      <c r="I9" s="185" t="s">
        <v>821</v>
      </c>
      <c r="J9" s="528"/>
      <c r="K9" s="528"/>
      <c r="L9" s="543" t="s">
        <v>927</v>
      </c>
      <c r="M9" s="304" t="s">
        <v>928</v>
      </c>
    </row>
    <row r="10" spans="1:13" ht="25.5" x14ac:dyDescent="0.3">
      <c r="A10" s="192" t="str">
        <f>IF(AND(D10="",E10&lt;&gt;""),B10,"")</f>
        <v>CPU-CAT 01</v>
      </c>
      <c r="B10" s="589" t="s">
        <v>862</v>
      </c>
      <c r="C10" s="187"/>
      <c r="D10" s="188"/>
      <c r="E10" s="189" t="s">
        <v>854</v>
      </c>
      <c r="F10" s="190" t="s">
        <v>307</v>
      </c>
      <c r="G10" s="188"/>
      <c r="H10" s="191"/>
      <c r="I10" s="590" t="e">
        <f>SUM(I11:I17)</f>
        <v>#VALUE!</v>
      </c>
      <c r="J10" s="529"/>
      <c r="K10" s="591" t="str">
        <f>IF(A10=B10,IFERROR(VLOOKUP(B10,#REF!,1,0),"-"),"-")</f>
        <v>-</v>
      </c>
      <c r="L10" s="304">
        <f>IF(ISBLANK(B10)=FALSE,1,0)</f>
        <v>1</v>
      </c>
      <c r="M10" s="304" t="str">
        <f>K10</f>
        <v>-</v>
      </c>
    </row>
    <row r="11" spans="1:13" ht="63.75" x14ac:dyDescent="0.3">
      <c r="B11" s="592">
        <v>4417</v>
      </c>
      <c r="C11" s="573" t="s">
        <v>309</v>
      </c>
      <c r="D11" s="516" t="s">
        <v>861</v>
      </c>
      <c r="E11" s="593" t="str" cm="1">
        <f t="array" ref="E11">UPPER(IF(C11="COMPOSIÇÃO",_xlfn.XLOOKUP($B11,A:A,E:E,),IF(C11="COTAÇÃO",VLOOKUP($B11,COTAÇÕES!$A$11:$E$37,2,0),IF(C11="SINAPI",BuscarCampoAccess("Descricao",B11,B.A_SINAPI,B.M_SINAPI,C11),IF(C11="AGESUL",BuscarCampoAccess("Descricao",B11,B.A_AGESUL,B.M_AGESUL,C11),IF(C11="SICRO",BuscarCampoAccess("Descricao",B11,B.A_SICRO,B.M_SICRO,C11),"NÃO ENCONTRADO"))))))</f>
        <v>ERRO: CONEXÃO NÃO ESTABELECIDA. CLIQUE EM CONECTAR.</v>
      </c>
      <c r="F11" s="594" t="str" cm="1">
        <f t="array" ref="F11">UPPER(IF(C11="COMPOSIÇÃO",_xlfn.XLOOKUP($B11,A:A,F:F,),IF(C11="COTAÇÃO",VLOOKUP($B11,COTAÇÕES!$A$11:$E$37,3,0),IF(C11="SINAPI",BuscarCampoAccess("Unidade",B11,B.A_SINAPI,B.M_SINAPI,C11),IF(C11="AGESUL",BuscarCampoAccess("Unidade",B11,B.A_AGESUL,B.M_AGESUL,C11),IF(C11="SICRO",BuscarCampoAccess("Unidade",B11,B.A_SICRO,B.M_SICRO,C11)))))))</f>
        <v>ERRO: CONEXÃO NÃO ESTABELECIDA. CLIQUE EM CONECTAR.</v>
      </c>
      <c r="G11" s="517">
        <v>1</v>
      </c>
      <c r="H11" s="582" t="str" cm="1">
        <f t="array" ref="H11">UPPER(IF(C11="COMPOSIÇÃO",_xlfn.XLOOKUP($B11,A:A,I:I,),IF(C11="COTAÇÃO",VLOOKUP($B11,COTAÇÕES!$A$11:$E$37,5,0),IF(C11="SINAPI",BuscarCampoAccess("Custo",B11,B.A_SINAPI,B.M_SINAPI,C11),IF(C11="AGESUL",BuscarCampoAccess("Custo",B11,B.A_AGESUL,B.M_AGESUL,C11),IF(C11="SICRO",BuscarCampoAccess("Custo",B11,B.A_SICRO,B.M_SICRO,C11)))))))</f>
        <v>ERRO: CONEXÃO NÃO ESTABELECIDA. CLIQUE EM CONECTAR.</v>
      </c>
      <c r="I11" s="583" t="e">
        <f>TRUNC(G11*H11,2)</f>
        <v>#VALUE!</v>
      </c>
      <c r="J11" s="529"/>
      <c r="K11" s="529" t="str">
        <f>IF(A11=B11,IFERROR(VLOOKUP(B11,#REF!,1,0),"-"),"-")</f>
        <v>-</v>
      </c>
      <c r="L11" s="304">
        <f>IF(ISBLANK(B11)=FALSE,1,0)</f>
        <v>1</v>
      </c>
      <c r="M11" s="304" t="str">
        <f>IF(M10=FALSE,K11,IF(L11=1,M10))</f>
        <v>-</v>
      </c>
    </row>
    <row r="12" spans="1:13" ht="24" customHeight="1" x14ac:dyDescent="0.3">
      <c r="B12" s="592">
        <v>4491</v>
      </c>
      <c r="C12" s="573" t="s">
        <v>309</v>
      </c>
      <c r="D12" s="516" t="s">
        <v>861</v>
      </c>
      <c r="E12" s="593" t="str" cm="1">
        <f t="array" ref="E12">UPPER(IF(C12="COMPOSIÇÃO",_xlfn.XLOOKUP($B12,A:A,E:E,),IF(C12="COTAÇÃO",VLOOKUP($B12,COTAÇÕES!$A$11:$E$37,2,0),BuscarCampoAccess("Descricao",B12,B.A_SINAPI,B.M_SINAPI,C12))))</f>
        <v>ERRO: CONEXÃO NÃO ESTABELECIDA. CLIQUE EM CONECTAR.</v>
      </c>
      <c r="F12" s="594" t="str" cm="1">
        <f t="array" ref="F12">UPPER(IF(C12="COMPOSIÇÃO",_xlfn.XLOOKUP($B12,A:A,F:F,),IF(C12="COTAÇÃO",VLOOKUP($B12,COTAÇÕES!$A$11:$E$37,3,0),BuscarCampoAccess("Unidade",B12,B.A_SINAPI,B.M_SINAPI,C12))))</f>
        <v>ERRO: CONEXÃO NÃO ESTABELECIDA. CLIQUE EM CONECTAR.</v>
      </c>
      <c r="G12" s="517">
        <v>4</v>
      </c>
      <c r="H12" s="582" t="str" cm="1">
        <f t="array" ref="H12">UPPER(IF(C12="COMPOSIÇÃO",_xlfn.XLOOKUP($B12,A:A,I:I,),IF(C12="COTAÇÃO",VLOOKUP($B12,COTAÇÕES!$A$11:$E$37,5,0),BuscarCampoAccess("Custo",B12,B.A_SINAPI,B.M_SINAPI,C12))))</f>
        <v>ERRO: CONEXÃO NÃO ESTABELECIDA. CLIQUE EM CONECTAR.</v>
      </c>
      <c r="I12" s="583" t="e">
        <f t="shared" ref="I12:I17" si="0">TRUNC(G12*H12,2)</f>
        <v>#VALUE!</v>
      </c>
      <c r="J12" s="529"/>
      <c r="K12" s="529" t="str">
        <f>IF(A12=B12,IFERROR(VLOOKUP(B12,#REF!,1,0),"-"),"-")</f>
        <v>-</v>
      </c>
      <c r="L12" s="304">
        <f t="shared" ref="L12:L75" si="1">IF(ISBLANK(B12)=FALSE,1,0)</f>
        <v>1</v>
      </c>
      <c r="M12" s="304" t="str">
        <f t="shared" ref="M12:M75" si="2">IF(M11=FALSE,K12,IF(L12=1,M11))</f>
        <v>-</v>
      </c>
    </row>
    <row r="13" spans="1:13" ht="63.75" x14ac:dyDescent="0.3">
      <c r="B13" s="592">
        <v>4813</v>
      </c>
      <c r="C13" s="573" t="s">
        <v>309</v>
      </c>
      <c r="D13" s="516" t="s">
        <v>861</v>
      </c>
      <c r="E13" s="593" t="str" cm="1">
        <f t="array" ref="E13">UPPER(IF(C13="COMPOSIÇÃO",_xlfn.XLOOKUP($B13,A:A,E:E,),IF(C13="COTAÇÃO",VLOOKUP($B13,COTAÇÕES!$A$11:$E$37,2,0),BuscarCampoAccess("Descricao",B13,B.A_SINAPI,B.M_SINAPI,C13))))</f>
        <v>ERRO: CONEXÃO NÃO ESTABELECIDA. CLIQUE EM CONECTAR.</v>
      </c>
      <c r="F13" s="594" t="str" cm="1">
        <f t="array" ref="F13">UPPER(IF(C13="COMPOSIÇÃO",_xlfn.XLOOKUP($B13,A:A,F:F,),IF(C13="COTAÇÃO",VLOOKUP($B13,COTAÇÕES!$A$11:$E$37,3,0),BuscarCampoAccess("Unidade",B13,B.A_SINAPI,B.M_SINAPI,C13))))</f>
        <v>ERRO: CONEXÃO NÃO ESTABELECIDA. CLIQUE EM CONECTAR.</v>
      </c>
      <c r="G13" s="517">
        <v>1</v>
      </c>
      <c r="H13" s="582" t="str" cm="1">
        <f t="array" ref="H13">UPPER(IF(C13="COMPOSIÇÃO",_xlfn.XLOOKUP($B13,A:A,I:I,),IF(C13="COTAÇÃO",VLOOKUP($B13,COTAÇÕES!$A$11:$E$37,5,0),BuscarCampoAccess("Custo",B13,B.A_SINAPI,B.M_SINAPI,C13))))</f>
        <v>ERRO: CONEXÃO NÃO ESTABELECIDA. CLIQUE EM CONECTAR.</v>
      </c>
      <c r="I13" s="583" t="e">
        <f t="shared" si="0"/>
        <v>#VALUE!</v>
      </c>
      <c r="J13" s="529"/>
      <c r="K13" s="529" t="str">
        <f>IF(A13=B13,IFERROR(VLOOKUP(B13,#REF!,1,0),"-"),"-")</f>
        <v>-</v>
      </c>
      <c r="L13" s="304">
        <f t="shared" si="1"/>
        <v>1</v>
      </c>
      <c r="M13" s="304" t="str">
        <f t="shared" si="2"/>
        <v>-</v>
      </c>
    </row>
    <row r="14" spans="1:13" ht="63.75" x14ac:dyDescent="0.3">
      <c r="B14" s="592">
        <v>5075</v>
      </c>
      <c r="C14" s="573" t="s">
        <v>309</v>
      </c>
      <c r="D14" s="516" t="s">
        <v>861</v>
      </c>
      <c r="E14" s="593" t="str" cm="1">
        <f t="array" ref="E14">UPPER(IF(C14="COMPOSIÇÃO",_xlfn.XLOOKUP($B14,A:A,E:E,),IF(C14="COTAÇÃO",VLOOKUP($B14,COTAÇÕES!$A$11:$E$37,2,0),BuscarCampoAccess("Descricao",B14,B.A_SINAPI,B.M_SINAPI,C14))))</f>
        <v>ERRO: CONEXÃO NÃO ESTABELECIDA. CLIQUE EM CONECTAR.</v>
      </c>
      <c r="F14" s="594" t="str" cm="1">
        <f t="array" ref="F14">UPPER(IF(C14="COMPOSIÇÃO",_xlfn.XLOOKUP($B14,A:A,F:F,),IF(C14="COTAÇÃO",VLOOKUP($B14,COTAÇÕES!$A$11:$E$37,3,0),BuscarCampoAccess("Unidade",B14,B.A_SINAPI,B.M_SINAPI,C14))))</f>
        <v>ERRO: CONEXÃO NÃO ESTABELECIDA. CLIQUE EM CONECTAR.</v>
      </c>
      <c r="G14" s="517">
        <v>0.11</v>
      </c>
      <c r="H14" s="582" t="str" cm="1">
        <f t="array" ref="H14">UPPER(IF(C14="COMPOSIÇÃO",_xlfn.XLOOKUP($B14,A:A,I:I,),IF(C14="COTAÇÃO",VLOOKUP($B14,COTAÇÕES!$A$11:$E$37,5,0),BuscarCampoAccess("Custo",B14,B.A_SINAPI,B.M_SINAPI,C14))))</f>
        <v>ERRO: CONEXÃO NÃO ESTABELECIDA. CLIQUE EM CONECTAR.</v>
      </c>
      <c r="I14" s="583" t="e">
        <f t="shared" si="0"/>
        <v>#VALUE!</v>
      </c>
      <c r="J14" s="529"/>
      <c r="K14" s="529" t="str">
        <f>IF(A14=B14,IFERROR(VLOOKUP(B14,#REF!,1,0),"-"),"-")</f>
        <v>-</v>
      </c>
      <c r="L14" s="304">
        <f t="shared" si="1"/>
        <v>1</v>
      </c>
      <c r="M14" s="304" t="str">
        <f t="shared" si="2"/>
        <v>-</v>
      </c>
    </row>
    <row r="15" spans="1:13" ht="63.75" x14ac:dyDescent="0.3">
      <c r="B15" s="592">
        <v>88262</v>
      </c>
      <c r="C15" s="573" t="s">
        <v>309</v>
      </c>
      <c r="D15" s="516" t="s">
        <v>861</v>
      </c>
      <c r="E15" s="593" t="str" cm="1">
        <f t="array" ref="E15">UPPER(IF(C15="COMPOSIÇÃO",_xlfn.XLOOKUP($B15,A:A,E:E,),IF(C15="COTAÇÃO",VLOOKUP($B15,COTAÇÕES!$A$11:$E$37,2,0),BuscarCampoAccess("Descricao",B15,B.A_SINAPI,B.M_SINAPI,C15))))</f>
        <v>ERRO: CONEXÃO NÃO ESTABELECIDA. CLIQUE EM CONECTAR.</v>
      </c>
      <c r="F15" s="594" t="str" cm="1">
        <f t="array" ref="F15">UPPER(IF(C15="COMPOSIÇÃO",_xlfn.XLOOKUP($B15,A:A,F:F,),IF(C15="COTAÇÃO",VLOOKUP($B15,COTAÇÕES!$A$11:$E$37,3,0),BuscarCampoAccess("Unidade",B15,B.A_SINAPI,B.M_SINAPI,C15))))</f>
        <v>ERRO: CONEXÃO NÃO ESTABELECIDA. CLIQUE EM CONECTAR.</v>
      </c>
      <c r="G15" s="517">
        <v>1</v>
      </c>
      <c r="H15" s="582" t="str" cm="1">
        <f t="array" ref="H15">UPPER(IF(C15="COMPOSIÇÃO",_xlfn.XLOOKUP($B15,A:A,I:I,),IF(C15="COTAÇÃO",VLOOKUP($B15,COTAÇÕES!$A$11:$E$37,5,0),BuscarCampoAccess("Custo",B15,B.A_SINAPI,B.M_SINAPI,C15))))</f>
        <v>ERRO: CONEXÃO NÃO ESTABELECIDA. CLIQUE EM CONECTAR.</v>
      </c>
      <c r="I15" s="583" t="e">
        <f t="shared" si="0"/>
        <v>#VALUE!</v>
      </c>
      <c r="J15" s="529"/>
      <c r="K15" s="529" t="str">
        <f>IF(A15=B15,IFERROR(VLOOKUP(B15,#REF!,1,0),"-"),"-")</f>
        <v>-</v>
      </c>
      <c r="L15" s="304">
        <f t="shared" si="1"/>
        <v>1</v>
      </c>
      <c r="M15" s="304" t="str">
        <f t="shared" si="2"/>
        <v>-</v>
      </c>
    </row>
    <row r="16" spans="1:13" ht="63.75" x14ac:dyDescent="0.3">
      <c r="B16" s="592">
        <v>88316</v>
      </c>
      <c r="C16" s="573" t="s">
        <v>309</v>
      </c>
      <c r="D16" s="516" t="s">
        <v>861</v>
      </c>
      <c r="E16" s="593" t="str" cm="1">
        <f t="array" ref="E16">UPPER(IF(C16="COMPOSIÇÃO",_xlfn.XLOOKUP($B16,A:A,E:E,),IF(C16="COTAÇÃO",VLOOKUP($B16,COTAÇÕES!$A$11:$E$37,2,0),BuscarCampoAccess("Descricao",B16,B.A_SINAPI,B.M_SINAPI,C16))))</f>
        <v>ERRO: CONEXÃO NÃO ESTABELECIDA. CLIQUE EM CONECTAR.</v>
      </c>
      <c r="F16" s="594" t="str" cm="1">
        <f t="array" ref="F16">UPPER(IF(C16="COMPOSIÇÃO",_xlfn.XLOOKUP($B16,A:A,F:F,),IF(C16="COTAÇÃO",VLOOKUP($B16,COTAÇÕES!$A$11:$E$37,3,0),BuscarCampoAccess("Unidade",B16,B.A_SINAPI,B.M_SINAPI,C16))))</f>
        <v>ERRO: CONEXÃO NÃO ESTABELECIDA. CLIQUE EM CONECTAR.</v>
      </c>
      <c r="G16" s="517">
        <v>2</v>
      </c>
      <c r="H16" s="582" t="str" cm="1">
        <f t="array" ref="H16">UPPER(IF(C16="COMPOSIÇÃO",_xlfn.XLOOKUP($B16,A:A,I:I,),IF(C16="COTAÇÃO",VLOOKUP($B16,COTAÇÕES!$A$11:$E$37,5,0),BuscarCampoAccess("Custo",B16,B.A_SINAPI,B.M_SINAPI,C16))))</f>
        <v>ERRO: CONEXÃO NÃO ESTABELECIDA. CLIQUE EM CONECTAR.</v>
      </c>
      <c r="I16" s="583" t="e">
        <f t="shared" si="0"/>
        <v>#VALUE!</v>
      </c>
      <c r="K16" s="529" t="str">
        <f>IF(A16=B16,IFERROR(VLOOKUP(B16,#REF!,1,0),"-"),"-")</f>
        <v>-</v>
      </c>
      <c r="L16" s="304">
        <f t="shared" si="1"/>
        <v>1</v>
      </c>
      <c r="M16" s="304" t="str">
        <f t="shared" si="2"/>
        <v>-</v>
      </c>
    </row>
    <row r="17" spans="1:13" ht="63.75" x14ac:dyDescent="0.3">
      <c r="B17" s="592">
        <v>94962</v>
      </c>
      <c r="C17" s="573" t="s">
        <v>309</v>
      </c>
      <c r="D17" s="516" t="s">
        <v>861</v>
      </c>
      <c r="E17" s="593" t="str" cm="1">
        <f t="array" ref="E17">UPPER(IF(C17="COMPOSIÇÃO",_xlfn.XLOOKUP($B17,A:A,E:E,),IF(C17="COTAÇÃO",VLOOKUP($B17,COTAÇÕES!$A$11:$E$37,2,0),BuscarCampoAccess("Descricao",B17,B.A_SINAPI,B.M_SINAPI,C17))))</f>
        <v>ERRO: CONEXÃO NÃO ESTABELECIDA. CLIQUE EM CONECTAR.</v>
      </c>
      <c r="F17" s="594" t="str" cm="1">
        <f t="array" ref="F17">UPPER(IF(C17="COMPOSIÇÃO",_xlfn.XLOOKUP($B17,A:A,F:F,),IF(C17="COTAÇÃO",VLOOKUP($B17,COTAÇÕES!$A$11:$E$37,3,0),BuscarCampoAccess("Unidade",B17,B.A_SINAPI,B.M_SINAPI,C17))))</f>
        <v>ERRO: CONEXÃO NÃO ESTABELECIDA. CLIQUE EM CONECTAR.</v>
      </c>
      <c r="G17" s="517">
        <v>0.01</v>
      </c>
      <c r="H17" s="582" t="str" cm="1">
        <f t="array" ref="H17">UPPER(IF(C17="COMPOSIÇÃO",_xlfn.XLOOKUP($B17,A:A,I:I,),IF(C17="COTAÇÃO",VLOOKUP($B17,COTAÇÕES!$A$11:$E$37,5,0),BuscarCampoAccess("Custo",B17,B.A_SINAPI,B.M_SINAPI,C17))))</f>
        <v>ERRO: CONEXÃO NÃO ESTABELECIDA. CLIQUE EM CONECTAR.</v>
      </c>
      <c r="I17" s="583" t="e">
        <f t="shared" si="0"/>
        <v>#VALUE!</v>
      </c>
      <c r="K17" s="529" t="str">
        <f>IF(A17=B17,IFERROR(VLOOKUP(B17,#REF!,1,0),"-"),"-")</f>
        <v>-</v>
      </c>
      <c r="L17" s="304">
        <f t="shared" si="1"/>
        <v>1</v>
      </c>
      <c r="M17" s="304" t="str">
        <f t="shared" si="2"/>
        <v>-</v>
      </c>
    </row>
    <row r="18" spans="1:13" x14ac:dyDescent="0.3">
      <c r="B18" s="182"/>
      <c r="C18" s="182"/>
      <c r="D18" s="182"/>
      <c r="E18" s="182"/>
      <c r="F18" s="184"/>
      <c r="G18" s="182"/>
      <c r="H18" s="182"/>
      <c r="I18" s="182"/>
      <c r="K18" s="529" t="str">
        <f>IF(A18=B18,IFERROR(VLOOKUP(B18,#REF!,1,0),"-"),"-")</f>
        <v>-</v>
      </c>
      <c r="L18" s="304">
        <f t="shared" si="1"/>
        <v>0</v>
      </c>
      <c r="M18" s="304" t="b">
        <f t="shared" si="2"/>
        <v>0</v>
      </c>
    </row>
    <row r="19" spans="1:13" ht="25.5" x14ac:dyDescent="0.3">
      <c r="A19" s="192" t="str">
        <f>IF(AND(D19="",E19&lt;&gt;""),B19,"")</f>
        <v>CPU-CAT 02</v>
      </c>
      <c r="B19" s="589" t="s">
        <v>863</v>
      </c>
      <c r="C19" s="187"/>
      <c r="D19" s="188"/>
      <c r="E19" s="189" t="s">
        <v>315</v>
      </c>
      <c r="F19" s="190" t="s">
        <v>307</v>
      </c>
      <c r="G19" s="188"/>
      <c r="H19" s="191"/>
      <c r="I19" s="590" t="e">
        <f>SUM(I20:I25)</f>
        <v>#VALUE!</v>
      </c>
      <c r="K19" s="529" t="str">
        <f>IF(A19=B19,IFERROR(VLOOKUP(B19,#REF!,1,0),"-"),"-")</f>
        <v>-</v>
      </c>
      <c r="L19" s="304">
        <f t="shared" si="1"/>
        <v>1</v>
      </c>
      <c r="M19" s="304" t="str">
        <f t="shared" si="2"/>
        <v>-</v>
      </c>
    </row>
    <row r="20" spans="1:13" ht="63.75" x14ac:dyDescent="0.3">
      <c r="B20" s="592">
        <v>4460</v>
      </c>
      <c r="C20" s="573" t="s">
        <v>309</v>
      </c>
      <c r="D20" s="516" t="s">
        <v>861</v>
      </c>
      <c r="E20" s="593" t="str" cm="1">
        <f t="array" ref="E20">UPPER(IF(C20="COMPOSIÇÃO",_xlfn.XLOOKUP($B20,A:A,E:E,),IF(C20="COTAÇÃO",VLOOKUP($B20,COTAÇÕES!$A$11:$E$37,2,0),BuscarCampoAccess("Descricao",B20,B.A_SINAPI,B.M_SINAPI,C20))))</f>
        <v>ERRO: CONEXÃO NÃO ESTABELECIDA. CLIQUE EM CONECTAR.</v>
      </c>
      <c r="F20" s="594" t="str" cm="1">
        <f t="array" ref="F20">UPPER(IF(C20="COMPOSIÇÃO",_xlfn.XLOOKUP($B20,A:A,F:F,),IF(C20="COTAÇÃO",VLOOKUP($B20,COTAÇÕES!$A$11:$E$37,3,0),BuscarCampoAccess("Unidade",B20,B.A_SINAPI,B.M_SINAPI,C20))))</f>
        <v>ERRO: CONEXÃO NÃO ESTABELECIDA. CLIQUE EM CONECTAR.</v>
      </c>
      <c r="G20" s="517">
        <v>2.8860000000000001E-3</v>
      </c>
      <c r="H20" s="582" t="str" cm="1">
        <f t="array" ref="H20">UPPER(IF(C20="COMPOSIÇÃO",_xlfn.XLOOKUP($B20,A:A,I:I,),IF(C20="COTAÇÃO",VLOOKUP($B20,COTAÇÕES!$A$11:$E$37,5,0),BuscarCampoAccess("Custo",B20,B.A_SINAPI,B.M_SINAPI,C20))))</f>
        <v>ERRO: CONEXÃO NÃO ESTABELECIDA. CLIQUE EM CONECTAR.</v>
      </c>
      <c r="I20" s="583" t="e">
        <f t="shared" ref="I20:I25" si="3">TRUNC(G20*H20,2)</f>
        <v>#VALUE!</v>
      </c>
      <c r="K20" s="529" t="str">
        <f>IF(A20=B20,IFERROR(VLOOKUP(B20,#REF!,1,0),"-"),"-")</f>
        <v>-</v>
      </c>
      <c r="L20" s="304">
        <f t="shared" si="1"/>
        <v>1</v>
      </c>
      <c r="M20" s="304" t="str">
        <f t="shared" si="2"/>
        <v>-</v>
      </c>
    </row>
    <row r="21" spans="1:13" ht="63.75" x14ac:dyDescent="0.3">
      <c r="B21" s="592">
        <v>88253</v>
      </c>
      <c r="C21" s="573" t="s">
        <v>309</v>
      </c>
      <c r="D21" s="516" t="s">
        <v>861</v>
      </c>
      <c r="E21" s="593" t="str" cm="1">
        <f t="array" ref="E21">UPPER(IF(C21="COMPOSIÇÃO",_xlfn.XLOOKUP($B21,A:A,E:E,),IF(C21="COTAÇÃO",VLOOKUP($B21,COTAÇÕES!$A$11:$E$37,2,0),BuscarCampoAccess("Descricao",B21,B.A_SINAPI,B.M_SINAPI,C21))))</f>
        <v>ERRO: CONEXÃO NÃO ESTABELECIDA. CLIQUE EM CONECTAR.</v>
      </c>
      <c r="F21" s="594" t="str" cm="1">
        <f t="array" ref="F21">UPPER(IF(C21="COMPOSIÇÃO",_xlfn.XLOOKUP($B21,A:A,F:F,),IF(C21="COTAÇÃO",VLOOKUP($B21,COTAÇÕES!$A$11:$E$37,3,0),BuscarCampoAccess("Unidade",B21,B.A_SINAPI,B.M_SINAPI,C21))))</f>
        <v>ERRO: CONEXÃO NÃO ESTABELECIDA. CLIQUE EM CONECTAR.</v>
      </c>
      <c r="G21" s="517">
        <v>2.5000000000000001E-3</v>
      </c>
      <c r="H21" s="582" t="str" cm="1">
        <f t="array" ref="H21">UPPER(IF(C21="COMPOSIÇÃO",_xlfn.XLOOKUP($B21,A:A,I:I,),IF(C21="COTAÇÃO",VLOOKUP($B21,COTAÇÕES!$A$11:$E$37,5,0),BuscarCampoAccess("Custo",B21,B.A_SINAPI,B.M_SINAPI,C21))))</f>
        <v>ERRO: CONEXÃO NÃO ESTABELECIDA. CLIQUE EM CONECTAR.</v>
      </c>
      <c r="I21" s="583" t="e">
        <f t="shared" si="3"/>
        <v>#VALUE!</v>
      </c>
      <c r="K21" s="529" t="str">
        <f>IF(A21=B21,IFERROR(VLOOKUP(B21,#REF!,1,0),"-"),"-")</f>
        <v>-</v>
      </c>
      <c r="L21" s="304">
        <f t="shared" si="1"/>
        <v>1</v>
      </c>
      <c r="M21" s="304" t="str">
        <f t="shared" si="2"/>
        <v>-</v>
      </c>
    </row>
    <row r="22" spans="1:13" ht="63.75" x14ac:dyDescent="0.3">
      <c r="B22" s="592">
        <v>88288</v>
      </c>
      <c r="C22" s="573" t="s">
        <v>309</v>
      </c>
      <c r="D22" s="516" t="s">
        <v>861</v>
      </c>
      <c r="E22" s="593" t="str" cm="1">
        <f t="array" ref="E22">UPPER(IF(C22="COMPOSIÇÃO",_xlfn.XLOOKUP($B22,A:A,E:E,),IF(C22="COTAÇÃO",VLOOKUP($B22,COTAÇÕES!$A$11:$E$37,2,0),BuscarCampoAccess("Descricao",B22,B.A_SINAPI,B.M_SINAPI,C22))))</f>
        <v>ERRO: CONEXÃO NÃO ESTABELECIDA. CLIQUE EM CONECTAR.</v>
      </c>
      <c r="F22" s="594" t="str" cm="1">
        <f t="array" ref="F22">UPPER(IF(C22="COMPOSIÇÃO",_xlfn.XLOOKUP($B22,A:A,F:F,),IF(C22="COTAÇÃO",VLOOKUP($B22,COTAÇÕES!$A$11:$E$37,3,0),BuscarCampoAccess("Unidade",B22,B.A_SINAPI,B.M_SINAPI,C22))))</f>
        <v>ERRO: CONEXÃO NÃO ESTABELECIDA. CLIQUE EM CONECTAR.</v>
      </c>
      <c r="G22" s="517">
        <v>2.5000000000000001E-3</v>
      </c>
      <c r="H22" s="582" t="str" cm="1">
        <f t="array" ref="H22">UPPER(IF(C22="COMPOSIÇÃO",_xlfn.XLOOKUP($B22,A:A,I:I,),IF(C22="COTAÇÃO",VLOOKUP($B22,COTAÇÕES!$A$11:$E$37,5,0),BuscarCampoAccess("Custo",B22,B.A_SINAPI,B.M_SINAPI,C22))))</f>
        <v>ERRO: CONEXÃO NÃO ESTABELECIDA. CLIQUE EM CONECTAR.</v>
      </c>
      <c r="I22" s="583" t="e">
        <f t="shared" si="3"/>
        <v>#VALUE!</v>
      </c>
      <c r="K22" s="529" t="str">
        <f>IF(A22=B22,IFERROR(VLOOKUP(B22,#REF!,1,0),"-"),"-")</f>
        <v>-</v>
      </c>
      <c r="L22" s="304">
        <f t="shared" si="1"/>
        <v>1</v>
      </c>
      <c r="M22" s="304" t="str">
        <f t="shared" si="2"/>
        <v>-</v>
      </c>
    </row>
    <row r="23" spans="1:13" ht="63.75" x14ac:dyDescent="0.3">
      <c r="B23" s="592">
        <v>88316</v>
      </c>
      <c r="C23" s="573" t="s">
        <v>309</v>
      </c>
      <c r="D23" s="516" t="s">
        <v>861</v>
      </c>
      <c r="E23" s="593" t="str" cm="1">
        <f t="array" ref="E23">UPPER(IF(C23="COMPOSIÇÃO",_xlfn.XLOOKUP($B23,A:A,E:E,),IF(C23="COTAÇÃO",VLOOKUP($B23,COTAÇÕES!$A$11:$E$37,2,0),BuscarCampoAccess("Descricao",B23,B.A_SINAPI,B.M_SINAPI,C23))))</f>
        <v>ERRO: CONEXÃO NÃO ESTABELECIDA. CLIQUE EM CONECTAR.</v>
      </c>
      <c r="F23" s="594" t="str" cm="1">
        <f t="array" ref="F23">UPPER(IF(C23="COMPOSIÇÃO",_xlfn.XLOOKUP($B23,A:A,F:F,),IF(C23="COTAÇÃO",VLOOKUP($B23,COTAÇÕES!$A$11:$E$37,3,0),BuscarCampoAccess("Unidade",B23,B.A_SINAPI,B.M_SINAPI,C23))))</f>
        <v>ERRO: CONEXÃO NÃO ESTABELECIDA. CLIQUE EM CONECTAR.</v>
      </c>
      <c r="G23" s="517">
        <v>7.4999999999999997E-3</v>
      </c>
      <c r="H23" s="582" t="str" cm="1">
        <f t="array" ref="H23">UPPER(IF(C23="COMPOSIÇÃO",_xlfn.XLOOKUP($B23,A:A,I:I,),IF(C23="COTAÇÃO",VLOOKUP($B23,COTAÇÕES!$A$11:$E$37,5,0),BuscarCampoAccess("Custo",B23,B.A_SINAPI,B.M_SINAPI,C23))))</f>
        <v>ERRO: CONEXÃO NÃO ESTABELECIDA. CLIQUE EM CONECTAR.</v>
      </c>
      <c r="I23" s="583" t="e">
        <f t="shared" si="3"/>
        <v>#VALUE!</v>
      </c>
      <c r="K23" s="529" t="str">
        <f>IF(A23=B23,IFERROR(VLOOKUP(B23,#REF!,1,0),"-"),"-")</f>
        <v>-</v>
      </c>
      <c r="L23" s="304">
        <f t="shared" si="1"/>
        <v>1</v>
      </c>
      <c r="M23" s="304" t="str">
        <f t="shared" si="2"/>
        <v>-</v>
      </c>
    </row>
    <row r="24" spans="1:13" ht="63.75" x14ac:dyDescent="0.3">
      <c r="B24" s="592">
        <v>90775</v>
      </c>
      <c r="C24" s="573" t="s">
        <v>309</v>
      </c>
      <c r="D24" s="516" t="s">
        <v>861</v>
      </c>
      <c r="E24" s="593" t="str" cm="1">
        <f t="array" ref="E24">UPPER(IF(C24="COMPOSIÇÃO",_xlfn.XLOOKUP($B24,A:A,E:E,),IF(C24="COTAÇÃO",VLOOKUP($B24,COTAÇÕES!$A$11:$E$37,2,0),BuscarCampoAccess("Descricao",B24,B.A_SINAPI,B.M_SINAPI,C24))))</f>
        <v>ERRO: CONEXÃO NÃO ESTABELECIDA. CLIQUE EM CONECTAR.</v>
      </c>
      <c r="F24" s="594" t="str" cm="1">
        <f t="array" ref="F24">UPPER(IF(C24="COMPOSIÇÃO",_xlfn.XLOOKUP($B24,A:A,F:F,),IF(C24="COTAÇÃO",VLOOKUP($B24,COTAÇÕES!$A$11:$E$37,3,0),BuscarCampoAccess("Unidade",B24,B.A_SINAPI,B.M_SINAPI,C24))))</f>
        <v>ERRO: CONEXÃO NÃO ESTABELECIDA. CLIQUE EM CONECTAR.</v>
      </c>
      <c r="G24" s="517">
        <v>2E-3</v>
      </c>
      <c r="H24" s="582" t="str" cm="1">
        <f t="array" ref="H24">UPPER(IF(C24="COMPOSIÇÃO",_xlfn.XLOOKUP($B24,A:A,I:I,),IF(C24="COTAÇÃO",VLOOKUP($B24,COTAÇÕES!$A$11:$E$37,5,0),BuscarCampoAccess("Custo",B24,B.A_SINAPI,B.M_SINAPI,C24))))</f>
        <v>ERRO: CONEXÃO NÃO ESTABELECIDA. CLIQUE EM CONECTAR.</v>
      </c>
      <c r="I24" s="583" t="e">
        <f t="shared" si="3"/>
        <v>#VALUE!</v>
      </c>
      <c r="K24" s="529" t="str">
        <f>IF(A24=B24,IFERROR(VLOOKUP(B24,#REF!,1,0),"-"),"-")</f>
        <v>-</v>
      </c>
      <c r="L24" s="304">
        <f t="shared" si="1"/>
        <v>1</v>
      </c>
      <c r="M24" s="304" t="str">
        <f t="shared" si="2"/>
        <v>-</v>
      </c>
    </row>
    <row r="25" spans="1:13" ht="63.75" x14ac:dyDescent="0.3">
      <c r="B25" s="592">
        <v>92145</v>
      </c>
      <c r="C25" s="573" t="s">
        <v>309</v>
      </c>
      <c r="D25" s="516" t="s">
        <v>861</v>
      </c>
      <c r="E25" s="593" t="str" cm="1">
        <f t="array" ref="E25">UPPER(IF(C25="COMPOSIÇÃO",_xlfn.XLOOKUP($B25,A:A,E:E,),IF(C25="COTAÇÃO",VLOOKUP($B25,COTAÇÕES!$A$11:$E$37,2,0),BuscarCampoAccess("Descricao",B25,B.A_SINAPI,B.M_SINAPI,C25))))</f>
        <v>ERRO: CONEXÃO NÃO ESTABELECIDA. CLIQUE EM CONECTAR.</v>
      </c>
      <c r="F25" s="594" t="str" cm="1">
        <f t="array" ref="F25">UPPER(IF(C25="COMPOSIÇÃO",_xlfn.XLOOKUP($B25,A:A,F:F,),IF(C25="COTAÇÃO",VLOOKUP($B25,COTAÇÕES!$A$11:$E$37,3,0),BuscarCampoAccess("Unidade",B25,B.A_SINAPI,B.M_SINAPI,C25))))</f>
        <v>ERRO: CONEXÃO NÃO ESTABELECIDA. CLIQUE EM CONECTAR.</v>
      </c>
      <c r="G25" s="517">
        <v>1E-3</v>
      </c>
      <c r="H25" s="582" t="str" cm="1">
        <f t="array" ref="H25">UPPER(IF(C25="COMPOSIÇÃO",_xlfn.XLOOKUP($B25,A:A,I:I,),IF(C25="COTAÇÃO",VLOOKUP($B25,COTAÇÕES!$A$11:$E$37,5,0),BuscarCampoAccess("Custo",B25,B.A_SINAPI,B.M_SINAPI,C25))))</f>
        <v>ERRO: CONEXÃO NÃO ESTABELECIDA. CLIQUE EM CONECTAR.</v>
      </c>
      <c r="I25" s="583" t="e">
        <f t="shared" si="3"/>
        <v>#VALUE!</v>
      </c>
      <c r="K25" s="529" t="str">
        <f>IF(A25=B25,IFERROR(VLOOKUP(B25,#REF!,1,0),"-"),"-")</f>
        <v>-</v>
      </c>
      <c r="L25" s="304">
        <f t="shared" si="1"/>
        <v>1</v>
      </c>
      <c r="M25" s="304" t="str">
        <f t="shared" si="2"/>
        <v>-</v>
      </c>
    </row>
    <row r="26" spans="1:13" x14ac:dyDescent="0.3">
      <c r="K26" s="529" t="str">
        <f>IF(A26=B26,IFERROR(VLOOKUP(B26,#REF!,1,0),"-"),"-")</f>
        <v>-</v>
      </c>
      <c r="L26" s="304">
        <f t="shared" si="1"/>
        <v>0</v>
      </c>
      <c r="M26" s="304" t="b">
        <f t="shared" si="2"/>
        <v>0</v>
      </c>
    </row>
    <row r="27" spans="1:13" ht="25.5" x14ac:dyDescent="0.3">
      <c r="A27" s="192" t="str">
        <f>IF(AND(D27="",E27&lt;&gt;""),B27,"")</f>
        <v>CPU-DRED 01</v>
      </c>
      <c r="B27" s="589" t="s">
        <v>864</v>
      </c>
      <c r="C27" s="187"/>
      <c r="D27" s="188"/>
      <c r="E27" s="189" t="s">
        <v>323</v>
      </c>
      <c r="F27" s="188" t="s">
        <v>256</v>
      </c>
      <c r="G27" s="188"/>
      <c r="H27" s="191"/>
      <c r="I27" s="590" t="e">
        <f>SUM(I28:I31)</f>
        <v>#VALUE!</v>
      </c>
      <c r="K27" s="529" t="str">
        <f>IF(A27=B27,IFERROR(VLOOKUP(B27,#REF!,1,0),"-"),"-")</f>
        <v>-</v>
      </c>
      <c r="L27" s="304">
        <f t="shared" si="1"/>
        <v>1</v>
      </c>
      <c r="M27" s="304" t="str">
        <f t="shared" si="2"/>
        <v>-</v>
      </c>
    </row>
    <row r="28" spans="1:13" ht="63.75" x14ac:dyDescent="0.3">
      <c r="B28" s="592">
        <v>21090</v>
      </c>
      <c r="C28" s="573" t="s">
        <v>309</v>
      </c>
      <c r="D28" s="516" t="s">
        <v>861</v>
      </c>
      <c r="E28" s="593" t="str" cm="1">
        <f t="array" ref="E28">UPPER(IF(C28="COMPOSIÇÃO",_xlfn.XLOOKUP($B28,A:A,E:E,),IF(C28="COTAÇÃO",VLOOKUP($B28,COTAÇÕES!$A$11:$E$37,2,0),BuscarCampoAccess("Descricao",B28,B.A_SINAPI,B.M_SINAPI,C28))))</f>
        <v>ERRO: CONEXÃO NÃO ESTABELECIDA. CLIQUE EM CONECTAR.</v>
      </c>
      <c r="F28" s="594" t="str" cm="1">
        <f t="array" ref="F28">UPPER(IF(C28="COMPOSIÇÃO",_xlfn.XLOOKUP($B28,A:A,F:F,),IF(C28="COTAÇÃO",VLOOKUP($B28,COTAÇÕES!$A$11:$E$37,3,0),BuscarCampoAccess("Unidade",B28,B.A_SINAPI,B.M_SINAPI,C28))))</f>
        <v>ERRO: CONEXÃO NÃO ESTABELECIDA. CLIQUE EM CONECTAR.</v>
      </c>
      <c r="G28" s="517">
        <v>1</v>
      </c>
      <c r="H28" s="582" t="str" cm="1">
        <f t="array" ref="H28">UPPER(IF(C28="COMPOSIÇÃO",_xlfn.XLOOKUP($B28,A:A,I:I,),IF(C28="COTAÇÃO",VLOOKUP($B28,COTAÇÕES!$A$11:$E$37,5,0),BuscarCampoAccess("Custo",B28,B.A_SINAPI,B.M_SINAPI,C28))))</f>
        <v>ERRO: CONEXÃO NÃO ESTABELECIDA. CLIQUE EM CONECTAR.</v>
      </c>
      <c r="I28" s="583" t="e">
        <f>TRUNC(G28*H28,2)</f>
        <v>#VALUE!</v>
      </c>
      <c r="K28" s="529" t="str">
        <f>IF(A28=B28,IFERROR(VLOOKUP(B28,#REF!,1,0),"-"),"-")</f>
        <v>-</v>
      </c>
      <c r="L28" s="304">
        <f t="shared" si="1"/>
        <v>1</v>
      </c>
      <c r="M28" s="304" t="str">
        <f t="shared" si="2"/>
        <v>-</v>
      </c>
    </row>
    <row r="29" spans="1:13" ht="63.75" x14ac:dyDescent="0.3">
      <c r="B29" s="592">
        <v>94964</v>
      </c>
      <c r="C29" s="573" t="s">
        <v>309</v>
      </c>
      <c r="D29" s="516" t="s">
        <v>861</v>
      </c>
      <c r="E29" s="593" t="str" cm="1">
        <f t="array" ref="E29">UPPER(IF(C29="COMPOSIÇÃO",_xlfn.XLOOKUP($B29,A:A,E:E,),IF(C29="COTAÇÃO",VLOOKUP($B29,COTAÇÕES!$A$11:$E$37,2,0),BuscarCampoAccess("Descricao",B29,B.A_SINAPI,B.M_SINAPI,C29))))</f>
        <v>ERRO: CONEXÃO NÃO ESTABELECIDA. CLIQUE EM CONECTAR.</v>
      </c>
      <c r="F29" s="594" t="str" cm="1">
        <f t="array" ref="F29">UPPER(IF(C29="COMPOSIÇÃO",_xlfn.XLOOKUP($B29,A:A,F:F,),IF(C29="COTAÇÃO",VLOOKUP($B29,COTAÇÕES!$A$11:$E$37,3,0),BuscarCampoAccess("Unidade",B29,B.A_SINAPI,B.M_SINAPI,C29))))</f>
        <v>ERRO: CONEXÃO NÃO ESTABELECIDA. CLIQUE EM CONECTAR.</v>
      </c>
      <c r="G29" s="517">
        <v>0.26640000000000003</v>
      </c>
      <c r="H29" s="582" t="str" cm="1">
        <f t="array" ref="H29">UPPER(IF(C29="COMPOSIÇÃO",_xlfn.XLOOKUP($B29,A:A,I:I,),IF(C29="COTAÇÃO",VLOOKUP($B29,COTAÇÕES!$A$11:$E$37,5,0),BuscarCampoAccess("Custo",B29,B.A_SINAPI,B.M_SINAPI,C29))))</f>
        <v>ERRO: CONEXÃO NÃO ESTABELECIDA. CLIQUE EM CONECTAR.</v>
      </c>
      <c r="I29" s="583" t="e">
        <f>TRUNC(G29*H29,2)</f>
        <v>#VALUE!</v>
      </c>
      <c r="K29" s="529" t="str">
        <f>IF(A29=B29,IFERROR(VLOOKUP(B29,#REF!,1,0),"-"),"-")</f>
        <v>-</v>
      </c>
      <c r="L29" s="304">
        <f t="shared" si="1"/>
        <v>1</v>
      </c>
      <c r="M29" s="304" t="str">
        <f t="shared" si="2"/>
        <v>-</v>
      </c>
    </row>
    <row r="30" spans="1:13" ht="63.75" x14ac:dyDescent="0.3">
      <c r="B30" s="592">
        <v>88309</v>
      </c>
      <c r="C30" s="573" t="s">
        <v>309</v>
      </c>
      <c r="D30" s="516" t="s">
        <v>861</v>
      </c>
      <c r="E30" s="593" t="str" cm="1">
        <f t="array" ref="E30">UPPER(IF(C30="COMPOSIÇÃO",_xlfn.XLOOKUP($B30,A:A,E:E,),IF(C30="COTAÇÃO",VLOOKUP($B30,COTAÇÕES!$A$11:$E$37,2,0),BuscarCampoAccess("Descricao",B30,B.A_SINAPI,B.M_SINAPI,C30))))</f>
        <v>ERRO: CONEXÃO NÃO ESTABELECIDA. CLIQUE EM CONECTAR.</v>
      </c>
      <c r="F30" s="594" t="str" cm="1">
        <f t="array" ref="F30">UPPER(IF(C30="COMPOSIÇÃO",_xlfn.XLOOKUP($B30,A:A,F:F,),IF(C30="COTAÇÃO",VLOOKUP($B30,COTAÇÕES!$A$11:$E$37,3,0),BuscarCampoAccess("Unidade",B30,B.A_SINAPI,B.M_SINAPI,C30))))</f>
        <v>ERRO: CONEXÃO NÃO ESTABELECIDA. CLIQUE EM CONECTAR.</v>
      </c>
      <c r="G30" s="517">
        <v>1</v>
      </c>
      <c r="H30" s="582" t="str" cm="1">
        <f t="array" ref="H30">UPPER(IF(C30="COMPOSIÇÃO",_xlfn.XLOOKUP($B30,A:A,I:I,),IF(C30="COTAÇÃO",VLOOKUP($B30,COTAÇÕES!$A$11:$E$37,5,0),BuscarCampoAccess("Custo",B30,B.A_SINAPI,B.M_SINAPI,C30))))</f>
        <v>ERRO: CONEXÃO NÃO ESTABELECIDA. CLIQUE EM CONECTAR.</v>
      </c>
      <c r="I30" s="583" t="e">
        <f>TRUNC(G30*H30,2)</f>
        <v>#VALUE!</v>
      </c>
      <c r="K30" s="529" t="str">
        <f>IF(A30=B30,IFERROR(VLOOKUP(B30,#REF!,1,0),"-"),"-")</f>
        <v>-</v>
      </c>
      <c r="L30" s="304">
        <f t="shared" si="1"/>
        <v>1</v>
      </c>
      <c r="M30" s="304" t="str">
        <f t="shared" si="2"/>
        <v>-</v>
      </c>
    </row>
    <row r="31" spans="1:13" ht="63.75" x14ac:dyDescent="0.3">
      <c r="B31" s="592">
        <v>88316</v>
      </c>
      <c r="C31" s="573" t="s">
        <v>309</v>
      </c>
      <c r="D31" s="516" t="s">
        <v>861</v>
      </c>
      <c r="E31" s="593" t="str" cm="1">
        <f t="array" ref="E31">UPPER(IF(C31="COMPOSIÇÃO",_xlfn.XLOOKUP($B31,A:A,E:E,),IF(C31="COTAÇÃO",VLOOKUP($B31,COTAÇÕES!$A$11:$E$37,2,0),BuscarCampoAccess("Descricao",B31,B.A_SINAPI,B.M_SINAPI,C31))))</f>
        <v>ERRO: CONEXÃO NÃO ESTABELECIDA. CLIQUE EM CONECTAR.</v>
      </c>
      <c r="F31" s="594" t="str" cm="1">
        <f t="array" ref="F31">UPPER(IF(C31="COMPOSIÇÃO",_xlfn.XLOOKUP($B31,A:A,F:F,),IF(C31="COTAÇÃO",VLOOKUP($B31,COTAÇÕES!$A$11:$E$37,3,0),BuscarCampoAccess("Unidade",B31,B.A_SINAPI,B.M_SINAPI,C31))))</f>
        <v>ERRO: CONEXÃO NÃO ESTABELECIDA. CLIQUE EM CONECTAR.</v>
      </c>
      <c r="G31" s="517">
        <v>1</v>
      </c>
      <c r="H31" s="582" t="str" cm="1">
        <f t="array" ref="H31">UPPER(IF(C31="COMPOSIÇÃO",_xlfn.XLOOKUP($B31,A:A,I:I,),IF(C31="COTAÇÃO",VLOOKUP($B31,COTAÇÕES!$A$11:$E$37,5,0),BuscarCampoAccess("Custo",B31,B.A_SINAPI,B.M_SINAPI,C31))))</f>
        <v>ERRO: CONEXÃO NÃO ESTABELECIDA. CLIQUE EM CONECTAR.</v>
      </c>
      <c r="I31" s="583" t="e">
        <f>TRUNC(G31*H31,2)</f>
        <v>#VALUE!</v>
      </c>
      <c r="K31" s="529" t="str">
        <f>IF(A31=B31,IFERROR(VLOOKUP(B31,#REF!,1,0),"-"),"-")</f>
        <v>-</v>
      </c>
      <c r="L31" s="304">
        <f t="shared" si="1"/>
        <v>1</v>
      </c>
      <c r="M31" s="304" t="str">
        <f t="shared" si="2"/>
        <v>-</v>
      </c>
    </row>
    <row r="32" spans="1:13" x14ac:dyDescent="0.3">
      <c r="K32" s="529" t="str">
        <f>IF(A32=B32,IFERROR(VLOOKUP(B32,#REF!,1,0),"-"),"-")</f>
        <v>-</v>
      </c>
      <c r="L32" s="304">
        <f t="shared" si="1"/>
        <v>0</v>
      </c>
      <c r="M32" s="304" t="b">
        <f t="shared" si="2"/>
        <v>0</v>
      </c>
    </row>
    <row r="33" spans="1:13" ht="25.5" x14ac:dyDescent="0.3">
      <c r="A33" s="192" t="str">
        <f>IF(AND(D33="",E33&lt;&gt;""),B33,"")</f>
        <v>CPU-PAVT 01</v>
      </c>
      <c r="B33" s="589" t="s">
        <v>865</v>
      </c>
      <c r="C33" s="187"/>
      <c r="D33" s="188"/>
      <c r="E33" s="189" t="s">
        <v>324</v>
      </c>
      <c r="F33" s="188" t="s">
        <v>256</v>
      </c>
      <c r="G33" s="188"/>
      <c r="H33" s="191"/>
      <c r="I33" s="590" t="e">
        <f>SUM(I34)</f>
        <v>#VALUE!</v>
      </c>
      <c r="K33" s="529" t="str">
        <f>IF(A33=B33,IFERROR(VLOOKUP(B33,#REF!,1,0),"-"),"-")</f>
        <v>-</v>
      </c>
      <c r="L33" s="304">
        <f t="shared" si="1"/>
        <v>1</v>
      </c>
      <c r="M33" s="304" t="str">
        <f t="shared" si="2"/>
        <v>-</v>
      </c>
    </row>
    <row r="34" spans="1:13" ht="63.75" x14ac:dyDescent="0.3">
      <c r="B34" s="592">
        <v>5811</v>
      </c>
      <c r="C34" s="573" t="s">
        <v>309</v>
      </c>
      <c r="D34" s="516" t="s">
        <v>861</v>
      </c>
      <c r="E34" s="593" t="str" cm="1">
        <f t="array" ref="E34">UPPER(IF(C34="COMPOSIÇÃO",_xlfn.XLOOKUP($B34,A:A,E:E,),IF(C34="COTAÇÃO",VLOOKUP($B34,COTAÇÕES!$A$11:$E$37,2,0),BuscarCampoAccess("Descricao",B34,B.A_SINAPI,B.M_SINAPI,C34))))</f>
        <v>ERRO: CONEXÃO NÃO ESTABELECIDA. CLIQUE EM CONECTAR.</v>
      </c>
      <c r="F34" s="594" t="str" cm="1">
        <f t="array" ref="F34">UPPER(IF(C34="COMPOSIÇÃO",_xlfn.XLOOKUP($B34,A:A,F:F,),IF(C34="COTAÇÃO",VLOOKUP($B34,COTAÇÕES!$A$11:$E$37,3,0),BuscarCampoAccess("Unidade",B34,B.A_SINAPI,B.M_SINAPI,C34))))</f>
        <v>ERRO: CONEXÃO NÃO ESTABELECIDA. CLIQUE EM CONECTAR.</v>
      </c>
      <c r="G34" s="517">
        <v>4.7000000000000002E-3</v>
      </c>
      <c r="H34" s="582" t="str" cm="1">
        <f t="array" ref="H34">UPPER(IF(C34="COMPOSIÇÃO",_xlfn.XLOOKUP($B34,A:A,I:I,),IF(C34="COTAÇÃO",VLOOKUP($B34,COTAÇÕES!$A$11:$E$37,5,0),BuscarCampoAccess("Custo",B34,B.A_SINAPI,B.M_SINAPI,C34))))</f>
        <v>ERRO: CONEXÃO NÃO ESTABELECIDA. CLIQUE EM CONECTAR.</v>
      </c>
      <c r="I34" s="583" t="e">
        <f>TRUNC(G34*H34,2)</f>
        <v>#VALUE!</v>
      </c>
      <c r="K34" s="529" t="str">
        <f>IF(A34=B34,IFERROR(VLOOKUP(B34,#REF!,1,0),"-"),"-")</f>
        <v>-</v>
      </c>
      <c r="L34" s="304">
        <f t="shared" si="1"/>
        <v>1</v>
      </c>
      <c r="M34" s="304" t="str">
        <f t="shared" si="2"/>
        <v>-</v>
      </c>
    </row>
    <row r="35" spans="1:13" x14ac:dyDescent="0.3">
      <c r="K35" s="529" t="str">
        <f>IF(A35=B35,IFERROR(VLOOKUP(B35,#REF!,1,0),"-"),"-")</f>
        <v>-</v>
      </c>
      <c r="L35" s="304">
        <f t="shared" si="1"/>
        <v>0</v>
      </c>
      <c r="M35" s="304" t="b">
        <f t="shared" si="2"/>
        <v>0</v>
      </c>
    </row>
    <row r="36" spans="1:13" ht="25.5" x14ac:dyDescent="0.3">
      <c r="A36" s="192" t="str">
        <f>IF(AND(D36="",E36&lt;&gt;""),B36,"")</f>
        <v>CPU-PAVT 02</v>
      </c>
      <c r="B36" s="589" t="s">
        <v>866</v>
      </c>
      <c r="C36" s="187"/>
      <c r="D36" s="188"/>
      <c r="E36" s="189" t="s">
        <v>856</v>
      </c>
      <c r="F36" s="188" t="s">
        <v>325</v>
      </c>
      <c r="G36" s="188"/>
      <c r="H36" s="191"/>
      <c r="I36" s="590" t="e">
        <f>SUM(I37)</f>
        <v>#VALUE!</v>
      </c>
      <c r="K36" s="529" t="str">
        <f>IF(A36=B36,IFERROR(VLOOKUP(B36,#REF!,1,0),"-"),"-")</f>
        <v>-</v>
      </c>
      <c r="L36" s="304">
        <f t="shared" si="1"/>
        <v>1</v>
      </c>
      <c r="M36" s="304" t="str">
        <f t="shared" si="2"/>
        <v>-</v>
      </c>
    </row>
    <row r="37" spans="1:13" ht="63.75" x14ac:dyDescent="0.3">
      <c r="B37" s="516">
        <v>5811</v>
      </c>
      <c r="C37" s="573" t="s">
        <v>309</v>
      </c>
      <c r="D37" s="516" t="s">
        <v>861</v>
      </c>
      <c r="E37" s="593" t="str" cm="1">
        <f t="array" ref="E37">UPPER(IF(C37="COMPOSIÇÃO",_xlfn.XLOOKUP($B37,A:A,E:E,),IF(C37="COTAÇÃO",VLOOKUP($B37,COTAÇÕES!$A$11:$E$37,2,0),BuscarCampoAccess("Descricao",B37,B.A_SINAPI,B.M_SINAPI,C37))))</f>
        <v>ERRO: CONEXÃO NÃO ESTABELECIDA. CLIQUE EM CONECTAR.</v>
      </c>
      <c r="F37" s="594" t="str" cm="1">
        <f t="array" ref="F37">UPPER(IF(C37="COMPOSIÇÃO",_xlfn.XLOOKUP($B37,A:A,F:F,),IF(C37="COTAÇÃO",VLOOKUP($B37,COTAÇÕES!$A$11:$E$37,3,0),BuscarCampoAccess("Unidade",B37,B.A_SINAPI,B.M_SINAPI,C37))))</f>
        <v>ERRO: CONEXÃO NÃO ESTABELECIDA. CLIQUE EM CONECTAR.</v>
      </c>
      <c r="G37" s="517">
        <v>4.4999999999999997E-3</v>
      </c>
      <c r="H37" s="582" t="str" cm="1">
        <f t="array" ref="H37">UPPER(IF(C37="COMPOSIÇÃO",_xlfn.XLOOKUP($B37,A:A,I:I,),IF(C37="COTAÇÃO",VLOOKUP($B37,COTAÇÕES!$A$11:$E$37,5,0),BuscarCampoAccess("Custo",B37,B.A_SINAPI,B.M_SINAPI,C37))))</f>
        <v>ERRO: CONEXÃO NÃO ESTABELECIDA. CLIQUE EM CONECTAR.</v>
      </c>
      <c r="I37" s="583" t="e">
        <f>TRUNC(G37*H37,2)</f>
        <v>#VALUE!</v>
      </c>
      <c r="K37" s="529" t="str">
        <f>IF(A37=B37,IFERROR(VLOOKUP(B37,#REF!,1,0),"-"),"-")</f>
        <v>-</v>
      </c>
      <c r="L37" s="304">
        <f t="shared" si="1"/>
        <v>1</v>
      </c>
      <c r="M37" s="304" t="str">
        <f t="shared" si="2"/>
        <v>-</v>
      </c>
    </row>
    <row r="38" spans="1:13" x14ac:dyDescent="0.3">
      <c r="K38" s="529" t="str">
        <f>IF(A38=B38,IFERROR(VLOOKUP(B38,#REF!,1,0),"-"),"-")</f>
        <v>-</v>
      </c>
      <c r="L38" s="304">
        <f t="shared" si="1"/>
        <v>0</v>
      </c>
      <c r="M38" s="304" t="b">
        <f t="shared" si="2"/>
        <v>0</v>
      </c>
    </row>
    <row r="39" spans="1:13" ht="25.5" x14ac:dyDescent="0.3">
      <c r="A39" s="192" t="str">
        <f>IF(AND(D39="",E39&lt;&gt;""),B39,"")</f>
        <v>CPU-PAVT 03</v>
      </c>
      <c r="B39" s="589" t="s">
        <v>867</v>
      </c>
      <c r="C39" s="187"/>
      <c r="D39" s="188"/>
      <c r="E39" s="189" t="s">
        <v>326</v>
      </c>
      <c r="F39" s="188" t="s">
        <v>327</v>
      </c>
      <c r="G39" s="188"/>
      <c r="H39" s="191"/>
      <c r="I39" s="590" t="e">
        <f>SUM(I40:I42)</f>
        <v>#VALUE!</v>
      </c>
      <c r="K39" s="529" t="str">
        <f>IF(A39=B39,IFERROR(VLOOKUP(B39,#REF!,1,0),"-"),"-")</f>
        <v>-</v>
      </c>
      <c r="L39" s="304">
        <f t="shared" si="1"/>
        <v>1</v>
      </c>
      <c r="M39" s="304" t="str">
        <f t="shared" si="2"/>
        <v>-</v>
      </c>
    </row>
    <row r="40" spans="1:13" ht="63.75" x14ac:dyDescent="0.3">
      <c r="B40" s="516">
        <v>5632</v>
      </c>
      <c r="C40" s="573" t="s">
        <v>980</v>
      </c>
      <c r="D40" s="516" t="s">
        <v>861</v>
      </c>
      <c r="E40" s="593" t="str" cm="1">
        <f t="array" ref="E40">UPPER(IF(C40="COMPOSIÇÃO",_xlfn.XLOOKUP($B40,A:A,E:E,),IF(C40="COTAÇÃO",VLOOKUP($B40,COTAÇÕES!$A$11:$E$37,2,0),BuscarCampoAccess("Descricao",B40,B.A_SINAPI,B.M_SINAPI,C40))))</f>
        <v>ERRO: CONEXÃO NÃO ESTABELECIDA. CLIQUE EM CONECTAR.</v>
      </c>
      <c r="F40" s="594" t="str" cm="1">
        <f t="array" ref="F40">UPPER(IF(C40="COMPOSIÇÃO",_xlfn.XLOOKUP($B40,A:A,F:F,),IF(C40="COTAÇÃO",VLOOKUP($B40,COTAÇÕES!$A$11:$E$37,3,0),BuscarCampoAccess("Unidade",B40,B.A_SINAPI,B.M_SINAPI,C40))))</f>
        <v>ERRO: CONEXÃO NÃO ESTABELECIDA. CLIQUE EM CONECTAR.</v>
      </c>
      <c r="G40" s="517">
        <v>5.7999999999999996E-3</v>
      </c>
      <c r="H40" s="582" t="str" cm="1">
        <f t="array" ref="H40">UPPER(IF(C40="COMPOSIÇÃO",_xlfn.XLOOKUP($B40,A:A,I:I,),IF(C40="COTAÇÃO",VLOOKUP($B40,COTAÇÕES!$A$11:$E$37,5,0),BuscarCampoAccess("Custo",B40,B.A_SINAPI,B.M_SINAPI,C40))))</f>
        <v>ERRO: CONEXÃO NÃO ESTABELECIDA. CLIQUE EM CONECTAR.</v>
      </c>
      <c r="I40" s="583" t="e">
        <f>TRUNC(G40*H40,2)</f>
        <v>#VALUE!</v>
      </c>
      <c r="K40" s="529" t="str">
        <f>IF(A40=B40,IFERROR(VLOOKUP(B40,#REF!,1,0),"-"),"-")</f>
        <v>-</v>
      </c>
      <c r="L40" s="304">
        <f t="shared" si="1"/>
        <v>1</v>
      </c>
      <c r="M40" s="304" t="str">
        <f t="shared" si="2"/>
        <v>-</v>
      </c>
    </row>
    <row r="41" spans="1:13" ht="63.75" x14ac:dyDescent="0.3">
      <c r="B41" s="516">
        <v>88316</v>
      </c>
      <c r="C41" s="573" t="s">
        <v>309</v>
      </c>
      <c r="D41" s="516" t="s">
        <v>861</v>
      </c>
      <c r="E41" s="593" t="str" cm="1">
        <f t="array" ref="E41">UPPER(IF(C41="COMPOSIÇÃO",_xlfn.XLOOKUP($B41,A:A,E:E,),IF(C41="COTAÇÃO",VLOOKUP($B41,COTAÇÕES!$A$11:$E$37,2,0),BuscarCampoAccess("Descricao",B41,B.A_SINAPI,B.M_SINAPI,C41))))</f>
        <v>ERRO: CONEXÃO NÃO ESTABELECIDA. CLIQUE EM CONECTAR.</v>
      </c>
      <c r="F41" s="594" t="str" cm="1">
        <f t="array" ref="F41">UPPER(IF(C41="COMPOSIÇÃO",_xlfn.XLOOKUP($B41,A:A,F:F,),IF(C41="COTAÇÃO",VLOOKUP($B41,COTAÇÕES!$A$11:$E$37,3,0),BuscarCampoAccess("Unidade",B41,B.A_SINAPI,B.M_SINAPI,C41))))</f>
        <v>ERRO: CONEXÃO NÃO ESTABELECIDA. CLIQUE EM CONECTAR.</v>
      </c>
      <c r="G41" s="517">
        <v>1.9199999999999998E-2</v>
      </c>
      <c r="H41" s="582" t="str" cm="1">
        <f t="array" ref="H41">UPPER(IF(C41="COMPOSIÇÃO",_xlfn.XLOOKUP($B41,A:A,I:I,),IF(C41="COTAÇÃO",VLOOKUP($B41,COTAÇÕES!$A$11:$E$37,5,0),BuscarCampoAccess("Custo",B41,B.A_SINAPI,B.M_SINAPI,C41))))</f>
        <v>ERRO: CONEXÃO NÃO ESTABELECIDA. CLIQUE EM CONECTAR.</v>
      </c>
      <c r="I41" s="583" t="e">
        <f>TRUNC(G41*H41,2)</f>
        <v>#VALUE!</v>
      </c>
      <c r="K41" s="529" t="str">
        <f>IF(A41=B41,IFERROR(VLOOKUP(B41,#REF!,1,0),"-"),"-")</f>
        <v>-</v>
      </c>
      <c r="L41" s="304">
        <f t="shared" si="1"/>
        <v>1</v>
      </c>
      <c r="M41" s="304" t="str">
        <f t="shared" si="2"/>
        <v>-</v>
      </c>
    </row>
    <row r="42" spans="1:13" ht="63.75" x14ac:dyDescent="0.3">
      <c r="B42" s="516">
        <v>5631</v>
      </c>
      <c r="C42" s="573" t="s">
        <v>309</v>
      </c>
      <c r="D42" s="516" t="s">
        <v>861</v>
      </c>
      <c r="E42" s="593" t="str" cm="1">
        <f t="array" ref="E42">UPPER(IF(C42="COMPOSIÇÃO",_xlfn.XLOOKUP($B42,A:A,E:E,),IF(C42="COTAÇÃO",VLOOKUP($B42,COTAÇÕES!$A$11:$E$37,2,0),BuscarCampoAccess("Descricao",B42,B.A_SINAPI,B.M_SINAPI,C42))))</f>
        <v>ERRO: CONEXÃO NÃO ESTABELECIDA. CLIQUE EM CONECTAR.</v>
      </c>
      <c r="F42" s="594" t="str" cm="1">
        <f t="array" ref="F42">UPPER(IF(C42="COMPOSIÇÃO",_xlfn.XLOOKUP($B42,A:A,F:F,),IF(C42="COTAÇÃO",VLOOKUP($B42,COTAÇÕES!$A$11:$E$37,3,0),BuscarCampoAccess("Unidade",B42,B.A_SINAPI,B.M_SINAPI,C42))))</f>
        <v>ERRO: CONEXÃO NÃO ESTABELECIDA. CLIQUE EM CONECTAR.</v>
      </c>
      <c r="G42" s="517">
        <v>1.34E-2</v>
      </c>
      <c r="H42" s="582" t="str" cm="1">
        <f t="array" ref="H42">UPPER(IF(C42="COMPOSIÇÃO",_xlfn.XLOOKUP($B42,A:A,I:I,),IF(C42="COTAÇÃO",VLOOKUP($B42,COTAÇÕES!$A$11:$E$37,5,0),BuscarCampoAccess("Custo",B42,B.A_SINAPI,B.M_SINAPI,C42))))</f>
        <v>ERRO: CONEXÃO NÃO ESTABELECIDA. CLIQUE EM CONECTAR.</v>
      </c>
      <c r="I42" s="583" t="e">
        <f>TRUNC(G42*H42,2)</f>
        <v>#VALUE!</v>
      </c>
      <c r="K42" s="529" t="str">
        <f>IF(A42=B42,IFERROR(VLOOKUP(B42,#REF!,1,0),"-"),"-")</f>
        <v>-</v>
      </c>
      <c r="L42" s="304">
        <f t="shared" si="1"/>
        <v>1</v>
      </c>
      <c r="M42" s="304" t="str">
        <f t="shared" si="2"/>
        <v>-</v>
      </c>
    </row>
    <row r="43" spans="1:13" x14ac:dyDescent="0.3">
      <c r="K43" s="529" t="str">
        <f>IF(A43=B43,IFERROR(VLOOKUP(B43,#REF!,1,0),"-"),"-")</f>
        <v>-</v>
      </c>
      <c r="L43" s="304">
        <f t="shared" si="1"/>
        <v>0</v>
      </c>
      <c r="M43" s="304" t="b">
        <f t="shared" si="2"/>
        <v>0</v>
      </c>
    </row>
    <row r="44" spans="1:13" ht="51" x14ac:dyDescent="0.3">
      <c r="A44" s="192" t="str">
        <f>IF(AND(D44="",E44&lt;&gt;""),B44,"")</f>
        <v>CPU-PAVT 04</v>
      </c>
      <c r="B44" s="589" t="s">
        <v>868</v>
      </c>
      <c r="C44" s="187"/>
      <c r="D44" s="188"/>
      <c r="E44" s="189" t="s">
        <v>328</v>
      </c>
      <c r="F44" s="188" t="s">
        <v>327</v>
      </c>
      <c r="G44" s="188"/>
      <c r="H44" s="191"/>
      <c r="I44" s="590" t="e">
        <f>SUM(I45:I47)</f>
        <v>#VALUE!</v>
      </c>
      <c r="K44" s="529" t="str">
        <f>IF(A44=B44,IFERROR(VLOOKUP(B44,#REF!,1,0),"-"),"-")</f>
        <v>-</v>
      </c>
      <c r="L44" s="304">
        <f t="shared" si="1"/>
        <v>1</v>
      </c>
      <c r="M44" s="304" t="str">
        <f t="shared" si="2"/>
        <v>-</v>
      </c>
    </row>
    <row r="45" spans="1:13" ht="63.75" x14ac:dyDescent="0.3">
      <c r="B45" s="516">
        <v>5811</v>
      </c>
      <c r="C45" s="573" t="s">
        <v>309</v>
      </c>
      <c r="D45" s="516" t="s">
        <v>861</v>
      </c>
      <c r="E45" s="593" t="str" cm="1">
        <f t="array" ref="E45">UPPER(IF(C45="COMPOSIÇÃO",_xlfn.XLOOKUP($B45,A:A,E:E,),IF(C45="COTAÇÃO",VLOOKUP($B45,COTAÇÕES!$A$11:$E$37,2,0),BuscarCampoAccess("Descricao",B45,B.A_SINAPI,B.M_SINAPI,C45))))</f>
        <v>ERRO: CONEXÃO NÃO ESTABELECIDA. CLIQUE EM CONECTAR.</v>
      </c>
      <c r="F45" s="594" t="str" cm="1">
        <f t="array" ref="F45">UPPER(IF(C45="COMPOSIÇÃO",_xlfn.XLOOKUP($B45,A:A,F:F,),IF(C45="COTAÇÃO",VLOOKUP($B45,COTAÇÕES!$A$11:$E$37,3,0),BuscarCampoAccess("Unidade",B45,B.A_SINAPI,B.M_SINAPI,C45))))</f>
        <v>ERRO: CONEXÃO NÃO ESTABELECIDA. CLIQUE EM CONECTAR.</v>
      </c>
      <c r="G45" s="517">
        <v>3.0000000000000001E-3</v>
      </c>
      <c r="H45" s="582" t="str" cm="1">
        <f t="array" ref="H45">UPPER(IF(C45="COMPOSIÇÃO",_xlfn.XLOOKUP($B45,A:A,I:I,),IF(C45="COTAÇÃO",VLOOKUP($B45,COTAÇÕES!$A$11:$E$37,5,0),BuscarCampoAccess("Custo",B45,B.A_SINAPI,B.M_SINAPI,C45))))</f>
        <v>ERRO: CONEXÃO NÃO ESTABELECIDA. CLIQUE EM CONECTAR.</v>
      </c>
      <c r="I45" s="583" t="e">
        <f>TRUNC(G45*H45,2)</f>
        <v>#VALUE!</v>
      </c>
      <c r="K45" s="529" t="str">
        <f>IF(A45=B45,IFERROR(VLOOKUP(B45,#REF!,1,0),"-"),"-")</f>
        <v>-</v>
      </c>
      <c r="L45" s="304">
        <f t="shared" si="1"/>
        <v>1</v>
      </c>
      <c r="M45" s="304" t="str">
        <f t="shared" si="2"/>
        <v>-</v>
      </c>
    </row>
    <row r="46" spans="1:13" ht="63.75" x14ac:dyDescent="0.3">
      <c r="B46" s="516">
        <v>5940</v>
      </c>
      <c r="C46" s="573" t="s">
        <v>309</v>
      </c>
      <c r="D46" s="516" t="s">
        <v>861</v>
      </c>
      <c r="E46" s="593" t="str" cm="1">
        <f t="array" ref="E46">UPPER(IF(C46="COMPOSIÇÃO",_xlfn.XLOOKUP($B46,A:A,E:E,),IF(C46="COTAÇÃO",VLOOKUP($B46,COTAÇÕES!$A$11:$E$37,2,0),BuscarCampoAccess("Descricao",B46,B.A_SINAPI,B.M_SINAPI,C46))))</f>
        <v>ERRO: CONEXÃO NÃO ESTABELECIDA. CLIQUE EM CONECTAR.</v>
      </c>
      <c r="F46" s="594" t="str" cm="1">
        <f t="array" ref="F46">UPPER(IF(C46="COMPOSIÇÃO",_xlfn.XLOOKUP($B46,A:A,F:F,),IF(C46="COTAÇÃO",VLOOKUP($B46,COTAÇÕES!$A$11:$E$37,3,0),BuscarCampoAccess("Unidade",B46,B.A_SINAPI,B.M_SINAPI,C46))))</f>
        <v>ERRO: CONEXÃO NÃO ESTABELECIDA. CLIQUE EM CONECTAR.</v>
      </c>
      <c r="G46" s="517">
        <v>8.0000000000000002E-3</v>
      </c>
      <c r="H46" s="582" t="str" cm="1">
        <f t="array" ref="H46">UPPER(IF(C46="COMPOSIÇÃO",_xlfn.XLOOKUP($B46,A:A,I:I,),IF(C46="COTAÇÃO",VLOOKUP($B46,COTAÇÕES!$A$11:$E$37,5,0),BuscarCampoAccess("Custo",B46,B.A_SINAPI,B.M_SINAPI,C46))))</f>
        <v>ERRO: CONEXÃO NÃO ESTABELECIDA. CLIQUE EM CONECTAR.</v>
      </c>
      <c r="I46" s="583" t="e">
        <f>TRUNC(G46*H46,2)</f>
        <v>#VALUE!</v>
      </c>
      <c r="K46" s="529" t="str">
        <f>IF(A46=B46,IFERROR(VLOOKUP(B46,#REF!,1,0),"-"),"-")</f>
        <v>-</v>
      </c>
      <c r="L46" s="304">
        <f t="shared" si="1"/>
        <v>1</v>
      </c>
      <c r="M46" s="304" t="str">
        <f t="shared" si="2"/>
        <v>-</v>
      </c>
    </row>
    <row r="47" spans="1:13" ht="63.75" x14ac:dyDescent="0.3">
      <c r="B47" s="516">
        <v>88316</v>
      </c>
      <c r="C47" s="573" t="s">
        <v>309</v>
      </c>
      <c r="D47" s="516" t="s">
        <v>861</v>
      </c>
      <c r="E47" s="593" t="str" cm="1">
        <f t="array" ref="E47">UPPER(IF(C47="COMPOSIÇÃO",_xlfn.XLOOKUP($B47,A:A,E:E,),IF(C47="COTAÇÃO",VLOOKUP($B47,COTAÇÕES!$A$11:$E$37,2,0),BuscarCampoAccess("Descricao",B47,B.A_SINAPI,B.M_SINAPI,C47))))</f>
        <v>ERRO: CONEXÃO NÃO ESTABELECIDA. CLIQUE EM CONECTAR.</v>
      </c>
      <c r="F47" s="594" t="str" cm="1">
        <f t="array" ref="F47">UPPER(IF(C47="COMPOSIÇÃO",_xlfn.XLOOKUP($B47,A:A,F:F,),IF(C47="COTAÇÃO",VLOOKUP($B47,COTAÇÕES!$A$11:$E$37,3,0),BuscarCampoAccess("Unidade",B47,B.A_SINAPI,B.M_SINAPI,C47))))</f>
        <v>ERRO: CONEXÃO NÃO ESTABELECIDA. CLIQUE EM CONECTAR.</v>
      </c>
      <c r="G47" s="517">
        <v>8.0000000000000002E-3</v>
      </c>
      <c r="H47" s="582" t="str" cm="1">
        <f t="array" ref="H47">UPPER(IF(C47="COMPOSIÇÃO",_xlfn.XLOOKUP($B47,A:A,I:I,),IF(C47="COTAÇÃO",VLOOKUP($B47,COTAÇÕES!$A$11:$E$37,5,0),BuscarCampoAccess("Custo",B47,B.A_SINAPI,B.M_SINAPI,C47))))</f>
        <v>ERRO: CONEXÃO NÃO ESTABELECIDA. CLIQUE EM CONECTAR.</v>
      </c>
      <c r="I47" s="583" t="e">
        <f>TRUNC(G47*H47,2)</f>
        <v>#VALUE!</v>
      </c>
      <c r="K47" s="529" t="str">
        <f>IF(A47=B47,IFERROR(VLOOKUP(B47,#REF!,1,0),"-"),"-")</f>
        <v>-</v>
      </c>
      <c r="L47" s="304">
        <f t="shared" si="1"/>
        <v>1</v>
      </c>
      <c r="M47" s="304" t="str">
        <f t="shared" si="2"/>
        <v>-</v>
      </c>
    </row>
    <row r="48" spans="1:13" x14ac:dyDescent="0.3">
      <c r="K48" s="529" t="str">
        <f>IF(A48=B48,IFERROR(VLOOKUP(B48,#REF!,1,0),"-"),"-")</f>
        <v>-</v>
      </c>
      <c r="L48" s="304">
        <f t="shared" si="1"/>
        <v>0</v>
      </c>
      <c r="M48" s="304" t="b">
        <f t="shared" si="2"/>
        <v>0</v>
      </c>
    </row>
    <row r="49" spans="1:13" x14ac:dyDescent="0.3">
      <c r="A49" s="192" t="str">
        <f>IF(AND(D49="",E49&lt;&gt;""),B49,"")</f>
        <v>CPU-PAVT 05</v>
      </c>
      <c r="B49" s="589" t="s">
        <v>869</v>
      </c>
      <c r="C49" s="187"/>
      <c r="D49" s="188"/>
      <c r="E49" s="189" t="s">
        <v>329</v>
      </c>
      <c r="F49" s="188" t="s">
        <v>330</v>
      </c>
      <c r="G49" s="188"/>
      <c r="H49" s="191"/>
      <c r="I49" s="590" t="e">
        <f>SUM(I50:I50)</f>
        <v>#VALUE!</v>
      </c>
      <c r="K49" s="529" t="str">
        <f>IF(A49=B49,IFERROR(VLOOKUP(B49,#REF!,1,0),"-"),"-")</f>
        <v>-</v>
      </c>
      <c r="L49" s="304">
        <f t="shared" si="1"/>
        <v>1</v>
      </c>
      <c r="M49" s="304" t="str">
        <f t="shared" si="2"/>
        <v>-</v>
      </c>
    </row>
    <row r="50" spans="1:13" ht="63.75" x14ac:dyDescent="0.3">
      <c r="B50" s="516">
        <v>91386</v>
      </c>
      <c r="C50" s="573" t="s">
        <v>309</v>
      </c>
      <c r="D50" s="516" t="s">
        <v>861</v>
      </c>
      <c r="E50" s="593" t="str" cm="1">
        <f t="array" ref="E50">UPPER(IF(C50="COMPOSIÇÃO",_xlfn.XLOOKUP($B50,A:A,E:E,),IF(C50="COTAÇÃO",VLOOKUP($B50,COTAÇÕES!$A$11:$E$37,2,0),BuscarCampoAccess("Descricao",B50,B.A_SINAPI,B.M_SINAPI,C50))))</f>
        <v>ERRO: CONEXÃO NÃO ESTABELECIDA. CLIQUE EM CONECTAR.</v>
      </c>
      <c r="F50" s="594" t="str" cm="1">
        <f t="array" ref="F50">UPPER(IF(C50="COMPOSIÇÃO",_xlfn.XLOOKUP($B50,A:A,F:F,),IF(C50="COTAÇÃO",VLOOKUP($B50,COTAÇÕES!$A$11:$E$37,3,0),BuscarCampoAccess("Unidade",B50,B.A_SINAPI,B.M_SINAPI,C50))))</f>
        <v>ERRO: CONEXÃO NÃO ESTABELECIDA. CLIQUE EM CONECTAR.</v>
      </c>
      <c r="G50" s="517">
        <v>4.6296000000000002E-3</v>
      </c>
      <c r="H50" s="582" t="str" cm="1">
        <f t="array" ref="H50">UPPER(IF(C50="COMPOSIÇÃO",_xlfn.XLOOKUP($B50,A:A,I:I,),IF(C50="COTAÇÃO",VLOOKUP($B50,COTAÇÕES!$A$11:$E$37,5,0),BuscarCampoAccess("Custo",B50,B.A_SINAPI,B.M_SINAPI,C50))))</f>
        <v>ERRO: CONEXÃO NÃO ESTABELECIDA. CLIQUE EM CONECTAR.</v>
      </c>
      <c r="I50" s="583" t="e">
        <f>TRUNC(G50*H50,2)</f>
        <v>#VALUE!</v>
      </c>
      <c r="K50" s="529" t="str">
        <f>IF(A50=B50,IFERROR(VLOOKUP(B50,#REF!,1,0),"-"),"-")</f>
        <v>-</v>
      </c>
      <c r="L50" s="304">
        <f t="shared" si="1"/>
        <v>1</v>
      </c>
      <c r="M50" s="304" t="str">
        <f t="shared" si="2"/>
        <v>-</v>
      </c>
    </row>
    <row r="51" spans="1:13" x14ac:dyDescent="0.3">
      <c r="K51" s="529" t="str">
        <f>IF(A51=B51,IFERROR(VLOOKUP(B51,#REF!,1,0),"-"),"-")</f>
        <v>-</v>
      </c>
      <c r="L51" s="304">
        <f t="shared" si="1"/>
        <v>0</v>
      </c>
      <c r="M51" s="304" t="b">
        <f t="shared" si="2"/>
        <v>0</v>
      </c>
    </row>
    <row r="52" spans="1:13" ht="25.5" x14ac:dyDescent="0.3">
      <c r="A52" s="192" t="str">
        <f>IF(AND(D52="",E52&lt;&gt;""),B52,"")</f>
        <v>CPU-PAVT 06</v>
      </c>
      <c r="B52" s="589" t="s">
        <v>870</v>
      </c>
      <c r="C52" s="187"/>
      <c r="D52" s="188"/>
      <c r="E52" s="189" t="s">
        <v>331</v>
      </c>
      <c r="F52" s="188" t="s">
        <v>307</v>
      </c>
      <c r="G52" s="188"/>
      <c r="H52" s="191"/>
      <c r="I52" s="590" t="e">
        <f>SUM(I53:I53)</f>
        <v>#VALUE!</v>
      </c>
      <c r="K52" s="529" t="str">
        <f>IF(A52=B52,IFERROR(VLOOKUP(B52,#REF!,1,0),"-"),"-")</f>
        <v>-</v>
      </c>
      <c r="L52" s="304">
        <f t="shared" si="1"/>
        <v>1</v>
      </c>
      <c r="M52" s="304" t="str">
        <f t="shared" si="2"/>
        <v>-</v>
      </c>
    </row>
    <row r="53" spans="1:13" ht="63.75" x14ac:dyDescent="0.3">
      <c r="B53" s="516">
        <v>88316</v>
      </c>
      <c r="C53" s="573" t="s">
        <v>309</v>
      </c>
      <c r="D53" s="516" t="s">
        <v>861</v>
      </c>
      <c r="E53" s="593" t="str" cm="1">
        <f t="array" ref="E53">UPPER(IF(C53="COMPOSIÇÃO",_xlfn.XLOOKUP($B53,A:A,E:E,),IF(C53="COTAÇÃO",VLOOKUP($B53,COTAÇÕES!$A$11:$E$37,2,0),BuscarCampoAccess("Descricao",B53,B.A_SINAPI,B.M_SINAPI,C53))))</f>
        <v>ERRO: CONEXÃO NÃO ESTABELECIDA. CLIQUE EM CONECTAR.</v>
      </c>
      <c r="F53" s="594" t="str" cm="1">
        <f t="array" ref="F53">UPPER(IF(C53="COMPOSIÇÃO",_xlfn.XLOOKUP($B53,A:A,F:F,),IF(C53="COTAÇÃO",VLOOKUP($B53,COTAÇÕES!$A$11:$E$37,3,0),BuscarCampoAccess("Unidade",B53,B.A_SINAPI,B.M_SINAPI,C53))))</f>
        <v>ERRO: CONEXÃO NÃO ESTABELECIDA. CLIQUE EM CONECTAR.</v>
      </c>
      <c r="G53" s="517">
        <v>0.4</v>
      </c>
      <c r="H53" s="582" t="str" cm="1">
        <f t="array" ref="H53">UPPER(IF(C53="COMPOSIÇÃO",_xlfn.XLOOKUP($B53,A:A,I:I,),IF(C53="COTAÇÃO",VLOOKUP($B53,COTAÇÕES!$A$11:$E$37,5,0),BuscarCampoAccess("Custo",B53,B.A_SINAPI,B.M_SINAPI,C53))))</f>
        <v>ERRO: CONEXÃO NÃO ESTABELECIDA. CLIQUE EM CONECTAR.</v>
      </c>
      <c r="I53" s="583" t="e">
        <f>TRUNC(G53*H53,2)</f>
        <v>#VALUE!</v>
      </c>
      <c r="K53" s="529" t="str">
        <f>IF(A53=B53,IFERROR(VLOOKUP(B53,#REF!,1,0),"-"),"-")</f>
        <v>-</v>
      </c>
      <c r="L53" s="304">
        <f t="shared" si="1"/>
        <v>1</v>
      </c>
      <c r="M53" s="304" t="str">
        <f t="shared" si="2"/>
        <v>-</v>
      </c>
    </row>
    <row r="54" spans="1:13" x14ac:dyDescent="0.3">
      <c r="K54" s="529" t="str">
        <f>IF(A54=B54,IFERROR(VLOOKUP(B54,#REF!,1,0),"-"),"-")</f>
        <v>-</v>
      </c>
      <c r="L54" s="304">
        <f t="shared" si="1"/>
        <v>0</v>
      </c>
      <c r="M54" s="304" t="b">
        <f t="shared" si="2"/>
        <v>0</v>
      </c>
    </row>
    <row r="55" spans="1:13" ht="51" x14ac:dyDescent="0.3">
      <c r="A55" s="192" t="str">
        <f>IF(AND(D55="",E55&lt;&gt;""),B55,"")</f>
        <v>CPU-DRET 01</v>
      </c>
      <c r="B55" s="589" t="s">
        <v>874</v>
      </c>
      <c r="C55" s="187"/>
      <c r="D55" s="188"/>
      <c r="E55" s="189" t="s">
        <v>332</v>
      </c>
      <c r="F55" s="188" t="s">
        <v>327</v>
      </c>
      <c r="G55" s="188"/>
      <c r="H55" s="191"/>
      <c r="I55" s="590" t="e">
        <f>SUM(I56:I58)</f>
        <v>#VALUE!</v>
      </c>
      <c r="K55" s="529" t="str">
        <f>IF(A55=B55,IFERROR(VLOOKUP(B55,#REF!,1,0),"-"),"-")</f>
        <v>-</v>
      </c>
      <c r="L55" s="304">
        <f t="shared" si="1"/>
        <v>1</v>
      </c>
      <c r="M55" s="304" t="str">
        <f t="shared" si="2"/>
        <v>-</v>
      </c>
    </row>
    <row r="56" spans="1:13" ht="63.75" x14ac:dyDescent="0.3">
      <c r="B56" s="516">
        <v>5631</v>
      </c>
      <c r="C56" s="573" t="s">
        <v>309</v>
      </c>
      <c r="D56" s="516" t="s">
        <v>861</v>
      </c>
      <c r="E56" s="593" t="str" cm="1">
        <f t="array" ref="E56">UPPER(IF(C56="COMPOSIÇÃO",_xlfn.XLOOKUP($B56,A:A,E:E,),IF(C56="COTAÇÃO",VLOOKUP($B56,COTAÇÕES!$A$11:$E$37,2,0),BuscarCampoAccess("Descricao",B56,B.A_SINAPI,B.M_SINAPI,C56))))</f>
        <v>ERRO: CONEXÃO NÃO ESTABELECIDA. CLIQUE EM CONECTAR.</v>
      </c>
      <c r="F56" s="594" t="str" cm="1">
        <f t="array" ref="F56">UPPER(IF(C56="COMPOSIÇÃO",_xlfn.XLOOKUP($B56,A:A,F:F,),IF(C56="COTAÇÃO",VLOOKUP($B56,COTAÇÕES!$A$11:$E$37,3,0),BuscarCampoAccess("Unidade",B56,B.A_SINAPI,B.M_SINAPI,C56))))</f>
        <v>ERRO: CONEXÃO NÃO ESTABELECIDA. CLIQUE EM CONECTAR.</v>
      </c>
      <c r="G56" s="517">
        <v>3.2500000000000001E-2</v>
      </c>
      <c r="H56" s="582" t="str" cm="1">
        <f t="array" ref="H56">UPPER(IF(C56="COMPOSIÇÃO",_xlfn.XLOOKUP($B56,A:A,I:I,),IF(C56="COTAÇÃO",VLOOKUP($B56,COTAÇÕES!$A$11:$E$37,5,0),BuscarCampoAccess("Custo",B56,B.A_SINAPI,B.M_SINAPI,C56))))</f>
        <v>ERRO: CONEXÃO NÃO ESTABELECIDA. CLIQUE EM CONECTAR.</v>
      </c>
      <c r="I56" s="583" t="e">
        <f>TRUNC(G56*H56,2)</f>
        <v>#VALUE!</v>
      </c>
      <c r="K56" s="529" t="str">
        <f>IF(A56=B56,IFERROR(VLOOKUP(B56,#REF!,1,0),"-"),"-")</f>
        <v>-</v>
      </c>
      <c r="L56" s="304">
        <f t="shared" si="1"/>
        <v>1</v>
      </c>
      <c r="M56" s="304" t="str">
        <f t="shared" si="2"/>
        <v>-</v>
      </c>
    </row>
    <row r="57" spans="1:13" ht="63.75" x14ac:dyDescent="0.3">
      <c r="B57" s="516">
        <v>5632</v>
      </c>
      <c r="C57" s="573" t="s">
        <v>309</v>
      </c>
      <c r="D57" s="516" t="s">
        <v>861</v>
      </c>
      <c r="E57" s="593" t="str" cm="1">
        <f t="array" ref="E57">UPPER(IF(C57="COMPOSIÇÃO",_xlfn.XLOOKUP($B57,A:A,E:E,),IF(C57="COTAÇÃO",VLOOKUP($B57,COTAÇÕES!$A$11:$E$37,2,0),BuscarCampoAccess("Descricao",B57,B.A_SINAPI,B.M_SINAPI,C57))))</f>
        <v>ERRO: CONEXÃO NÃO ESTABELECIDA. CLIQUE EM CONECTAR.</v>
      </c>
      <c r="F57" s="594" t="str" cm="1">
        <f t="array" ref="F57">UPPER(IF(C57="COMPOSIÇÃO",_xlfn.XLOOKUP($B57,A:A,F:F,),IF(C57="COTAÇÃO",VLOOKUP($B57,COTAÇÕES!$A$11:$E$37,3,0),BuscarCampoAccess("Unidade",B57,B.A_SINAPI,B.M_SINAPI,C57))))</f>
        <v>ERRO: CONEXÃO NÃO ESTABELECIDA. CLIQUE EM CONECTAR.</v>
      </c>
      <c r="G57" s="517">
        <v>3.5299999999999998E-2</v>
      </c>
      <c r="H57" s="582" t="str" cm="1">
        <f t="array" ref="H57">UPPER(IF(C57="COMPOSIÇÃO",_xlfn.XLOOKUP($B57,A:A,I:I,),IF(C57="COTAÇÃO",VLOOKUP($B57,COTAÇÕES!$A$11:$E$37,5,0),BuscarCampoAccess("Custo",B57,B.A_SINAPI,B.M_SINAPI,C57))))</f>
        <v>ERRO: CONEXÃO NÃO ESTABELECIDA. CLIQUE EM CONECTAR.</v>
      </c>
      <c r="I57" s="583" t="e">
        <f>TRUNC(G57*H57,2)</f>
        <v>#VALUE!</v>
      </c>
      <c r="K57" s="529" t="str">
        <f>IF(A57=B57,IFERROR(VLOOKUP(B57,#REF!,1,0),"-"),"-")</f>
        <v>-</v>
      </c>
      <c r="L57" s="304">
        <f t="shared" si="1"/>
        <v>1</v>
      </c>
      <c r="M57" s="304" t="str">
        <f t="shared" si="2"/>
        <v>-</v>
      </c>
    </row>
    <row r="58" spans="1:13" ht="63.75" x14ac:dyDescent="0.3">
      <c r="B58" s="516">
        <v>88316</v>
      </c>
      <c r="C58" s="573" t="s">
        <v>309</v>
      </c>
      <c r="D58" s="516" t="s">
        <v>861</v>
      </c>
      <c r="E58" s="593" t="str" cm="1">
        <f t="array" ref="E58">UPPER(IF(C58="COMPOSIÇÃO",_xlfn.XLOOKUP($B58,A:A,E:E,),IF(C58="COTAÇÃO",VLOOKUP($B58,COTAÇÕES!$A$11:$E$37,2,0),BuscarCampoAccess("Descricao",B58,B.A_SINAPI,B.M_SINAPI,C58))))</f>
        <v>ERRO: CONEXÃO NÃO ESTABELECIDA. CLIQUE EM CONECTAR.</v>
      </c>
      <c r="F58" s="594" t="str" cm="1">
        <f t="array" ref="F58">UPPER(IF(C58="COMPOSIÇÃO",_xlfn.XLOOKUP($B58,A:A,F:F,),IF(C58="COTAÇÃO",VLOOKUP($B58,COTAÇÕES!$A$11:$E$37,3,0),BuscarCampoAccess("Unidade",B58,B.A_SINAPI,B.M_SINAPI,C58))))</f>
        <v>ERRO: CONEXÃO NÃO ESTABELECIDA. CLIQUE EM CONECTAR.</v>
      </c>
      <c r="G58" s="517">
        <v>6.7900000000000002E-2</v>
      </c>
      <c r="H58" s="582" t="str" cm="1">
        <f t="array" ref="H58">UPPER(IF(C58="COMPOSIÇÃO",_xlfn.XLOOKUP($B58,A:A,I:I,),IF(C58="COTAÇÃO",VLOOKUP($B58,COTAÇÕES!$A$11:$E$37,5,0),BuscarCampoAccess("Custo",B58,B.A_SINAPI,B.M_SINAPI,C58))))</f>
        <v>ERRO: CONEXÃO NÃO ESTABELECIDA. CLIQUE EM CONECTAR.</v>
      </c>
      <c r="I58" s="583" t="e">
        <f>TRUNC(G58*H58,2)</f>
        <v>#VALUE!</v>
      </c>
      <c r="K58" s="529" t="str">
        <f>IF(A58=B58,IFERROR(VLOOKUP(B58,#REF!,1,0),"-"),"-")</f>
        <v>-</v>
      </c>
      <c r="L58" s="304">
        <f t="shared" si="1"/>
        <v>1</v>
      </c>
      <c r="M58" s="304" t="str">
        <f t="shared" si="2"/>
        <v>-</v>
      </c>
    </row>
    <row r="59" spans="1:13" x14ac:dyDescent="0.3">
      <c r="K59" s="529" t="str">
        <f>IF(A59=B59,IFERROR(VLOOKUP(B59,#REF!,1,0),"-"),"-")</f>
        <v>-</v>
      </c>
      <c r="L59" s="304">
        <f t="shared" si="1"/>
        <v>0</v>
      </c>
      <c r="M59" s="304" t="b">
        <f t="shared" si="2"/>
        <v>0</v>
      </c>
    </row>
    <row r="60" spans="1:13" x14ac:dyDescent="0.3">
      <c r="A60" s="192" t="str">
        <f>IF(AND(D60="",E60&lt;&gt;""),B60,"")</f>
        <v>CPU-CAT 03</v>
      </c>
      <c r="B60" s="589" t="s">
        <v>872</v>
      </c>
      <c r="C60" s="187"/>
      <c r="D60" s="188"/>
      <c r="E60" s="189" t="s">
        <v>333</v>
      </c>
      <c r="F60" s="188" t="s">
        <v>256</v>
      </c>
      <c r="G60" s="188"/>
      <c r="H60" s="191"/>
      <c r="I60" s="590" t="e">
        <f>SUM(I61:I67)</f>
        <v>#VALUE!</v>
      </c>
      <c r="K60" s="529" t="str">
        <f>IF(A60=B60,IFERROR(VLOOKUP(B60,#REF!,1,0),"-"),"-")</f>
        <v>-</v>
      </c>
      <c r="L60" s="304">
        <f t="shared" si="1"/>
        <v>1</v>
      </c>
      <c r="M60" s="304" t="str">
        <f t="shared" si="2"/>
        <v>-</v>
      </c>
    </row>
    <row r="61" spans="1:13" ht="63.75" x14ac:dyDescent="0.3">
      <c r="B61" s="516">
        <v>5681</v>
      </c>
      <c r="C61" s="573" t="s">
        <v>309</v>
      </c>
      <c r="D61" s="516" t="s">
        <v>861</v>
      </c>
      <c r="E61" s="593" t="str" cm="1">
        <f t="array" ref="E61">UPPER(IF(C61="COMPOSIÇÃO",_xlfn.XLOOKUP($B61,A:A,E:E,),IF(C61="COTAÇÃO",VLOOKUP($B61,COTAÇÕES!$A$11:$E$37,2,0),BuscarCampoAccess("Descricao",B61,B.A_SINAPI,B.M_SINAPI,C61))))</f>
        <v>ERRO: CONEXÃO NÃO ESTABELECIDA. CLIQUE EM CONECTAR.</v>
      </c>
      <c r="F61" s="594" t="str" cm="1">
        <f t="array" ref="F61">UPPER(IF(C61="COMPOSIÇÃO",_xlfn.XLOOKUP($B61,A:A,F:F,),IF(C61="COTAÇÃO",VLOOKUP($B61,COTAÇÕES!$A$11:$E$37,3,0),BuscarCampoAccess("Unidade",B61,B.A_SINAPI,B.M_SINAPI,C61))))</f>
        <v>ERRO: CONEXÃO NÃO ESTABELECIDA. CLIQUE EM CONECTAR.</v>
      </c>
      <c r="G61" s="517">
        <v>2.1181999999999999</v>
      </c>
      <c r="H61" s="582" t="str" cm="1">
        <f t="array" ref="H61">UPPER(IF(C61="COMPOSIÇÃO",_xlfn.XLOOKUP($B61,A:A,I:I,),IF(C61="COTAÇÃO",VLOOKUP($B61,COTAÇÕES!$A$11:$E$37,5,0),BuscarCampoAccess("Custo",B61,B.A_SINAPI,B.M_SINAPI,C61))))</f>
        <v>ERRO: CONEXÃO NÃO ESTABELECIDA. CLIQUE EM CONECTAR.</v>
      </c>
      <c r="I61" s="583" t="e">
        <f t="shared" ref="I61:I67" si="4">TRUNC(G61*H61,2)</f>
        <v>#VALUE!</v>
      </c>
      <c r="K61" s="529" t="str">
        <f>IF(A61=B61,IFERROR(VLOOKUP(B61,#REF!,1,0),"-"),"-")</f>
        <v>-</v>
      </c>
      <c r="L61" s="304">
        <f t="shared" si="1"/>
        <v>1</v>
      </c>
      <c r="M61" s="304" t="str">
        <f t="shared" si="2"/>
        <v>-</v>
      </c>
    </row>
    <row r="62" spans="1:13" ht="63.75" x14ac:dyDescent="0.3">
      <c r="B62" s="516">
        <v>88316</v>
      </c>
      <c r="C62" s="573" t="s">
        <v>309</v>
      </c>
      <c r="D62" s="516" t="s">
        <v>861</v>
      </c>
      <c r="E62" s="593" t="str" cm="1">
        <f t="array" ref="E62">UPPER(IF(C62="COMPOSIÇÃO",_xlfn.XLOOKUP($B62,A:A,E:E,),IF(C62="COTAÇÃO",VLOOKUP($B62,COTAÇÕES!$A$11:$E$37,2,0),BuscarCampoAccess("Descricao",B62,B.A_SINAPI,B.M_SINAPI,C62))))</f>
        <v>ERRO: CONEXÃO NÃO ESTABELECIDA. CLIQUE EM CONECTAR.</v>
      </c>
      <c r="F62" s="594" t="str" cm="1">
        <f t="array" ref="F62">UPPER(IF(C62="COMPOSIÇÃO",_xlfn.XLOOKUP($B62,A:A,F:F,),IF(C62="COTAÇÃO",VLOOKUP($B62,COTAÇÕES!$A$11:$E$37,3,0),BuscarCampoAccess("Unidade",B62,B.A_SINAPI,B.M_SINAPI,C62))))</f>
        <v>ERRO: CONEXÃO NÃO ESTABELECIDA. CLIQUE EM CONECTAR.</v>
      </c>
      <c r="G62" s="517">
        <v>0.04</v>
      </c>
      <c r="H62" s="582" t="str" cm="1">
        <f t="array" ref="H62">UPPER(IF(C62="COMPOSIÇÃO",_xlfn.XLOOKUP($B62,A:A,I:I,),IF(C62="COTAÇÃO",VLOOKUP($B62,COTAÇÕES!$A$11:$E$37,5,0),BuscarCampoAccess("Custo",B62,B.A_SINAPI,B.M_SINAPI,C62))))</f>
        <v>ERRO: CONEXÃO NÃO ESTABELECIDA. CLIQUE EM CONECTAR.</v>
      </c>
      <c r="I62" s="583" t="e">
        <f t="shared" si="4"/>
        <v>#VALUE!</v>
      </c>
      <c r="K62" s="529" t="str">
        <f>IF(A62=B62,IFERROR(VLOOKUP(B62,#REF!,1,0),"-"),"-")</f>
        <v>-</v>
      </c>
      <c r="L62" s="304">
        <f t="shared" si="1"/>
        <v>1</v>
      </c>
      <c r="M62" s="304" t="str">
        <f t="shared" si="2"/>
        <v>-</v>
      </c>
    </row>
    <row r="63" spans="1:13" ht="63.75" x14ac:dyDescent="0.3">
      <c r="B63" s="516">
        <v>88267</v>
      </c>
      <c r="C63" s="573" t="s">
        <v>309</v>
      </c>
      <c r="D63" s="516" t="s">
        <v>861</v>
      </c>
      <c r="E63" s="593" t="str" cm="1">
        <f t="array" ref="E63">UPPER(IF(C63="COMPOSIÇÃO",_xlfn.XLOOKUP($B63,A:A,E:E,),IF(C63="COTAÇÃO",VLOOKUP($B63,COTAÇÕES!$A$11:$E$37,2,0),BuscarCampoAccess("Descricao",B63,B.A_SINAPI,B.M_SINAPI,C63))))</f>
        <v>ERRO: CONEXÃO NÃO ESTABELECIDA. CLIQUE EM CONECTAR.</v>
      </c>
      <c r="F63" s="594" t="str" cm="1">
        <f t="array" ref="F63">UPPER(IF(C63="COMPOSIÇÃO",_xlfn.XLOOKUP($B63,A:A,F:F,),IF(C63="COTAÇÃO",VLOOKUP($B63,COTAÇÕES!$A$11:$E$37,3,0),BuscarCampoAccess("Unidade",B63,B.A_SINAPI,B.M_SINAPI,C63))))</f>
        <v>ERRO: CONEXÃO NÃO ESTABELECIDA. CLIQUE EM CONECTAR.</v>
      </c>
      <c r="G63" s="517">
        <v>0.04</v>
      </c>
      <c r="H63" s="582" t="str" cm="1">
        <f t="array" ref="H63">UPPER(IF(C63="COMPOSIÇÃO",_xlfn.XLOOKUP($B63,A:A,I:I,),IF(C63="COTAÇÃO",VLOOKUP($B63,COTAÇÕES!$A$11:$E$37,5,0),BuscarCampoAccess("Custo",B63,B.A_SINAPI,B.M_SINAPI,C63))))</f>
        <v>ERRO: CONEXÃO NÃO ESTABELECIDA. CLIQUE EM CONECTAR.</v>
      </c>
      <c r="I63" s="583" t="e">
        <f t="shared" si="4"/>
        <v>#VALUE!</v>
      </c>
      <c r="K63" s="529" t="str">
        <f>IF(A63=B63,IFERROR(VLOOKUP(B63,#REF!,1,0),"-"),"-")</f>
        <v>-</v>
      </c>
      <c r="L63" s="304">
        <f t="shared" si="1"/>
        <v>1</v>
      </c>
      <c r="M63" s="304" t="str">
        <f t="shared" si="2"/>
        <v>-</v>
      </c>
    </row>
    <row r="64" spans="1:13" ht="63.75" x14ac:dyDescent="0.3">
      <c r="B64" s="516">
        <v>9813</v>
      </c>
      <c r="C64" s="573" t="s">
        <v>309</v>
      </c>
      <c r="D64" s="516" t="s">
        <v>861</v>
      </c>
      <c r="E64" s="593" t="str" cm="1">
        <f t="array" ref="E64">UPPER(IF(C64="COMPOSIÇÃO",_xlfn.XLOOKUP($B64,A:A,E:E,),IF(C64="COTAÇÃO",VLOOKUP($B64,COTAÇÕES!$A$11:$E$37,2,0),BuscarCampoAccess("Descricao",B64,B.A_SINAPI,B.M_SINAPI,C64))))</f>
        <v>ERRO: CONEXÃO NÃO ESTABELECIDA. CLIQUE EM CONECTAR.</v>
      </c>
      <c r="F64" s="594" t="str" cm="1">
        <f t="array" ref="F64">UPPER(IF(C64="COMPOSIÇÃO",_xlfn.XLOOKUP($B64,A:A,F:F,),IF(C64="COTAÇÃO",VLOOKUP($B64,COTAÇÕES!$A$11:$E$37,3,0),BuscarCampoAccess("Unidade",B64,B.A_SINAPI,B.M_SINAPI,C64))))</f>
        <v>ERRO: CONEXÃO NÃO ESTABELECIDA. CLIQUE EM CONECTAR.</v>
      </c>
      <c r="G64" s="517">
        <v>2</v>
      </c>
      <c r="H64" s="582" t="str" cm="1">
        <f t="array" ref="H64">UPPER(IF(C64="COMPOSIÇÃO",_xlfn.XLOOKUP($B64,A:A,I:I,),IF(C64="COTAÇÃO",VLOOKUP($B64,COTAÇÕES!$A$11:$E$37,5,0),BuscarCampoAccess("Custo",B64,B.A_SINAPI,B.M_SINAPI,C64))))</f>
        <v>ERRO: CONEXÃO NÃO ESTABELECIDA. CLIQUE EM CONECTAR.</v>
      </c>
      <c r="I64" s="583" t="e">
        <f t="shared" si="4"/>
        <v>#VALUE!</v>
      </c>
      <c r="K64" s="529" t="str">
        <f>IF(A64=B64,IFERROR(VLOOKUP(B64,#REF!,1,0),"-"),"-")</f>
        <v>-</v>
      </c>
      <c r="L64" s="304">
        <f t="shared" si="1"/>
        <v>1</v>
      </c>
      <c r="M64" s="304" t="str">
        <f t="shared" si="2"/>
        <v>-</v>
      </c>
    </row>
    <row r="65" spans="1:13" ht="63.75" x14ac:dyDescent="0.3">
      <c r="B65" s="516">
        <v>64</v>
      </c>
      <c r="C65" s="573" t="s">
        <v>309</v>
      </c>
      <c r="D65" s="516" t="s">
        <v>861</v>
      </c>
      <c r="E65" s="593" t="str" cm="1">
        <f t="array" ref="E65">UPPER(IF(C65="COMPOSIÇÃO",_xlfn.XLOOKUP($B65,A:A,E:E,),IF(C65="COTAÇÃO",VLOOKUP($B65,COTAÇÕES!$A$11:$E$37,2,0),BuscarCampoAccess("Descricao",B65,B.A_SINAPI,B.M_SINAPI,C65))))</f>
        <v>ERRO: CONEXÃO NÃO ESTABELECIDA. CLIQUE EM CONECTAR.</v>
      </c>
      <c r="F65" s="594" t="str" cm="1">
        <f t="array" ref="F65">UPPER(IF(C65="COMPOSIÇÃO",_xlfn.XLOOKUP($B65,A:A,F:F,),IF(C65="COTAÇÃO",VLOOKUP($B65,COTAÇÕES!$A$11:$E$37,3,0),BuscarCampoAccess("Unidade",B65,B.A_SINAPI,B.M_SINAPI,C65))))</f>
        <v>ERRO: CONEXÃO NÃO ESTABELECIDA. CLIQUE EM CONECTAR.</v>
      </c>
      <c r="G65" s="517">
        <v>2</v>
      </c>
      <c r="H65" s="582" t="str" cm="1">
        <f t="array" ref="H65">UPPER(IF(C65="COMPOSIÇÃO",_xlfn.XLOOKUP($B65,A:A,I:I,),IF(C65="COTAÇÃO",VLOOKUP($B65,COTAÇÕES!$A$11:$E$37,5,0),BuscarCampoAccess("Custo",B65,B.A_SINAPI,B.M_SINAPI,C65))))</f>
        <v>ERRO: CONEXÃO NÃO ESTABELECIDA. CLIQUE EM CONECTAR.</v>
      </c>
      <c r="I65" s="583" t="e">
        <f t="shared" si="4"/>
        <v>#VALUE!</v>
      </c>
      <c r="K65" s="529" t="str">
        <f>IF(A65=B65,IFERROR(VLOOKUP(B65,#REF!,1,0),"-"),"-")</f>
        <v>-</v>
      </c>
      <c r="L65" s="304">
        <f t="shared" si="1"/>
        <v>1</v>
      </c>
      <c r="M65" s="304" t="str">
        <f t="shared" si="2"/>
        <v>-</v>
      </c>
    </row>
    <row r="66" spans="1:13" ht="63.75" x14ac:dyDescent="0.3">
      <c r="B66" s="516">
        <v>93358</v>
      </c>
      <c r="C66" s="573" t="s">
        <v>309</v>
      </c>
      <c r="D66" s="516" t="s">
        <v>861</v>
      </c>
      <c r="E66" s="593" t="str" cm="1">
        <f t="array" ref="E66">UPPER(IF(C66="COMPOSIÇÃO",_xlfn.XLOOKUP($B66,A:A,E:E,),IF(C66="COTAÇÃO",VLOOKUP($B66,COTAÇÕES!$A$11:$E$37,2,0),BuscarCampoAccess("Descricao",B66,B.A_SINAPI,B.M_SINAPI,C66))))</f>
        <v>ERRO: CONEXÃO NÃO ESTABELECIDA. CLIQUE EM CONECTAR.</v>
      </c>
      <c r="F66" s="594" t="str" cm="1">
        <f t="array" ref="F66">UPPER(IF(C66="COMPOSIÇÃO",_xlfn.XLOOKUP($B66,A:A,F:F,),IF(C66="COTAÇÃO",VLOOKUP($B66,COTAÇÕES!$A$11:$E$37,3,0),BuscarCampoAccess("Unidade",B66,B.A_SINAPI,B.M_SINAPI,C66))))</f>
        <v>ERRO: CONEXÃO NÃO ESTABELECIDA. CLIQUE EM CONECTAR.</v>
      </c>
      <c r="G66" s="517">
        <v>1</v>
      </c>
      <c r="H66" s="582" t="str" cm="1">
        <f t="array" ref="H66">UPPER(IF(C66="COMPOSIÇÃO",_xlfn.XLOOKUP($B66,A:A,I:I,),IF(C66="COTAÇÃO",VLOOKUP($B66,COTAÇÕES!$A$11:$E$37,5,0),BuscarCampoAccess("Custo",B66,B.A_SINAPI,B.M_SINAPI,C66))))</f>
        <v>ERRO: CONEXÃO NÃO ESTABELECIDA. CLIQUE EM CONECTAR.</v>
      </c>
      <c r="I66" s="583" t="e">
        <f t="shared" si="4"/>
        <v>#VALUE!</v>
      </c>
      <c r="K66" s="529" t="str">
        <f>IF(A66=B66,IFERROR(VLOOKUP(B66,#REF!,1,0),"-"),"-")</f>
        <v>-</v>
      </c>
      <c r="L66" s="304">
        <f t="shared" si="1"/>
        <v>1</v>
      </c>
      <c r="M66" s="304" t="str">
        <f t="shared" si="2"/>
        <v>-</v>
      </c>
    </row>
    <row r="67" spans="1:13" ht="63.75" x14ac:dyDescent="0.3">
      <c r="B67" s="516">
        <v>93382</v>
      </c>
      <c r="C67" s="573" t="s">
        <v>309</v>
      </c>
      <c r="D67" s="516" t="s">
        <v>861</v>
      </c>
      <c r="E67" s="593" t="str" cm="1">
        <f t="array" ref="E67">UPPER(IF(C67="COMPOSIÇÃO",_xlfn.XLOOKUP($B67,A:A,E:E,),IF(C67="COTAÇÃO",VLOOKUP($B67,COTAÇÕES!$A$11:$E$37,2,0),BuscarCampoAccess("Descricao",B67,B.A_SINAPI,B.M_SINAPI,C67))))</f>
        <v>ERRO: CONEXÃO NÃO ESTABELECIDA. CLIQUE EM CONECTAR.</v>
      </c>
      <c r="F67" s="594" t="str" cm="1">
        <f t="array" ref="F67">UPPER(IF(C67="COMPOSIÇÃO",_xlfn.XLOOKUP($B67,A:A,F:F,),IF(C67="COTAÇÃO",VLOOKUP($B67,COTAÇÕES!$A$11:$E$37,3,0),BuscarCampoAccess("Unidade",B67,B.A_SINAPI,B.M_SINAPI,C67))))</f>
        <v>ERRO: CONEXÃO NÃO ESTABELECIDA. CLIQUE EM CONECTAR.</v>
      </c>
      <c r="G67" s="517">
        <v>1</v>
      </c>
      <c r="H67" s="582" t="str" cm="1">
        <f t="array" ref="H67">UPPER(IF(C67="COMPOSIÇÃO",_xlfn.XLOOKUP($B67,A:A,I:I,),IF(C67="COTAÇÃO",VLOOKUP($B67,COTAÇÕES!$A$11:$E$37,5,0),BuscarCampoAccess("Custo",B67,B.A_SINAPI,B.M_SINAPI,C67))))</f>
        <v>ERRO: CONEXÃO NÃO ESTABELECIDA. CLIQUE EM CONECTAR.</v>
      </c>
      <c r="I67" s="583" t="e">
        <f t="shared" si="4"/>
        <v>#VALUE!</v>
      </c>
      <c r="K67" s="529" t="str">
        <f>IF(A67=B67,IFERROR(VLOOKUP(B67,#REF!,1,0),"-"),"-")</f>
        <v>-</v>
      </c>
      <c r="L67" s="304">
        <f t="shared" si="1"/>
        <v>1</v>
      </c>
      <c r="M67" s="304" t="str">
        <f t="shared" si="2"/>
        <v>-</v>
      </c>
    </row>
    <row r="68" spans="1:13" x14ac:dyDescent="0.3">
      <c r="K68" s="529" t="str">
        <f>IF(A68=B68,IFERROR(VLOOKUP(B68,#REF!,1,0),"-"),"-")</f>
        <v>-</v>
      </c>
      <c r="L68" s="304">
        <f t="shared" si="1"/>
        <v>0</v>
      </c>
      <c r="M68" s="304" t="b">
        <f t="shared" si="2"/>
        <v>0</v>
      </c>
    </row>
    <row r="69" spans="1:13" ht="25.5" x14ac:dyDescent="0.3">
      <c r="A69" s="192" t="str">
        <f>IF(AND(D69="",E69&lt;&gt;""),B69,"")</f>
        <v>CPU-CAT 04</v>
      </c>
      <c r="B69" s="589" t="s">
        <v>873</v>
      </c>
      <c r="C69" s="187"/>
      <c r="D69" s="188"/>
      <c r="E69" s="189" t="s">
        <v>334</v>
      </c>
      <c r="F69" s="188" t="s">
        <v>256</v>
      </c>
      <c r="G69" s="188"/>
      <c r="H69" s="191"/>
      <c r="I69" s="590" t="e">
        <f>SUM(I70:I72)</f>
        <v>#VALUE!</v>
      </c>
      <c r="K69" s="529" t="str">
        <f>IF(A69=B69,IFERROR(VLOOKUP(B69,#REF!,1,0),"-"),"-")</f>
        <v>-</v>
      </c>
      <c r="L69" s="304">
        <f t="shared" si="1"/>
        <v>1</v>
      </c>
      <c r="M69" s="304" t="str">
        <f t="shared" si="2"/>
        <v>-</v>
      </c>
    </row>
    <row r="70" spans="1:13" ht="63.75" x14ac:dyDescent="0.3">
      <c r="B70" s="516">
        <v>90099</v>
      </c>
      <c r="C70" s="573" t="s">
        <v>309</v>
      </c>
      <c r="D70" s="516" t="s">
        <v>861</v>
      </c>
      <c r="E70" s="593" t="str" cm="1">
        <f t="array" ref="E70">UPPER(IF(C70="COMPOSIÇÃO",_xlfn.XLOOKUP($B70,A:A,E:E,),IF(C70="COTAÇÃO",VLOOKUP($B70,COTAÇÕES!$A$11:$E$37,2,0),BuscarCampoAccess("Descricao",B70,B.A_SINAPI,B.M_SINAPI,C70))))</f>
        <v>ERRO: CONEXÃO NÃO ESTABELECIDA. CLIQUE EM CONECTAR.</v>
      </c>
      <c r="F70" s="594" t="str" cm="1">
        <f t="array" ref="F70">UPPER(IF(C70="COMPOSIÇÃO",_xlfn.XLOOKUP($B70,A:A,F:F,),IF(C70="COTAÇÃO",VLOOKUP($B70,COTAÇÕES!$A$11:$E$37,3,0),BuscarCampoAccess("Unidade",B70,B.A_SINAPI,B.M_SINAPI,C70))))</f>
        <v>ERRO: CONEXÃO NÃO ESTABELECIDA. CLIQUE EM CONECTAR.</v>
      </c>
      <c r="G70" s="517">
        <v>2.88</v>
      </c>
      <c r="H70" s="582" t="str" cm="1">
        <f t="array" ref="H70">UPPER(IF(C70="COMPOSIÇÃO",_xlfn.XLOOKUP($B70,A:A,I:I,),IF(C70="COTAÇÃO",VLOOKUP($B70,COTAÇÕES!$A$11:$E$37,5,0),BuscarCampoAccess("Custo",B70,B.A_SINAPI,B.M_SINAPI,C70))))</f>
        <v>ERRO: CONEXÃO NÃO ESTABELECIDA. CLIQUE EM CONECTAR.</v>
      </c>
      <c r="I70" s="583" t="e">
        <f>TRUNC(G70*H70,2)</f>
        <v>#VALUE!</v>
      </c>
      <c r="K70" s="529" t="str">
        <f>IF(A70=B70,IFERROR(VLOOKUP(B70,#REF!,1,0),"-"),"-")</f>
        <v>-</v>
      </c>
      <c r="L70" s="304">
        <f t="shared" si="1"/>
        <v>1</v>
      </c>
      <c r="M70" s="304" t="str">
        <f t="shared" si="2"/>
        <v>-</v>
      </c>
    </row>
    <row r="71" spans="1:13" ht="63.75" x14ac:dyDescent="0.3">
      <c r="B71" s="516">
        <v>93358</v>
      </c>
      <c r="C71" s="573" t="s">
        <v>309</v>
      </c>
      <c r="D71" s="516" t="s">
        <v>861</v>
      </c>
      <c r="E71" s="593" t="str" cm="1">
        <f t="array" ref="E71">UPPER(IF(C71="COMPOSIÇÃO",_xlfn.XLOOKUP($B71,A:A,E:E,),IF(C71="COTAÇÃO",VLOOKUP($B71,COTAÇÕES!$A$11:$E$37,2,0),BuscarCampoAccess("Descricao",B71,B.A_SINAPI,B.M_SINAPI,C71))))</f>
        <v>ERRO: CONEXÃO NÃO ESTABELECIDA. CLIQUE EM CONECTAR.</v>
      </c>
      <c r="F71" s="594" t="str" cm="1">
        <f t="array" ref="F71">UPPER(IF(C71="COMPOSIÇÃO",_xlfn.XLOOKUP($B71,A:A,F:F,),IF(C71="COTAÇÃO",VLOOKUP($B71,COTAÇÕES!$A$11:$E$37,3,0),BuscarCampoAccess("Unidade",B71,B.A_SINAPI,B.M_SINAPI,C71))))</f>
        <v>ERRO: CONEXÃO NÃO ESTABELECIDA. CLIQUE EM CONECTAR.</v>
      </c>
      <c r="G71" s="517">
        <v>1.92</v>
      </c>
      <c r="H71" s="582" t="str" cm="1">
        <f t="array" ref="H71">UPPER(IF(C71="COMPOSIÇÃO",_xlfn.XLOOKUP($B71,A:A,I:I,),IF(C71="COTAÇÃO",VLOOKUP($B71,COTAÇÕES!$A$11:$E$37,5,0),BuscarCampoAccess("Custo",B71,B.A_SINAPI,B.M_SINAPI,C71))))</f>
        <v>ERRO: CONEXÃO NÃO ESTABELECIDA. CLIQUE EM CONECTAR.</v>
      </c>
      <c r="I71" s="583" t="e">
        <f>TRUNC(G71*H71,2)</f>
        <v>#VALUE!</v>
      </c>
      <c r="K71" s="529" t="str">
        <f>IF(A71=B71,IFERROR(VLOOKUP(B71,#REF!,1,0),"-"),"-")</f>
        <v>-</v>
      </c>
      <c r="L71" s="304">
        <f t="shared" si="1"/>
        <v>1</v>
      </c>
      <c r="M71" s="304" t="str">
        <f t="shared" si="2"/>
        <v>-</v>
      </c>
    </row>
    <row r="72" spans="1:13" ht="63.75" x14ac:dyDescent="0.3">
      <c r="B72" s="516">
        <v>93378</v>
      </c>
      <c r="C72" s="573" t="s">
        <v>309</v>
      </c>
      <c r="D72" s="516" t="s">
        <v>861</v>
      </c>
      <c r="E72" s="593" t="str" cm="1">
        <f t="array" ref="E72">UPPER(IF(C72="COMPOSIÇÃO",_xlfn.XLOOKUP($B72,A:A,E:E,),IF(C72="COTAÇÃO",VLOOKUP($B72,COTAÇÕES!$A$11:$E$37,2,0),BuscarCampoAccess("Descricao",B72,B.A_SINAPI,B.M_SINAPI,C72))))</f>
        <v>ERRO: CONEXÃO NÃO ESTABELECIDA. CLIQUE EM CONECTAR.</v>
      </c>
      <c r="F72" s="594" t="str" cm="1">
        <f t="array" ref="F72">UPPER(IF(C72="COMPOSIÇÃO",_xlfn.XLOOKUP($B72,A:A,F:F,),IF(C72="COTAÇÃO",VLOOKUP($B72,COTAÇÕES!$A$11:$E$37,3,0),BuscarCampoAccess("Unidade",B72,B.A_SINAPI,B.M_SINAPI,C72))))</f>
        <v>ERRO: CONEXÃO NÃO ESTABELECIDA. CLIQUE EM CONECTAR.</v>
      </c>
      <c r="G72" s="517">
        <v>4.8</v>
      </c>
      <c r="H72" s="582" t="str" cm="1">
        <f t="array" ref="H72">UPPER(IF(C72="COMPOSIÇÃO",_xlfn.XLOOKUP($B72,A:A,I:I,),IF(C72="COTAÇÃO",VLOOKUP($B72,COTAÇÕES!$A$11:$E$37,5,0),BuscarCampoAccess("Custo",B72,B.A_SINAPI,B.M_SINAPI,C72))))</f>
        <v>ERRO: CONEXÃO NÃO ESTABELECIDA. CLIQUE EM CONECTAR.</v>
      </c>
      <c r="I72" s="583" t="e">
        <f>TRUNC(G72*H72,2)</f>
        <v>#VALUE!</v>
      </c>
      <c r="K72" s="529" t="str">
        <f>IF(A72=B72,IFERROR(VLOOKUP(B72,#REF!,1,0),"-"),"-")</f>
        <v>-</v>
      </c>
      <c r="L72" s="304">
        <f t="shared" si="1"/>
        <v>1</v>
      </c>
      <c r="M72" s="304" t="str">
        <f t="shared" si="2"/>
        <v>-</v>
      </c>
    </row>
    <row r="73" spans="1:13" x14ac:dyDescent="0.3">
      <c r="K73" s="529" t="str">
        <f>IF(A73=B73,IFERROR(VLOOKUP(B73,#REF!,1,0),"-"),"-")</f>
        <v>-</v>
      </c>
      <c r="L73" s="304">
        <f t="shared" si="1"/>
        <v>0</v>
      </c>
      <c r="M73" s="304" t="b">
        <f t="shared" si="2"/>
        <v>0</v>
      </c>
    </row>
    <row r="74" spans="1:13" ht="38.25" x14ac:dyDescent="0.3">
      <c r="A74" s="192" t="str">
        <f>IF(AND(D74="",E74&lt;&gt;""),B74,"")</f>
        <v>CPU-DRED 02</v>
      </c>
      <c r="B74" s="589" t="s">
        <v>871</v>
      </c>
      <c r="C74" s="187"/>
      <c r="D74" s="188"/>
      <c r="E74" s="189" t="s">
        <v>876</v>
      </c>
      <c r="F74" s="188" t="s">
        <v>256</v>
      </c>
      <c r="G74" s="188"/>
      <c r="H74" s="191"/>
      <c r="I74" s="590" t="e">
        <f>SUM(I75:I84)</f>
        <v>#VALUE!</v>
      </c>
      <c r="K74" s="529" t="str">
        <f>IF(A74=B74,IFERROR(VLOOKUP(B74,#REF!,1,0),"-"),"-")</f>
        <v>-</v>
      </c>
      <c r="L74" s="304">
        <f t="shared" si="1"/>
        <v>1</v>
      </c>
      <c r="M74" s="304" t="str">
        <f t="shared" si="2"/>
        <v>-</v>
      </c>
    </row>
    <row r="75" spans="1:13" ht="63.75" x14ac:dyDescent="0.3">
      <c r="B75" s="516">
        <v>97636</v>
      </c>
      <c r="C75" s="573" t="s">
        <v>309</v>
      </c>
      <c r="D75" s="516" t="s">
        <v>861</v>
      </c>
      <c r="E75" s="593" t="str" cm="1">
        <f t="array" ref="E75">UPPER(IF(C75="COMPOSIÇÃO",_xlfn.XLOOKUP($B75,A:A,E:E,),IF(C75="COTAÇÃO",VLOOKUP($B75,COTAÇÕES!$A$11:$E$37,2,0),BuscarCampoAccess("Descricao",B75,B.A_SINAPI,B.M_SINAPI,C75))))</f>
        <v>ERRO: CONEXÃO NÃO ESTABELECIDA. CLIQUE EM CONECTAR.</v>
      </c>
      <c r="F75" s="594" t="str" cm="1">
        <f t="array" ref="F75">UPPER(IF(C75="COMPOSIÇÃO",_xlfn.XLOOKUP($B75,A:A,F:F,),IF(C75="COTAÇÃO",VLOOKUP($B75,COTAÇÕES!$A$11:$E$37,3,0),BuscarCampoAccess("Unidade",B75,B.A_SINAPI,B.M_SINAPI,C75))))</f>
        <v>ERRO: CONEXÃO NÃO ESTABELECIDA. CLIQUE EM CONECTAR.</v>
      </c>
      <c r="G75" s="595">
        <v>3.165</v>
      </c>
      <c r="H75" s="582" t="str" cm="1">
        <f t="array" ref="H75">UPPER(IF(C75="COMPOSIÇÃO",_xlfn.XLOOKUP($B75,A:A,I:I,),IF(C75="COTAÇÃO",VLOOKUP($B75,COTAÇÕES!$A$11:$E$37,5,0),BuscarCampoAccess("Custo",B75,B.A_SINAPI,B.M_SINAPI,C75))))</f>
        <v>ERRO: CONEXÃO NÃO ESTABELECIDA. CLIQUE EM CONECTAR.</v>
      </c>
      <c r="I75" s="583" t="e">
        <f>TRUNC(G75*H75,2)</f>
        <v>#VALUE!</v>
      </c>
      <c r="K75" s="529" t="str">
        <f>IF(A75=B75,IFERROR(VLOOKUP(B75,#REF!,1,0),"-"),"-")</f>
        <v>-</v>
      </c>
      <c r="L75" s="304">
        <f t="shared" si="1"/>
        <v>1</v>
      </c>
      <c r="M75" s="304" t="str">
        <f t="shared" si="2"/>
        <v>-</v>
      </c>
    </row>
    <row r="76" spans="1:13" ht="63.75" x14ac:dyDescent="0.3">
      <c r="B76" s="516">
        <v>93358</v>
      </c>
      <c r="C76" s="573" t="s">
        <v>309</v>
      </c>
      <c r="D76" s="516" t="s">
        <v>861</v>
      </c>
      <c r="E76" s="593" t="str" cm="1">
        <f t="array" ref="E76">UPPER(IF(C76="COMPOSIÇÃO",_xlfn.XLOOKUP($B76,A:A,E:E,),IF(C76="COTAÇÃO",VLOOKUP($B76,COTAÇÕES!$A$11:$E$37,2,0),BuscarCampoAccess("Descricao",B76,B.A_SINAPI,B.M_SINAPI,C76))))</f>
        <v>ERRO: CONEXÃO NÃO ESTABELECIDA. CLIQUE EM CONECTAR.</v>
      </c>
      <c r="F76" s="594" t="str" cm="1">
        <f t="array" ref="F76">UPPER(IF(C76="COMPOSIÇÃO",_xlfn.XLOOKUP($B76,A:A,F:F,),IF(C76="COTAÇÃO",VLOOKUP($B76,COTAÇÕES!$A$11:$E$37,3,0),BuscarCampoAccess("Unidade",B76,B.A_SINAPI,B.M_SINAPI,C76))))</f>
        <v>ERRO: CONEXÃO NÃO ESTABELECIDA. CLIQUE EM CONECTAR.</v>
      </c>
      <c r="G76" s="595">
        <v>1.0416000000000001</v>
      </c>
      <c r="H76" s="582" t="str" cm="1">
        <f t="array" ref="H76">UPPER(IF(C76="COMPOSIÇÃO",_xlfn.XLOOKUP($B76,A:A,I:I,),IF(C76="COTAÇÃO",VLOOKUP($B76,COTAÇÕES!$A$11:$E$37,5,0),BuscarCampoAccess("Custo",B76,B.A_SINAPI,B.M_SINAPI,C76))))</f>
        <v>ERRO: CONEXÃO NÃO ESTABELECIDA. CLIQUE EM CONECTAR.</v>
      </c>
      <c r="I76" s="583" t="e">
        <f t="shared" ref="I76:I82" si="5">TRUNC(G76*H76,2)</f>
        <v>#VALUE!</v>
      </c>
      <c r="K76" s="529" t="str">
        <f>IF(A76=B76,IFERROR(VLOOKUP(B76,#REF!,1,0),"-"),"-")</f>
        <v>-</v>
      </c>
      <c r="L76" s="304">
        <f t="shared" ref="L76:L139" si="6">IF(ISBLANK(B76)=FALSE,1,0)</f>
        <v>1</v>
      </c>
      <c r="M76" s="304" t="str">
        <f t="shared" ref="M76:M139" si="7">IF(M75=FALSE,K76,IF(L76=1,M75))</f>
        <v>-</v>
      </c>
    </row>
    <row r="77" spans="1:13" ht="63.75" x14ac:dyDescent="0.3">
      <c r="B77" s="516">
        <v>101616</v>
      </c>
      <c r="C77" s="573" t="s">
        <v>309</v>
      </c>
      <c r="D77" s="516" t="s">
        <v>861</v>
      </c>
      <c r="E77" s="593" t="str" cm="1">
        <f t="array" ref="E77">UPPER(IF(C77="COMPOSIÇÃO",_xlfn.XLOOKUP($B77,A:A,E:E,),IF(C77="COTAÇÃO",VLOOKUP($B77,COTAÇÕES!$A$11:$E$37,2,0),BuscarCampoAccess("Descricao",B77,B.A_SINAPI,B.M_SINAPI,C77))))</f>
        <v>ERRO: CONEXÃO NÃO ESTABELECIDA. CLIQUE EM CONECTAR.</v>
      </c>
      <c r="F77" s="594" t="str" cm="1">
        <f t="array" ref="F77">UPPER(IF(C77="COMPOSIÇÃO",_xlfn.XLOOKUP($B77,A:A,F:F,),IF(C77="COTAÇÃO",VLOOKUP($B77,COTAÇÕES!$A$11:$E$37,3,0),BuscarCampoAccess("Unidade",B77,B.A_SINAPI,B.M_SINAPI,C77))))</f>
        <v>ERRO: CONEXÃO NÃO ESTABELECIDA. CLIQUE EM CONECTAR.</v>
      </c>
      <c r="G77" s="595">
        <v>1.042</v>
      </c>
      <c r="H77" s="582" t="str" cm="1">
        <f t="array" ref="H77">UPPER(IF(C77="COMPOSIÇÃO",_xlfn.XLOOKUP($B77,A:A,I:I,),IF(C77="COTAÇÃO",VLOOKUP($B77,COTAÇÕES!$A$11:$E$37,5,0),BuscarCampoAccess("Custo",B77,B.A_SINAPI,B.M_SINAPI,C77))))</f>
        <v>ERRO: CONEXÃO NÃO ESTABELECIDA. CLIQUE EM CONECTAR.</v>
      </c>
      <c r="I77" s="583" t="e">
        <f t="shared" si="5"/>
        <v>#VALUE!</v>
      </c>
      <c r="K77" s="529" t="str">
        <f>IF(A77=B77,IFERROR(VLOOKUP(B77,#REF!,1,0),"-"),"-")</f>
        <v>-</v>
      </c>
      <c r="L77" s="304">
        <f t="shared" si="6"/>
        <v>1</v>
      </c>
      <c r="M77" s="304" t="str">
        <f t="shared" si="7"/>
        <v>-</v>
      </c>
    </row>
    <row r="78" spans="1:13" ht="63.75" x14ac:dyDescent="0.3">
      <c r="B78" s="516">
        <v>92475</v>
      </c>
      <c r="C78" s="573" t="s">
        <v>309</v>
      </c>
      <c r="D78" s="516" t="s">
        <v>861</v>
      </c>
      <c r="E78" s="593" t="str" cm="1">
        <f t="array" ref="E78">UPPER(IF(C78="COMPOSIÇÃO",_xlfn.XLOOKUP($B78,A:A,E:E,),IF(C78="COTAÇÃO",VLOOKUP($B78,COTAÇÕES!$A$11:$E$37,2,0),BuscarCampoAccess("Descricao",B78,B.A_SINAPI,B.M_SINAPI,C78))))</f>
        <v>ERRO: CONEXÃO NÃO ESTABELECIDA. CLIQUE EM CONECTAR.</v>
      </c>
      <c r="F78" s="594" t="str" cm="1">
        <f t="array" ref="F78">UPPER(IF(C78="COMPOSIÇÃO",_xlfn.XLOOKUP($B78,A:A,F:F,),IF(C78="COTAÇÃO",VLOOKUP($B78,COTAÇÕES!$A$11:$E$37,3,0),BuscarCampoAccess("Unidade",B78,B.A_SINAPI,B.M_SINAPI,C78))))</f>
        <v>ERRO: CONEXÃO NÃO ESTABELECIDA. CLIQUE EM CONECTAR.</v>
      </c>
      <c r="G78" s="595">
        <v>3.2</v>
      </c>
      <c r="H78" s="582" t="str" cm="1">
        <f t="array" ref="H78">UPPER(IF(C78="COMPOSIÇÃO",_xlfn.XLOOKUP($B78,A:A,I:I,),IF(C78="COTAÇÃO",VLOOKUP($B78,COTAÇÕES!$A$11:$E$37,5,0),BuscarCampoAccess("Custo",B78,B.A_SINAPI,B.M_SINAPI,C78))))</f>
        <v>ERRO: CONEXÃO NÃO ESTABELECIDA. CLIQUE EM CONECTAR.</v>
      </c>
      <c r="I78" s="583" t="e">
        <f t="shared" si="5"/>
        <v>#VALUE!</v>
      </c>
      <c r="K78" s="529" t="str">
        <f>IF(A78=B78,IFERROR(VLOOKUP(B78,#REF!,1,0),"-"),"-")</f>
        <v>-</v>
      </c>
      <c r="L78" s="304">
        <f t="shared" si="6"/>
        <v>1</v>
      </c>
      <c r="M78" s="304" t="str">
        <f t="shared" si="7"/>
        <v>-</v>
      </c>
    </row>
    <row r="79" spans="1:13" ht="63.75" x14ac:dyDescent="0.3">
      <c r="B79" s="516">
        <v>92917</v>
      </c>
      <c r="C79" s="573" t="s">
        <v>309</v>
      </c>
      <c r="D79" s="516" t="s">
        <v>861</v>
      </c>
      <c r="E79" s="593" t="str" cm="1">
        <f t="array" ref="E79">UPPER(IF(C79="COMPOSIÇÃO",_xlfn.XLOOKUP($B79,A:A,E:E,),IF(C79="COTAÇÃO",VLOOKUP($B79,COTAÇÕES!$A$11:$E$37,2,0),BuscarCampoAccess("Descricao",B79,B.A_SINAPI,B.M_SINAPI,C79))))</f>
        <v>ERRO: CONEXÃO NÃO ESTABELECIDA. CLIQUE EM CONECTAR.</v>
      </c>
      <c r="F79" s="594" t="str" cm="1">
        <f t="array" ref="F79">UPPER(IF(C79="COMPOSIÇÃO",_xlfn.XLOOKUP($B79,A:A,F:F,),IF(C79="COTAÇÃO",VLOOKUP($B79,COTAÇÕES!$A$11:$E$37,3,0),BuscarCampoAccess("Unidade",B79,B.A_SINAPI,B.M_SINAPI,C79))))</f>
        <v>ERRO: CONEXÃO NÃO ESTABELECIDA. CLIQUE EM CONECTAR.</v>
      </c>
      <c r="G79" s="595">
        <v>2.8</v>
      </c>
      <c r="H79" s="582" t="str" cm="1">
        <f t="array" ref="H79">UPPER(IF(C79="COMPOSIÇÃO",_xlfn.XLOOKUP($B79,A:A,I:I,),IF(C79="COTAÇÃO",VLOOKUP($B79,COTAÇÕES!$A$11:$E$37,5,0),BuscarCampoAccess("Custo",B79,B.A_SINAPI,B.M_SINAPI,C79))))</f>
        <v>ERRO: CONEXÃO NÃO ESTABELECIDA. CLIQUE EM CONECTAR.</v>
      </c>
      <c r="I79" s="583" t="e">
        <f t="shared" si="5"/>
        <v>#VALUE!</v>
      </c>
      <c r="K79" s="529" t="str">
        <f>IF(A79=B79,IFERROR(VLOOKUP(B79,#REF!,1,0),"-"),"-")</f>
        <v>-</v>
      </c>
      <c r="L79" s="304">
        <f t="shared" si="6"/>
        <v>1</v>
      </c>
      <c r="M79" s="304" t="str">
        <f t="shared" si="7"/>
        <v>-</v>
      </c>
    </row>
    <row r="80" spans="1:13" ht="63.75" x14ac:dyDescent="0.3">
      <c r="B80" s="516">
        <v>92915</v>
      </c>
      <c r="C80" s="573" t="s">
        <v>309</v>
      </c>
      <c r="D80" s="516" t="s">
        <v>861</v>
      </c>
      <c r="E80" s="593" t="str" cm="1">
        <f t="array" ref="E80">UPPER(IF(C80="COMPOSIÇÃO",_xlfn.XLOOKUP($B80,A:A,E:E,),IF(C80="COTAÇÃO",VLOOKUP($B80,COTAÇÕES!$A$11:$E$37,2,0),BuscarCampoAccess("Descricao",B80,B.A_SINAPI,B.M_SINAPI,C80))))</f>
        <v>ERRO: CONEXÃO NÃO ESTABELECIDA. CLIQUE EM CONECTAR.</v>
      </c>
      <c r="F80" s="594" t="str" cm="1">
        <f t="array" ref="F80">UPPER(IF(C80="COMPOSIÇÃO",_xlfn.XLOOKUP($B80,A:A,F:F,),IF(C80="COTAÇÃO",VLOOKUP($B80,COTAÇÕES!$A$11:$E$37,3,0),BuscarCampoAccess("Unidade",B80,B.A_SINAPI,B.M_SINAPI,C80))))</f>
        <v>ERRO: CONEXÃO NÃO ESTABELECIDA. CLIQUE EM CONECTAR.</v>
      </c>
      <c r="G80" s="595">
        <v>0.68</v>
      </c>
      <c r="H80" s="582" t="str" cm="1">
        <f t="array" ref="H80">UPPER(IF(C80="COMPOSIÇÃO",_xlfn.XLOOKUP($B80,A:A,I:I,),IF(C80="COTAÇÃO",VLOOKUP($B80,COTAÇÕES!$A$11:$E$37,5,0),BuscarCampoAccess("Custo",B80,B.A_SINAPI,B.M_SINAPI,C80))))</f>
        <v>ERRO: CONEXÃO NÃO ESTABELECIDA. CLIQUE EM CONECTAR.</v>
      </c>
      <c r="I80" s="583" t="e">
        <f t="shared" si="5"/>
        <v>#VALUE!</v>
      </c>
      <c r="K80" s="529" t="str">
        <f>IF(A80=B80,IFERROR(VLOOKUP(B80,#REF!,1,0),"-"),"-")</f>
        <v>-</v>
      </c>
      <c r="L80" s="304">
        <f t="shared" si="6"/>
        <v>1</v>
      </c>
      <c r="M80" s="304" t="str">
        <f t="shared" si="7"/>
        <v>-</v>
      </c>
    </row>
    <row r="81" spans="1:13" ht="63.75" x14ac:dyDescent="0.3">
      <c r="B81" s="516">
        <v>94964</v>
      </c>
      <c r="C81" s="573" t="s">
        <v>309</v>
      </c>
      <c r="D81" s="516" t="s">
        <v>861</v>
      </c>
      <c r="E81" s="593" t="str" cm="1">
        <f t="array" ref="E81">UPPER(IF(C81="COMPOSIÇÃO",_xlfn.XLOOKUP($B81,A:A,E:E,),IF(C81="COTAÇÃO",VLOOKUP($B81,COTAÇÕES!$A$11:$E$37,2,0),BuscarCampoAccess("Descricao",B81,B.A_SINAPI,B.M_SINAPI,C81))))</f>
        <v>ERRO: CONEXÃO NÃO ESTABELECIDA. CLIQUE EM CONECTAR.</v>
      </c>
      <c r="F81" s="594" t="str" cm="1">
        <f t="array" ref="F81">UPPER(IF(C81="COMPOSIÇÃO",_xlfn.XLOOKUP($B81,A:A,F:F,),IF(C81="COTAÇÃO",VLOOKUP($B81,COTAÇÕES!$A$11:$E$37,3,0),BuscarCampoAccess("Unidade",B81,B.A_SINAPI,B.M_SINAPI,C81))))</f>
        <v>ERRO: CONEXÃO NÃO ESTABELECIDA. CLIQUE EM CONECTAR.</v>
      </c>
      <c r="G81" s="595">
        <v>0.61410000000000009</v>
      </c>
      <c r="H81" s="582" t="str" cm="1">
        <f t="array" ref="H81">UPPER(IF(C81="COMPOSIÇÃO",_xlfn.XLOOKUP($B81,A:A,I:I,),IF(C81="COTAÇÃO",VLOOKUP($B81,COTAÇÕES!$A$11:$E$37,5,0),BuscarCampoAccess("Custo",B81,B.A_SINAPI,B.M_SINAPI,C81))))</f>
        <v>ERRO: CONEXÃO NÃO ESTABELECIDA. CLIQUE EM CONECTAR.</v>
      </c>
      <c r="I81" s="583" t="e">
        <f t="shared" si="5"/>
        <v>#VALUE!</v>
      </c>
      <c r="K81" s="529" t="str">
        <f>IF(A81=B81,IFERROR(VLOOKUP(B81,#REF!,1,0),"-"),"-")</f>
        <v>-</v>
      </c>
      <c r="L81" s="304">
        <f t="shared" si="6"/>
        <v>1</v>
      </c>
      <c r="M81" s="304" t="str">
        <f t="shared" si="7"/>
        <v>-</v>
      </c>
    </row>
    <row r="82" spans="1:13" ht="63.75" x14ac:dyDescent="0.3">
      <c r="B82" s="516">
        <v>103670</v>
      </c>
      <c r="C82" s="573" t="s">
        <v>309</v>
      </c>
      <c r="D82" s="516" t="s">
        <v>861</v>
      </c>
      <c r="E82" s="593" t="str" cm="1">
        <f t="array" ref="E82">UPPER(IF(C82="COMPOSIÇÃO",_xlfn.XLOOKUP($B82,A:A,E:E,),IF(C82="COTAÇÃO",VLOOKUP($B82,COTAÇÕES!$A$11:$E$37,2,0),BuscarCampoAccess("Descricao",B82,B.A_SINAPI,B.M_SINAPI,C82))))</f>
        <v>ERRO: CONEXÃO NÃO ESTABELECIDA. CLIQUE EM CONECTAR.</v>
      </c>
      <c r="F82" s="594" t="str" cm="1">
        <f t="array" ref="F82">UPPER(IF(C82="COMPOSIÇÃO",_xlfn.XLOOKUP($B82,A:A,F:F,),IF(C82="COTAÇÃO",VLOOKUP($B82,COTAÇÕES!$A$11:$E$37,3,0),BuscarCampoAccess("Unidade",B82,B.A_SINAPI,B.M_SINAPI,C82))))</f>
        <v>ERRO: CONEXÃO NÃO ESTABELECIDA. CLIQUE EM CONECTAR.</v>
      </c>
      <c r="G82" s="595">
        <v>0.61410000000000009</v>
      </c>
      <c r="H82" s="582" t="str" cm="1">
        <f t="array" ref="H82">UPPER(IF(C82="COMPOSIÇÃO",_xlfn.XLOOKUP($B82,A:A,I:I,),IF(C82="COTAÇÃO",VLOOKUP($B82,COTAÇÕES!$A$11:$E$37,5,0),BuscarCampoAccess("Custo",B82,B.A_SINAPI,B.M_SINAPI,C82))))</f>
        <v>ERRO: CONEXÃO NÃO ESTABELECIDA. CLIQUE EM CONECTAR.</v>
      </c>
      <c r="I82" s="583" t="e">
        <f t="shared" si="5"/>
        <v>#VALUE!</v>
      </c>
      <c r="K82" s="529" t="str">
        <f>IF(A82=B82,IFERROR(VLOOKUP(B82,#REF!,1,0),"-"),"-")</f>
        <v>-</v>
      </c>
      <c r="L82" s="304">
        <f t="shared" si="6"/>
        <v>1</v>
      </c>
      <c r="M82" s="304" t="str">
        <f t="shared" si="7"/>
        <v>-</v>
      </c>
    </row>
    <row r="83" spans="1:13" ht="63.75" x14ac:dyDescent="0.3">
      <c r="B83" s="516">
        <v>5928</v>
      </c>
      <c r="C83" s="573" t="s">
        <v>309</v>
      </c>
      <c r="D83" s="516" t="s">
        <v>861</v>
      </c>
      <c r="E83" s="593" t="str" cm="1">
        <f t="array" ref="E83">UPPER(IF(C83="COMPOSIÇÃO",_xlfn.XLOOKUP($B83,A:A,E:E,),IF(C83="COTAÇÃO",VLOOKUP($B83,COTAÇÕES!$A$11:$E$37,2,0),BuscarCampoAccess("Descricao",B83,B.A_SINAPI,B.M_SINAPI,C83))))</f>
        <v>ERRO: CONEXÃO NÃO ESTABELECIDA. CLIQUE EM CONECTAR.</v>
      </c>
      <c r="F83" s="594" t="str" cm="1">
        <f t="array" ref="F83">UPPER(IF(C83="COMPOSIÇÃO",_xlfn.XLOOKUP($B83,A:A,F:F,),IF(C83="COTAÇÃO",VLOOKUP($B83,COTAÇÕES!$A$11:$E$37,3,0),BuscarCampoAccess("Unidade",B83,B.A_SINAPI,B.M_SINAPI,C83))))</f>
        <v>ERRO: CONEXÃO NÃO ESTABELECIDA. CLIQUE EM CONECTAR.</v>
      </c>
      <c r="G83" s="595">
        <v>0.1</v>
      </c>
      <c r="H83" s="582" t="str" cm="1">
        <f t="array" ref="H83">UPPER(IF(C83="COMPOSIÇÃO",_xlfn.XLOOKUP($B83,A:A,I:I,),IF(C83="COTAÇÃO",VLOOKUP($B83,COTAÇÕES!$A$11:$E$37,5,0),BuscarCampoAccess("Custo",B83,B.A_SINAPI,B.M_SINAPI,C83))))</f>
        <v>ERRO: CONEXÃO NÃO ESTABELECIDA. CLIQUE EM CONECTAR.</v>
      </c>
      <c r="I83" s="583" t="e">
        <f>TRUNC(G83*H83,2)</f>
        <v>#VALUE!</v>
      </c>
      <c r="K83" s="529" t="str">
        <f>IF(A83=B83,IFERROR(VLOOKUP(B83,#REF!,1,0),"-"),"-")</f>
        <v>-</v>
      </c>
      <c r="L83" s="304">
        <f t="shared" si="6"/>
        <v>1</v>
      </c>
      <c r="M83" s="304" t="str">
        <f t="shared" si="7"/>
        <v>-</v>
      </c>
    </row>
    <row r="84" spans="1:13" ht="25.5" x14ac:dyDescent="0.3">
      <c r="B84" s="516" t="s">
        <v>1168</v>
      </c>
      <c r="C84" s="573" t="s">
        <v>341</v>
      </c>
      <c r="D84" s="516" t="s">
        <v>341</v>
      </c>
      <c r="E84" s="593" t="str" cm="1">
        <f t="array" ref="E84">UPPER(IF(C84="COMPOSIÇÃO",_xlfn.XLOOKUP($B84,A:A,E:E,),IF(C84="COTAÇÃO",VLOOKUP($B84,COTAÇÕES!$A$11:$E$37,2,0),BuscarCampoAccess("Descricao",B84,B.A_SINAPI,B.M_SINAPI,C84))))</f>
        <v>GRELHA FOFO ARTICULADA, CLASSE D400, CARGA MÁXIMA 40T, 50 X 100 CM, PARA BOCA DE LOBO</v>
      </c>
      <c r="F84" s="594" t="str" cm="1">
        <f t="array" ref="F84">UPPER(IF(C84="COMPOSIÇÃO",_xlfn.XLOOKUP($B84,A:A,F:F,),IF(C84="COTAÇÃO",VLOOKUP($B84,COTAÇÕES!$A$11:$E$37,3,0),BuscarCampoAccess("Unidade",B84,B.A_SINAPI,B.M_SINAPI,C84))))</f>
        <v>UN</v>
      </c>
      <c r="G84" s="595">
        <v>1</v>
      </c>
      <c r="H84" s="582" t="str" cm="1">
        <f t="array" ref="H84">UPPER(IF(C84="COMPOSIÇÃO",_xlfn.XLOOKUP($B84,A:A,I:I,),IF(C84="COTAÇÃO",VLOOKUP($B84,COTAÇÕES!$A$11:$E$37,5,0),BuscarCampoAccess("Custo",B84,B.A_SINAPI,B.M_SINAPI,C84))))</f>
        <v>707,75</v>
      </c>
      <c r="I84" s="583">
        <f>TRUNC(G84*H84,2)</f>
        <v>707.75</v>
      </c>
      <c r="K84" s="529" t="str">
        <f>IF(A84=B84,IFERROR(VLOOKUP(B84,#REF!,1,0),"-"),"-")</f>
        <v>-</v>
      </c>
      <c r="L84" s="304">
        <f t="shared" si="6"/>
        <v>1</v>
      </c>
      <c r="M84" s="304" t="str">
        <f t="shared" si="7"/>
        <v>-</v>
      </c>
    </row>
    <row r="85" spans="1:13" x14ac:dyDescent="0.3">
      <c r="K85" s="529" t="str">
        <f>IF(A85=B85,IFERROR(VLOOKUP(B85,#REF!,1,0),"-"),"-")</f>
        <v>-</v>
      </c>
      <c r="L85" s="304">
        <f t="shared" si="6"/>
        <v>0</v>
      </c>
      <c r="M85" s="304" t="b">
        <f t="shared" si="7"/>
        <v>0</v>
      </c>
    </row>
    <row r="86" spans="1:13" ht="49.5" customHeight="1" x14ac:dyDescent="0.3">
      <c r="A86" s="192" t="str">
        <f>IF(AND(D86="",E86&lt;&gt;""),B86,"")</f>
        <v>CPU-DRED 03</v>
      </c>
      <c r="B86" s="589" t="s">
        <v>875</v>
      </c>
      <c r="C86" s="187"/>
      <c r="D86" s="188"/>
      <c r="E86" s="189" t="s">
        <v>335</v>
      </c>
      <c r="F86" s="188" t="s">
        <v>256</v>
      </c>
      <c r="G86" s="188"/>
      <c r="H86" s="191"/>
      <c r="I86" s="590" t="e">
        <f>SUM(I87:I96)</f>
        <v>#VALUE!</v>
      </c>
      <c r="K86" s="529" t="str">
        <f>IF(A86=B86,IFERROR(VLOOKUP(B86,#REF!,1,0),"-"),"-")</f>
        <v>-</v>
      </c>
      <c r="L86" s="304">
        <f t="shared" si="6"/>
        <v>1</v>
      </c>
      <c r="M86" s="304" t="str">
        <f t="shared" si="7"/>
        <v>-</v>
      </c>
    </row>
    <row r="87" spans="1:13" ht="63.75" x14ac:dyDescent="0.3">
      <c r="B87" s="516">
        <v>97636</v>
      </c>
      <c r="C87" s="573" t="s">
        <v>309</v>
      </c>
      <c r="D87" s="516" t="s">
        <v>861</v>
      </c>
      <c r="E87" s="593" t="str" cm="1">
        <f t="array" ref="E87">UPPER(IF(C87="COMPOSIÇÃO",_xlfn.XLOOKUP($B87,A:A,E:E,),IF(C87="COTAÇÃO",VLOOKUP($B87,COTAÇÕES!$A$11:$E$37,2,0),BuscarCampoAccess("Descricao",B87,B.A_SINAPI,B.M_SINAPI,C87))))</f>
        <v>ERRO: CONEXÃO NÃO ESTABELECIDA. CLIQUE EM CONECTAR.</v>
      </c>
      <c r="F87" s="594" t="str" cm="1">
        <f t="array" ref="F87">UPPER(IF(C87="COMPOSIÇÃO",_xlfn.XLOOKUP($B87,A:A,F:F,),IF(C87="COTAÇÃO",VLOOKUP($B87,COTAÇÕES!$A$11:$E$37,3,0),BuscarCampoAccess("Unidade",B87,B.A_SINAPI,B.M_SINAPI,C87))))</f>
        <v>ERRO: CONEXÃO NÃO ESTABELECIDA. CLIQUE EM CONECTAR.</v>
      </c>
      <c r="G87" s="517">
        <v>4.3869999999999996</v>
      </c>
      <c r="H87" s="582" t="str" cm="1">
        <f t="array" ref="H87">UPPER(IF(C87="COMPOSIÇÃO",_xlfn.XLOOKUP($B87,A:A,I:I,),IF(C87="COTAÇÃO",VLOOKUP($B87,COTAÇÕES!$A$11:$E$37,5,0),BuscarCampoAccess("Custo",B87,B.A_SINAPI,B.M_SINAPI,C87))))</f>
        <v>ERRO: CONEXÃO NÃO ESTABELECIDA. CLIQUE EM CONECTAR.</v>
      </c>
      <c r="I87" s="583" t="e">
        <f>TRUNC(G87*H87,2)</f>
        <v>#VALUE!</v>
      </c>
      <c r="K87" s="529" t="str">
        <f>IF(A87=B87,IFERROR(VLOOKUP(B87,#REF!,1,0),"-"),"-")</f>
        <v>-</v>
      </c>
      <c r="L87" s="304">
        <f t="shared" si="6"/>
        <v>1</v>
      </c>
      <c r="M87" s="304" t="str">
        <f t="shared" si="7"/>
        <v>-</v>
      </c>
    </row>
    <row r="88" spans="1:13" ht="63.75" x14ac:dyDescent="0.3">
      <c r="B88" s="516">
        <v>93358</v>
      </c>
      <c r="C88" s="573" t="s">
        <v>309</v>
      </c>
      <c r="D88" s="516" t="s">
        <v>861</v>
      </c>
      <c r="E88" s="593" t="str" cm="1">
        <f t="array" ref="E88">UPPER(IF(C88="COMPOSIÇÃO",_xlfn.XLOOKUP($B88,A:A,E:E,),IF(C88="COTAÇÃO",VLOOKUP($B88,COTAÇÕES!$A$11:$E$37,2,0),BuscarCampoAccess("Descricao",B88,B.A_SINAPI,B.M_SINAPI,C88))))</f>
        <v>ERRO: CONEXÃO NÃO ESTABELECIDA. CLIQUE EM CONECTAR.</v>
      </c>
      <c r="F88" s="594" t="str" cm="1">
        <f t="array" ref="F88">UPPER(IF(C88="COMPOSIÇÃO",_xlfn.XLOOKUP($B88,A:A,F:F,),IF(C88="COTAÇÃO",VLOOKUP($B88,COTAÇÕES!$A$11:$E$37,3,0),BuscarCampoAccess("Unidade",B88,B.A_SINAPI,B.M_SINAPI,C88))))</f>
        <v>ERRO: CONEXÃO NÃO ESTABELECIDA. CLIQUE EM CONECTAR.</v>
      </c>
      <c r="G88" s="517">
        <v>2.0495999999999999</v>
      </c>
      <c r="H88" s="582" t="str" cm="1">
        <f t="array" ref="H88">UPPER(IF(C88="COMPOSIÇÃO",_xlfn.XLOOKUP($B88,A:A,I:I,),IF(C88="COTAÇÃO",VLOOKUP($B88,COTAÇÕES!$A$11:$E$37,5,0),BuscarCampoAccess("Custo",B88,B.A_SINAPI,B.M_SINAPI,C88))))</f>
        <v>ERRO: CONEXÃO NÃO ESTABELECIDA. CLIQUE EM CONECTAR.</v>
      </c>
      <c r="I88" s="583" t="e">
        <f>TRUNC(G88*H88,2)</f>
        <v>#VALUE!</v>
      </c>
      <c r="K88" s="529" t="str">
        <f>IF(A88=B88,IFERROR(VLOOKUP(B88,#REF!,1,0),"-"),"-")</f>
        <v>-</v>
      </c>
      <c r="L88" s="304">
        <f t="shared" si="6"/>
        <v>1</v>
      </c>
      <c r="M88" s="304" t="str">
        <f t="shared" si="7"/>
        <v>-</v>
      </c>
    </row>
    <row r="89" spans="1:13" ht="63.75" x14ac:dyDescent="0.3">
      <c r="B89" s="516">
        <v>101616</v>
      </c>
      <c r="C89" s="573" t="s">
        <v>309</v>
      </c>
      <c r="D89" s="516" t="s">
        <v>861</v>
      </c>
      <c r="E89" s="593" t="str" cm="1">
        <f t="array" ref="E89">UPPER(IF(C89="COMPOSIÇÃO",_xlfn.XLOOKUP($B89,A:A,E:E,),IF(C89="COTAÇÃO",VLOOKUP($B89,COTAÇÕES!$A$11:$E$37,2,0),BuscarCampoAccess("Descricao",B89,B.A_SINAPI,B.M_SINAPI,C89))))</f>
        <v>ERRO: CONEXÃO NÃO ESTABELECIDA. CLIQUE EM CONECTAR.</v>
      </c>
      <c r="F89" s="594" t="str" cm="1">
        <f t="array" ref="F89">UPPER(IF(C89="COMPOSIÇÃO",_xlfn.XLOOKUP($B89,A:A,F:F,),IF(C89="COTAÇÃO",VLOOKUP($B89,COTAÇÕES!$A$11:$E$37,3,0),BuscarCampoAccess("Unidade",B89,B.A_SINAPI,B.M_SINAPI,C89))))</f>
        <v>ERRO: CONEXÃO NÃO ESTABELECIDA. CLIQUE EM CONECTAR.</v>
      </c>
      <c r="G89" s="517">
        <v>2.0495999999999999</v>
      </c>
      <c r="H89" s="582" t="str" cm="1">
        <f t="array" ref="H89">UPPER(IF(C89="COMPOSIÇÃO",_xlfn.XLOOKUP($B89,A:A,I:I,),IF(C89="COTAÇÃO",VLOOKUP($B89,COTAÇÕES!$A$11:$E$37,5,0),BuscarCampoAccess("Custo",B89,B.A_SINAPI,B.M_SINAPI,C89))))</f>
        <v>ERRO: CONEXÃO NÃO ESTABELECIDA. CLIQUE EM CONECTAR.</v>
      </c>
      <c r="I89" s="583" t="e">
        <f t="shared" ref="I89:I94" si="8">TRUNC(G89*H89,2)</f>
        <v>#VALUE!</v>
      </c>
      <c r="K89" s="529" t="str">
        <f>IF(A89=B89,IFERROR(VLOOKUP(B89,#REF!,1,0),"-"),"-")</f>
        <v>-</v>
      </c>
      <c r="L89" s="304">
        <f t="shared" si="6"/>
        <v>1</v>
      </c>
      <c r="M89" s="304" t="str">
        <f t="shared" si="7"/>
        <v>-</v>
      </c>
    </row>
    <row r="90" spans="1:13" ht="63.75" x14ac:dyDescent="0.3">
      <c r="B90" s="516">
        <v>92475</v>
      </c>
      <c r="C90" s="573" t="s">
        <v>309</v>
      </c>
      <c r="D90" s="516" t="s">
        <v>861</v>
      </c>
      <c r="E90" s="593" t="str" cm="1">
        <f t="array" ref="E90">UPPER(IF(C90="COMPOSIÇÃO",_xlfn.XLOOKUP($B90,A:A,E:E,),IF(C90="COTAÇÃO",VLOOKUP($B90,COTAÇÕES!$A$11:$E$37,2,0),BuscarCampoAccess("Descricao",B90,B.A_SINAPI,B.M_SINAPI,C90))))</f>
        <v>ERRO: CONEXÃO NÃO ESTABELECIDA. CLIQUE EM CONECTAR.</v>
      </c>
      <c r="F90" s="594" t="str" cm="1">
        <f t="array" ref="F90">UPPER(IF(C90="COMPOSIÇÃO",_xlfn.XLOOKUP($B90,A:A,F:F,),IF(C90="COTAÇÃO",VLOOKUP($B90,COTAÇÕES!$A$11:$E$37,3,0),BuscarCampoAccess("Unidade",B90,B.A_SINAPI,B.M_SINAPI,C90))))</f>
        <v>ERRO: CONEXÃO NÃO ESTABELECIDA. CLIQUE EM CONECTAR.</v>
      </c>
      <c r="G90" s="517">
        <v>6.4</v>
      </c>
      <c r="H90" s="582" t="str" cm="1">
        <f t="array" ref="H90">UPPER(IF(C90="COMPOSIÇÃO",_xlfn.XLOOKUP($B90,A:A,I:I,),IF(C90="COTAÇÃO",VLOOKUP($B90,COTAÇÕES!$A$11:$E$37,5,0),BuscarCampoAccess("Custo",B90,B.A_SINAPI,B.M_SINAPI,C90))))</f>
        <v>ERRO: CONEXÃO NÃO ESTABELECIDA. CLIQUE EM CONECTAR.</v>
      </c>
      <c r="I90" s="583" t="e">
        <f>TRUNC(G90*H90,2)</f>
        <v>#VALUE!</v>
      </c>
      <c r="K90" s="529" t="str">
        <f>IF(A90=B90,IFERROR(VLOOKUP(B90,#REF!,1,0),"-"),"-")</f>
        <v>-</v>
      </c>
      <c r="L90" s="304">
        <f t="shared" si="6"/>
        <v>1</v>
      </c>
      <c r="M90" s="304" t="str">
        <f t="shared" si="7"/>
        <v>-</v>
      </c>
    </row>
    <row r="91" spans="1:13" ht="63.75" x14ac:dyDescent="0.3">
      <c r="B91" s="516">
        <v>92917</v>
      </c>
      <c r="C91" s="573" t="s">
        <v>309</v>
      </c>
      <c r="D91" s="516" t="s">
        <v>861</v>
      </c>
      <c r="E91" s="593" t="str" cm="1">
        <f t="array" ref="E91">UPPER(IF(C91="COMPOSIÇÃO",_xlfn.XLOOKUP($B91,A:A,E:E,),IF(C91="COTAÇÃO",VLOOKUP($B91,COTAÇÕES!$A$11:$E$37,2,0),BuscarCampoAccess("Descricao",B91,B.A_SINAPI,B.M_SINAPI,C91))))</f>
        <v>ERRO: CONEXÃO NÃO ESTABELECIDA. CLIQUE EM CONECTAR.</v>
      </c>
      <c r="F91" s="594" t="str" cm="1">
        <f t="array" ref="F91">UPPER(IF(C91="COMPOSIÇÃO",_xlfn.XLOOKUP($B91,A:A,F:F,),IF(C91="COTAÇÃO",VLOOKUP($B91,COTAÇÕES!$A$11:$E$37,3,0),BuscarCampoAccess("Unidade",B91,B.A_SINAPI,B.M_SINAPI,C91))))</f>
        <v>ERRO: CONEXÃO NÃO ESTABELECIDA. CLIQUE EM CONECTAR.</v>
      </c>
      <c r="G91" s="517">
        <v>7.05</v>
      </c>
      <c r="H91" s="582" t="str" cm="1">
        <f t="array" ref="H91">UPPER(IF(C91="COMPOSIÇÃO",_xlfn.XLOOKUP($B91,A:A,I:I,),IF(C91="COTAÇÃO",VLOOKUP($B91,COTAÇÕES!$A$11:$E$37,5,0),BuscarCampoAccess("Custo",B91,B.A_SINAPI,B.M_SINAPI,C91))))</f>
        <v>ERRO: CONEXÃO NÃO ESTABELECIDA. CLIQUE EM CONECTAR.</v>
      </c>
      <c r="I91" s="583" t="e">
        <f>TRUNC(G91*H91,2)</f>
        <v>#VALUE!</v>
      </c>
      <c r="K91" s="529" t="str">
        <f>IF(A91=B91,IFERROR(VLOOKUP(B91,#REF!,1,0),"-"),"-")</f>
        <v>-</v>
      </c>
      <c r="L91" s="304">
        <f t="shared" si="6"/>
        <v>1</v>
      </c>
      <c r="M91" s="304" t="str">
        <f t="shared" si="7"/>
        <v>-</v>
      </c>
    </row>
    <row r="92" spans="1:13" ht="63.75" x14ac:dyDescent="0.3">
      <c r="B92" s="516">
        <v>92915</v>
      </c>
      <c r="C92" s="573" t="s">
        <v>309</v>
      </c>
      <c r="D92" s="516" t="s">
        <v>861</v>
      </c>
      <c r="E92" s="593" t="str" cm="1">
        <f t="array" ref="E92">UPPER(IF(C92="COMPOSIÇÃO",_xlfn.XLOOKUP($B92,A:A,E:E,),IF(C92="COTAÇÃO",VLOOKUP($B92,COTAÇÕES!$A$11:$E$37,2,0),BuscarCampoAccess("Descricao",B92,B.A_SINAPI,B.M_SINAPI,C92))))</f>
        <v>ERRO: CONEXÃO NÃO ESTABELECIDA. CLIQUE EM CONECTAR.</v>
      </c>
      <c r="F92" s="594" t="str" cm="1">
        <f t="array" ref="F92">UPPER(IF(C92="COMPOSIÇÃO",_xlfn.XLOOKUP($B92,A:A,F:F,),IF(C92="COTAÇÃO",VLOOKUP($B92,COTAÇÕES!$A$11:$E$37,3,0),BuscarCampoAccess("Unidade",B92,B.A_SINAPI,B.M_SINAPI,C92))))</f>
        <v>ERRO: CONEXÃO NÃO ESTABELECIDA. CLIQUE EM CONECTAR.</v>
      </c>
      <c r="G92" s="517">
        <v>1.85</v>
      </c>
      <c r="H92" s="582" t="str" cm="1">
        <f t="array" ref="H92">UPPER(IF(C92="COMPOSIÇÃO",_xlfn.XLOOKUP($B92,A:A,I:I,),IF(C92="COTAÇÃO",VLOOKUP($B92,COTAÇÕES!$A$11:$E$37,5,0),BuscarCampoAccess("Custo",B92,B.A_SINAPI,B.M_SINAPI,C92))))</f>
        <v>ERRO: CONEXÃO NÃO ESTABELECIDA. CLIQUE EM CONECTAR.</v>
      </c>
      <c r="I92" s="583" t="e">
        <f>TRUNC(G92*H92,2)</f>
        <v>#VALUE!</v>
      </c>
      <c r="K92" s="529" t="str">
        <f>IF(A92=B92,IFERROR(VLOOKUP(B92,#REF!,1,0),"-"),"-")</f>
        <v>-</v>
      </c>
      <c r="L92" s="304">
        <f t="shared" si="6"/>
        <v>1</v>
      </c>
      <c r="M92" s="304" t="str">
        <f t="shared" si="7"/>
        <v>-</v>
      </c>
    </row>
    <row r="93" spans="1:13" ht="63.75" x14ac:dyDescent="0.3">
      <c r="B93" s="516">
        <v>94964</v>
      </c>
      <c r="C93" s="573" t="s">
        <v>309</v>
      </c>
      <c r="D93" s="516" t="s">
        <v>861</v>
      </c>
      <c r="E93" s="593" t="str" cm="1">
        <f t="array" ref="E93">UPPER(IF(C93="COMPOSIÇÃO",_xlfn.XLOOKUP($B93,A:A,E:E,),IF(C93="COTAÇÃO",VLOOKUP($B93,COTAÇÕES!$A$11:$E$37,2,0),BuscarCampoAccess("Descricao",B93,B.A_SINAPI,B.M_SINAPI,C93))))</f>
        <v>ERRO: CONEXÃO NÃO ESTABELECIDA. CLIQUE EM CONECTAR.</v>
      </c>
      <c r="F93" s="594" t="str" cm="1">
        <f t="array" ref="F93">UPPER(IF(C93="COMPOSIÇÃO",_xlfn.XLOOKUP($B93,A:A,F:F,),IF(C93="COTAÇÃO",VLOOKUP($B93,COTAÇÕES!$A$11:$E$37,3,0),BuscarCampoAccess("Unidade",B93,B.A_SINAPI,B.M_SINAPI,C93))))</f>
        <v>ERRO: CONEXÃO NÃO ESTABELECIDA. CLIQUE EM CONECTAR.</v>
      </c>
      <c r="G93" s="517">
        <v>1.1691</v>
      </c>
      <c r="H93" s="582" t="str" cm="1">
        <f t="array" ref="H93">UPPER(IF(C93="COMPOSIÇÃO",_xlfn.XLOOKUP($B93,A:A,I:I,),IF(C93="COTAÇÃO",VLOOKUP($B93,COTAÇÕES!$A$11:$E$37,5,0),BuscarCampoAccess("Custo",B93,B.A_SINAPI,B.M_SINAPI,C93))))</f>
        <v>ERRO: CONEXÃO NÃO ESTABELECIDA. CLIQUE EM CONECTAR.</v>
      </c>
      <c r="I93" s="583" t="e">
        <f t="shared" si="8"/>
        <v>#VALUE!</v>
      </c>
      <c r="K93" s="529" t="str">
        <f>IF(A93=B93,IFERROR(VLOOKUP(B93,#REF!,1,0),"-"),"-")</f>
        <v>-</v>
      </c>
      <c r="L93" s="304">
        <f t="shared" si="6"/>
        <v>1</v>
      </c>
      <c r="M93" s="304" t="str">
        <f t="shared" si="7"/>
        <v>-</v>
      </c>
    </row>
    <row r="94" spans="1:13" ht="63.75" x14ac:dyDescent="0.3">
      <c r="B94" s="516">
        <v>103670</v>
      </c>
      <c r="C94" s="573" t="s">
        <v>309</v>
      </c>
      <c r="D94" s="516" t="s">
        <v>861</v>
      </c>
      <c r="E94" s="593" t="str" cm="1">
        <f t="array" ref="E94">UPPER(IF(C94="COMPOSIÇÃO",_xlfn.XLOOKUP($B94,A:A,E:E,),IF(C94="COTAÇÃO",VLOOKUP($B94,COTAÇÕES!$A$11:$E$37,2,0),BuscarCampoAccess("Descricao",B94,B.A_SINAPI,B.M_SINAPI,C94))))</f>
        <v>ERRO: CONEXÃO NÃO ESTABELECIDA. CLIQUE EM CONECTAR.</v>
      </c>
      <c r="F94" s="594" t="str" cm="1">
        <f t="array" ref="F94">UPPER(IF(C94="COMPOSIÇÃO",_xlfn.XLOOKUP($B94,A:A,F:F,),IF(C94="COTAÇÃO",VLOOKUP($B94,COTAÇÕES!$A$11:$E$37,3,0),BuscarCampoAccess("Unidade",B94,B.A_SINAPI,B.M_SINAPI,C94))))</f>
        <v>ERRO: CONEXÃO NÃO ESTABELECIDA. CLIQUE EM CONECTAR.</v>
      </c>
      <c r="G94" s="517">
        <v>1.1691</v>
      </c>
      <c r="H94" s="582" t="str" cm="1">
        <f t="array" ref="H94">UPPER(IF(C94="COMPOSIÇÃO",_xlfn.XLOOKUP($B94,A:A,I:I,),IF(C94="COTAÇÃO",VLOOKUP($B94,COTAÇÕES!$A$11:$E$37,5,0),BuscarCampoAccess("Custo",B94,B.A_SINAPI,B.M_SINAPI,C94))))</f>
        <v>ERRO: CONEXÃO NÃO ESTABELECIDA. CLIQUE EM CONECTAR.</v>
      </c>
      <c r="I94" s="583" t="e">
        <f t="shared" si="8"/>
        <v>#VALUE!</v>
      </c>
      <c r="K94" s="529" t="str">
        <f>IF(A94=B94,IFERROR(VLOOKUP(B94,#REF!,1,0),"-"),"-")</f>
        <v>-</v>
      </c>
      <c r="L94" s="304">
        <f t="shared" si="6"/>
        <v>1</v>
      </c>
      <c r="M94" s="304" t="str">
        <f t="shared" si="7"/>
        <v>-</v>
      </c>
    </row>
    <row r="95" spans="1:13" ht="63.75" x14ac:dyDescent="0.3">
      <c r="B95" s="516">
        <v>5928</v>
      </c>
      <c r="C95" s="573" t="s">
        <v>309</v>
      </c>
      <c r="D95" s="516" t="s">
        <v>861</v>
      </c>
      <c r="E95" s="593" t="str" cm="1">
        <f t="array" ref="E95">UPPER(IF(C95="COMPOSIÇÃO",_xlfn.XLOOKUP($B95,A:A,E:E,),IF(C95="COTAÇÃO",VLOOKUP($B95,COTAÇÕES!$A$11:$E$37,2,0),BuscarCampoAccess("Descricao",B95,B.A_SINAPI,B.M_SINAPI,C95))))</f>
        <v>ERRO: CONEXÃO NÃO ESTABELECIDA. CLIQUE EM CONECTAR.</v>
      </c>
      <c r="F95" s="594" t="str" cm="1">
        <f t="array" ref="F95">UPPER(IF(C95="COMPOSIÇÃO",_xlfn.XLOOKUP($B95,A:A,F:F,),IF(C95="COTAÇÃO",VLOOKUP($B95,COTAÇÕES!$A$11:$E$37,3,0),BuscarCampoAccess("Unidade",B95,B.A_SINAPI,B.M_SINAPI,C95))))</f>
        <v>ERRO: CONEXÃO NÃO ESTABELECIDA. CLIQUE EM CONECTAR.</v>
      </c>
      <c r="G95" s="517">
        <v>0.1</v>
      </c>
      <c r="H95" s="582" t="str" cm="1">
        <f t="array" ref="H95">UPPER(IF(C95="COMPOSIÇÃO",_xlfn.XLOOKUP($B95,A:A,I:I,),IF(C95="COTAÇÃO",VLOOKUP($B95,COTAÇÕES!$A$11:$E$37,5,0),BuscarCampoAccess("Custo",B95,B.A_SINAPI,B.M_SINAPI,C95))))</f>
        <v>ERRO: CONEXÃO NÃO ESTABELECIDA. CLIQUE EM CONECTAR.</v>
      </c>
      <c r="I95" s="583" t="e">
        <f>TRUNC(G95*H95,2)</f>
        <v>#VALUE!</v>
      </c>
      <c r="K95" s="529" t="str">
        <f>IF(A95=B95,IFERROR(VLOOKUP(B95,#REF!,1,0),"-"),"-")</f>
        <v>-</v>
      </c>
      <c r="L95" s="304">
        <f t="shared" si="6"/>
        <v>1</v>
      </c>
      <c r="M95" s="304" t="str">
        <f t="shared" si="7"/>
        <v>-</v>
      </c>
    </row>
    <row r="96" spans="1:13" ht="25.5" x14ac:dyDescent="0.3">
      <c r="B96" s="516" t="s">
        <v>1168</v>
      </c>
      <c r="C96" s="573" t="s">
        <v>341</v>
      </c>
      <c r="D96" s="516" t="s">
        <v>341</v>
      </c>
      <c r="E96" s="593" t="str" cm="1">
        <f t="array" ref="E96">UPPER(IF(C96="COMPOSIÇÃO",_xlfn.XLOOKUP($B96,A:A,E:E,),IF(C96="COTAÇÃO",VLOOKUP($B96,COTAÇÕES!$A$11:$E$37,2,0),BuscarCampoAccess("Descricao",B96,B.A_SINAPI,B.M_SINAPI,C96))))</f>
        <v>GRELHA FOFO ARTICULADA, CLASSE D400, CARGA MÁXIMA 40T, 50 X 100 CM, PARA BOCA DE LOBO</v>
      </c>
      <c r="F96" s="594" t="str" cm="1">
        <f t="array" ref="F96">UPPER(IF(C96="COMPOSIÇÃO",_xlfn.XLOOKUP($B96,A:A,F:F,),IF(C96="COTAÇÃO",VLOOKUP($B96,COTAÇÕES!$A$11:$E$37,3,0),BuscarCampoAccess("Unidade",B96,B.A_SINAPI,B.M_SINAPI,C96))))</f>
        <v>UN</v>
      </c>
      <c r="G96" s="517">
        <v>2</v>
      </c>
      <c r="H96" s="582" t="str" cm="1">
        <f t="array" ref="H96">UPPER(IF(C96="COMPOSIÇÃO",_xlfn.XLOOKUP($B96,A:A,I:I,),IF(C96="COTAÇÃO",VLOOKUP($B96,COTAÇÕES!$A$11:$E$37,5,0),BuscarCampoAccess("Custo",B96,B.A_SINAPI,B.M_SINAPI,C96))))</f>
        <v>707,75</v>
      </c>
      <c r="I96" s="583">
        <f>TRUNC(G96*H96,2)</f>
        <v>1415.5</v>
      </c>
      <c r="K96" s="529" t="str">
        <f>IF(A96=B96,IFERROR(VLOOKUP(B96,#REF!,1,0),"-"),"-")</f>
        <v>-</v>
      </c>
      <c r="L96" s="304">
        <f t="shared" si="6"/>
        <v>1</v>
      </c>
      <c r="M96" s="304" t="str">
        <f t="shared" si="7"/>
        <v>-</v>
      </c>
    </row>
    <row r="97" spans="1:13" x14ac:dyDescent="0.3">
      <c r="K97" s="529" t="str">
        <f>IF(A97=B97,IFERROR(VLOOKUP(B97,#REF!,1,0),"-"),"-")</f>
        <v>-</v>
      </c>
      <c r="L97" s="304">
        <f t="shared" si="6"/>
        <v>0</v>
      </c>
      <c r="M97" s="304" t="b">
        <f t="shared" si="7"/>
        <v>0</v>
      </c>
    </row>
    <row r="98" spans="1:13" ht="38.25" x14ac:dyDescent="0.3">
      <c r="A98" s="192" t="str">
        <f>IF(AND(D98="",E98&lt;&gt;""),B98,"")</f>
        <v>CPU-DRED 04</v>
      </c>
      <c r="B98" s="589" t="s">
        <v>878</v>
      </c>
      <c r="C98" s="187"/>
      <c r="D98" s="188"/>
      <c r="E98" s="189" t="s">
        <v>877</v>
      </c>
      <c r="F98" s="188" t="s">
        <v>256</v>
      </c>
      <c r="G98" s="188"/>
      <c r="H98" s="191"/>
      <c r="I98" s="590" t="e">
        <f>SUM(I99:I108)</f>
        <v>#VALUE!</v>
      </c>
      <c r="K98" s="529" t="str">
        <f>IF(A98=B98,IFERROR(VLOOKUP(B98,#REF!,1,0),"-"),"-")</f>
        <v>-</v>
      </c>
      <c r="L98" s="304">
        <f t="shared" si="6"/>
        <v>1</v>
      </c>
      <c r="M98" s="304" t="str">
        <f t="shared" si="7"/>
        <v>-</v>
      </c>
    </row>
    <row r="99" spans="1:13" ht="31.5" customHeight="1" x14ac:dyDescent="0.3">
      <c r="B99" s="516">
        <v>97636</v>
      </c>
      <c r="C99" s="573" t="s">
        <v>309</v>
      </c>
      <c r="D99" s="516" t="s">
        <v>861</v>
      </c>
      <c r="E99" s="593" t="str" cm="1">
        <f t="array" ref="E99">UPPER(IF(C99="COMPOSIÇÃO",_xlfn.XLOOKUP($B99,A:A,E:E,),IF(C99="COTAÇÃO",VLOOKUP($B99,COTAÇÕES!$A$11:$E$37,2,0),BuscarCampoAccess("Descricao",B99,B.A_SINAPI,B.M_SINAPI,C99))))</f>
        <v>ERRO: CONEXÃO NÃO ESTABELECIDA. CLIQUE EM CONECTAR.</v>
      </c>
      <c r="F99" s="594" t="str" cm="1">
        <f t="array" ref="F99">UPPER(IF(C99="COMPOSIÇÃO",_xlfn.XLOOKUP($B99,A:A,F:F,),IF(C99="COTAÇÃO",VLOOKUP($B99,COTAÇÕES!$A$11:$E$37,3,0),BuscarCampoAccess("Unidade",B99,B.A_SINAPI,B.M_SINAPI,C99))))</f>
        <v>ERRO: CONEXÃO NÃO ESTABELECIDA. CLIQUE EM CONECTAR.</v>
      </c>
      <c r="G99" s="595">
        <v>5.6109999999999998</v>
      </c>
      <c r="H99" s="582" t="str" cm="1">
        <f t="array" ref="H99">UPPER(IF(C99="COMPOSIÇÃO",_xlfn.XLOOKUP($B99,A:A,I:I,),IF(C99="COTAÇÃO",VLOOKUP($B99,COTAÇÕES!$A$11:$E$37,5,0),BuscarCampoAccess("Custo",B99,B.A_SINAPI,B.M_SINAPI,C99))))</f>
        <v>ERRO: CONEXÃO NÃO ESTABELECIDA. CLIQUE EM CONECTAR.</v>
      </c>
      <c r="I99" s="583" t="e">
        <f>TRUNC(G99*H99,2)</f>
        <v>#VALUE!</v>
      </c>
      <c r="K99" s="529" t="str">
        <f>IF(A99=B99,IFERROR(VLOOKUP(B99,#REF!,1,0),"-"),"-")</f>
        <v>-</v>
      </c>
      <c r="L99" s="304">
        <f t="shared" si="6"/>
        <v>1</v>
      </c>
      <c r="M99" s="304" t="str">
        <f t="shared" si="7"/>
        <v>-</v>
      </c>
    </row>
    <row r="100" spans="1:13" ht="63.75" x14ac:dyDescent="0.3">
      <c r="B100" s="516">
        <v>93358</v>
      </c>
      <c r="C100" s="573" t="s">
        <v>309</v>
      </c>
      <c r="D100" s="516" t="s">
        <v>861</v>
      </c>
      <c r="E100" s="593" t="str" cm="1">
        <f t="array" ref="E100">UPPER(IF(C100="COMPOSIÇÃO",_xlfn.XLOOKUP($B100,A:A,E:E,),IF(C100="COTAÇÃO",VLOOKUP($B100,COTAÇÕES!$A$11:$E$37,2,0),BuscarCampoAccess("Descricao",B100,B.A_SINAPI,B.M_SINAPI,C100))))</f>
        <v>ERRO: CONEXÃO NÃO ESTABELECIDA. CLIQUE EM CONECTAR.</v>
      </c>
      <c r="F100" s="594" t="str" cm="1">
        <f t="array" ref="F100">UPPER(IF(C100="COMPOSIÇÃO",_xlfn.XLOOKUP($B100,A:A,F:F,),IF(C100="COTAÇÃO",VLOOKUP($B100,COTAÇÕES!$A$11:$E$37,3,0),BuscarCampoAccess("Unidade",B100,B.A_SINAPI,B.M_SINAPI,C100))))</f>
        <v>ERRO: CONEXÃO NÃO ESTABELECIDA. CLIQUE EM CONECTAR.</v>
      </c>
      <c r="G100" s="595">
        <v>3.0575999999999999</v>
      </c>
      <c r="H100" s="582" t="str" cm="1">
        <f t="array" ref="H100">UPPER(IF(C100="COMPOSIÇÃO",_xlfn.XLOOKUP($B100,A:A,I:I,),IF(C100="COTAÇÃO",VLOOKUP($B100,COTAÇÕES!$A$11:$E$37,5,0),BuscarCampoAccess("Custo",B100,B.A_SINAPI,B.M_SINAPI,C100))))</f>
        <v>ERRO: CONEXÃO NÃO ESTABELECIDA. CLIQUE EM CONECTAR.</v>
      </c>
      <c r="I100" s="583" t="e">
        <f t="shared" ref="I100:I106" si="9">TRUNC(G100*H100,2)</f>
        <v>#VALUE!</v>
      </c>
      <c r="K100" s="529" t="str">
        <f>IF(A100=B100,IFERROR(VLOOKUP(B100,#REF!,1,0),"-"),"-")</f>
        <v>-</v>
      </c>
      <c r="L100" s="304">
        <f t="shared" si="6"/>
        <v>1</v>
      </c>
      <c r="M100" s="304" t="str">
        <f t="shared" si="7"/>
        <v>-</v>
      </c>
    </row>
    <row r="101" spans="1:13" ht="63.75" x14ac:dyDescent="0.3">
      <c r="B101" s="516">
        <v>101616</v>
      </c>
      <c r="C101" s="573" t="s">
        <v>309</v>
      </c>
      <c r="D101" s="516" t="s">
        <v>861</v>
      </c>
      <c r="E101" s="593" t="str" cm="1">
        <f t="array" ref="E101">UPPER(IF(C101="COMPOSIÇÃO",_xlfn.XLOOKUP($B101,A:A,E:E,),IF(C101="COTAÇÃO",VLOOKUP($B101,COTAÇÕES!$A$11:$E$37,2,0),BuscarCampoAccess("Descricao",B101,B.A_SINAPI,B.M_SINAPI,C101))))</f>
        <v>ERRO: CONEXÃO NÃO ESTABELECIDA. CLIQUE EM CONECTAR.</v>
      </c>
      <c r="F101" s="594" t="str" cm="1">
        <f t="array" ref="F101">UPPER(IF(C101="COMPOSIÇÃO",_xlfn.XLOOKUP($B101,A:A,F:F,),IF(C101="COTAÇÃO",VLOOKUP($B101,COTAÇÕES!$A$11:$E$37,3,0),BuscarCampoAccess("Unidade",B101,B.A_SINAPI,B.M_SINAPI,C101))))</f>
        <v>ERRO: CONEXÃO NÃO ESTABELECIDA. CLIQUE EM CONECTAR.</v>
      </c>
      <c r="G101" s="595">
        <v>3.0575999999999999</v>
      </c>
      <c r="H101" s="582" t="str" cm="1">
        <f t="array" ref="H101">UPPER(IF(C101="COMPOSIÇÃO",_xlfn.XLOOKUP($B101,A:A,I:I,),IF(C101="COTAÇÃO",VLOOKUP($B101,COTAÇÕES!$A$11:$E$37,5,0),BuscarCampoAccess("Custo",B101,B.A_SINAPI,B.M_SINAPI,C101))))</f>
        <v>ERRO: CONEXÃO NÃO ESTABELECIDA. CLIQUE EM CONECTAR.</v>
      </c>
      <c r="I101" s="583" t="e">
        <f t="shared" si="9"/>
        <v>#VALUE!</v>
      </c>
      <c r="K101" s="529" t="str">
        <f>IF(A101=B101,IFERROR(VLOOKUP(B101,#REF!,1,0),"-"),"-")</f>
        <v>-</v>
      </c>
      <c r="L101" s="304">
        <f t="shared" si="6"/>
        <v>1</v>
      </c>
      <c r="M101" s="304" t="str">
        <f t="shared" si="7"/>
        <v>-</v>
      </c>
    </row>
    <row r="102" spans="1:13" ht="63.75" x14ac:dyDescent="0.3">
      <c r="B102" s="516">
        <v>92475</v>
      </c>
      <c r="C102" s="573" t="s">
        <v>309</v>
      </c>
      <c r="D102" s="516" t="s">
        <v>861</v>
      </c>
      <c r="E102" s="593" t="str" cm="1">
        <f t="array" ref="E102">UPPER(IF(C102="COMPOSIÇÃO",_xlfn.XLOOKUP($B102,A:A,E:E,),IF(C102="COTAÇÃO",VLOOKUP($B102,COTAÇÕES!$A$11:$E$37,2,0),BuscarCampoAccess("Descricao",B102,B.A_SINAPI,B.M_SINAPI,C102))))</f>
        <v>ERRO: CONEXÃO NÃO ESTABELECIDA. CLIQUE EM CONECTAR.</v>
      </c>
      <c r="F102" s="594" t="str" cm="1">
        <f t="array" ref="F102">UPPER(IF(C102="COMPOSIÇÃO",_xlfn.XLOOKUP($B102,A:A,F:F,),IF(C102="COTAÇÃO",VLOOKUP($B102,COTAÇÕES!$A$11:$E$37,3,0),BuscarCampoAccess("Unidade",B102,B.A_SINAPI,B.M_SINAPI,C102))))</f>
        <v>ERRO: CONEXÃO NÃO ESTABELECIDA. CLIQUE EM CONECTAR.</v>
      </c>
      <c r="G102" s="595">
        <v>9.6</v>
      </c>
      <c r="H102" s="582" t="str" cm="1">
        <f t="array" ref="H102">UPPER(IF(C102="COMPOSIÇÃO",_xlfn.XLOOKUP($B102,A:A,I:I,),IF(C102="COTAÇÃO",VLOOKUP($B102,COTAÇÕES!$A$11:$E$37,5,0),BuscarCampoAccess("Custo",B102,B.A_SINAPI,B.M_SINAPI,C102))))</f>
        <v>ERRO: CONEXÃO NÃO ESTABELECIDA. CLIQUE EM CONECTAR.</v>
      </c>
      <c r="I102" s="583" t="e">
        <f t="shared" si="9"/>
        <v>#VALUE!</v>
      </c>
      <c r="K102" s="529" t="str">
        <f>IF(A102=B102,IFERROR(VLOOKUP(B102,#REF!,1,0),"-"),"-")</f>
        <v>-</v>
      </c>
      <c r="L102" s="304">
        <f t="shared" si="6"/>
        <v>1</v>
      </c>
      <c r="M102" s="304" t="str">
        <f t="shared" si="7"/>
        <v>-</v>
      </c>
    </row>
    <row r="103" spans="1:13" ht="63.75" x14ac:dyDescent="0.3">
      <c r="B103" s="516">
        <v>92917</v>
      </c>
      <c r="C103" s="573" t="s">
        <v>309</v>
      </c>
      <c r="D103" s="516" t="s">
        <v>861</v>
      </c>
      <c r="E103" s="593" t="str" cm="1">
        <f t="array" ref="E103">UPPER(IF(C103="COMPOSIÇÃO",_xlfn.XLOOKUP($B103,A:A,E:E,),IF(C103="COTAÇÃO",VLOOKUP($B103,COTAÇÕES!$A$11:$E$37,2,0),BuscarCampoAccess("Descricao",B103,B.A_SINAPI,B.M_SINAPI,C103))))</f>
        <v>ERRO: CONEXÃO NÃO ESTABELECIDA. CLIQUE EM CONECTAR.</v>
      </c>
      <c r="F103" s="594" t="str" cm="1">
        <f t="array" ref="F103">UPPER(IF(C103="COMPOSIÇÃO",_xlfn.XLOOKUP($B103,A:A,F:F,),IF(C103="COTAÇÃO",VLOOKUP($B103,COTAÇÕES!$A$11:$E$37,3,0),BuscarCampoAccess("Unidade",B103,B.A_SINAPI,B.M_SINAPI,C103))))</f>
        <v>ERRO: CONEXÃO NÃO ESTABELECIDA. CLIQUE EM CONECTAR.</v>
      </c>
      <c r="G103" s="595">
        <v>11.31</v>
      </c>
      <c r="H103" s="582" t="str" cm="1">
        <f t="array" ref="H103">UPPER(IF(C103="COMPOSIÇÃO",_xlfn.XLOOKUP($B103,A:A,I:I,),IF(C103="COTAÇÃO",VLOOKUP($B103,COTAÇÕES!$A$11:$E$37,5,0),BuscarCampoAccess("Custo",B103,B.A_SINAPI,B.M_SINAPI,C103))))</f>
        <v>ERRO: CONEXÃO NÃO ESTABELECIDA. CLIQUE EM CONECTAR.</v>
      </c>
      <c r="I103" s="583" t="e">
        <f t="shared" si="9"/>
        <v>#VALUE!</v>
      </c>
      <c r="K103" s="529" t="str">
        <f>IF(A103=B103,IFERROR(VLOOKUP(B103,#REF!,1,0),"-"),"-")</f>
        <v>-</v>
      </c>
      <c r="L103" s="304">
        <f t="shared" si="6"/>
        <v>1</v>
      </c>
      <c r="M103" s="304" t="str">
        <f t="shared" si="7"/>
        <v>-</v>
      </c>
    </row>
    <row r="104" spans="1:13" ht="63.75" x14ac:dyDescent="0.3">
      <c r="B104" s="516">
        <v>92915</v>
      </c>
      <c r="C104" s="573" t="s">
        <v>309</v>
      </c>
      <c r="D104" s="516" t="s">
        <v>861</v>
      </c>
      <c r="E104" s="593" t="str" cm="1">
        <f t="array" ref="E104">UPPER(IF(C104="COMPOSIÇÃO",_xlfn.XLOOKUP($B104,A:A,E:E,),IF(C104="COTAÇÃO",VLOOKUP($B104,COTAÇÕES!$A$11:$E$37,2,0),BuscarCampoAccess("Descricao",B104,B.A_SINAPI,B.M_SINAPI,C104))))</f>
        <v>ERRO: CONEXÃO NÃO ESTABELECIDA. CLIQUE EM CONECTAR.</v>
      </c>
      <c r="F104" s="594" t="str" cm="1">
        <f t="array" ref="F104">UPPER(IF(C104="COMPOSIÇÃO",_xlfn.XLOOKUP($B104,A:A,F:F,),IF(C104="COTAÇÃO",VLOOKUP($B104,COTAÇÕES!$A$11:$E$37,3,0),BuscarCampoAccess("Unidade",B104,B.A_SINAPI,B.M_SINAPI,C104))))</f>
        <v>ERRO: CONEXÃO NÃO ESTABELECIDA. CLIQUE EM CONECTAR.</v>
      </c>
      <c r="G104" s="595">
        <v>3.03</v>
      </c>
      <c r="H104" s="582" t="str" cm="1">
        <f t="array" ref="H104">UPPER(IF(C104="COMPOSIÇÃO",_xlfn.XLOOKUP($B104,A:A,I:I,),IF(C104="COTAÇÃO",VLOOKUP($B104,COTAÇÕES!$A$11:$E$37,5,0),BuscarCampoAccess("Custo",B104,B.A_SINAPI,B.M_SINAPI,C104))))</f>
        <v>ERRO: CONEXÃO NÃO ESTABELECIDA. CLIQUE EM CONECTAR.</v>
      </c>
      <c r="I104" s="583" t="e">
        <f t="shared" si="9"/>
        <v>#VALUE!</v>
      </c>
      <c r="K104" s="529" t="str">
        <f>IF(A104=B104,IFERROR(VLOOKUP(B104,#REF!,1,0),"-"),"-")</f>
        <v>-</v>
      </c>
      <c r="L104" s="304">
        <f t="shared" si="6"/>
        <v>1</v>
      </c>
      <c r="M104" s="304" t="str">
        <f t="shared" si="7"/>
        <v>-</v>
      </c>
    </row>
    <row r="105" spans="1:13" ht="63.75" x14ac:dyDescent="0.3">
      <c r="B105" s="516">
        <v>94964</v>
      </c>
      <c r="C105" s="573" t="s">
        <v>309</v>
      </c>
      <c r="D105" s="516" t="s">
        <v>861</v>
      </c>
      <c r="E105" s="593" t="str" cm="1">
        <f t="array" ref="E105">UPPER(IF(C105="COMPOSIÇÃO",_xlfn.XLOOKUP($B105,A:A,E:E,),IF(C105="COTAÇÃO",VLOOKUP($B105,COTAÇÕES!$A$11:$E$37,2,0),BuscarCampoAccess("Descricao",B105,B.A_SINAPI,B.M_SINAPI,C105))))</f>
        <v>ERRO: CONEXÃO NÃO ESTABELECIDA. CLIQUE EM CONECTAR.</v>
      </c>
      <c r="F105" s="594" t="str" cm="1">
        <f t="array" ref="F105">UPPER(IF(C105="COMPOSIÇÃO",_xlfn.XLOOKUP($B105,A:A,F:F,),IF(C105="COTAÇÃO",VLOOKUP($B105,COTAÇÕES!$A$11:$E$37,3,0),BuscarCampoAccess("Unidade",B105,B.A_SINAPI,B.M_SINAPI,C105))))</f>
        <v>ERRO: CONEXÃO NÃO ESTABELECIDA. CLIQUE EM CONECTAR.</v>
      </c>
      <c r="G105" s="595">
        <v>1.7136</v>
      </c>
      <c r="H105" s="582" t="str" cm="1">
        <f t="array" ref="H105">UPPER(IF(C105="COMPOSIÇÃO",_xlfn.XLOOKUP($B105,A:A,I:I,),IF(C105="COTAÇÃO",VLOOKUP($B105,COTAÇÕES!$A$11:$E$37,5,0),BuscarCampoAccess("Custo",B105,B.A_SINAPI,B.M_SINAPI,C105))))</f>
        <v>ERRO: CONEXÃO NÃO ESTABELECIDA. CLIQUE EM CONECTAR.</v>
      </c>
      <c r="I105" s="583" t="e">
        <f t="shared" si="9"/>
        <v>#VALUE!</v>
      </c>
      <c r="K105" s="529" t="str">
        <f>IF(A105=B105,IFERROR(VLOOKUP(B105,#REF!,1,0),"-"),"-")</f>
        <v>-</v>
      </c>
      <c r="L105" s="304">
        <f t="shared" si="6"/>
        <v>1</v>
      </c>
      <c r="M105" s="304" t="str">
        <f t="shared" si="7"/>
        <v>-</v>
      </c>
    </row>
    <row r="106" spans="1:13" ht="63.75" x14ac:dyDescent="0.3">
      <c r="B106" s="516">
        <v>103670</v>
      </c>
      <c r="C106" s="573" t="s">
        <v>309</v>
      </c>
      <c r="D106" s="516" t="s">
        <v>861</v>
      </c>
      <c r="E106" s="593" t="str" cm="1">
        <f t="array" ref="E106">UPPER(IF(C106="COMPOSIÇÃO",_xlfn.XLOOKUP($B106,A:A,E:E,),IF(C106="COTAÇÃO",VLOOKUP($B106,COTAÇÕES!$A$11:$E$37,2,0),BuscarCampoAccess("Descricao",B106,B.A_SINAPI,B.M_SINAPI,C106))))</f>
        <v>ERRO: CONEXÃO NÃO ESTABELECIDA. CLIQUE EM CONECTAR.</v>
      </c>
      <c r="F106" s="594" t="str" cm="1">
        <f t="array" ref="F106">UPPER(IF(C106="COMPOSIÇÃO",_xlfn.XLOOKUP($B106,A:A,F:F,),IF(C106="COTAÇÃO",VLOOKUP($B106,COTAÇÕES!$A$11:$E$37,3,0),BuscarCampoAccess("Unidade",B106,B.A_SINAPI,B.M_SINAPI,C106))))</f>
        <v>ERRO: CONEXÃO NÃO ESTABELECIDA. CLIQUE EM CONECTAR.</v>
      </c>
      <c r="G106" s="595">
        <v>1.7136</v>
      </c>
      <c r="H106" s="582" t="str" cm="1">
        <f t="array" ref="H106">UPPER(IF(C106="COMPOSIÇÃO",_xlfn.XLOOKUP($B106,A:A,I:I,),IF(C106="COTAÇÃO",VLOOKUP($B106,COTAÇÕES!$A$11:$E$37,5,0),BuscarCampoAccess("Custo",B106,B.A_SINAPI,B.M_SINAPI,C106))))</f>
        <v>ERRO: CONEXÃO NÃO ESTABELECIDA. CLIQUE EM CONECTAR.</v>
      </c>
      <c r="I106" s="583" t="e">
        <f t="shared" si="9"/>
        <v>#VALUE!</v>
      </c>
      <c r="K106" s="529" t="str">
        <f>IF(A106=B106,IFERROR(VLOOKUP(B106,#REF!,1,0),"-"),"-")</f>
        <v>-</v>
      </c>
      <c r="L106" s="304">
        <f t="shared" si="6"/>
        <v>1</v>
      </c>
      <c r="M106" s="304" t="str">
        <f t="shared" si="7"/>
        <v>-</v>
      </c>
    </row>
    <row r="107" spans="1:13" ht="63.75" x14ac:dyDescent="0.3">
      <c r="B107" s="516">
        <v>5928</v>
      </c>
      <c r="C107" s="573" t="s">
        <v>309</v>
      </c>
      <c r="D107" s="516" t="s">
        <v>861</v>
      </c>
      <c r="E107" s="593" t="str" cm="1">
        <f t="array" ref="E107">UPPER(IF(C107="COMPOSIÇÃO",_xlfn.XLOOKUP($B107,A:A,E:E,),IF(C107="COTAÇÃO",VLOOKUP($B107,COTAÇÕES!$A$11:$E$37,2,0),BuscarCampoAccess("Descricao",B107,B.A_SINAPI,B.M_SINAPI,C107))))</f>
        <v>ERRO: CONEXÃO NÃO ESTABELECIDA. CLIQUE EM CONECTAR.</v>
      </c>
      <c r="F107" s="594" t="str" cm="1">
        <f t="array" ref="F107">UPPER(IF(C107="COMPOSIÇÃO",_xlfn.XLOOKUP($B107,A:A,F:F,),IF(C107="COTAÇÃO",VLOOKUP($B107,COTAÇÕES!$A$11:$E$37,3,0),BuscarCampoAccess("Unidade",B107,B.A_SINAPI,B.M_SINAPI,C107))))</f>
        <v>ERRO: CONEXÃO NÃO ESTABELECIDA. CLIQUE EM CONECTAR.</v>
      </c>
      <c r="G107" s="595">
        <v>0.1</v>
      </c>
      <c r="H107" s="582" t="str" cm="1">
        <f t="array" ref="H107">UPPER(IF(C107="COMPOSIÇÃO",_xlfn.XLOOKUP($B107,A:A,I:I,),IF(C107="COTAÇÃO",VLOOKUP($B107,COTAÇÕES!$A$11:$E$37,5,0),BuscarCampoAccess("Custo",B107,B.A_SINAPI,B.M_SINAPI,C107))))</f>
        <v>ERRO: CONEXÃO NÃO ESTABELECIDA. CLIQUE EM CONECTAR.</v>
      </c>
      <c r="I107" s="583" t="e">
        <f>TRUNC(G107*H107,2)</f>
        <v>#VALUE!</v>
      </c>
      <c r="K107" s="529" t="str">
        <f>IF(A107=B107,IFERROR(VLOOKUP(B107,#REF!,1,0),"-"),"-")</f>
        <v>-</v>
      </c>
      <c r="L107" s="304">
        <f t="shared" si="6"/>
        <v>1</v>
      </c>
      <c r="M107" s="304" t="str">
        <f t="shared" si="7"/>
        <v>-</v>
      </c>
    </row>
    <row r="108" spans="1:13" ht="25.5" x14ac:dyDescent="0.3">
      <c r="B108" s="516" t="s">
        <v>1168</v>
      </c>
      <c r="C108" s="573" t="s">
        <v>341</v>
      </c>
      <c r="D108" s="516" t="s">
        <v>341</v>
      </c>
      <c r="E108" s="593" t="str" cm="1">
        <f t="array" ref="E108">UPPER(IF(C108="COMPOSIÇÃO",_xlfn.XLOOKUP($B108,A:A,E:E,),IF(C108="COTAÇÃO",VLOOKUP($B108,COTAÇÕES!$A$11:$E$37,2,0),BuscarCampoAccess("Descricao",B108,B.A_SINAPI,B.M_SINAPI,C108))))</f>
        <v>GRELHA FOFO ARTICULADA, CLASSE D400, CARGA MÁXIMA 40T, 50 X 100 CM, PARA BOCA DE LOBO</v>
      </c>
      <c r="F108" s="594" t="str" cm="1">
        <f t="array" ref="F108">UPPER(IF(C108="COMPOSIÇÃO",_xlfn.XLOOKUP($B108,A:A,F:F,),IF(C108="COTAÇÃO",VLOOKUP($B108,COTAÇÕES!$A$11:$E$37,3,0),BuscarCampoAccess("Unidade",B108,B.A_SINAPI,B.M_SINAPI,C108))))</f>
        <v>UN</v>
      </c>
      <c r="G108" s="595">
        <v>3</v>
      </c>
      <c r="H108" s="582" t="str" cm="1">
        <f t="array" ref="H108">UPPER(IF(C108="COMPOSIÇÃO",_xlfn.XLOOKUP($B108,A:A,I:I,),IF(C108="COTAÇÃO",VLOOKUP($B108,COTAÇÕES!$A$11:$E$37,5,0),BuscarCampoAccess("Custo",B108,B.A_SINAPI,B.M_SINAPI,C108))))</f>
        <v>707,75</v>
      </c>
      <c r="I108" s="583">
        <f>TRUNC(G108*H108,2)</f>
        <v>2123.25</v>
      </c>
      <c r="K108" s="529" t="str">
        <f>IF(A108=B108,IFERROR(VLOOKUP(B108,#REF!,1,0),"-"),"-")</f>
        <v>-</v>
      </c>
      <c r="L108" s="304">
        <f t="shared" si="6"/>
        <v>1</v>
      </c>
      <c r="M108" s="304" t="str">
        <f t="shared" si="7"/>
        <v>-</v>
      </c>
    </row>
    <row r="109" spans="1:13" x14ac:dyDescent="0.3">
      <c r="K109" s="529" t="str">
        <f>IF(A109=B109,IFERROR(VLOOKUP(B109,#REF!,1,0),"-"),"-")</f>
        <v>-</v>
      </c>
      <c r="L109" s="304">
        <f t="shared" si="6"/>
        <v>0</v>
      </c>
      <c r="M109" s="304" t="b">
        <f t="shared" si="7"/>
        <v>0</v>
      </c>
    </row>
    <row r="110" spans="1:13" ht="25.5" x14ac:dyDescent="0.3">
      <c r="A110" s="192" t="str">
        <f>IF(AND(D110="",E110&lt;&gt;""),B110,"")</f>
        <v>CPU-PAVI 01</v>
      </c>
      <c r="B110" s="589" t="s">
        <v>879</v>
      </c>
      <c r="C110" s="187"/>
      <c r="D110" s="188"/>
      <c r="E110" s="189" t="s">
        <v>793</v>
      </c>
      <c r="F110" s="188" t="s">
        <v>307</v>
      </c>
      <c r="G110" s="188"/>
      <c r="H110" s="191"/>
      <c r="I110" s="590" t="e">
        <f>SUM(I111:I113)</f>
        <v>#VALUE!</v>
      </c>
      <c r="K110" s="529" t="str">
        <f>IF(A110=B110,IFERROR(VLOOKUP(B110,#REF!,1,0),"-"),"-")</f>
        <v>-</v>
      </c>
      <c r="L110" s="304">
        <f t="shared" si="6"/>
        <v>1</v>
      </c>
      <c r="M110" s="304" t="str">
        <f t="shared" si="7"/>
        <v>-</v>
      </c>
    </row>
    <row r="111" spans="1:13" ht="63.75" x14ac:dyDescent="0.3">
      <c r="B111" s="516">
        <v>13887</v>
      </c>
      <c r="C111" s="573" t="s">
        <v>309</v>
      </c>
      <c r="D111" s="516" t="s">
        <v>861</v>
      </c>
      <c r="E111" s="593" t="str" cm="1">
        <f t="array" ref="E111">UPPER(IF(C111="COMPOSIÇÃO",_xlfn.XLOOKUP($B111,A:A,E:E,),IF(C111="COTAÇÃO",VLOOKUP($B111,COTAÇÕES!$A$11:$E$37,2,0),BuscarCampoAccess("Descricao",B111,B.A_SINAPI,B.M_SINAPI,C111))))</f>
        <v>ERRO: CONEXÃO NÃO ESTABELECIDA. CLIQUE EM CONECTAR.</v>
      </c>
      <c r="F111" s="594" t="str" cm="1">
        <f t="array" ref="F111">UPPER(IF(C111="COMPOSIÇÃO",_xlfn.XLOOKUP($B111,A:A,F:F,),IF(C111="COTAÇÃO",VLOOKUP($B111,COTAÇÕES!$A$11:$E$37,3,0),BuscarCampoAccess("Unidade",B111,B.A_SINAPI,B.M_SINAPI,C111))))</f>
        <v>ERRO: CONEXÃO NÃO ESTABELECIDA. CLIQUE EM CONECTAR.</v>
      </c>
      <c r="G111" s="517">
        <v>2E-3</v>
      </c>
      <c r="H111" s="582" t="str" cm="1">
        <f t="array" ref="H111">UPPER(IF(C111="COMPOSIÇÃO",_xlfn.XLOOKUP($B111,A:A,I:I,),IF(C111="COTAÇÃO",VLOOKUP($B111,COTAÇÕES!$A$11:$E$37,5,0),BuscarCampoAccess("Custo",B111,B.A_SINAPI,B.M_SINAPI,C111))))</f>
        <v>ERRO: CONEXÃO NÃO ESTABELECIDA. CLIQUE EM CONECTAR.</v>
      </c>
      <c r="I111" s="583" t="e">
        <f>TRUNC(G111*H111,2)</f>
        <v>#VALUE!</v>
      </c>
      <c r="K111" s="529" t="str">
        <f>IF(A111=B111,IFERROR(VLOOKUP(B111,#REF!,1,0),"-"),"-")</f>
        <v>-</v>
      </c>
      <c r="L111" s="304">
        <f t="shared" si="6"/>
        <v>1</v>
      </c>
      <c r="M111" s="304" t="str">
        <f t="shared" si="7"/>
        <v>-</v>
      </c>
    </row>
    <row r="112" spans="1:13" ht="63.75" x14ac:dyDescent="0.3">
      <c r="B112" s="516">
        <v>91283</v>
      </c>
      <c r="C112" s="573" t="s">
        <v>309</v>
      </c>
      <c r="D112" s="516" t="s">
        <v>861</v>
      </c>
      <c r="E112" s="593" t="str" cm="1">
        <f t="array" ref="E112">UPPER(IF(C112="COMPOSIÇÃO",_xlfn.XLOOKUP($B112,A:A,E:E,),IF(C112="COTAÇÃO",VLOOKUP($B112,COTAÇÕES!$A$11:$E$37,2,0),BuscarCampoAccess("Descricao",B112,B.A_SINAPI,B.M_SINAPI,C112))))</f>
        <v>ERRO: CONEXÃO NÃO ESTABELECIDA. CLIQUE EM CONECTAR.</v>
      </c>
      <c r="F112" s="594" t="str" cm="1">
        <f t="array" ref="F112">UPPER(IF(C112="COMPOSIÇÃO",_xlfn.XLOOKUP($B112,A:A,F:F,),IF(C112="COTAÇÃO",VLOOKUP($B112,COTAÇÕES!$A$11:$E$37,3,0),BuscarCampoAccess("Unidade",B112,B.A_SINAPI,B.M_SINAPI,C112))))</f>
        <v>ERRO: CONEXÃO NÃO ESTABELECIDA. CLIQUE EM CONECTAR.</v>
      </c>
      <c r="G112" s="517">
        <v>8.3000000000000004E-2</v>
      </c>
      <c r="H112" s="582" t="str" cm="1">
        <f t="array" ref="H112">UPPER(IF(C112="COMPOSIÇÃO",_xlfn.XLOOKUP($B112,A:A,I:I,),IF(C112="COTAÇÃO",VLOOKUP($B112,COTAÇÕES!$A$11:$E$37,5,0),BuscarCampoAccess("Custo",B112,B.A_SINAPI,B.M_SINAPI,C112))))</f>
        <v>ERRO: CONEXÃO NÃO ESTABELECIDA. CLIQUE EM CONECTAR.</v>
      </c>
      <c r="I112" s="583" t="e">
        <f>TRUNC(G112*H112,2)</f>
        <v>#VALUE!</v>
      </c>
      <c r="K112" s="529" t="str">
        <f>IF(A112=B112,IFERROR(VLOOKUP(B112,#REF!,1,0),"-"),"-")</f>
        <v>-</v>
      </c>
      <c r="L112" s="304">
        <f t="shared" si="6"/>
        <v>1</v>
      </c>
      <c r="M112" s="304" t="str">
        <f t="shared" si="7"/>
        <v>-</v>
      </c>
    </row>
    <row r="113" spans="1:13" ht="63.75" x14ac:dyDescent="0.3">
      <c r="B113" s="516">
        <v>88316</v>
      </c>
      <c r="C113" s="573" t="s">
        <v>309</v>
      </c>
      <c r="D113" s="516" t="s">
        <v>861</v>
      </c>
      <c r="E113" s="593" t="str" cm="1">
        <f t="array" ref="E113">UPPER(IF(C113="COMPOSIÇÃO",_xlfn.XLOOKUP($B113,A:A,E:E,),IF(C113="COTAÇÃO",VLOOKUP($B113,COTAÇÕES!$A$11:$E$37,2,0),BuscarCampoAccess("Descricao",B113,B.A_SINAPI,B.M_SINAPI,C113))))</f>
        <v>ERRO: CONEXÃO NÃO ESTABELECIDA. CLIQUE EM CONECTAR.</v>
      </c>
      <c r="F113" s="594" t="str" cm="1">
        <f t="array" ref="F113">UPPER(IF(C113="COMPOSIÇÃO",_xlfn.XLOOKUP($B113,A:A,F:F,),IF(C113="COTAÇÃO",VLOOKUP($B113,COTAÇÕES!$A$11:$E$37,3,0),BuscarCampoAccess("Unidade",B113,B.A_SINAPI,B.M_SINAPI,C113))))</f>
        <v>ERRO: CONEXÃO NÃO ESTABELECIDA. CLIQUE EM CONECTAR.</v>
      </c>
      <c r="G113" s="517">
        <v>8.3000000000000004E-2</v>
      </c>
      <c r="H113" s="582" t="str" cm="1">
        <f t="array" ref="H113">UPPER(IF(C113="COMPOSIÇÃO",_xlfn.XLOOKUP($B113,A:A,I:I,),IF(C113="COTAÇÃO",VLOOKUP($B113,COTAÇÕES!$A$11:$E$37,5,0),BuscarCampoAccess("Custo",B113,B.A_SINAPI,B.M_SINAPI,C113))))</f>
        <v>ERRO: CONEXÃO NÃO ESTABELECIDA. CLIQUE EM CONECTAR.</v>
      </c>
      <c r="I113" s="583" t="e">
        <f>TRUNC(G113*H113,2)</f>
        <v>#VALUE!</v>
      </c>
      <c r="K113" s="529" t="str">
        <f>IF(A113=B113,IFERROR(VLOOKUP(B113,#REF!,1,0),"-"),"-")</f>
        <v>-</v>
      </c>
      <c r="L113" s="304">
        <f t="shared" si="6"/>
        <v>1</v>
      </c>
      <c r="M113" s="304" t="str">
        <f t="shared" si="7"/>
        <v>-</v>
      </c>
    </row>
    <row r="114" spans="1:13" x14ac:dyDescent="0.3">
      <c r="K114" s="529" t="str">
        <f>IF(A114=B114,IFERROR(VLOOKUP(B114,#REF!,1,0),"-"),"-")</f>
        <v>-</v>
      </c>
      <c r="L114" s="304">
        <f t="shared" si="6"/>
        <v>0</v>
      </c>
      <c r="M114" s="304" t="b">
        <f t="shared" si="7"/>
        <v>0</v>
      </c>
    </row>
    <row r="115" spans="1:13" ht="25.5" x14ac:dyDescent="0.3">
      <c r="A115" s="192" t="str">
        <f>IF(AND(D115="",E115&lt;&gt;""),B115,"")</f>
        <v>CPU-SERC 01</v>
      </c>
      <c r="B115" s="589" t="s">
        <v>881</v>
      </c>
      <c r="C115" s="187"/>
      <c r="D115" s="188"/>
      <c r="E115" s="189" t="s">
        <v>880</v>
      </c>
      <c r="F115" s="188" t="s">
        <v>336</v>
      </c>
      <c r="G115" s="188"/>
      <c r="H115" s="191"/>
      <c r="I115" s="590" t="e">
        <f>SUM(I116:I118)</f>
        <v>#VALUE!</v>
      </c>
      <c r="K115" s="529" t="str">
        <f>IF(A115=B115,IFERROR(VLOOKUP(B115,#REF!,1,0),"-"),"-")</f>
        <v>-</v>
      </c>
      <c r="L115" s="304">
        <f t="shared" si="6"/>
        <v>1</v>
      </c>
      <c r="M115" s="304" t="str">
        <f t="shared" si="7"/>
        <v>-</v>
      </c>
    </row>
    <row r="116" spans="1:13" ht="63.75" x14ac:dyDescent="0.3">
      <c r="B116" s="516">
        <v>93358</v>
      </c>
      <c r="C116" s="573" t="s">
        <v>309</v>
      </c>
      <c r="D116" s="516" t="s">
        <v>861</v>
      </c>
      <c r="E116" s="593" t="str" cm="1">
        <f t="array" ref="E116">UPPER(IF(C116="COMPOSIÇÃO",_xlfn.XLOOKUP($B116,A:A,E:E,),IF(C116="COTAÇÃO",VLOOKUP($B116,COTAÇÕES!$A$11:$E$37,2,0),BuscarCampoAccess("Descricao",B116,B.A_SINAPI,B.M_SINAPI,C116))))</f>
        <v>ERRO: CONEXÃO NÃO ESTABELECIDA. CLIQUE EM CONECTAR.</v>
      </c>
      <c r="F116" s="594" t="str" cm="1">
        <f t="array" ref="F116">UPPER(IF(C116="COMPOSIÇÃO",_xlfn.XLOOKUP($B116,A:A,F:F,),IF(C116="COTAÇÃO",VLOOKUP($B116,COTAÇÕES!$A$11:$E$37,3,0),BuscarCampoAccess("Unidade",B116,B.A_SINAPI,B.M_SINAPI,C116))))</f>
        <v>ERRO: CONEXÃO NÃO ESTABELECIDA. CLIQUE EM CONECTAR.</v>
      </c>
      <c r="G116" s="517">
        <v>3.3000000000000002E-2</v>
      </c>
      <c r="H116" s="582" t="str" cm="1">
        <f t="array" ref="H116">UPPER(IF(C116="COMPOSIÇÃO",_xlfn.XLOOKUP($B116,A:A,I:I,),IF(C116="COTAÇÃO",VLOOKUP($B116,COTAÇÕES!$A$11:$E$37,5,0),BuscarCampoAccess("Custo",B116,B.A_SINAPI,B.M_SINAPI,C116))))</f>
        <v>ERRO: CONEXÃO NÃO ESTABELECIDA. CLIQUE EM CONECTAR.</v>
      </c>
      <c r="I116" s="583" t="e">
        <f>TRUNC(G116*H116,2)</f>
        <v>#VALUE!</v>
      </c>
      <c r="K116" s="529" t="str">
        <f>IF(A116=B116,IFERROR(VLOOKUP(B116,#REF!,1,0),"-"),"-")</f>
        <v>-</v>
      </c>
      <c r="L116" s="304">
        <f t="shared" si="6"/>
        <v>1</v>
      </c>
      <c r="M116" s="304" t="str">
        <f t="shared" si="7"/>
        <v>-</v>
      </c>
    </row>
    <row r="117" spans="1:13" ht="63.75" x14ac:dyDescent="0.3">
      <c r="B117" s="516">
        <v>94963</v>
      </c>
      <c r="C117" s="573" t="s">
        <v>309</v>
      </c>
      <c r="D117" s="516" t="s">
        <v>861</v>
      </c>
      <c r="E117" s="593" t="str" cm="1">
        <f t="array" ref="E117">UPPER(IF(C117="COMPOSIÇÃO",_xlfn.XLOOKUP($B117,A:A,E:E,),IF(C117="COTAÇÃO",VLOOKUP($B117,COTAÇÕES!$A$11:$E$37,2,0),BuscarCampoAccess("Descricao",B117,B.A_SINAPI,B.M_SINAPI,C117))))</f>
        <v>ERRO: CONEXÃO NÃO ESTABELECIDA. CLIQUE EM CONECTAR.</v>
      </c>
      <c r="F117" s="594" t="str" cm="1">
        <f t="array" ref="F117">UPPER(IF(C117="COMPOSIÇÃO",_xlfn.XLOOKUP($B117,A:A,F:F,),IF(C117="COTAÇÃO",VLOOKUP($B117,COTAÇÕES!$A$11:$E$37,3,0),BuscarCampoAccess("Unidade",B117,B.A_SINAPI,B.M_SINAPI,C117))))</f>
        <v>ERRO: CONEXÃO NÃO ESTABELECIDA. CLIQUE EM CONECTAR.</v>
      </c>
      <c r="G117" s="517">
        <v>3.3000000000000002E-2</v>
      </c>
      <c r="H117" s="582" t="str" cm="1">
        <f t="array" ref="H117">UPPER(IF(C117="COMPOSIÇÃO",_xlfn.XLOOKUP($B117,A:A,I:I,),IF(C117="COTAÇÃO",VLOOKUP($B117,COTAÇÕES!$A$11:$E$37,5,0),BuscarCampoAccess("Custo",B117,B.A_SINAPI,B.M_SINAPI,C117))))</f>
        <v>ERRO: CONEXÃO NÃO ESTABELECIDA. CLIQUE EM CONECTAR.</v>
      </c>
      <c r="I117" s="583" t="e">
        <f>TRUNC(G117*H117,2)</f>
        <v>#VALUE!</v>
      </c>
      <c r="K117" s="529" t="str">
        <f>IF(A117=B117,IFERROR(VLOOKUP(B117,#REF!,1,0),"-"),"-")</f>
        <v>-</v>
      </c>
      <c r="L117" s="304">
        <f t="shared" si="6"/>
        <v>1</v>
      </c>
      <c r="M117" s="304" t="str">
        <f t="shared" si="7"/>
        <v>-</v>
      </c>
    </row>
    <row r="118" spans="1:13" ht="63.75" x14ac:dyDescent="0.3">
      <c r="B118" s="516">
        <v>103670</v>
      </c>
      <c r="C118" s="573" t="s">
        <v>309</v>
      </c>
      <c r="D118" s="516" t="s">
        <v>861</v>
      </c>
      <c r="E118" s="593" t="str" cm="1">
        <f t="array" ref="E118">UPPER(IF(C118="COMPOSIÇÃO",_xlfn.XLOOKUP($B118,A:A,E:E,),IF(C118="COTAÇÃO",VLOOKUP($B118,COTAÇÕES!$A$11:$E$37,2,0),BuscarCampoAccess("Descricao",B118,B.A_SINAPI,B.M_SINAPI,C118))))</f>
        <v>ERRO: CONEXÃO NÃO ESTABELECIDA. CLIQUE EM CONECTAR.</v>
      </c>
      <c r="F118" s="594" t="str" cm="1">
        <f t="array" ref="F118">UPPER(IF(C118="COMPOSIÇÃO",_xlfn.XLOOKUP($B118,A:A,F:F,),IF(C118="COTAÇÃO",VLOOKUP($B118,COTAÇÕES!$A$11:$E$37,3,0),BuscarCampoAccess("Unidade",B118,B.A_SINAPI,B.M_SINAPI,C118))))</f>
        <v>ERRO: CONEXÃO NÃO ESTABELECIDA. CLIQUE EM CONECTAR.</v>
      </c>
      <c r="G118" s="517">
        <v>3.3000000000000002E-2</v>
      </c>
      <c r="H118" s="582" t="str" cm="1">
        <f t="array" ref="H118">UPPER(IF(C118="COMPOSIÇÃO",_xlfn.XLOOKUP($B118,A:A,I:I,),IF(C118="COTAÇÃO",VLOOKUP($B118,COTAÇÕES!$A$11:$E$37,5,0),BuscarCampoAccess("Custo",B118,B.A_SINAPI,B.M_SINAPI,C118))))</f>
        <v>ERRO: CONEXÃO NÃO ESTABELECIDA. CLIQUE EM CONECTAR.</v>
      </c>
      <c r="I118" s="583" t="e">
        <f>TRUNC(G118*H118,2)</f>
        <v>#VALUE!</v>
      </c>
      <c r="K118" s="529" t="str">
        <f>IF(A118=B118,IFERROR(VLOOKUP(B118,#REF!,1,0),"-"),"-")</f>
        <v>-</v>
      </c>
      <c r="L118" s="304">
        <f t="shared" si="6"/>
        <v>1</v>
      </c>
      <c r="M118" s="304" t="str">
        <f t="shared" si="7"/>
        <v>-</v>
      </c>
    </row>
    <row r="119" spans="1:13" x14ac:dyDescent="0.3">
      <c r="K119" s="529" t="str">
        <f>IF(A119=B119,IFERROR(VLOOKUP(B119,#REF!,1,0),"-"),"-")</f>
        <v>-</v>
      </c>
      <c r="L119" s="304">
        <f t="shared" si="6"/>
        <v>0</v>
      </c>
      <c r="M119" s="304" t="b">
        <f t="shared" si="7"/>
        <v>0</v>
      </c>
    </row>
    <row r="120" spans="1:13" ht="58.5" customHeight="1" x14ac:dyDescent="0.3">
      <c r="A120" s="192" t="str">
        <f>IF(AND(D120="",E120&lt;&gt;""),B120,"")</f>
        <v>CPU-PA.ACS 01</v>
      </c>
      <c r="B120" s="589" t="s">
        <v>882</v>
      </c>
      <c r="C120" s="187"/>
      <c r="D120" s="188"/>
      <c r="E120" s="189" t="s">
        <v>1152</v>
      </c>
      <c r="F120" s="188" t="s">
        <v>336</v>
      </c>
      <c r="G120" s="188"/>
      <c r="H120" s="191"/>
      <c r="I120" s="590" t="e">
        <f>SUM(I121:I124)</f>
        <v>#VALUE!</v>
      </c>
      <c r="K120" s="529" t="str">
        <f>IF(A120=B120,IFERROR(VLOOKUP(B120,#REF!,1,0),"-"),"-")</f>
        <v>-</v>
      </c>
      <c r="L120" s="304">
        <f t="shared" si="6"/>
        <v>1</v>
      </c>
      <c r="M120" s="304" t="str">
        <f t="shared" si="7"/>
        <v>-</v>
      </c>
    </row>
    <row r="121" spans="1:13" ht="63.75" x14ac:dyDescent="0.3">
      <c r="B121" s="516">
        <v>1381</v>
      </c>
      <c r="C121" s="573" t="s">
        <v>309</v>
      </c>
      <c r="D121" s="516" t="s">
        <v>861</v>
      </c>
      <c r="E121" s="593" t="str" cm="1">
        <f t="array" ref="E121">UPPER(IF(C121="COMPOSIÇÃO",_xlfn.XLOOKUP($B121,A:A,E:E,),IF(C121="COTAÇÃO",VLOOKUP($B121,COTAÇÕES!$A$11:$E$37,2,0),BuscarCampoAccess("Descricao",B121,B.A_SINAPI,B.M_SINAPI,C121))))</f>
        <v>ERRO: CONEXÃO NÃO ESTABELECIDA. CLIQUE EM CONECTAR.</v>
      </c>
      <c r="F121" s="594" t="str" cm="1">
        <f t="array" ref="F121">UPPER(IF(C121="COMPOSIÇÃO",_xlfn.XLOOKUP($B121,A:A,F:F,),IF(C121="COTAÇÃO",VLOOKUP($B121,COTAÇÕES!$A$11:$E$37,3,0),BuscarCampoAccess("Unidade",B121,B.A_SINAPI,B.M_SINAPI,C121))))</f>
        <v>ERRO: CONEXÃO NÃO ESTABELECIDA. CLIQUE EM CONECTAR.</v>
      </c>
      <c r="G121" s="517">
        <v>1.125</v>
      </c>
      <c r="H121" s="582" t="str" cm="1">
        <f t="array" ref="H121">UPPER(IF(C121="COMPOSIÇÃO",_xlfn.XLOOKUP($B121,A:A,I:I,),IF(C121="COTAÇÃO",VLOOKUP($B121,COTAÇÕES!$A$11:$E$37,5,0),BuscarCampoAccess("Custo",B121,B.A_SINAPI,B.M_SINAPI,C121))))</f>
        <v>ERRO: CONEXÃO NÃO ESTABELECIDA. CLIQUE EM CONECTAR.</v>
      </c>
      <c r="I121" s="583" t="e">
        <f>TRUNC(G121*H121,2)</f>
        <v>#VALUE!</v>
      </c>
      <c r="K121" s="529" t="str">
        <f>IF(A121=B121,IFERROR(VLOOKUP(B121,#REF!,1,0),"-"),"-")</f>
        <v>-</v>
      </c>
      <c r="L121" s="304">
        <f t="shared" si="6"/>
        <v>1</v>
      </c>
      <c r="M121" s="304" t="str">
        <f t="shared" si="7"/>
        <v>-</v>
      </c>
    </row>
    <row r="122" spans="1:13" ht="63.75" x14ac:dyDescent="0.3">
      <c r="B122" s="516">
        <v>36178</v>
      </c>
      <c r="C122" s="573" t="s">
        <v>309</v>
      </c>
      <c r="D122" s="516" t="s">
        <v>861</v>
      </c>
      <c r="E122" s="593" t="str" cm="1">
        <f t="array" ref="E122">UPPER(IF(C122="COMPOSIÇÃO",_xlfn.XLOOKUP($B122,A:A,E:E,),IF(C122="COTAÇÃO",VLOOKUP($B122,COTAÇÕES!$A$11:$E$37,2,0),BuscarCampoAccess("Descricao",B122,B.A_SINAPI,B.M_SINAPI,C122))))</f>
        <v>ERRO: CONEXÃO NÃO ESTABELECIDA. CLIQUE EM CONECTAR.</v>
      </c>
      <c r="F122" s="594" t="str" cm="1">
        <f t="array" ref="F122">UPPER(IF(C122="COMPOSIÇÃO",_xlfn.XLOOKUP($B122,A:A,F:F,),IF(C122="COTAÇÃO",VLOOKUP($B122,COTAÇÕES!$A$11:$E$37,3,0),BuscarCampoAccess("Unidade",B122,B.A_SINAPI,B.M_SINAPI,C122))))</f>
        <v>ERRO: CONEXÃO NÃO ESTABELECIDA. CLIQUE EM CONECTAR.</v>
      </c>
      <c r="G122" s="517">
        <v>0.2</v>
      </c>
      <c r="H122" s="582" t="str" cm="1">
        <f t="array" ref="H122">UPPER(IF(C122="COMPOSIÇÃO",_xlfn.XLOOKUP($B122,A:A,I:I,),IF(C122="COTAÇÃO",VLOOKUP($B122,COTAÇÕES!$A$11:$E$37,5,0),BuscarCampoAccess("Custo",B122,B.A_SINAPI,B.M_SINAPI,C122))))</f>
        <v>ERRO: CONEXÃO NÃO ESTABELECIDA. CLIQUE EM CONECTAR.</v>
      </c>
      <c r="I122" s="583" t="e">
        <f>TRUNC(G122*H122,2)</f>
        <v>#VALUE!</v>
      </c>
      <c r="K122" s="529" t="str">
        <f>IF(A122=B122,IFERROR(VLOOKUP(B122,#REF!,1,0),"-"),"-")</f>
        <v>-</v>
      </c>
      <c r="L122" s="304">
        <f t="shared" si="6"/>
        <v>1</v>
      </c>
      <c r="M122" s="304" t="str">
        <f t="shared" si="7"/>
        <v>-</v>
      </c>
    </row>
    <row r="123" spans="1:13" ht="63.75" x14ac:dyDescent="0.3">
      <c r="B123" s="516">
        <v>88309</v>
      </c>
      <c r="C123" s="573" t="s">
        <v>309</v>
      </c>
      <c r="D123" s="516" t="s">
        <v>861</v>
      </c>
      <c r="E123" s="593" t="str" cm="1">
        <f t="array" ref="E123">UPPER(IF(C123="COMPOSIÇÃO",_xlfn.XLOOKUP($B123,A:A,E:E,),IF(C123="COTAÇÃO",VLOOKUP($B123,COTAÇÕES!$A$11:$E$37,2,0),BuscarCampoAccess("Descricao",B123,B.A_SINAPI,B.M_SINAPI,C123))))</f>
        <v>ERRO: CONEXÃO NÃO ESTABELECIDA. CLIQUE EM CONECTAR.</v>
      </c>
      <c r="F123" s="594" t="str" cm="1">
        <f t="array" ref="F123">UPPER(IF(C123="COMPOSIÇÃO",_xlfn.XLOOKUP($B123,A:A,F:F,),IF(C123="COTAÇÃO",VLOOKUP($B123,COTAÇÕES!$A$11:$E$37,3,0),BuscarCampoAccess("Unidade",B123,B.A_SINAPI,B.M_SINAPI,C123))))</f>
        <v>ERRO: CONEXÃO NÃO ESTABELECIDA. CLIQUE EM CONECTAR.</v>
      </c>
      <c r="G123" s="517">
        <v>0.152</v>
      </c>
      <c r="H123" s="582" t="str" cm="1">
        <f t="array" ref="H123">UPPER(IF(C123="COMPOSIÇÃO",_xlfn.XLOOKUP($B123,A:A,I:I,),IF(C123="COTAÇÃO",VLOOKUP($B123,COTAÇÕES!$A$11:$E$37,5,0),BuscarCampoAccess("Custo",B123,B.A_SINAPI,B.M_SINAPI,C123))))</f>
        <v>ERRO: CONEXÃO NÃO ESTABELECIDA. CLIQUE EM CONECTAR.</v>
      </c>
      <c r="I123" s="583" t="e">
        <f>TRUNC(G123*H123,2)</f>
        <v>#VALUE!</v>
      </c>
      <c r="K123" s="529" t="str">
        <f>IF(A123=B123,IFERROR(VLOOKUP(B123,#REF!,1,0),"-"),"-")</f>
        <v>-</v>
      </c>
      <c r="L123" s="304">
        <f t="shared" si="6"/>
        <v>1</v>
      </c>
      <c r="M123" s="304" t="str">
        <f t="shared" si="7"/>
        <v>-</v>
      </c>
    </row>
    <row r="124" spans="1:13" ht="63.75" x14ac:dyDescent="0.3">
      <c r="B124" s="516">
        <v>88316</v>
      </c>
      <c r="C124" s="573" t="s">
        <v>309</v>
      </c>
      <c r="D124" s="516" t="s">
        <v>861</v>
      </c>
      <c r="E124" s="593" t="str" cm="1">
        <f t="array" ref="E124">UPPER(IF(C124="COMPOSIÇÃO",_xlfn.XLOOKUP($B124,A:A,E:E,),IF(C124="COTAÇÃO",VLOOKUP($B124,COTAÇÕES!$A$11:$E$37,2,0),BuscarCampoAccess("Descricao",B124,B.A_SINAPI,B.M_SINAPI,C124))))</f>
        <v>ERRO: CONEXÃO NÃO ESTABELECIDA. CLIQUE EM CONECTAR.</v>
      </c>
      <c r="F124" s="594" t="str" cm="1">
        <f t="array" ref="F124">UPPER(IF(C124="COMPOSIÇÃO",_xlfn.XLOOKUP($B124,A:A,F:F,),IF(C124="COTAÇÃO",VLOOKUP($B124,COTAÇÕES!$A$11:$E$37,3,0),BuscarCampoAccess("Unidade",B124,B.A_SINAPI,B.M_SINAPI,C124))))</f>
        <v>ERRO: CONEXÃO NÃO ESTABELECIDA. CLIQUE EM CONECTAR.</v>
      </c>
      <c r="G124" s="517">
        <v>0.214</v>
      </c>
      <c r="H124" s="582" t="str" cm="1">
        <f t="array" ref="H124">UPPER(IF(C124="COMPOSIÇÃO",_xlfn.XLOOKUP($B124,A:A,I:I,),IF(C124="COTAÇÃO",VLOOKUP($B124,COTAÇÕES!$A$11:$E$37,5,0),BuscarCampoAccess("Custo",B124,B.A_SINAPI,B.M_SINAPI,C124))))</f>
        <v>ERRO: CONEXÃO NÃO ESTABELECIDA. CLIQUE EM CONECTAR.</v>
      </c>
      <c r="I124" s="583" t="e">
        <f>TRUNC(G124*H124,2)</f>
        <v>#VALUE!</v>
      </c>
      <c r="K124" s="529" t="str">
        <f>IF(A124=B124,IFERROR(VLOOKUP(B124,#REF!,1,0),"-"),"-")</f>
        <v>-</v>
      </c>
      <c r="L124" s="304">
        <f t="shared" si="6"/>
        <v>1</v>
      </c>
      <c r="M124" s="304" t="str">
        <f t="shared" si="7"/>
        <v>-</v>
      </c>
    </row>
    <row r="125" spans="1:13" x14ac:dyDescent="0.3">
      <c r="K125" s="529" t="str">
        <f>IF(A125=B125,IFERROR(VLOOKUP(B125,#REF!,1,0),"-"),"-")</f>
        <v>-</v>
      </c>
      <c r="L125" s="304">
        <f t="shared" si="6"/>
        <v>0</v>
      </c>
      <c r="M125" s="304" t="b">
        <f t="shared" si="7"/>
        <v>0</v>
      </c>
    </row>
    <row r="126" spans="1:13" ht="68.25" customHeight="1" x14ac:dyDescent="0.3">
      <c r="A126" s="192" t="str">
        <f>IF(AND(D126="",E126&lt;&gt;""),B126,"")</f>
        <v>CPU-SINL 01</v>
      </c>
      <c r="B126" s="589" t="s">
        <v>883</v>
      </c>
      <c r="C126" s="187"/>
      <c r="D126" s="188"/>
      <c r="E126" s="189" t="s">
        <v>1159</v>
      </c>
      <c r="F126" s="188" t="s">
        <v>256</v>
      </c>
      <c r="G126" s="188"/>
      <c r="H126" s="191"/>
      <c r="I126" s="590" t="e">
        <f>SUM(I127:I134)</f>
        <v>#VALUE!</v>
      </c>
      <c r="K126" s="529" t="str">
        <f>IF(A126=B126,IFERROR(VLOOKUP(B126,#REF!,1,0),"-"),"-")</f>
        <v>-</v>
      </c>
      <c r="L126" s="304">
        <f t="shared" si="6"/>
        <v>1</v>
      </c>
      <c r="M126" s="304" t="str">
        <f t="shared" si="7"/>
        <v>-</v>
      </c>
    </row>
    <row r="127" spans="1:13" ht="63.75" x14ac:dyDescent="0.3">
      <c r="B127" s="516">
        <v>13521</v>
      </c>
      <c r="C127" s="573" t="s">
        <v>309</v>
      </c>
      <c r="D127" s="516" t="s">
        <v>861</v>
      </c>
      <c r="E127" s="593" t="str" cm="1">
        <f t="array" ref="E127">UPPER(IF(C127="COMPOSIÇÃO",_xlfn.XLOOKUP($B127,A:A,E:E,),IF(C127="COTAÇÃO",VLOOKUP($B127,COTAÇÕES!$A$11:$E$37,2,0),BuscarCampoAccess("Descricao",B127,B.A_SINAPI,B.M_SINAPI,C127))))</f>
        <v>ERRO: CONEXÃO NÃO ESTABELECIDA. CLIQUE EM CONECTAR.</v>
      </c>
      <c r="F127" s="594" t="str" cm="1">
        <f t="array" ref="F127">UPPER(IF(C127="COMPOSIÇÃO",_xlfn.XLOOKUP($B127,A:A,F:F,),IF(C127="COTAÇÃO",VLOOKUP($B127,COTAÇÕES!$A$11:$E$37,3,0),BuscarCampoAccess("Unidade",B127,B.A_SINAPI,B.M_SINAPI,C127))))</f>
        <v>ERRO: CONEXÃO NÃO ESTABELECIDA. CLIQUE EM CONECTAR.</v>
      </c>
      <c r="G127" s="517">
        <v>2</v>
      </c>
      <c r="H127" s="582" t="str" cm="1">
        <f t="array" ref="H127">UPPER(IF(C127="COMPOSIÇÃO",_xlfn.XLOOKUP($B127,A:A,I:I,),IF(C127="COTAÇÃO",VLOOKUP($B127,COTAÇÕES!$A$11:$E$37,5,0),BuscarCampoAccess("Custo",B127,B.A_SINAPI,B.M_SINAPI,C127))))</f>
        <v>ERRO: CONEXÃO NÃO ESTABELECIDA. CLIQUE EM CONECTAR.</v>
      </c>
      <c r="I127" s="583" t="e">
        <f t="shared" ref="I127:I134" si="10">TRUNC(G127*H127,2)</f>
        <v>#VALUE!</v>
      </c>
      <c r="K127" s="529" t="str">
        <f>IF(A127=B127,IFERROR(VLOOKUP(B127,#REF!,1,0),"-"),"-")</f>
        <v>-</v>
      </c>
      <c r="L127" s="304">
        <f t="shared" si="6"/>
        <v>1</v>
      </c>
      <c r="M127" s="304" t="str">
        <f t="shared" si="7"/>
        <v>-</v>
      </c>
    </row>
    <row r="128" spans="1:13" ht="63.75" x14ac:dyDescent="0.3">
      <c r="B128" s="516">
        <v>88309</v>
      </c>
      <c r="C128" s="573" t="s">
        <v>309</v>
      </c>
      <c r="D128" s="516" t="s">
        <v>861</v>
      </c>
      <c r="E128" s="593" t="str" cm="1">
        <f t="array" ref="E128">UPPER(IF(C128="COMPOSIÇÃO",_xlfn.XLOOKUP($B128,A:A,E:E,),IF(C128="COTAÇÃO",VLOOKUP($B128,COTAÇÕES!$A$11:$E$37,2,0),BuscarCampoAccess("Descricao",B128,B.A_SINAPI,B.M_SINAPI,C128))))</f>
        <v>ERRO: CONEXÃO NÃO ESTABELECIDA. CLIQUE EM CONECTAR.</v>
      </c>
      <c r="F128" s="594" t="str" cm="1">
        <f t="array" ref="F128">UPPER(IF(C128="COMPOSIÇÃO",_xlfn.XLOOKUP($B128,A:A,F:F,),IF(C128="COTAÇÃO",VLOOKUP($B128,COTAÇÕES!$A$11:$E$37,3,0),BuscarCampoAccess("Unidade",B128,B.A_SINAPI,B.M_SINAPI,C128))))</f>
        <v>ERRO: CONEXÃO NÃO ESTABELECIDA. CLIQUE EM CONECTAR.</v>
      </c>
      <c r="G128" s="517">
        <v>0.4</v>
      </c>
      <c r="H128" s="582" t="str" cm="1">
        <f t="array" ref="H128">UPPER(IF(C128="COMPOSIÇÃO",_xlfn.XLOOKUP($B128,A:A,I:I,),IF(C128="COTAÇÃO",VLOOKUP($B128,COTAÇÕES!$A$11:$E$37,5,0),BuscarCampoAccess("Custo",B128,B.A_SINAPI,B.M_SINAPI,C128))))</f>
        <v>ERRO: CONEXÃO NÃO ESTABELECIDA. CLIQUE EM CONECTAR.</v>
      </c>
      <c r="I128" s="583" t="e">
        <f t="shared" si="10"/>
        <v>#VALUE!</v>
      </c>
      <c r="K128" s="529" t="str">
        <f>IF(A128=B128,IFERROR(VLOOKUP(B128,#REF!,1,0),"-"),"-")</f>
        <v>-</v>
      </c>
      <c r="L128" s="304">
        <f t="shared" si="6"/>
        <v>1</v>
      </c>
      <c r="M128" s="304" t="str">
        <f t="shared" si="7"/>
        <v>-</v>
      </c>
    </row>
    <row r="129" spans="1:13" ht="63.75" x14ac:dyDescent="0.3">
      <c r="B129" s="516">
        <v>11950</v>
      </c>
      <c r="C129" s="573" t="s">
        <v>309</v>
      </c>
      <c r="D129" s="516" t="s">
        <v>861</v>
      </c>
      <c r="E129" s="593" t="str" cm="1">
        <f t="array" ref="E129">UPPER(IF(C129="COMPOSIÇÃO",_xlfn.XLOOKUP($B129,A:A,E:E,),IF(C129="COTAÇÃO",VLOOKUP($B129,COTAÇÕES!$A$11:$E$37,2,0),BuscarCampoAccess("Descricao",B129,B.A_SINAPI,B.M_SINAPI,C129))))</f>
        <v>ERRO: CONEXÃO NÃO ESTABELECIDA. CLIQUE EM CONECTAR.</v>
      </c>
      <c r="F129" s="594" t="str" cm="1">
        <f t="array" ref="F129">UPPER(IF(C129="COMPOSIÇÃO",_xlfn.XLOOKUP($B129,A:A,F:F,),IF(C129="COTAÇÃO",VLOOKUP($B129,COTAÇÕES!$A$11:$E$37,3,0),BuscarCampoAccess("Unidade",B129,B.A_SINAPI,B.M_SINAPI,C129))))</f>
        <v>ERRO: CONEXÃO NÃO ESTABELECIDA. CLIQUE EM CONECTAR.</v>
      </c>
      <c r="G129" s="517">
        <v>8</v>
      </c>
      <c r="H129" s="582" t="str" cm="1">
        <f t="array" ref="H129">UPPER(IF(C129="COMPOSIÇÃO",_xlfn.XLOOKUP($B129,A:A,I:I,),IF(C129="COTAÇÃO",VLOOKUP($B129,COTAÇÕES!$A$11:$E$37,5,0),BuscarCampoAccess("Custo",B129,B.A_SINAPI,B.M_SINAPI,C129))))</f>
        <v>ERRO: CONEXÃO NÃO ESTABELECIDA. CLIQUE EM CONECTAR.</v>
      </c>
      <c r="I129" s="583" t="e">
        <f t="shared" si="10"/>
        <v>#VALUE!</v>
      </c>
      <c r="K129" s="529" t="str">
        <f>IF(A129=B129,IFERROR(VLOOKUP(B129,#REF!,1,0),"-"),"-")</f>
        <v>-</v>
      </c>
      <c r="L129" s="304">
        <f t="shared" si="6"/>
        <v>1</v>
      </c>
      <c r="M129" s="304" t="str">
        <f t="shared" si="7"/>
        <v>-</v>
      </c>
    </row>
    <row r="130" spans="1:13" ht="63.75" x14ac:dyDescent="0.3">
      <c r="B130" s="516">
        <v>21013</v>
      </c>
      <c r="C130" s="573" t="s">
        <v>309</v>
      </c>
      <c r="D130" s="516" t="s">
        <v>861</v>
      </c>
      <c r="E130" s="593" t="str" cm="1">
        <f t="array" ref="E130">UPPER(IF(C130="COMPOSIÇÃO",_xlfn.XLOOKUP($B130,A:A,E:E,),IF(C130="COTAÇÃO",VLOOKUP($B130,COTAÇÕES!$A$11:$E$37,2,0),BuscarCampoAccess("Descricao",B130,B.A_SINAPI,B.M_SINAPI,C130))))</f>
        <v>ERRO: CONEXÃO NÃO ESTABELECIDA. CLIQUE EM CONECTAR.</v>
      </c>
      <c r="F130" s="594" t="str" cm="1">
        <f t="array" ref="F130">UPPER(IF(C130="COMPOSIÇÃO",_xlfn.XLOOKUP($B130,A:A,F:F,),IF(C130="COTAÇÃO",VLOOKUP($B130,COTAÇÕES!$A$11:$E$37,3,0),BuscarCampoAccess("Unidade",B130,B.A_SINAPI,B.M_SINAPI,C130))))</f>
        <v>ERRO: CONEXÃO NÃO ESTABELECIDA. CLIQUE EM CONECTAR.</v>
      </c>
      <c r="G130" s="517">
        <v>2.8</v>
      </c>
      <c r="H130" s="582" t="str" cm="1">
        <f t="array" ref="H130">UPPER(IF(C130="COMPOSIÇÃO",_xlfn.XLOOKUP($B130,A:A,I:I,),IF(C130="COTAÇÃO",VLOOKUP($B130,COTAÇÕES!$A$11:$E$37,5,0),BuscarCampoAccess("Custo",B130,B.A_SINAPI,B.M_SINAPI,C130))))</f>
        <v>ERRO: CONEXÃO NÃO ESTABELECIDA. CLIQUE EM CONECTAR.</v>
      </c>
      <c r="I130" s="583" t="e">
        <f t="shared" si="10"/>
        <v>#VALUE!</v>
      </c>
      <c r="K130" s="529" t="str">
        <f>IF(A130=B130,IFERROR(VLOOKUP(B130,#REF!,1,0),"-"),"-")</f>
        <v>-</v>
      </c>
      <c r="L130" s="304">
        <f t="shared" si="6"/>
        <v>1</v>
      </c>
      <c r="M130" s="304" t="str">
        <f t="shared" si="7"/>
        <v>-</v>
      </c>
    </row>
    <row r="131" spans="1:13" ht="63.75" x14ac:dyDescent="0.3">
      <c r="B131" s="516">
        <v>103670</v>
      </c>
      <c r="C131" s="573" t="s">
        <v>309</v>
      </c>
      <c r="D131" s="516" t="s">
        <v>861</v>
      </c>
      <c r="E131" s="593" t="str" cm="1">
        <f t="array" ref="E131">UPPER(IF(C131="COMPOSIÇÃO",_xlfn.XLOOKUP($B131,A:A,E:E,),IF(C131="COTAÇÃO",VLOOKUP($B131,COTAÇÕES!$A$11:$E$37,2,0),BuscarCampoAccess("Descricao",B131,B.A_SINAPI,B.M_SINAPI,C131))))</f>
        <v>ERRO: CONEXÃO NÃO ESTABELECIDA. CLIQUE EM CONECTAR.</v>
      </c>
      <c r="F131" s="594" t="str" cm="1">
        <f t="array" ref="F131">UPPER(IF(C131="COMPOSIÇÃO",_xlfn.XLOOKUP($B131,A:A,F:F,),IF(C131="COTAÇÃO",VLOOKUP($B131,COTAÇÕES!$A$11:$E$37,3,0),BuscarCampoAccess("Unidade",B131,B.A_SINAPI,B.M_SINAPI,C131))))</f>
        <v>ERRO: CONEXÃO NÃO ESTABELECIDA. CLIQUE EM CONECTAR.</v>
      </c>
      <c r="G131" s="517">
        <v>4.4999999999999998E-2</v>
      </c>
      <c r="H131" s="582" t="str" cm="1">
        <f t="array" ref="H131">UPPER(IF(C131="COMPOSIÇÃO",_xlfn.XLOOKUP($B131,A:A,I:I,),IF(C131="COTAÇÃO",VLOOKUP($B131,COTAÇÕES!$A$11:$E$37,5,0),BuscarCampoAccess("Custo",B131,B.A_SINAPI,B.M_SINAPI,C131))))</f>
        <v>ERRO: CONEXÃO NÃO ESTABELECIDA. CLIQUE EM CONECTAR.</v>
      </c>
      <c r="I131" s="583" t="e">
        <f t="shared" si="10"/>
        <v>#VALUE!</v>
      </c>
      <c r="K131" s="529" t="str">
        <f>IF(A131=B131,IFERROR(VLOOKUP(B131,#REF!,1,0),"-"),"-")</f>
        <v>-</v>
      </c>
      <c r="L131" s="304">
        <f t="shared" si="6"/>
        <v>1</v>
      </c>
      <c r="M131" s="304" t="str">
        <f t="shared" si="7"/>
        <v>-</v>
      </c>
    </row>
    <row r="132" spans="1:13" ht="63.75" x14ac:dyDescent="0.3">
      <c r="B132" s="516">
        <v>88316</v>
      </c>
      <c r="C132" s="573" t="s">
        <v>309</v>
      </c>
      <c r="D132" s="516" t="s">
        <v>861</v>
      </c>
      <c r="E132" s="593" t="str" cm="1">
        <f t="array" ref="E132">UPPER(IF(C132="COMPOSIÇÃO",_xlfn.XLOOKUP($B132,A:A,E:E,),IF(C132="COTAÇÃO",VLOOKUP($B132,COTAÇÕES!$A$11:$E$37,2,0),BuscarCampoAccess("Descricao",B132,B.A_SINAPI,B.M_SINAPI,C132))))</f>
        <v>ERRO: CONEXÃO NÃO ESTABELECIDA. CLIQUE EM CONECTAR.</v>
      </c>
      <c r="F132" s="594" t="str" cm="1">
        <f t="array" ref="F132">UPPER(IF(C132="COMPOSIÇÃO",_xlfn.XLOOKUP($B132,A:A,F:F,),IF(C132="COTAÇÃO",VLOOKUP($B132,COTAÇÕES!$A$11:$E$37,3,0),BuscarCampoAccess("Unidade",B132,B.A_SINAPI,B.M_SINAPI,C132))))</f>
        <v>ERRO: CONEXÃO NÃO ESTABELECIDA. CLIQUE EM CONECTAR.</v>
      </c>
      <c r="G132" s="517">
        <v>0.2</v>
      </c>
      <c r="H132" s="582" t="str" cm="1">
        <f t="array" ref="H132">UPPER(IF(C132="COMPOSIÇÃO",_xlfn.XLOOKUP($B132,A:A,I:I,),IF(C132="COTAÇÃO",VLOOKUP($B132,COTAÇÕES!$A$11:$E$37,5,0),BuscarCampoAccess("Custo",B132,B.A_SINAPI,B.M_SINAPI,C132))))</f>
        <v>ERRO: CONEXÃO NÃO ESTABELECIDA. CLIQUE EM CONECTAR.</v>
      </c>
      <c r="I132" s="583" t="e">
        <f t="shared" si="10"/>
        <v>#VALUE!</v>
      </c>
      <c r="K132" s="529" t="str">
        <f>IF(A132=B132,IFERROR(VLOOKUP(B132,#REF!,1,0),"-"),"-")</f>
        <v>-</v>
      </c>
      <c r="L132" s="304">
        <f t="shared" si="6"/>
        <v>1</v>
      </c>
      <c r="M132" s="304" t="str">
        <f t="shared" si="7"/>
        <v>-</v>
      </c>
    </row>
    <row r="133" spans="1:13" ht="63.75" x14ac:dyDescent="0.3">
      <c r="B133" s="516">
        <v>94962</v>
      </c>
      <c r="C133" s="573" t="s">
        <v>309</v>
      </c>
      <c r="D133" s="516" t="s">
        <v>861</v>
      </c>
      <c r="E133" s="593" t="str" cm="1">
        <f t="array" ref="E133">UPPER(IF(C133="COMPOSIÇÃO",_xlfn.XLOOKUP($B133,A:A,E:E,),IF(C133="COTAÇÃO",VLOOKUP($B133,COTAÇÕES!$A$11:$E$37,2,0),BuscarCampoAccess("Descricao",B133,B.A_SINAPI,B.M_SINAPI,C133))))</f>
        <v>ERRO: CONEXÃO NÃO ESTABELECIDA. CLIQUE EM CONECTAR.</v>
      </c>
      <c r="F133" s="594" t="str" cm="1">
        <f t="array" ref="F133">UPPER(IF(C133="COMPOSIÇÃO",_xlfn.XLOOKUP($B133,A:A,F:F,),IF(C133="COTAÇÃO",VLOOKUP($B133,COTAÇÕES!$A$11:$E$37,3,0),BuscarCampoAccess("Unidade",B133,B.A_SINAPI,B.M_SINAPI,C133))))</f>
        <v>ERRO: CONEXÃO NÃO ESTABELECIDA. CLIQUE EM CONECTAR.</v>
      </c>
      <c r="G133" s="517">
        <v>4.4999999999999998E-2</v>
      </c>
      <c r="H133" s="582" t="str" cm="1">
        <f t="array" ref="H133">UPPER(IF(C133="COMPOSIÇÃO",_xlfn.XLOOKUP($B133,A:A,I:I,),IF(C133="COTAÇÃO",VLOOKUP($B133,COTAÇÕES!$A$11:$E$37,5,0),BuscarCampoAccess("Custo",B133,B.A_SINAPI,B.M_SINAPI,C133))))</f>
        <v>ERRO: CONEXÃO NÃO ESTABELECIDA. CLIQUE EM CONECTAR.</v>
      </c>
      <c r="I133" s="583" t="e">
        <f t="shared" si="10"/>
        <v>#VALUE!</v>
      </c>
      <c r="K133" s="529" t="str">
        <f>IF(A133=B133,IFERROR(VLOOKUP(B133,#REF!,1,0),"-"),"-")</f>
        <v>-</v>
      </c>
      <c r="L133" s="304">
        <f t="shared" si="6"/>
        <v>1</v>
      </c>
      <c r="M133" s="304" t="str">
        <f t="shared" si="7"/>
        <v>-</v>
      </c>
    </row>
    <row r="134" spans="1:13" ht="63.75" x14ac:dyDescent="0.3">
      <c r="B134" s="516">
        <v>93358</v>
      </c>
      <c r="C134" s="573" t="s">
        <v>309</v>
      </c>
      <c r="D134" s="516" t="s">
        <v>861</v>
      </c>
      <c r="E134" s="593" t="str" cm="1">
        <f t="array" ref="E134">UPPER(IF(C134="COMPOSIÇÃO",_xlfn.XLOOKUP($B134,A:A,E:E,),IF(C134="COTAÇÃO",VLOOKUP($B134,COTAÇÕES!$A$11:$E$37,2,0),BuscarCampoAccess("Descricao",B134,B.A_SINAPI,B.M_SINAPI,C134))))</f>
        <v>ERRO: CONEXÃO NÃO ESTABELECIDA. CLIQUE EM CONECTAR.</v>
      </c>
      <c r="F134" s="594" t="str" cm="1">
        <f t="array" ref="F134">UPPER(IF(C134="COMPOSIÇÃO",_xlfn.XLOOKUP($B134,A:A,F:F,),IF(C134="COTAÇÃO",VLOOKUP($B134,COTAÇÕES!$A$11:$E$37,3,0),BuscarCampoAccess("Unidade",B134,B.A_SINAPI,B.M_SINAPI,C134))))</f>
        <v>ERRO: CONEXÃO NÃO ESTABELECIDA. CLIQUE EM CONECTAR.</v>
      </c>
      <c r="G134" s="517">
        <v>0.3</v>
      </c>
      <c r="H134" s="582" t="str" cm="1">
        <f t="array" ref="H134">UPPER(IF(C134="COMPOSIÇÃO",_xlfn.XLOOKUP($B134,A:A,I:I,),IF(C134="COTAÇÃO",VLOOKUP($B134,COTAÇÕES!$A$11:$E$37,5,0),BuscarCampoAccess("Custo",B134,B.A_SINAPI,B.M_SINAPI,C134))))</f>
        <v>ERRO: CONEXÃO NÃO ESTABELECIDA. CLIQUE EM CONECTAR.</v>
      </c>
      <c r="I134" s="583" t="e">
        <f t="shared" si="10"/>
        <v>#VALUE!</v>
      </c>
      <c r="K134" s="529" t="str">
        <f>IF(A134=B134,IFERROR(VLOOKUP(B134,#REF!,1,0),"-"),"-")</f>
        <v>-</v>
      </c>
      <c r="L134" s="304">
        <f t="shared" si="6"/>
        <v>1</v>
      </c>
      <c r="M134" s="304" t="str">
        <f t="shared" si="7"/>
        <v>-</v>
      </c>
    </row>
    <row r="135" spans="1:13" x14ac:dyDescent="0.3">
      <c r="K135" s="529" t="str">
        <f>IF(A135=B135,IFERROR(VLOOKUP(B135,#REF!,1,0),"-"),"-")</f>
        <v>-</v>
      </c>
      <c r="L135" s="304">
        <f t="shared" si="6"/>
        <v>0</v>
      </c>
      <c r="M135" s="304" t="b">
        <f t="shared" si="7"/>
        <v>0</v>
      </c>
    </row>
    <row r="136" spans="1:13" ht="55.5" customHeight="1" x14ac:dyDescent="0.3">
      <c r="A136" s="192" t="str">
        <f>IF(AND(D136="",E136&lt;&gt;""),B136,"")</f>
        <v>CPU-SINL 02</v>
      </c>
      <c r="B136" s="589" t="s">
        <v>884</v>
      </c>
      <c r="C136" s="187"/>
      <c r="D136" s="188"/>
      <c r="E136" s="189" t="s">
        <v>337</v>
      </c>
      <c r="F136" s="188" t="s">
        <v>256</v>
      </c>
      <c r="G136" s="188"/>
      <c r="H136" s="191"/>
      <c r="I136" s="590" t="e">
        <f>SUM(I137:I144)</f>
        <v>#VALUE!</v>
      </c>
      <c r="K136" s="529" t="str">
        <f>IF(A136=B136,IFERROR(VLOOKUP(B136,#REF!,1,0),"-"),"-")</f>
        <v>-</v>
      </c>
      <c r="L136" s="304">
        <f t="shared" si="6"/>
        <v>1</v>
      </c>
      <c r="M136" s="304" t="str">
        <f t="shared" si="7"/>
        <v>-</v>
      </c>
    </row>
    <row r="137" spans="1:13" ht="33.75" customHeight="1" x14ac:dyDescent="0.3">
      <c r="B137" s="516">
        <v>103670</v>
      </c>
      <c r="C137" s="573" t="s">
        <v>309</v>
      </c>
      <c r="D137" s="516" t="s">
        <v>861</v>
      </c>
      <c r="E137" s="593" t="str" cm="1">
        <f t="array" ref="E137">UPPER(IF(C137="COMPOSIÇÃO",_xlfn.XLOOKUP($B137,A:A,E:E,),IF(C137="COTAÇÃO",VLOOKUP($B137,COTAÇÕES!$A$11:$E$37,2,0),BuscarCampoAccess("Descricao",B137,B.A_SINAPI,B.M_SINAPI,C137))))</f>
        <v>ERRO: CONEXÃO NÃO ESTABELECIDA. CLIQUE EM CONECTAR.</v>
      </c>
      <c r="F137" s="594" t="str" cm="1">
        <f t="array" ref="F137">UPPER(IF(C137="COMPOSIÇÃO",_xlfn.XLOOKUP($B137,A:A,F:F,),IF(C137="COTAÇÃO",VLOOKUP($B137,COTAÇÕES!$A$11:$E$37,3,0),BuscarCampoAccess("Unidade",B137,B.A_SINAPI,B.M_SINAPI,C137))))</f>
        <v>ERRO: CONEXÃO NÃO ESTABELECIDA. CLIQUE EM CONECTAR.</v>
      </c>
      <c r="G137" s="517">
        <v>4.4999999999999998E-2</v>
      </c>
      <c r="H137" s="582" t="str" cm="1">
        <f t="array" ref="H137">UPPER(IF(C137="COMPOSIÇÃO",_xlfn.XLOOKUP($B137,A:A,I:I,),IF(C137="COTAÇÃO",VLOOKUP($B137,COTAÇÕES!$A$11:$E$37,5,0),BuscarCampoAccess("Custo",B137,B.A_SINAPI,B.M_SINAPI,C137))))</f>
        <v>ERRO: CONEXÃO NÃO ESTABELECIDA. CLIQUE EM CONECTAR.</v>
      </c>
      <c r="I137" s="583" t="e">
        <f>TRUNC(G137*H137,2)</f>
        <v>#VALUE!</v>
      </c>
      <c r="K137" s="529" t="str">
        <f>IF(A137=B137,IFERROR(VLOOKUP(B137,#REF!,1,0),"-"),"-")</f>
        <v>-</v>
      </c>
      <c r="L137" s="304">
        <f t="shared" si="6"/>
        <v>1</v>
      </c>
      <c r="M137" s="304" t="str">
        <f t="shared" si="7"/>
        <v>-</v>
      </c>
    </row>
    <row r="138" spans="1:13" ht="20.25" customHeight="1" x14ac:dyDescent="0.3">
      <c r="B138" s="516">
        <v>88309</v>
      </c>
      <c r="C138" s="573" t="s">
        <v>309</v>
      </c>
      <c r="D138" s="516" t="s">
        <v>861</v>
      </c>
      <c r="E138" s="593" t="str" cm="1">
        <f t="array" ref="E138">UPPER(IF(C138="COMPOSIÇÃO",_xlfn.XLOOKUP($B138,A:A,E:E,),IF(C138="COTAÇÃO",VLOOKUP($B138,COTAÇÕES!$A$11:$E$37,2,0),BuscarCampoAccess("Descricao",B138,B.A_SINAPI,B.M_SINAPI,C138))))</f>
        <v>ERRO: CONEXÃO NÃO ESTABELECIDA. CLIQUE EM CONECTAR.</v>
      </c>
      <c r="F138" s="594" t="str" cm="1">
        <f t="array" ref="F138">UPPER(IF(C138="COMPOSIÇÃO",_xlfn.XLOOKUP($B138,A:A,F:F,),IF(C138="COTAÇÃO",VLOOKUP($B138,COTAÇÕES!$A$11:$E$37,3,0),BuscarCampoAccess("Unidade",B138,B.A_SINAPI,B.M_SINAPI,C138))))</f>
        <v>ERRO: CONEXÃO NÃO ESTABELECIDA. CLIQUE EM CONECTAR.</v>
      </c>
      <c r="G138" s="517">
        <v>0.2</v>
      </c>
      <c r="H138" s="582" t="str" cm="1">
        <f t="array" ref="H138">UPPER(IF(C138="COMPOSIÇÃO",_xlfn.XLOOKUP($B138,A:A,I:I,),IF(C138="COTAÇÃO",VLOOKUP($B138,COTAÇÕES!$A$11:$E$37,5,0),BuscarCampoAccess("Custo",B138,B.A_SINAPI,B.M_SINAPI,C138))))</f>
        <v>ERRO: CONEXÃO NÃO ESTABELECIDA. CLIQUE EM CONECTAR.</v>
      </c>
      <c r="I138" s="583" t="e">
        <f t="shared" ref="I138:I144" si="11">TRUNC(G138*H138,2)</f>
        <v>#VALUE!</v>
      </c>
      <c r="K138" s="529" t="str">
        <f>IF(A138=B138,IFERROR(VLOOKUP(B138,#REF!,1,0),"-"),"-")</f>
        <v>-</v>
      </c>
      <c r="L138" s="304">
        <f t="shared" si="6"/>
        <v>1</v>
      </c>
      <c r="M138" s="304" t="str">
        <f t="shared" si="7"/>
        <v>-</v>
      </c>
    </row>
    <row r="139" spans="1:13" ht="20.25" customHeight="1" x14ac:dyDescent="0.3">
      <c r="B139" s="516">
        <v>88316</v>
      </c>
      <c r="C139" s="573" t="s">
        <v>309</v>
      </c>
      <c r="D139" s="516" t="s">
        <v>861</v>
      </c>
      <c r="E139" s="593" t="str" cm="1">
        <f t="array" ref="E139">UPPER(IF(C139="COMPOSIÇÃO",_xlfn.XLOOKUP($B139,A:A,E:E,),IF(C139="COTAÇÃO",VLOOKUP($B139,COTAÇÕES!$A$11:$E$37,2,0),BuscarCampoAccess("Descricao",B139,B.A_SINAPI,B.M_SINAPI,C139))))</f>
        <v>ERRO: CONEXÃO NÃO ESTABELECIDA. CLIQUE EM CONECTAR.</v>
      </c>
      <c r="F139" s="594" t="str" cm="1">
        <f t="array" ref="F139">UPPER(IF(C139="COMPOSIÇÃO",_xlfn.XLOOKUP($B139,A:A,F:F,),IF(C139="COTAÇÃO",VLOOKUP($B139,COTAÇÕES!$A$11:$E$37,3,0),BuscarCampoAccess("Unidade",B139,B.A_SINAPI,B.M_SINAPI,C139))))</f>
        <v>ERRO: CONEXÃO NÃO ESTABELECIDA. CLIQUE EM CONECTAR.</v>
      </c>
      <c r="G139" s="517">
        <v>0.2</v>
      </c>
      <c r="H139" s="582" t="str" cm="1">
        <f t="array" ref="H139">UPPER(IF(C139="COMPOSIÇÃO",_xlfn.XLOOKUP($B139,A:A,I:I,),IF(C139="COTAÇÃO",VLOOKUP($B139,COTAÇÕES!$A$11:$E$37,5,0),BuscarCampoAccess("Custo",B139,B.A_SINAPI,B.M_SINAPI,C139))))</f>
        <v>ERRO: CONEXÃO NÃO ESTABELECIDA. CLIQUE EM CONECTAR.</v>
      </c>
      <c r="I139" s="583" t="e">
        <f t="shared" si="11"/>
        <v>#VALUE!</v>
      </c>
      <c r="K139" s="529" t="str">
        <f>IF(A139=B139,IFERROR(VLOOKUP(B139,#REF!,1,0),"-"),"-")</f>
        <v>-</v>
      </c>
      <c r="L139" s="304">
        <f t="shared" si="6"/>
        <v>1</v>
      </c>
      <c r="M139" s="304" t="str">
        <f t="shared" si="7"/>
        <v>-</v>
      </c>
    </row>
    <row r="140" spans="1:13" ht="26.25" customHeight="1" x14ac:dyDescent="0.3">
      <c r="B140" s="516">
        <v>94962</v>
      </c>
      <c r="C140" s="573" t="s">
        <v>309</v>
      </c>
      <c r="D140" s="516" t="s">
        <v>861</v>
      </c>
      <c r="E140" s="593" t="str" cm="1">
        <f t="array" ref="E140">UPPER(IF(C140="COMPOSIÇÃO",_xlfn.XLOOKUP($B140,A:A,E:E,),IF(C140="COTAÇÃO",VLOOKUP($B140,COTAÇÕES!$A$11:$E$37,2,0),BuscarCampoAccess("Descricao",B140,B.A_SINAPI,B.M_SINAPI,C140))))</f>
        <v>ERRO: CONEXÃO NÃO ESTABELECIDA. CLIQUE EM CONECTAR.</v>
      </c>
      <c r="F140" s="594" t="str" cm="1">
        <f t="array" ref="F140">UPPER(IF(C140="COMPOSIÇÃO",_xlfn.XLOOKUP($B140,A:A,F:F,),IF(C140="COTAÇÃO",VLOOKUP($B140,COTAÇÕES!$A$11:$E$37,3,0),BuscarCampoAccess("Unidade",B140,B.A_SINAPI,B.M_SINAPI,C140))))</f>
        <v>ERRO: CONEXÃO NÃO ESTABELECIDA. CLIQUE EM CONECTAR.</v>
      </c>
      <c r="G140" s="517">
        <v>4.4999999999999998E-2</v>
      </c>
      <c r="H140" s="582" t="str" cm="1">
        <f t="array" ref="H140">UPPER(IF(C140="COMPOSIÇÃO",_xlfn.XLOOKUP($B140,A:A,I:I,),IF(C140="COTAÇÃO",VLOOKUP($B140,COTAÇÕES!$A$11:$E$37,5,0),BuscarCampoAccess("Custo",B140,B.A_SINAPI,B.M_SINAPI,C140))))</f>
        <v>ERRO: CONEXÃO NÃO ESTABELECIDA. CLIQUE EM CONECTAR.</v>
      </c>
      <c r="I140" s="583" t="e">
        <f t="shared" si="11"/>
        <v>#VALUE!</v>
      </c>
      <c r="K140" s="529" t="str">
        <f>IF(A140=B140,IFERROR(VLOOKUP(B140,#REF!,1,0),"-"),"-")</f>
        <v>-</v>
      </c>
      <c r="L140" s="304">
        <f t="shared" ref="L140:L203" si="12">IF(ISBLANK(B140)=FALSE,1,0)</f>
        <v>1</v>
      </c>
      <c r="M140" s="304" t="str">
        <f t="shared" ref="M140:M203" si="13">IF(M139=FALSE,K140,IF(L140=1,M139))</f>
        <v>-</v>
      </c>
    </row>
    <row r="141" spans="1:13" ht="18" customHeight="1" x14ac:dyDescent="0.3">
      <c r="B141" s="516">
        <v>93358</v>
      </c>
      <c r="C141" s="573" t="s">
        <v>309</v>
      </c>
      <c r="D141" s="516" t="s">
        <v>861</v>
      </c>
      <c r="E141" s="593" t="str" cm="1">
        <f t="array" ref="E141">UPPER(IF(C141="COMPOSIÇÃO",_xlfn.XLOOKUP($B141,A:A,E:E,),IF(C141="COTAÇÃO",VLOOKUP($B141,COTAÇÕES!$A$11:$E$37,2,0),BuscarCampoAccess("Descricao",B141,B.A_SINAPI,B.M_SINAPI,C141))))</f>
        <v>ERRO: CONEXÃO NÃO ESTABELECIDA. CLIQUE EM CONECTAR.</v>
      </c>
      <c r="F141" s="594" t="str" cm="1">
        <f t="array" ref="F141">UPPER(IF(C141="COMPOSIÇÃO",_xlfn.XLOOKUP($B141,A:A,F:F,),IF(C141="COTAÇÃO",VLOOKUP($B141,COTAÇÕES!$A$11:$E$37,3,0),BuscarCampoAccess("Unidade",B141,B.A_SINAPI,B.M_SINAPI,C141))))</f>
        <v>ERRO: CONEXÃO NÃO ESTABELECIDA. CLIQUE EM CONECTAR.</v>
      </c>
      <c r="G141" s="517">
        <v>0.3</v>
      </c>
      <c r="H141" s="582" t="str" cm="1">
        <f t="array" ref="H141">UPPER(IF(C141="COMPOSIÇÃO",_xlfn.XLOOKUP($B141,A:A,I:I,),IF(C141="COTAÇÃO",VLOOKUP($B141,COTAÇÕES!$A$11:$E$37,5,0),BuscarCampoAccess("Custo",B141,B.A_SINAPI,B.M_SINAPI,C141))))</f>
        <v>ERRO: CONEXÃO NÃO ESTABELECIDA. CLIQUE EM CONECTAR.</v>
      </c>
      <c r="I141" s="583" t="e">
        <f t="shared" si="11"/>
        <v>#VALUE!</v>
      </c>
      <c r="K141" s="529" t="str">
        <f>IF(A141=B141,IFERROR(VLOOKUP(B141,#REF!,1,0),"-"),"-")</f>
        <v>-</v>
      </c>
      <c r="L141" s="304">
        <f t="shared" si="12"/>
        <v>1</v>
      </c>
      <c r="M141" s="304" t="str">
        <f t="shared" si="13"/>
        <v>-</v>
      </c>
    </row>
    <row r="142" spans="1:13" ht="18" customHeight="1" x14ac:dyDescent="0.3">
      <c r="B142" s="516">
        <v>34723</v>
      </c>
      <c r="C142" s="573" t="s">
        <v>309</v>
      </c>
      <c r="D142" s="516" t="s">
        <v>861</v>
      </c>
      <c r="E142" s="593" t="str" cm="1">
        <f t="array" ref="E142">UPPER(IF(C142="COMPOSIÇÃO",_xlfn.XLOOKUP($B142,A:A,E:E,),IF(C142="COTAÇÃO",VLOOKUP($B142,COTAÇÕES!$A$11:$E$37,2,0),BuscarCampoAccess("Descricao",B142,B.A_SINAPI,B.M_SINAPI,C142))))</f>
        <v>ERRO: CONEXÃO NÃO ESTABELECIDA. CLIQUE EM CONECTAR.</v>
      </c>
      <c r="F142" s="594" t="str" cm="1">
        <f t="array" ref="F142">UPPER(IF(C142="COMPOSIÇÃO",_xlfn.XLOOKUP($B142,A:A,F:F,),IF(C142="COTAÇÃO",VLOOKUP($B142,COTAÇÕES!$A$11:$E$37,3,0),BuscarCampoAccess("Unidade",B142,B.A_SINAPI,B.M_SINAPI,C142))))</f>
        <v>ERRO: CONEXÃO NÃO ESTABELECIDA. CLIQUE EM CONECTAR.</v>
      </c>
      <c r="G142" s="517">
        <v>0.36</v>
      </c>
      <c r="H142" s="582" t="str" cm="1">
        <f t="array" ref="H142">UPPER(IF(C142="COMPOSIÇÃO",_xlfn.XLOOKUP($B142,A:A,I:I,),IF(C142="COTAÇÃO",VLOOKUP($B142,COTAÇÕES!$A$11:$E$37,5,0),BuscarCampoAccess("Custo",B142,B.A_SINAPI,B.M_SINAPI,C142))))</f>
        <v>ERRO: CONEXÃO NÃO ESTABELECIDA. CLIQUE EM CONECTAR.</v>
      </c>
      <c r="I142" s="583" t="e">
        <f t="shared" si="11"/>
        <v>#VALUE!</v>
      </c>
      <c r="K142" s="529" t="str">
        <f>IF(A142=B142,IFERROR(VLOOKUP(B142,#REF!,1,0),"-"),"-")</f>
        <v>-</v>
      </c>
      <c r="L142" s="304">
        <f t="shared" si="12"/>
        <v>1</v>
      </c>
      <c r="M142" s="304" t="str">
        <f t="shared" si="13"/>
        <v>-</v>
      </c>
    </row>
    <row r="143" spans="1:13" ht="18" customHeight="1" x14ac:dyDescent="0.3">
      <c r="B143" s="516">
        <v>34744</v>
      </c>
      <c r="C143" s="573" t="s">
        <v>309</v>
      </c>
      <c r="D143" s="516" t="s">
        <v>861</v>
      </c>
      <c r="E143" s="593" t="str" cm="1">
        <f t="array" ref="E143">UPPER(IF(C143="COMPOSIÇÃO",_xlfn.XLOOKUP($B143,A:A,E:E,),IF(C143="COTAÇÃO",VLOOKUP($B143,COTAÇÕES!$A$11:$E$37,2,0),BuscarCampoAccess("Descricao",B143,B.A_SINAPI,B.M_SINAPI,C143))))</f>
        <v>ERRO: CONEXÃO NÃO ESTABELECIDA. CLIQUE EM CONECTAR.</v>
      </c>
      <c r="F143" s="594" t="str" cm="1">
        <f t="array" ref="F143">UPPER(IF(C143="COMPOSIÇÃO",_xlfn.XLOOKUP($B143,A:A,F:F,),IF(C143="COTAÇÃO",VLOOKUP($B143,COTAÇÕES!$A$11:$E$37,3,0),BuscarCampoAccess("Unidade",B143,B.A_SINAPI,B.M_SINAPI,C143))))</f>
        <v>ERRO: CONEXÃO NÃO ESTABELECIDA. CLIQUE EM CONECTAR.</v>
      </c>
      <c r="G143" s="517">
        <v>1</v>
      </c>
      <c r="H143" s="582" t="str" cm="1">
        <f t="array" ref="H143">UPPER(IF(C143="COMPOSIÇÃO",_xlfn.XLOOKUP($B143,A:A,I:I,),IF(C143="COTAÇÃO",VLOOKUP($B143,COTAÇÕES!$A$11:$E$37,5,0),BuscarCampoAccess("Custo",B143,B.A_SINAPI,B.M_SINAPI,C143))))</f>
        <v>ERRO: CONEXÃO NÃO ESTABELECIDA. CLIQUE EM CONECTAR.</v>
      </c>
      <c r="I143" s="583" t="e">
        <f t="shared" si="11"/>
        <v>#VALUE!</v>
      </c>
      <c r="K143" s="529" t="str">
        <f>IF(A143=B143,IFERROR(VLOOKUP(B143,#REF!,1,0),"-"),"-")</f>
        <v>-</v>
      </c>
      <c r="L143" s="304">
        <f t="shared" si="12"/>
        <v>1</v>
      </c>
      <c r="M143" s="304" t="str">
        <f t="shared" si="13"/>
        <v>-</v>
      </c>
    </row>
    <row r="144" spans="1:13" ht="26.25" customHeight="1" x14ac:dyDescent="0.3">
      <c r="B144" s="516">
        <v>21013</v>
      </c>
      <c r="C144" s="573" t="s">
        <v>309</v>
      </c>
      <c r="D144" s="516" t="s">
        <v>861</v>
      </c>
      <c r="E144" s="593" t="str" cm="1">
        <f t="array" ref="E144">UPPER(IF(C144="COMPOSIÇÃO",_xlfn.XLOOKUP($B144,A:A,E:E,),IF(C144="COTAÇÃO",VLOOKUP($B144,COTAÇÕES!$A$11:$E$37,2,0),BuscarCampoAccess("Descricao",B144,B.A_SINAPI,B.M_SINAPI,C144))))</f>
        <v>ERRO: CONEXÃO NÃO ESTABELECIDA. CLIQUE EM CONECTAR.</v>
      </c>
      <c r="F144" s="594" t="str" cm="1">
        <f t="array" ref="F144">UPPER(IF(C144="COMPOSIÇÃO",_xlfn.XLOOKUP($B144,A:A,F:F,),IF(C144="COTAÇÃO",VLOOKUP($B144,COTAÇÕES!$A$11:$E$37,3,0),BuscarCampoAccess("Unidade",B144,B.A_SINAPI,B.M_SINAPI,C144))))</f>
        <v>ERRO: CONEXÃO NÃO ESTABELECIDA. CLIQUE EM CONECTAR.</v>
      </c>
      <c r="G144" s="517">
        <v>3.5</v>
      </c>
      <c r="H144" s="582" t="str" cm="1">
        <f t="array" ref="H144">UPPER(IF(C144="COMPOSIÇÃO",_xlfn.XLOOKUP($B144,A:A,I:I,),IF(C144="COTAÇÃO",VLOOKUP($B144,COTAÇÕES!$A$11:$E$37,5,0),BuscarCampoAccess("Custo",B144,B.A_SINAPI,B.M_SINAPI,C144))))</f>
        <v>ERRO: CONEXÃO NÃO ESTABELECIDA. CLIQUE EM CONECTAR.</v>
      </c>
      <c r="I144" s="583" t="e">
        <f t="shared" si="11"/>
        <v>#VALUE!</v>
      </c>
      <c r="K144" s="529" t="str">
        <f>IF(A144=B144,IFERROR(VLOOKUP(B144,#REF!,1,0),"-"),"-")</f>
        <v>-</v>
      </c>
      <c r="L144" s="304">
        <f t="shared" si="12"/>
        <v>1</v>
      </c>
      <c r="M144" s="304" t="str">
        <f t="shared" si="13"/>
        <v>-</v>
      </c>
    </row>
    <row r="145" spans="1:13" x14ac:dyDescent="0.3">
      <c r="K145" s="529" t="str">
        <f>IF(A145=B145,IFERROR(VLOOKUP(B145,#REF!,1,0),"-"),"-")</f>
        <v>-</v>
      </c>
      <c r="L145" s="304">
        <f t="shared" si="12"/>
        <v>0</v>
      </c>
      <c r="M145" s="304" t="b">
        <f t="shared" si="13"/>
        <v>0</v>
      </c>
    </row>
    <row r="146" spans="1:13" ht="21.75" customHeight="1" x14ac:dyDescent="0.3">
      <c r="A146" s="192" t="str">
        <f>IF(AND(D146="",E146&lt;&gt;""),B146,"")</f>
        <v>CPU-DRED 05</v>
      </c>
      <c r="B146" s="589" t="s">
        <v>885</v>
      </c>
      <c r="C146" s="187"/>
      <c r="D146" s="188"/>
      <c r="E146" s="189" t="s">
        <v>338</v>
      </c>
      <c r="F146" s="188" t="s">
        <v>336</v>
      </c>
      <c r="G146" s="188"/>
      <c r="H146" s="191"/>
      <c r="I146" s="590" t="e">
        <f>SUM(I147:I152)</f>
        <v>#VALUE!</v>
      </c>
      <c r="K146" s="529" t="str">
        <f>IF(A146=B146,IFERROR(VLOOKUP(B146,#REF!,1,0),"-"),"-")</f>
        <v>-</v>
      </c>
      <c r="L146" s="304">
        <f t="shared" si="12"/>
        <v>1</v>
      </c>
      <c r="M146" s="304" t="str">
        <f t="shared" si="13"/>
        <v>-</v>
      </c>
    </row>
    <row r="147" spans="1:13" ht="63.75" x14ac:dyDescent="0.3">
      <c r="B147" s="516">
        <v>370</v>
      </c>
      <c r="C147" s="573" t="s">
        <v>309</v>
      </c>
      <c r="D147" s="516" t="s">
        <v>861</v>
      </c>
      <c r="E147" s="593" t="str" cm="1">
        <f t="array" ref="E147">UPPER(IF(C147="COMPOSIÇÃO",_xlfn.XLOOKUP($B147,A:A,E:E,),IF(C147="COTAÇÃO",VLOOKUP($B147,COTAÇÕES!$A$11:$E$37,2,0),BuscarCampoAccess("Descricao",B147,B.A_SINAPI,B.M_SINAPI,C147))))</f>
        <v>ERRO: CONEXÃO NÃO ESTABELECIDA. CLIQUE EM CONECTAR.</v>
      </c>
      <c r="F147" s="594" t="str" cm="1">
        <f t="array" ref="F147">UPPER(IF(C147="COMPOSIÇÃO",_xlfn.XLOOKUP($B147,A:A,F:F,),IF(C147="COTAÇÃO",VLOOKUP($B147,COTAÇÕES!$A$11:$E$37,3,0),BuscarCampoAccess("Unidade",B147,B.A_SINAPI,B.M_SINAPI,C147))))</f>
        <v>ERRO: CONEXÃO NÃO ESTABELECIDA. CLIQUE EM CONECTAR.</v>
      </c>
      <c r="G147" s="517">
        <v>0.35</v>
      </c>
      <c r="H147" s="582" t="str" cm="1">
        <f t="array" ref="H147">UPPER(IF(C147="COMPOSIÇÃO",_xlfn.XLOOKUP($B147,A:A,I:I,),IF(C147="COTAÇÃO",VLOOKUP($B147,COTAÇÕES!$A$11:$E$37,5,0),BuscarCampoAccess("Custo",B147,B.A_SINAPI,B.M_SINAPI,C147))))</f>
        <v>ERRO: CONEXÃO NÃO ESTABELECIDA. CLIQUE EM CONECTAR.</v>
      </c>
      <c r="I147" s="583" t="e">
        <f t="shared" ref="I147:I152" si="14">TRUNC(G147*H147,2)</f>
        <v>#VALUE!</v>
      </c>
      <c r="K147" s="529" t="str">
        <f>IF(A147=B147,IFERROR(VLOOKUP(B147,#REF!,1,0),"-"),"-")</f>
        <v>-</v>
      </c>
      <c r="L147" s="304">
        <f t="shared" si="12"/>
        <v>1</v>
      </c>
      <c r="M147" s="304" t="str">
        <f t="shared" si="13"/>
        <v>-</v>
      </c>
    </row>
    <row r="148" spans="1:13" ht="63.75" x14ac:dyDescent="0.3">
      <c r="B148" s="516">
        <v>4718</v>
      </c>
      <c r="C148" s="573" t="s">
        <v>309</v>
      </c>
      <c r="D148" s="516" t="s">
        <v>861</v>
      </c>
      <c r="E148" s="593" t="str" cm="1">
        <f t="array" ref="E148">UPPER(IF(C148="COMPOSIÇÃO",_xlfn.XLOOKUP($B148,A:A,E:E,),IF(C148="COTAÇÃO",VLOOKUP($B148,COTAÇÕES!$A$11:$E$37,2,0),BuscarCampoAccess("Descricao",B148,B.A_SINAPI,B.M_SINAPI,C148))))</f>
        <v>ERRO: CONEXÃO NÃO ESTABELECIDA. CLIQUE EM CONECTAR.</v>
      </c>
      <c r="F148" s="594" t="str" cm="1">
        <f t="array" ref="F148">UPPER(IF(C148="COMPOSIÇÃO",_xlfn.XLOOKUP($B148,A:A,F:F,),IF(C148="COTAÇÃO",VLOOKUP($B148,COTAÇÕES!$A$11:$E$37,3,0),BuscarCampoAccess("Unidade",B148,B.A_SINAPI,B.M_SINAPI,C148))))</f>
        <v>ERRO: CONEXÃO NÃO ESTABELECIDA. CLIQUE EM CONECTAR.</v>
      </c>
      <c r="G148" s="517">
        <v>0.22</v>
      </c>
      <c r="H148" s="582" t="str" cm="1">
        <f t="array" ref="H148">UPPER(IF(C148="COMPOSIÇÃO",_xlfn.XLOOKUP($B148,A:A,I:I,),IF(C148="COTAÇÃO",VLOOKUP($B148,COTAÇÕES!$A$11:$E$37,5,0),BuscarCampoAccess("Custo",B148,B.A_SINAPI,B.M_SINAPI,C148))))</f>
        <v>ERRO: CONEXÃO NÃO ESTABELECIDA. CLIQUE EM CONECTAR.</v>
      </c>
      <c r="I148" s="583" t="e">
        <f t="shared" si="14"/>
        <v>#VALUE!</v>
      </c>
      <c r="K148" s="529" t="str">
        <f>IF(A148=B148,IFERROR(VLOOKUP(B148,#REF!,1,0),"-"),"-")</f>
        <v>-</v>
      </c>
      <c r="L148" s="304">
        <f t="shared" si="12"/>
        <v>1</v>
      </c>
      <c r="M148" s="304" t="str">
        <f t="shared" si="13"/>
        <v>-</v>
      </c>
    </row>
    <row r="149" spans="1:13" ht="63.75" x14ac:dyDescent="0.3">
      <c r="B149" s="516">
        <v>12583</v>
      </c>
      <c r="C149" s="573" t="s">
        <v>309</v>
      </c>
      <c r="D149" s="516" t="s">
        <v>861</v>
      </c>
      <c r="E149" s="593" t="str" cm="1">
        <f t="array" ref="E149">UPPER(IF(C149="COMPOSIÇÃO",_xlfn.XLOOKUP($B149,A:A,E:E,),IF(C149="COTAÇÃO",VLOOKUP($B149,COTAÇÕES!$A$11:$E$37,2,0),BuscarCampoAccess("Descricao",B149,B.A_SINAPI,B.M_SINAPI,C149))))</f>
        <v>ERRO: CONEXÃO NÃO ESTABELECIDA. CLIQUE EM CONECTAR.</v>
      </c>
      <c r="F149" s="594" t="str" cm="1">
        <f t="array" ref="F149">UPPER(IF(C149="COMPOSIÇÃO",_xlfn.XLOOKUP($B149,A:A,F:F,),IF(C149="COTAÇÃO",VLOOKUP($B149,COTAÇÕES!$A$11:$E$37,3,0),BuscarCampoAccess("Unidade",B149,B.A_SINAPI,B.M_SINAPI,C149))))</f>
        <v>ERRO: CONEXÃO NÃO ESTABELECIDA. CLIQUE EM CONECTAR.</v>
      </c>
      <c r="G149" s="517">
        <v>1</v>
      </c>
      <c r="H149" s="582" t="str" cm="1">
        <f t="array" ref="H149">UPPER(IF(C149="COMPOSIÇÃO",_xlfn.XLOOKUP($B149,A:A,I:I,),IF(C149="COTAÇÃO",VLOOKUP($B149,COTAÇÕES!$A$11:$E$37,5,0),BuscarCampoAccess("Custo",B149,B.A_SINAPI,B.M_SINAPI,C149))))</f>
        <v>ERRO: CONEXÃO NÃO ESTABELECIDA. CLIQUE EM CONECTAR.</v>
      </c>
      <c r="I149" s="583" t="e">
        <f t="shared" si="14"/>
        <v>#VALUE!</v>
      </c>
      <c r="K149" s="529" t="str">
        <f>IF(A149=B149,IFERROR(VLOOKUP(B149,#REF!,1,0),"-"),"-")</f>
        <v>-</v>
      </c>
      <c r="L149" s="304">
        <f t="shared" si="12"/>
        <v>1</v>
      </c>
      <c r="M149" s="304" t="str">
        <f t="shared" si="13"/>
        <v>-</v>
      </c>
    </row>
    <row r="150" spans="1:13" ht="63.75" x14ac:dyDescent="0.3">
      <c r="B150" s="516">
        <v>88309</v>
      </c>
      <c r="C150" s="573" t="s">
        <v>309</v>
      </c>
      <c r="D150" s="516" t="s">
        <v>861</v>
      </c>
      <c r="E150" s="593" t="str" cm="1">
        <f t="array" ref="E150">UPPER(IF(C150="COMPOSIÇÃO",_xlfn.XLOOKUP($B150,A:A,E:E,),IF(C150="COTAÇÃO",VLOOKUP($B150,COTAÇÕES!$A$11:$E$37,2,0),BuscarCampoAccess("Descricao",B150,B.A_SINAPI,B.M_SINAPI,C150))))</f>
        <v>ERRO: CONEXÃO NÃO ESTABELECIDA. CLIQUE EM CONECTAR.</v>
      </c>
      <c r="F150" s="594" t="str" cm="1">
        <f t="array" ref="F150">UPPER(IF(C150="COMPOSIÇÃO",_xlfn.XLOOKUP($B150,A:A,F:F,),IF(C150="COTAÇÃO",VLOOKUP($B150,COTAÇÕES!$A$11:$E$37,3,0),BuscarCampoAccess("Unidade",B150,B.A_SINAPI,B.M_SINAPI,C150))))</f>
        <v>ERRO: CONEXÃO NÃO ESTABELECIDA. CLIQUE EM CONECTAR.</v>
      </c>
      <c r="G150" s="517">
        <v>0.21</v>
      </c>
      <c r="H150" s="582" t="str" cm="1">
        <f t="array" ref="H150">UPPER(IF(C150="COMPOSIÇÃO",_xlfn.XLOOKUP($B150,A:A,I:I,),IF(C150="COTAÇÃO",VLOOKUP($B150,COTAÇÕES!$A$11:$E$37,5,0),BuscarCampoAccess("Custo",B150,B.A_SINAPI,B.M_SINAPI,C150))))</f>
        <v>ERRO: CONEXÃO NÃO ESTABELECIDA. CLIQUE EM CONECTAR.</v>
      </c>
      <c r="I150" s="583" t="e">
        <f t="shared" si="14"/>
        <v>#VALUE!</v>
      </c>
      <c r="K150" s="529" t="str">
        <f>IF(A150=B150,IFERROR(VLOOKUP(B150,#REF!,1,0),"-"),"-")</f>
        <v>-</v>
      </c>
      <c r="L150" s="304">
        <f t="shared" si="12"/>
        <v>1</v>
      </c>
      <c r="M150" s="304" t="str">
        <f t="shared" si="13"/>
        <v>-</v>
      </c>
    </row>
    <row r="151" spans="1:13" ht="63.75" x14ac:dyDescent="0.3">
      <c r="B151" s="516">
        <v>88316</v>
      </c>
      <c r="C151" s="573" t="s">
        <v>309</v>
      </c>
      <c r="D151" s="516" t="s">
        <v>861</v>
      </c>
      <c r="E151" s="593" t="str" cm="1">
        <f t="array" ref="E151">UPPER(IF(C151="COMPOSIÇÃO",_xlfn.XLOOKUP($B151,A:A,E:E,),IF(C151="COTAÇÃO",VLOOKUP($B151,COTAÇÕES!$A$11:$E$37,2,0),BuscarCampoAccess("Descricao",B151,B.A_SINAPI,B.M_SINAPI,C151))))</f>
        <v>ERRO: CONEXÃO NÃO ESTABELECIDA. CLIQUE EM CONECTAR.</v>
      </c>
      <c r="F151" s="594" t="str" cm="1">
        <f t="array" ref="F151">UPPER(IF(C151="COMPOSIÇÃO",_xlfn.XLOOKUP($B151,A:A,F:F,),IF(C151="COTAÇÃO",VLOOKUP($B151,COTAÇÕES!$A$11:$E$37,3,0),BuscarCampoAccess("Unidade",B151,B.A_SINAPI,B.M_SINAPI,C151))))</f>
        <v>ERRO: CONEXÃO NÃO ESTABELECIDA. CLIQUE EM CONECTAR.</v>
      </c>
      <c r="G151" s="517">
        <v>2.1</v>
      </c>
      <c r="H151" s="582" t="str" cm="1">
        <f t="array" ref="H151">UPPER(IF(C151="COMPOSIÇÃO",_xlfn.XLOOKUP($B151,A:A,I:I,),IF(C151="COTAÇÃO",VLOOKUP($B151,COTAÇÕES!$A$11:$E$37,5,0),BuscarCampoAccess("Custo",B151,B.A_SINAPI,B.M_SINAPI,C151))))</f>
        <v>ERRO: CONEXÃO NÃO ESTABELECIDA. CLIQUE EM CONECTAR.</v>
      </c>
      <c r="I151" s="583" t="e">
        <f t="shared" si="14"/>
        <v>#VALUE!</v>
      </c>
      <c r="K151" s="529" t="str">
        <f>IF(A151=B151,IFERROR(VLOOKUP(B151,#REF!,1,0),"-"),"-")</f>
        <v>-</v>
      </c>
      <c r="L151" s="304">
        <f t="shared" si="12"/>
        <v>1</v>
      </c>
      <c r="M151" s="304" t="str">
        <f t="shared" si="13"/>
        <v>-</v>
      </c>
    </row>
    <row r="152" spans="1:13" ht="63.75" x14ac:dyDescent="0.3">
      <c r="B152" s="516">
        <v>90099</v>
      </c>
      <c r="C152" s="573" t="s">
        <v>309</v>
      </c>
      <c r="D152" s="516" t="s">
        <v>861</v>
      </c>
      <c r="E152" s="593" t="str" cm="1">
        <f t="array" ref="E152">UPPER(IF(C152="COMPOSIÇÃO",_xlfn.XLOOKUP($B152,A:A,E:E,),IF(C152="COTAÇÃO",VLOOKUP($B152,COTAÇÕES!$A$11:$E$37,2,0),BuscarCampoAccess("Descricao",B152,B.A_SINAPI,B.M_SINAPI,C152))))</f>
        <v>ERRO: CONEXÃO NÃO ESTABELECIDA. CLIQUE EM CONECTAR.</v>
      </c>
      <c r="F152" s="594" t="str" cm="1">
        <f t="array" ref="F152">UPPER(IF(C152="COMPOSIÇÃO",_xlfn.XLOOKUP($B152,A:A,F:F,),IF(C152="COTAÇÃO",VLOOKUP($B152,COTAÇÕES!$A$11:$E$37,3,0),BuscarCampoAccess("Unidade",B152,B.A_SINAPI,B.M_SINAPI,C152))))</f>
        <v>ERRO: CONEXÃO NÃO ESTABELECIDA. CLIQUE EM CONECTAR.</v>
      </c>
      <c r="G152" s="517">
        <v>0.75</v>
      </c>
      <c r="H152" s="582" t="str" cm="1">
        <f t="array" ref="H152">UPPER(IF(C152="COMPOSIÇÃO",_xlfn.XLOOKUP($B152,A:A,I:I,),IF(C152="COTAÇÃO",VLOOKUP($B152,COTAÇÕES!$A$11:$E$37,5,0),BuscarCampoAccess("Custo",B152,B.A_SINAPI,B.M_SINAPI,C152))))</f>
        <v>ERRO: CONEXÃO NÃO ESTABELECIDA. CLIQUE EM CONECTAR.</v>
      </c>
      <c r="I152" s="583" t="e">
        <f t="shared" si="14"/>
        <v>#VALUE!</v>
      </c>
      <c r="K152" s="529" t="str">
        <f>IF(A152=B152,IFERROR(VLOOKUP(B152,#REF!,1,0),"-"),"-")</f>
        <v>-</v>
      </c>
      <c r="L152" s="304">
        <f t="shared" si="12"/>
        <v>1</v>
      </c>
      <c r="M152" s="304" t="str">
        <f t="shared" si="13"/>
        <v>-</v>
      </c>
    </row>
    <row r="153" spans="1:13" x14ac:dyDescent="0.3">
      <c r="K153" s="529" t="str">
        <f>IF(A153=B153,IFERROR(VLOOKUP(B153,#REF!,1,0),"-"),"-")</f>
        <v>-</v>
      </c>
      <c r="L153" s="304">
        <f t="shared" si="12"/>
        <v>0</v>
      </c>
      <c r="M153" s="304" t="b">
        <f t="shared" si="13"/>
        <v>0</v>
      </c>
    </row>
    <row r="154" spans="1:13" ht="25.5" x14ac:dyDescent="0.3">
      <c r="A154" s="192" t="str">
        <f>IF(AND(D154="",E154&lt;&gt;""),B154,"")</f>
        <v>CPU-SINL 03</v>
      </c>
      <c r="B154" s="589" t="s">
        <v>886</v>
      </c>
      <c r="C154" s="187"/>
      <c r="D154" s="188"/>
      <c r="E154" s="189" t="s">
        <v>339</v>
      </c>
      <c r="F154" s="188" t="s">
        <v>307</v>
      </c>
      <c r="G154" s="188"/>
      <c r="H154" s="191"/>
      <c r="I154" s="590" t="e">
        <f>SUM(I155:I161)</f>
        <v>#VALUE!</v>
      </c>
      <c r="K154" s="529" t="str">
        <f>IF(A154=B154,IFERROR(VLOOKUP(B154,#REF!,1,0),"-"),"-")</f>
        <v>-</v>
      </c>
      <c r="L154" s="304">
        <f t="shared" si="12"/>
        <v>1</v>
      </c>
      <c r="M154" s="304" t="str">
        <f t="shared" si="13"/>
        <v>-</v>
      </c>
    </row>
    <row r="155" spans="1:13" ht="63.75" x14ac:dyDescent="0.3">
      <c r="B155" s="516">
        <v>5318</v>
      </c>
      <c r="C155" s="573" t="s">
        <v>309</v>
      </c>
      <c r="D155" s="516" t="s">
        <v>861</v>
      </c>
      <c r="E155" s="593" t="str" cm="1">
        <f t="array" ref="E155">UPPER(IF(C155="COMPOSIÇÃO",_xlfn.XLOOKUP($B155,A:A,E:E,),IF(C155="COTAÇÃO",VLOOKUP($B155,COTAÇÕES!$A$11:$E$37,2,0),BuscarCampoAccess("Descricao",B155,B.A_SINAPI,B.M_SINAPI,C155))))</f>
        <v>ERRO: CONEXÃO NÃO ESTABELECIDA. CLIQUE EM CONECTAR.</v>
      </c>
      <c r="F155" s="594" t="str" cm="1">
        <f t="array" ref="F155">UPPER(IF(C155="COMPOSIÇÃO",_xlfn.XLOOKUP($B155,A:A,F:F,),IF(C155="COTAÇÃO",VLOOKUP($B155,COTAÇÕES!$A$11:$E$37,3,0),BuscarCampoAccess("Unidade",B155,B.A_SINAPI,B.M_SINAPI,C155))))</f>
        <v>ERRO: CONEXÃO NÃO ESTABELECIDA. CLIQUE EM CONECTAR.</v>
      </c>
      <c r="G155" s="517">
        <v>0.13</v>
      </c>
      <c r="H155" s="582" t="str" cm="1">
        <f t="array" ref="H155">UPPER(IF(C155="COMPOSIÇÃO",_xlfn.XLOOKUP($B155,A:A,I:I,),IF(C155="COTAÇÃO",VLOOKUP($B155,COTAÇÕES!$A$11:$E$37,5,0),BuscarCampoAccess("Custo",B155,B.A_SINAPI,B.M_SINAPI,C155))))</f>
        <v>ERRO: CONEXÃO NÃO ESTABELECIDA. CLIQUE EM CONECTAR.</v>
      </c>
      <c r="I155" s="583" t="e">
        <f>TRUNC(G155*H155,2)</f>
        <v>#VALUE!</v>
      </c>
      <c r="K155" s="529" t="str">
        <f>IF(A155=B155,IFERROR(VLOOKUP(B155,#REF!,1,0),"-"),"-")</f>
        <v>-</v>
      </c>
      <c r="L155" s="304">
        <f t="shared" si="12"/>
        <v>1</v>
      </c>
      <c r="M155" s="304" t="str">
        <f t="shared" si="13"/>
        <v>-</v>
      </c>
    </row>
    <row r="156" spans="1:13" ht="63.75" x14ac:dyDescent="0.3">
      <c r="B156" s="516">
        <v>5824</v>
      </c>
      <c r="C156" s="573" t="s">
        <v>309</v>
      </c>
      <c r="D156" s="516" t="s">
        <v>861</v>
      </c>
      <c r="E156" s="593" t="str" cm="1">
        <f t="array" ref="E156">UPPER(IF(C156="COMPOSIÇÃO",_xlfn.XLOOKUP($B156,A:A,E:E,),IF(C156="COTAÇÃO",VLOOKUP($B156,COTAÇÕES!$A$11:$E$37,2,0),BuscarCampoAccess("Descricao",B156,B.A_SINAPI,B.M_SINAPI,C156))))</f>
        <v>ERRO: CONEXÃO NÃO ESTABELECIDA. CLIQUE EM CONECTAR.</v>
      </c>
      <c r="F156" s="594" t="str" cm="1">
        <f t="array" ref="F156">UPPER(IF(C156="COMPOSIÇÃO",_xlfn.XLOOKUP($B156,A:A,F:F,),IF(C156="COTAÇÃO",VLOOKUP($B156,COTAÇÕES!$A$11:$E$37,3,0),BuscarCampoAccess("Unidade",B156,B.A_SINAPI,B.M_SINAPI,C156))))</f>
        <v>ERRO: CONEXÃO NÃO ESTABELECIDA. CLIQUE EM CONECTAR.</v>
      </c>
      <c r="G156" s="517">
        <v>3.333E-3</v>
      </c>
      <c r="H156" s="582" t="str" cm="1">
        <f t="array" ref="H156">UPPER(IF(C156="COMPOSIÇÃO",_xlfn.XLOOKUP($B156,A:A,I:I,),IF(C156="COTAÇÃO",VLOOKUP($B156,COTAÇÕES!$A$11:$E$37,5,0),BuscarCampoAccess("Custo",B156,B.A_SINAPI,B.M_SINAPI,C156))))</f>
        <v>ERRO: CONEXÃO NÃO ESTABELECIDA. CLIQUE EM CONECTAR.</v>
      </c>
      <c r="I156" s="583" t="e">
        <f t="shared" ref="I156:I161" si="15">TRUNC(G156*H156,2)</f>
        <v>#VALUE!</v>
      </c>
      <c r="K156" s="529" t="str">
        <f>IF(A156=B156,IFERROR(VLOOKUP(B156,#REF!,1,0),"-"),"-")</f>
        <v>-</v>
      </c>
      <c r="L156" s="304">
        <f t="shared" si="12"/>
        <v>1</v>
      </c>
      <c r="M156" s="304" t="str">
        <f t="shared" si="13"/>
        <v>-</v>
      </c>
    </row>
    <row r="157" spans="1:13" ht="63.75" x14ac:dyDescent="0.3">
      <c r="B157" s="516">
        <v>7343</v>
      </c>
      <c r="C157" s="573" t="s">
        <v>309</v>
      </c>
      <c r="D157" s="516" t="s">
        <v>861</v>
      </c>
      <c r="E157" s="593" t="str" cm="1">
        <f t="array" ref="E157">UPPER(IF(C157="COMPOSIÇÃO",_xlfn.XLOOKUP($B157,A:A,E:E,),IF(C157="COTAÇÃO",VLOOKUP($B157,COTAÇÕES!$A$11:$E$37,2,0),BuscarCampoAccess("Descricao",B157,B.A_SINAPI,B.M_SINAPI,C157))))</f>
        <v>ERRO: CONEXÃO NÃO ESTABELECIDA. CLIQUE EM CONECTAR.</v>
      </c>
      <c r="F157" s="594" t="str" cm="1">
        <f t="array" ref="F157">UPPER(IF(C157="COMPOSIÇÃO",_xlfn.XLOOKUP($B157,A:A,F:F,),IF(C157="COTAÇÃO",VLOOKUP($B157,COTAÇÕES!$A$11:$E$37,3,0),BuscarCampoAccess("Unidade",B157,B.A_SINAPI,B.M_SINAPI,C157))))</f>
        <v>ERRO: CONEXÃO NÃO ESTABELECIDA. CLIQUE EM CONECTAR.</v>
      </c>
      <c r="G157" s="517">
        <v>0.6</v>
      </c>
      <c r="H157" s="582" t="str" cm="1">
        <f t="array" ref="H157">UPPER(IF(C157="COMPOSIÇÃO",_xlfn.XLOOKUP($B157,A:A,I:I,),IF(C157="COTAÇÃO",VLOOKUP($B157,COTAÇÕES!$A$11:$E$37,5,0),BuscarCampoAccess("Custo",B157,B.A_SINAPI,B.M_SINAPI,C157))))</f>
        <v>ERRO: CONEXÃO NÃO ESTABELECIDA. CLIQUE EM CONECTAR.</v>
      </c>
      <c r="I157" s="583" t="e">
        <f t="shared" si="15"/>
        <v>#VALUE!</v>
      </c>
      <c r="K157" s="529" t="str">
        <f>IF(A157=B157,IFERROR(VLOOKUP(B157,#REF!,1,0),"-"),"-")</f>
        <v>-</v>
      </c>
      <c r="L157" s="304">
        <f t="shared" si="12"/>
        <v>1</v>
      </c>
      <c r="M157" s="304" t="str">
        <f t="shared" si="13"/>
        <v>-</v>
      </c>
    </row>
    <row r="158" spans="1:13" ht="63.75" x14ac:dyDescent="0.3">
      <c r="B158" s="516">
        <v>7348</v>
      </c>
      <c r="C158" s="573" t="s">
        <v>309</v>
      </c>
      <c r="D158" s="516" t="s">
        <v>861</v>
      </c>
      <c r="E158" s="593" t="str" cm="1">
        <f t="array" ref="E158">UPPER(IF(C158="COMPOSIÇÃO",_xlfn.XLOOKUP($B158,A:A,E:E,),IF(C158="COTAÇÃO",VLOOKUP($B158,COTAÇÕES!$A$11:$E$37,2,0),BuscarCampoAccess("Descricao",B158,B.A_SINAPI,B.M_SINAPI,C158))))</f>
        <v>ERRO: CONEXÃO NÃO ESTABELECIDA. CLIQUE EM CONECTAR.</v>
      </c>
      <c r="F158" s="594" t="str" cm="1">
        <f t="array" ref="F158">UPPER(IF(C158="COMPOSIÇÃO",_xlfn.XLOOKUP($B158,A:A,F:F,),IF(C158="COTAÇÃO",VLOOKUP($B158,COTAÇÕES!$A$11:$E$37,3,0),BuscarCampoAccess("Unidade",B158,B.A_SINAPI,B.M_SINAPI,C158))))</f>
        <v>ERRO: CONEXÃO NÃO ESTABELECIDA. CLIQUE EM CONECTAR.</v>
      </c>
      <c r="G158" s="517">
        <v>0.03</v>
      </c>
      <c r="H158" s="582" t="str" cm="1">
        <f t="array" ref="H158">UPPER(IF(C158="COMPOSIÇÃO",_xlfn.XLOOKUP($B158,A:A,I:I,),IF(C158="COTAÇÃO",VLOOKUP($B158,COTAÇÕES!$A$11:$E$37,5,0),BuscarCampoAccess("Custo",B158,B.A_SINAPI,B.M_SINAPI,C158))))</f>
        <v>ERRO: CONEXÃO NÃO ESTABELECIDA. CLIQUE EM CONECTAR.</v>
      </c>
      <c r="I158" s="583" t="e">
        <f t="shared" si="15"/>
        <v>#VALUE!</v>
      </c>
      <c r="K158" s="529" t="str">
        <f>IF(A158=B158,IFERROR(VLOOKUP(B158,#REF!,1,0),"-"),"-")</f>
        <v>-</v>
      </c>
      <c r="L158" s="304">
        <f t="shared" si="12"/>
        <v>1</v>
      </c>
      <c r="M158" s="304" t="str">
        <f t="shared" si="13"/>
        <v>-</v>
      </c>
    </row>
    <row r="159" spans="1:13" ht="63.75" x14ac:dyDescent="0.3">
      <c r="B159" s="516">
        <v>44478</v>
      </c>
      <c r="C159" s="573" t="s">
        <v>309</v>
      </c>
      <c r="D159" s="516" t="s">
        <v>861</v>
      </c>
      <c r="E159" s="593" t="str" cm="1">
        <f t="array" ref="E159">UPPER(IF(C159="COMPOSIÇÃO",_xlfn.XLOOKUP($B159,A:A,E:E,),IF(C159="COTAÇÃO",VLOOKUP($B159,COTAÇÕES!$A$11:$E$37,2,0),BuscarCampoAccess("Descricao",B159,B.A_SINAPI,B.M_SINAPI,C159))))</f>
        <v>ERRO: CONEXÃO NÃO ESTABELECIDA. CLIQUE EM CONECTAR.</v>
      </c>
      <c r="F159" s="594" t="str" cm="1">
        <f t="array" ref="F159">UPPER(IF(C159="COMPOSIÇÃO",_xlfn.XLOOKUP($B159,A:A,F:F,),IF(C159="COTAÇÃO",VLOOKUP($B159,COTAÇÕES!$A$11:$E$37,3,0),BuscarCampoAccess("Unidade",B159,B.A_SINAPI,B.M_SINAPI,C159))))</f>
        <v>ERRO: CONEXÃO NÃO ESTABELECIDA. CLIQUE EM CONECTAR.</v>
      </c>
      <c r="G159" s="517">
        <v>0.4</v>
      </c>
      <c r="H159" s="582" t="str" cm="1">
        <f t="array" ref="H159">UPPER(IF(C159="COMPOSIÇÃO",_xlfn.XLOOKUP($B159,A:A,I:I,),IF(C159="COTAÇÃO",VLOOKUP($B159,COTAÇÕES!$A$11:$E$37,5,0),BuscarCampoAccess("Custo",B159,B.A_SINAPI,B.M_SINAPI,C159))))</f>
        <v>ERRO: CONEXÃO NÃO ESTABELECIDA. CLIQUE EM CONECTAR.</v>
      </c>
      <c r="I159" s="583" t="e">
        <f t="shared" si="15"/>
        <v>#VALUE!</v>
      </c>
      <c r="K159" s="529" t="str">
        <f>IF(A159=B159,IFERROR(VLOOKUP(B159,#REF!,1,0),"-"),"-")</f>
        <v>-</v>
      </c>
      <c r="L159" s="304">
        <f t="shared" si="12"/>
        <v>1</v>
      </c>
      <c r="M159" s="304" t="str">
        <f t="shared" si="13"/>
        <v>-</v>
      </c>
    </row>
    <row r="160" spans="1:13" ht="63.75" x14ac:dyDescent="0.3">
      <c r="B160" s="516">
        <v>88316</v>
      </c>
      <c r="C160" s="573" t="s">
        <v>309</v>
      </c>
      <c r="D160" s="516" t="s">
        <v>861</v>
      </c>
      <c r="E160" s="593" t="str" cm="1">
        <f t="array" ref="E160">UPPER(IF(C160="COMPOSIÇÃO",_xlfn.XLOOKUP($B160,A:A,E:E,),IF(C160="COTAÇÃO",VLOOKUP($B160,COTAÇÕES!$A$11:$E$37,2,0),BuscarCampoAccess("Descricao",B160,B.A_SINAPI,B.M_SINAPI,C160))))</f>
        <v>ERRO: CONEXÃO NÃO ESTABELECIDA. CLIQUE EM CONECTAR.</v>
      </c>
      <c r="F160" s="594" t="str" cm="1">
        <f t="array" ref="F160">UPPER(IF(C160="COMPOSIÇÃO",_xlfn.XLOOKUP($B160,A:A,F:F,),IF(C160="COTAÇÃO",VLOOKUP($B160,COTAÇÕES!$A$11:$E$37,3,0),BuscarCampoAccess("Unidade",B160,B.A_SINAPI,B.M_SINAPI,C160))))</f>
        <v>ERRO: CONEXÃO NÃO ESTABELECIDA. CLIQUE EM CONECTAR.</v>
      </c>
      <c r="G160" s="517">
        <v>3.3329999999999999E-2</v>
      </c>
      <c r="H160" s="582" t="str" cm="1">
        <f t="array" ref="H160">UPPER(IF(C160="COMPOSIÇÃO",_xlfn.XLOOKUP($B160,A:A,I:I,),IF(C160="COTAÇÃO",VLOOKUP($B160,COTAÇÕES!$A$11:$E$37,5,0),BuscarCampoAccess("Custo",B160,B.A_SINAPI,B.M_SINAPI,C160))))</f>
        <v>ERRO: CONEXÃO NÃO ESTABELECIDA. CLIQUE EM CONECTAR.</v>
      </c>
      <c r="I160" s="583" t="e">
        <f t="shared" si="15"/>
        <v>#VALUE!</v>
      </c>
      <c r="K160" s="529" t="str">
        <f>IF(A160=B160,IFERROR(VLOOKUP(B160,#REF!,1,0),"-"),"-")</f>
        <v>-</v>
      </c>
      <c r="L160" s="304">
        <f t="shared" si="12"/>
        <v>1</v>
      </c>
      <c r="M160" s="304" t="str">
        <f t="shared" si="13"/>
        <v>-</v>
      </c>
    </row>
    <row r="161" spans="1:13" ht="63.75" x14ac:dyDescent="0.3">
      <c r="B161" s="516">
        <v>95133</v>
      </c>
      <c r="C161" s="573" t="s">
        <v>309</v>
      </c>
      <c r="D161" s="516" t="s">
        <v>861</v>
      </c>
      <c r="E161" s="593" t="str" cm="1">
        <f t="array" ref="E161">UPPER(IF(C161="COMPOSIÇÃO",_xlfn.XLOOKUP($B161,A:A,E:E,),IF(C161="COTAÇÃO",VLOOKUP($B161,COTAÇÕES!$A$11:$E$37,2,0),BuscarCampoAccess("Descricao",B161,B.A_SINAPI,B.M_SINAPI,C161))))</f>
        <v>ERRO: CONEXÃO NÃO ESTABELECIDA. CLIQUE EM CONECTAR.</v>
      </c>
      <c r="F161" s="594" t="str" cm="1">
        <f t="array" ref="F161">UPPER(IF(C161="COMPOSIÇÃO",_xlfn.XLOOKUP($B161,A:A,F:F,),IF(C161="COTAÇÃO",VLOOKUP($B161,COTAÇÕES!$A$11:$E$37,3,0),BuscarCampoAccess("Unidade",B161,B.A_SINAPI,B.M_SINAPI,C161))))</f>
        <v>ERRO: CONEXÃO NÃO ESTABELECIDA. CLIQUE EM CONECTAR.</v>
      </c>
      <c r="G161" s="517">
        <v>3.333E-3</v>
      </c>
      <c r="H161" s="582" t="str" cm="1">
        <f t="array" ref="H161">UPPER(IF(C161="COMPOSIÇÃO",_xlfn.XLOOKUP($B161,A:A,I:I,),IF(C161="COTAÇÃO",VLOOKUP($B161,COTAÇÕES!$A$11:$E$37,5,0),BuscarCampoAccess("Custo",B161,B.A_SINAPI,B.M_SINAPI,C161))))</f>
        <v>ERRO: CONEXÃO NÃO ESTABELECIDA. CLIQUE EM CONECTAR.</v>
      </c>
      <c r="I161" s="583" t="e">
        <f t="shared" si="15"/>
        <v>#VALUE!</v>
      </c>
      <c r="K161" s="529" t="str">
        <f>IF(A161=B161,IFERROR(VLOOKUP(B161,#REF!,1,0),"-"),"-")</f>
        <v>-</v>
      </c>
      <c r="L161" s="304">
        <f t="shared" si="12"/>
        <v>1</v>
      </c>
      <c r="M161" s="304" t="str">
        <f t="shared" si="13"/>
        <v>-</v>
      </c>
    </row>
    <row r="162" spans="1:13" x14ac:dyDescent="0.3">
      <c r="K162" s="529" t="str">
        <f>IF(A162=B162,IFERROR(VLOOKUP(B162,#REF!,1,0),"-"),"-")</f>
        <v>-</v>
      </c>
      <c r="L162" s="304">
        <f t="shared" si="12"/>
        <v>0</v>
      </c>
      <c r="M162" s="304" t="b">
        <f t="shared" si="13"/>
        <v>0</v>
      </c>
    </row>
    <row r="163" spans="1:13" ht="25.5" x14ac:dyDescent="0.3">
      <c r="A163" s="192" t="str">
        <f>IF(AND(D163="",E163&lt;&gt;""),B163,"")</f>
        <v>CPU-DRET 02</v>
      </c>
      <c r="B163" s="589" t="s">
        <v>887</v>
      </c>
      <c r="C163" s="187"/>
      <c r="D163" s="188"/>
      <c r="E163" s="189" t="s">
        <v>340</v>
      </c>
      <c r="F163" s="188" t="s">
        <v>327</v>
      </c>
      <c r="G163" s="188"/>
      <c r="H163" s="191"/>
      <c r="I163" s="590" t="e">
        <f>SUM(I164:I169)</f>
        <v>#VALUE!</v>
      </c>
      <c r="K163" s="529" t="str">
        <f>IF(A163=B163,IFERROR(VLOOKUP(B163,#REF!,1,0),"-"),"-")</f>
        <v>-</v>
      </c>
      <c r="L163" s="304">
        <f t="shared" si="12"/>
        <v>1</v>
      </c>
      <c r="M163" s="304" t="str">
        <f t="shared" si="13"/>
        <v>-</v>
      </c>
    </row>
    <row r="164" spans="1:13" ht="63.75" x14ac:dyDescent="0.3">
      <c r="B164" s="516">
        <v>37598</v>
      </c>
      <c r="C164" s="573" t="s">
        <v>309</v>
      </c>
      <c r="D164" s="516" t="s">
        <v>861</v>
      </c>
      <c r="E164" s="593" t="str" cm="1">
        <f t="array" ref="E164">UPPER(IF(C164="COMPOSIÇÃO",_xlfn.XLOOKUP($B164,A:A,E:E,),IF(C164="COTAÇÃO",VLOOKUP($B164,COTAÇÕES!$A$11:$E$37,2,0),BuscarCampoAccess("Descricao",B164,B.A_SINAPI,B.M_SINAPI,C164))))</f>
        <v>ERRO: CONEXÃO NÃO ESTABELECIDA. CLIQUE EM CONECTAR.</v>
      </c>
      <c r="F164" s="594" t="str" cm="1">
        <f t="array" ref="F164">UPPER(IF(C164="COMPOSIÇÃO",_xlfn.XLOOKUP($B164,A:A,F:F,),IF(C164="COTAÇÃO",VLOOKUP($B164,COTAÇÕES!$A$11:$E$37,3,0),BuscarCampoAccess("Unidade",B164,B.A_SINAPI,B.M_SINAPI,C164))))</f>
        <v>ERRO: CONEXÃO NÃO ESTABELECIDA. CLIQUE EM CONECTAR.</v>
      </c>
      <c r="G164" s="517">
        <v>3</v>
      </c>
      <c r="H164" s="582" t="str" cm="1">
        <f t="array" ref="H164">UPPER(IF(C164="COMPOSIÇÃO",_xlfn.XLOOKUP($B164,A:A,I:I,),IF(C164="COTAÇÃO",VLOOKUP($B164,COTAÇÕES!$A$11:$E$37,5,0),BuscarCampoAccess("Custo",B164,B.A_SINAPI,B.M_SINAPI,C164))))</f>
        <v>ERRO: CONEXÃO NÃO ESTABELECIDA. CLIQUE EM CONECTAR.</v>
      </c>
      <c r="I164" s="583" t="e">
        <f t="shared" ref="I164:I169" si="16">TRUNC(G164*H164,2)</f>
        <v>#VALUE!</v>
      </c>
      <c r="K164" s="529" t="str">
        <f>IF(A164=B164,IFERROR(VLOOKUP(B164,#REF!,1,0),"-"),"-")</f>
        <v>-</v>
      </c>
      <c r="L164" s="304">
        <f t="shared" si="12"/>
        <v>1</v>
      </c>
      <c r="M164" s="304" t="str">
        <f t="shared" si="13"/>
        <v>-</v>
      </c>
    </row>
    <row r="165" spans="1:13" ht="63.75" x14ac:dyDescent="0.3">
      <c r="B165" s="516">
        <v>88257</v>
      </c>
      <c r="C165" s="573" t="s">
        <v>309</v>
      </c>
      <c r="D165" s="516" t="s">
        <v>861</v>
      </c>
      <c r="E165" s="593" t="str" cm="1">
        <f t="array" ref="E165">UPPER(IF(C165="COMPOSIÇÃO",_xlfn.XLOOKUP($B165,A:A,E:E,),IF(C165="COTAÇÃO",VLOOKUP($B165,COTAÇÕES!$A$11:$E$37,2,0),BuscarCampoAccess("Descricao",B165,B.A_SINAPI,B.M_SINAPI,C165))))</f>
        <v>ERRO: CONEXÃO NÃO ESTABELECIDA. CLIQUE EM CONECTAR.</v>
      </c>
      <c r="F165" s="594" t="str" cm="1">
        <f t="array" ref="F165">UPPER(IF(C165="COMPOSIÇÃO",_xlfn.XLOOKUP($B165,A:A,F:F,),IF(C165="COTAÇÃO",VLOOKUP($B165,COTAÇÕES!$A$11:$E$37,3,0),BuscarCampoAccess("Unidade",B165,B.A_SINAPI,B.M_SINAPI,C165))))</f>
        <v>ERRO: CONEXÃO NÃO ESTABELECIDA. CLIQUE EM CONECTAR.</v>
      </c>
      <c r="G165" s="517">
        <v>5.4</v>
      </c>
      <c r="H165" s="582" t="str" cm="1">
        <f t="array" ref="H165">UPPER(IF(C165="COMPOSIÇÃO",_xlfn.XLOOKUP($B165,A:A,I:I,),IF(C165="COTAÇÃO",VLOOKUP($B165,COTAÇÕES!$A$11:$E$37,5,0),BuscarCampoAccess("Custo",B165,B.A_SINAPI,B.M_SINAPI,C165))))</f>
        <v>ERRO: CONEXÃO NÃO ESTABELECIDA. CLIQUE EM CONECTAR.</v>
      </c>
      <c r="I165" s="583" t="e">
        <f t="shared" si="16"/>
        <v>#VALUE!</v>
      </c>
      <c r="K165" s="529" t="str">
        <f>IF(A165=B165,IFERROR(VLOOKUP(B165,#REF!,1,0),"-"),"-")</f>
        <v>-</v>
      </c>
      <c r="L165" s="304">
        <f t="shared" si="12"/>
        <v>1</v>
      </c>
      <c r="M165" s="304" t="str">
        <f t="shared" si="13"/>
        <v>-</v>
      </c>
    </row>
    <row r="166" spans="1:13" ht="63.75" x14ac:dyDescent="0.3">
      <c r="B166" s="516">
        <v>88316</v>
      </c>
      <c r="C166" s="573" t="s">
        <v>309</v>
      </c>
      <c r="D166" s="516" t="s">
        <v>861</v>
      </c>
      <c r="E166" s="593" t="str" cm="1">
        <f t="array" ref="E166">UPPER(IF(C166="COMPOSIÇÃO",_xlfn.XLOOKUP($B166,A:A,E:E,),IF(C166="COTAÇÃO",VLOOKUP($B166,COTAÇÕES!$A$11:$E$37,2,0),BuscarCampoAccess("Descricao",B166,B.A_SINAPI,B.M_SINAPI,C166))))</f>
        <v>ERRO: CONEXÃO NÃO ESTABELECIDA. CLIQUE EM CONECTAR.</v>
      </c>
      <c r="F166" s="594" t="str" cm="1">
        <f t="array" ref="F166">UPPER(IF(C166="COMPOSIÇÃO",_xlfn.XLOOKUP($B166,A:A,F:F,),IF(C166="COTAÇÃO",VLOOKUP($B166,COTAÇÕES!$A$11:$E$37,3,0),BuscarCampoAccess("Unidade",B166,B.A_SINAPI,B.M_SINAPI,C166))))</f>
        <v>ERRO: CONEXÃO NÃO ESTABELECIDA. CLIQUE EM CONECTAR.</v>
      </c>
      <c r="G166" s="517">
        <v>15</v>
      </c>
      <c r="H166" s="582" t="str" cm="1">
        <f t="array" ref="H166">UPPER(IF(C166="COMPOSIÇÃO",_xlfn.XLOOKUP($B166,A:A,I:I,),IF(C166="COTAÇÃO",VLOOKUP($B166,COTAÇÕES!$A$11:$E$37,5,0),BuscarCampoAccess("Custo",B166,B.A_SINAPI,B.M_SINAPI,C166))))</f>
        <v>ERRO: CONEXÃO NÃO ESTABELECIDA. CLIQUE EM CONECTAR.</v>
      </c>
      <c r="I166" s="583" t="e">
        <f t="shared" si="16"/>
        <v>#VALUE!</v>
      </c>
      <c r="K166" s="529" t="str">
        <f>IF(A166=B166,IFERROR(VLOOKUP(B166,#REF!,1,0),"-"),"-")</f>
        <v>-</v>
      </c>
      <c r="L166" s="304">
        <f t="shared" si="12"/>
        <v>1</v>
      </c>
      <c r="M166" s="304" t="str">
        <f t="shared" si="13"/>
        <v>-</v>
      </c>
    </row>
    <row r="167" spans="1:13" ht="63.75" x14ac:dyDescent="0.3">
      <c r="B167" s="516">
        <v>90972</v>
      </c>
      <c r="C167" s="573" t="s">
        <v>309</v>
      </c>
      <c r="D167" s="516" t="s">
        <v>861</v>
      </c>
      <c r="E167" s="593" t="str" cm="1">
        <f t="array" ref="E167">UPPER(IF(C167="COMPOSIÇÃO",_xlfn.XLOOKUP($B167,A:A,E:E,),IF(C167="COTAÇÃO",VLOOKUP($B167,COTAÇÕES!$A$11:$E$37,2,0),BuscarCampoAccess("Descricao",B167,B.A_SINAPI,B.M_SINAPI,C167))))</f>
        <v>ERRO: CONEXÃO NÃO ESTABELECIDA. CLIQUE EM CONECTAR.</v>
      </c>
      <c r="F167" s="594" t="str" cm="1">
        <f t="array" ref="F167">UPPER(IF(C167="COMPOSIÇÃO",_xlfn.XLOOKUP($B167,A:A,F:F,),IF(C167="COTAÇÃO",VLOOKUP($B167,COTAÇÕES!$A$11:$E$37,3,0),BuscarCampoAccess("Unidade",B167,B.A_SINAPI,B.M_SINAPI,C167))))</f>
        <v>ERRO: CONEXÃO NÃO ESTABELECIDA. CLIQUE EM CONECTAR.</v>
      </c>
      <c r="G167" s="517">
        <v>0.06</v>
      </c>
      <c r="H167" s="582" t="str" cm="1">
        <f t="array" ref="H167">UPPER(IF(C167="COMPOSIÇÃO",_xlfn.XLOOKUP($B167,A:A,I:I,),IF(C167="COTAÇÃO",VLOOKUP($B167,COTAÇÕES!$A$11:$E$37,5,0),BuscarCampoAccess("Custo",B167,B.A_SINAPI,B.M_SINAPI,C167))))</f>
        <v>ERRO: CONEXÃO NÃO ESTABELECIDA. CLIQUE EM CONECTAR.</v>
      </c>
      <c r="I167" s="583" t="e">
        <f t="shared" si="16"/>
        <v>#VALUE!</v>
      </c>
      <c r="K167" s="529" t="str">
        <f>IF(A167=B167,IFERROR(VLOOKUP(B167,#REF!,1,0),"-"),"-")</f>
        <v>-</v>
      </c>
      <c r="L167" s="304">
        <f t="shared" si="12"/>
        <v>1</v>
      </c>
      <c r="M167" s="304" t="str">
        <f t="shared" si="13"/>
        <v>-</v>
      </c>
    </row>
    <row r="168" spans="1:13" ht="63.75" x14ac:dyDescent="0.3">
      <c r="B168" s="516">
        <v>37533</v>
      </c>
      <c r="C168" s="573" t="s">
        <v>309</v>
      </c>
      <c r="D168" s="516" t="s">
        <v>861</v>
      </c>
      <c r="E168" s="593" t="str" cm="1">
        <f t="array" ref="E168">UPPER(IF(C168="COMPOSIÇÃO",_xlfn.XLOOKUP($B168,A:A,E:E,),IF(C168="COTAÇÃO",VLOOKUP($B168,COTAÇÕES!$A$11:$E$37,2,0),BuscarCampoAccess("Descricao",B168,B.A_SINAPI,B.M_SINAPI,C168))))</f>
        <v>ERRO: CONEXÃO NÃO ESTABELECIDA. CLIQUE EM CONECTAR.</v>
      </c>
      <c r="F168" s="594" t="str" cm="1">
        <f t="array" ref="F168">UPPER(IF(C168="COMPOSIÇÃO",_xlfn.XLOOKUP($B168,A:A,F:F,),IF(C168="COTAÇÃO",VLOOKUP($B168,COTAÇÕES!$A$11:$E$37,3,0),BuscarCampoAccess("Unidade",B168,B.A_SINAPI,B.M_SINAPI,C168))))</f>
        <v>ERRO: CONEXÃO NÃO ESTABELECIDA. CLIQUE EM CONECTAR.</v>
      </c>
      <c r="G168" s="517">
        <v>0.2</v>
      </c>
      <c r="H168" s="582" t="str" cm="1">
        <f t="array" ref="H168">UPPER(IF(C168="COMPOSIÇÃO",_xlfn.XLOOKUP($B168,A:A,I:I,),IF(C168="COTAÇÃO",VLOOKUP($B168,COTAÇÕES!$A$11:$E$37,5,0),BuscarCampoAccess("Custo",B168,B.A_SINAPI,B.M_SINAPI,C168))))</f>
        <v>ERRO: CONEXÃO NÃO ESTABELECIDA. CLIQUE EM CONECTAR.</v>
      </c>
      <c r="I168" s="583" t="e">
        <f t="shared" si="16"/>
        <v>#VALUE!</v>
      </c>
      <c r="K168" s="529" t="str">
        <f>IF(A168=B168,IFERROR(VLOOKUP(B168,#REF!,1,0),"-"),"-")</f>
        <v>-</v>
      </c>
      <c r="L168" s="304">
        <f t="shared" si="12"/>
        <v>1</v>
      </c>
      <c r="M168" s="304" t="str">
        <f t="shared" si="13"/>
        <v>-</v>
      </c>
    </row>
    <row r="169" spans="1:13" ht="63.75" x14ac:dyDescent="0.3">
      <c r="B169" s="516">
        <v>95620</v>
      </c>
      <c r="C169" s="573" t="s">
        <v>309</v>
      </c>
      <c r="D169" s="516" t="s">
        <v>861</v>
      </c>
      <c r="E169" s="593" t="str" cm="1">
        <f t="array" ref="E169">UPPER(IF(C169="COMPOSIÇÃO",_xlfn.XLOOKUP($B169,A:A,E:E,),IF(C169="COTAÇÃO",VLOOKUP($B169,COTAÇÕES!$A$11:$E$37,2,0),BuscarCampoAccess("Descricao",B169,B.A_SINAPI,B.M_SINAPI,C169))))</f>
        <v>ERRO: CONEXÃO NÃO ESTABELECIDA. CLIQUE EM CONECTAR.</v>
      </c>
      <c r="F169" s="594" t="str" cm="1">
        <f t="array" ref="F169">UPPER(IF(C169="COMPOSIÇÃO",_xlfn.XLOOKUP($B169,A:A,F:F,),IF(C169="COTAÇÃO",VLOOKUP($B169,COTAÇÕES!$A$11:$E$37,3,0),BuscarCampoAccess("Unidade",B169,B.A_SINAPI,B.M_SINAPI,C169))))</f>
        <v>ERRO: CONEXÃO NÃO ESTABELECIDA. CLIQUE EM CONECTAR.</v>
      </c>
      <c r="G169" s="517">
        <v>0.18</v>
      </c>
      <c r="H169" s="582" t="str" cm="1">
        <f t="array" ref="H169">UPPER(IF(C169="COMPOSIÇÃO",_xlfn.XLOOKUP($B169,A:A,I:I,),IF(C169="COTAÇÃO",VLOOKUP($B169,COTAÇÕES!$A$11:$E$37,5,0),BuscarCampoAccess("Custo",B169,B.A_SINAPI,B.M_SINAPI,C169))))</f>
        <v>ERRO: CONEXÃO NÃO ESTABELECIDA. CLIQUE EM CONECTAR.</v>
      </c>
      <c r="I169" s="583" t="e">
        <f t="shared" si="16"/>
        <v>#VALUE!</v>
      </c>
      <c r="K169" s="529" t="str">
        <f>IF(A169=B169,IFERROR(VLOOKUP(B169,#REF!,1,0),"-"),"-")</f>
        <v>-</v>
      </c>
      <c r="L169" s="304">
        <f t="shared" si="12"/>
        <v>1</v>
      </c>
      <c r="M169" s="304" t="str">
        <f t="shared" si="13"/>
        <v>-</v>
      </c>
    </row>
    <row r="170" spans="1:13" x14ac:dyDescent="0.3">
      <c r="K170" s="529" t="str">
        <f>IF(A170=B170,IFERROR(VLOOKUP(B170,#REF!,1,0),"-"),"-")</f>
        <v>-</v>
      </c>
      <c r="L170" s="304">
        <f t="shared" si="12"/>
        <v>0</v>
      </c>
      <c r="M170" s="304" t="b">
        <f t="shared" si="13"/>
        <v>0</v>
      </c>
    </row>
    <row r="171" spans="1:13" ht="27" customHeight="1" x14ac:dyDescent="0.3">
      <c r="A171" s="192" t="str">
        <f>IF(AND(D171="",E171&lt;&gt;""),B171,"")</f>
        <v>CPU-PAVI 02</v>
      </c>
      <c r="B171" s="589" t="s">
        <v>888</v>
      </c>
      <c r="C171" s="187"/>
      <c r="D171" s="188"/>
      <c r="E171" s="189" t="s">
        <v>770</v>
      </c>
      <c r="F171" s="188" t="s">
        <v>307</v>
      </c>
      <c r="G171" s="188"/>
      <c r="H171" s="191"/>
      <c r="I171" s="590" t="e">
        <f>SUM(I172:I179)</f>
        <v>#VALUE!</v>
      </c>
      <c r="K171" s="529" t="str">
        <f>IF(A171=B171,IFERROR(VLOOKUP(B171,#REF!,1,0),"-"),"-")</f>
        <v>-</v>
      </c>
      <c r="L171" s="304">
        <f t="shared" si="12"/>
        <v>1</v>
      </c>
      <c r="M171" s="304" t="str">
        <f t="shared" si="13"/>
        <v>-</v>
      </c>
    </row>
    <row r="172" spans="1:13" ht="63.75" x14ac:dyDescent="0.3">
      <c r="B172" s="516">
        <v>5839</v>
      </c>
      <c r="C172" s="573" t="s">
        <v>309</v>
      </c>
      <c r="D172" s="516" t="s">
        <v>861</v>
      </c>
      <c r="E172" s="593" t="str" cm="1">
        <f t="array" ref="E172">UPPER(IF(C172="COMPOSIÇÃO",_xlfn.XLOOKUP($B172,A:A,E:E,),IF(C172="COTAÇÃO",VLOOKUP($B172,COTAÇÕES!$A$11:$E$37,2,0),BuscarCampoAccess("Descricao",B172,B.A_SINAPI,B.M_SINAPI,C172))))</f>
        <v>ERRO: CONEXÃO NÃO ESTABELECIDA. CLIQUE EM CONECTAR.</v>
      </c>
      <c r="F172" s="594" t="str" cm="1">
        <f t="array" ref="F172">UPPER(IF(C172="COMPOSIÇÃO",_xlfn.XLOOKUP($B172,A:A,F:F,),IF(C172="COTAÇÃO",VLOOKUP($B172,COTAÇÕES!$A$11:$E$37,3,0),BuscarCampoAccess("Unidade",B172,B.A_SINAPI,B.M_SINAPI,C172))))</f>
        <v>ERRO: CONEXÃO NÃO ESTABELECIDA. CLIQUE EM CONECTAR.</v>
      </c>
      <c r="G172" s="517">
        <v>2E-3</v>
      </c>
      <c r="H172" s="582" t="str" cm="1">
        <f t="array" ref="H172">UPPER(IF(C172="COMPOSIÇÃO",_xlfn.XLOOKUP($B172,A:A,I:I,),IF(C172="COTAÇÃO",VLOOKUP($B172,COTAÇÕES!$A$11:$E$37,5,0),BuscarCampoAccess("Custo",B172,B.A_SINAPI,B.M_SINAPI,C172))))</f>
        <v>ERRO: CONEXÃO NÃO ESTABELECIDA. CLIQUE EM CONECTAR.</v>
      </c>
      <c r="I172" s="583" t="e">
        <f>TRUNC(G172*H172,2)</f>
        <v>#VALUE!</v>
      </c>
      <c r="K172" s="529" t="str">
        <f>IF(A172=B172,IFERROR(VLOOKUP(B172,#REF!,1,0),"-"),"-")</f>
        <v>-</v>
      </c>
      <c r="L172" s="304">
        <f t="shared" si="12"/>
        <v>1</v>
      </c>
      <c r="M172" s="304" t="str">
        <f t="shared" si="13"/>
        <v>-</v>
      </c>
    </row>
    <row r="173" spans="1:13" ht="63.75" x14ac:dyDescent="0.3">
      <c r="B173" s="516">
        <v>5841</v>
      </c>
      <c r="C173" s="573" t="s">
        <v>309</v>
      </c>
      <c r="D173" s="516" t="s">
        <v>861</v>
      </c>
      <c r="E173" s="593" t="str" cm="1">
        <f t="array" ref="E173">UPPER(IF(C173="COMPOSIÇÃO",_xlfn.XLOOKUP($B173,A:A,E:E,),IF(C173="COTAÇÃO",VLOOKUP($B173,COTAÇÕES!$A$11:$E$37,2,0),BuscarCampoAccess("Descricao",B173,B.A_SINAPI,B.M_SINAPI,C173))))</f>
        <v>ERRO: CONEXÃO NÃO ESTABELECIDA. CLIQUE EM CONECTAR.</v>
      </c>
      <c r="F173" s="594" t="str" cm="1">
        <f t="array" ref="F173">UPPER(IF(C173="COMPOSIÇÃO",_xlfn.XLOOKUP($B173,A:A,F:F,),IF(C173="COTAÇÃO",VLOOKUP($B173,COTAÇÕES!$A$11:$E$37,3,0),BuscarCampoAccess("Unidade",B173,B.A_SINAPI,B.M_SINAPI,C173))))</f>
        <v>ERRO: CONEXÃO NÃO ESTABELECIDA. CLIQUE EM CONECTAR.</v>
      </c>
      <c r="G173" s="517">
        <v>4.0000000000000001E-3</v>
      </c>
      <c r="H173" s="582" t="str" cm="1">
        <f t="array" ref="H173">UPPER(IF(C173="COMPOSIÇÃO",_xlfn.XLOOKUP($B173,A:A,I:I,),IF(C173="COTAÇÃO",VLOOKUP($B173,COTAÇÕES!$A$11:$E$37,5,0),BuscarCampoAccess("Custo",B173,B.A_SINAPI,B.M_SINAPI,C173))))</f>
        <v>ERRO: CONEXÃO NÃO ESTABELECIDA. CLIQUE EM CONECTAR.</v>
      </c>
      <c r="I173" s="583" t="e">
        <f t="shared" ref="I173:I179" si="17">TRUNC(G173*H173,2)</f>
        <v>#VALUE!</v>
      </c>
      <c r="K173" s="529" t="str">
        <f>IF(A173=B173,IFERROR(VLOOKUP(B173,#REF!,1,0),"-"),"-")</f>
        <v>-</v>
      </c>
      <c r="L173" s="304">
        <f t="shared" si="12"/>
        <v>1</v>
      </c>
      <c r="M173" s="304" t="str">
        <f t="shared" si="13"/>
        <v>-</v>
      </c>
    </row>
    <row r="174" spans="1:13" x14ac:dyDescent="0.3">
      <c r="B174" s="516" t="s">
        <v>851</v>
      </c>
      <c r="C174" s="573" t="s">
        <v>341</v>
      </c>
      <c r="D174" s="516" t="s">
        <v>861</v>
      </c>
      <c r="E174" s="593" t="str" cm="1">
        <f t="array" ref="E174">UPPER(IF(C174="COMPOSIÇÃO",_xlfn.XLOOKUP($B174,A:A,E:E,),IF(C174="COTAÇÃO",VLOOKUP($B174,COTAÇÕES!$A$11:$E$37,2,0),BuscarCampoAccess("Descricao",B174,B.A_SINAPI,B.M_SINAPI,C174))))</f>
        <v>EMULSÃO ASFÁLTICA PARA IMPRIMAÇÃO</v>
      </c>
      <c r="F174" s="594" t="str" cm="1">
        <f t="array" ref="F174">UPPER(IF(C174="COMPOSIÇÃO",_xlfn.XLOOKUP($B174,A:A,F:F,),IF(C174="COTAÇÃO",VLOOKUP($B174,COTAÇÕES!$A$11:$E$37,3,0),BuscarCampoAccess("Unidade",B174,B.A_SINAPI,B.M_SINAPI,C174))))</f>
        <v>KG</v>
      </c>
      <c r="G174" s="517">
        <v>1.1999999999999999E-3</v>
      </c>
      <c r="H174" s="582" t="str" cm="1">
        <f t="array" ref="H174">UPPER(IF(C174="COMPOSIÇÃO",_xlfn.XLOOKUP($B174,A:A,I:I,),IF(C174="COTAÇÃO",VLOOKUP($B174,COTAÇÕES!$A$11:$E$37,5,0),BuscarCampoAccess("Custo",B174,B.A_SINAPI,B.M_SINAPI,C174))))</f>
        <v>4150</v>
      </c>
      <c r="I174" s="583">
        <f t="shared" si="17"/>
        <v>4.9800000000000004</v>
      </c>
      <c r="K174" s="529" t="str">
        <f>IF(A174=B174,IFERROR(VLOOKUP(B174,#REF!,1,0),"-"),"-")</f>
        <v>-</v>
      </c>
      <c r="L174" s="304">
        <f t="shared" si="12"/>
        <v>1</v>
      </c>
      <c r="M174" s="304" t="str">
        <f t="shared" si="13"/>
        <v>-</v>
      </c>
    </row>
    <row r="175" spans="1:13" ht="63.75" x14ac:dyDescent="0.3">
      <c r="B175" s="516">
        <v>83362</v>
      </c>
      <c r="C175" s="573" t="s">
        <v>309</v>
      </c>
      <c r="D175" s="516" t="s">
        <v>861</v>
      </c>
      <c r="E175" s="593" t="str" cm="1">
        <f t="array" ref="E175">UPPER(IF(C175="COMPOSIÇÃO",_xlfn.XLOOKUP($B175,A:A,E:E,),IF(C175="COTAÇÃO",VLOOKUP($B175,COTAÇÕES!$A$11:$E$37,2,0),BuscarCampoAccess("Descricao",B175,B.A_SINAPI,B.M_SINAPI,C175))))</f>
        <v>ERRO: CONEXÃO NÃO ESTABELECIDA. CLIQUE EM CONECTAR.</v>
      </c>
      <c r="F175" s="594" t="str" cm="1">
        <f t="array" ref="F175">UPPER(IF(C175="COMPOSIÇÃO",_xlfn.XLOOKUP($B175,A:A,F:F,),IF(C175="COTAÇÃO",VLOOKUP($B175,COTAÇÕES!$A$11:$E$37,3,0),BuscarCampoAccess("Unidade",B175,B.A_SINAPI,B.M_SINAPI,C175))))</f>
        <v>ERRO: CONEXÃO NÃO ESTABELECIDA. CLIQUE EM CONECTAR.</v>
      </c>
      <c r="G175" s="517">
        <v>1E-3</v>
      </c>
      <c r="H175" s="582" t="str" cm="1">
        <f t="array" ref="H175">UPPER(IF(C175="COMPOSIÇÃO",_xlfn.XLOOKUP($B175,A:A,I:I,),IF(C175="COTAÇÃO",VLOOKUP($B175,COTAÇÕES!$A$11:$E$37,5,0),BuscarCampoAccess("Custo",B175,B.A_SINAPI,B.M_SINAPI,C175))))</f>
        <v>ERRO: CONEXÃO NÃO ESTABELECIDA. CLIQUE EM CONECTAR.</v>
      </c>
      <c r="I175" s="583" t="e">
        <f t="shared" si="17"/>
        <v>#VALUE!</v>
      </c>
      <c r="K175" s="529" t="str">
        <f>IF(A175=B175,IFERROR(VLOOKUP(B175,#REF!,1,0),"-"),"-")</f>
        <v>-</v>
      </c>
      <c r="L175" s="304">
        <f t="shared" si="12"/>
        <v>1</v>
      </c>
      <c r="M175" s="304" t="str">
        <f t="shared" si="13"/>
        <v>-</v>
      </c>
    </row>
    <row r="176" spans="1:13" ht="63.75" x14ac:dyDescent="0.3">
      <c r="B176" s="516">
        <v>88316</v>
      </c>
      <c r="C176" s="573" t="s">
        <v>309</v>
      </c>
      <c r="D176" s="516" t="s">
        <v>861</v>
      </c>
      <c r="E176" s="593" t="str" cm="1">
        <f t="array" ref="E176">UPPER(IF(C176="COMPOSIÇÃO",_xlfn.XLOOKUP($B176,A:A,E:E,),IF(C176="COTAÇÃO",VLOOKUP($B176,COTAÇÕES!$A$11:$E$37,2,0),BuscarCampoAccess("Descricao",B176,B.A_SINAPI,B.M_SINAPI,C176))))</f>
        <v>ERRO: CONEXÃO NÃO ESTABELECIDA. CLIQUE EM CONECTAR.</v>
      </c>
      <c r="F176" s="594" t="str" cm="1">
        <f t="array" ref="F176">UPPER(IF(C176="COMPOSIÇÃO",_xlfn.XLOOKUP($B176,A:A,F:F,),IF(C176="COTAÇÃO",VLOOKUP($B176,COTAÇÕES!$A$11:$E$37,3,0),BuscarCampoAccess("Unidade",B176,B.A_SINAPI,B.M_SINAPI,C176))))</f>
        <v>ERRO: CONEXÃO NÃO ESTABELECIDA. CLIQUE EM CONECTAR.</v>
      </c>
      <c r="G176" s="517">
        <v>5.7999999999999996E-3</v>
      </c>
      <c r="H176" s="582" t="str" cm="1">
        <f t="array" ref="H176">UPPER(IF(C176="COMPOSIÇÃO",_xlfn.XLOOKUP($B176,A:A,I:I,),IF(C176="COTAÇÃO",VLOOKUP($B176,COTAÇÕES!$A$11:$E$37,5,0),BuscarCampoAccess("Custo",B176,B.A_SINAPI,B.M_SINAPI,C176))))</f>
        <v>ERRO: CONEXÃO NÃO ESTABELECIDA. CLIQUE EM CONECTAR.</v>
      </c>
      <c r="I176" s="583" t="e">
        <f>TRUNC(G176*H176,2)</f>
        <v>#VALUE!</v>
      </c>
      <c r="K176" s="529" t="str">
        <f>IF(A176=B176,IFERROR(VLOOKUP(B176,#REF!,1,0),"-"),"-")</f>
        <v>-</v>
      </c>
      <c r="L176" s="304">
        <f t="shared" si="12"/>
        <v>1</v>
      </c>
      <c r="M176" s="304" t="str">
        <f t="shared" si="13"/>
        <v>-</v>
      </c>
    </row>
    <row r="177" spans="1:13" ht="63.75" x14ac:dyDescent="0.3">
      <c r="B177" s="516">
        <v>89035</v>
      </c>
      <c r="C177" s="573" t="s">
        <v>309</v>
      </c>
      <c r="D177" s="516" t="s">
        <v>861</v>
      </c>
      <c r="E177" s="593" t="str" cm="1">
        <f t="array" ref="E177">UPPER(IF(C177="COMPOSIÇÃO",_xlfn.XLOOKUP($B177,A:A,E:E,),IF(C177="COTAÇÃO",VLOOKUP($B177,COTAÇÕES!$A$11:$E$37,2,0),BuscarCampoAccess("Descricao",B177,B.A_SINAPI,B.M_SINAPI,C177))))</f>
        <v>ERRO: CONEXÃO NÃO ESTABELECIDA. CLIQUE EM CONECTAR.</v>
      </c>
      <c r="F177" s="594" t="str" cm="1">
        <f t="array" ref="F177">UPPER(IF(C177="COMPOSIÇÃO",_xlfn.XLOOKUP($B177,A:A,F:F,),IF(C177="COTAÇÃO",VLOOKUP($B177,COTAÇÕES!$A$11:$E$37,3,0),BuscarCampoAccess("Unidade",B177,B.A_SINAPI,B.M_SINAPI,C177))))</f>
        <v>ERRO: CONEXÃO NÃO ESTABELECIDA. CLIQUE EM CONECTAR.</v>
      </c>
      <c r="G177" s="517">
        <v>1.6999999999999999E-3</v>
      </c>
      <c r="H177" s="582" t="str" cm="1">
        <f t="array" ref="H177">UPPER(IF(C177="COMPOSIÇÃO",_xlfn.XLOOKUP($B177,A:A,I:I,),IF(C177="COTAÇÃO",VLOOKUP($B177,COTAÇÕES!$A$11:$E$37,5,0),BuscarCampoAccess("Custo",B177,B.A_SINAPI,B.M_SINAPI,C177))))</f>
        <v>ERRO: CONEXÃO NÃO ESTABELECIDA. CLIQUE EM CONECTAR.</v>
      </c>
      <c r="I177" s="583" t="e">
        <f>TRUNC(G177*H177,2)</f>
        <v>#VALUE!</v>
      </c>
      <c r="K177" s="529" t="str">
        <f>IF(A177=B177,IFERROR(VLOOKUP(B177,#REF!,1,0),"-"),"-")</f>
        <v>-</v>
      </c>
      <c r="L177" s="304">
        <f t="shared" si="12"/>
        <v>1</v>
      </c>
      <c r="M177" s="304" t="str">
        <f t="shared" si="13"/>
        <v>-</v>
      </c>
    </row>
    <row r="178" spans="1:13" ht="63.75" x14ac:dyDescent="0.3">
      <c r="B178" s="516">
        <v>89036</v>
      </c>
      <c r="C178" s="573" t="s">
        <v>309</v>
      </c>
      <c r="D178" s="516" t="s">
        <v>861</v>
      </c>
      <c r="E178" s="593" t="str" cm="1">
        <f t="array" ref="E178">UPPER(IF(C178="COMPOSIÇÃO",_xlfn.XLOOKUP($B178,A:A,E:E,),IF(C178="COTAÇÃO",VLOOKUP($B178,COTAÇÕES!$A$11:$E$37,2,0),BuscarCampoAccess("Descricao",B178,B.A_SINAPI,B.M_SINAPI,C178))))</f>
        <v>ERRO: CONEXÃO NÃO ESTABELECIDA. CLIQUE EM CONECTAR.</v>
      </c>
      <c r="F178" s="594" t="str" cm="1">
        <f t="array" ref="F178">UPPER(IF(C178="COMPOSIÇÃO",_xlfn.XLOOKUP($B178,A:A,F:F,),IF(C178="COTAÇÃO",VLOOKUP($B178,COTAÇÕES!$A$11:$E$37,3,0),BuscarCampoAccess("Unidade",B178,B.A_SINAPI,B.M_SINAPI,C178))))</f>
        <v>ERRO: CONEXÃO NÃO ESTABELECIDA. CLIQUE EM CONECTAR.</v>
      </c>
      <c r="G178" s="517">
        <v>4.1000000000000003E-3</v>
      </c>
      <c r="H178" s="582" t="str" cm="1">
        <f t="array" ref="H178">UPPER(IF(C178="COMPOSIÇÃO",_xlfn.XLOOKUP($B178,A:A,I:I,),IF(C178="COTAÇÃO",VLOOKUP($B178,COTAÇÕES!$A$11:$E$37,5,0),BuscarCampoAccess("Custo",B178,B.A_SINAPI,B.M_SINAPI,C178))))</f>
        <v>ERRO: CONEXÃO NÃO ESTABELECIDA. CLIQUE EM CONECTAR.</v>
      </c>
      <c r="I178" s="583" t="e">
        <f t="shared" si="17"/>
        <v>#VALUE!</v>
      </c>
      <c r="K178" s="529" t="str">
        <f>IF(A178=B178,IFERROR(VLOOKUP(B178,#REF!,1,0),"-"),"-")</f>
        <v>-</v>
      </c>
      <c r="L178" s="304">
        <f t="shared" si="12"/>
        <v>1</v>
      </c>
      <c r="M178" s="304" t="str">
        <f t="shared" si="13"/>
        <v>-</v>
      </c>
    </row>
    <row r="179" spans="1:13" ht="63.75" x14ac:dyDescent="0.3">
      <c r="B179" s="516">
        <v>91486</v>
      </c>
      <c r="C179" s="573" t="s">
        <v>309</v>
      </c>
      <c r="D179" s="516" t="s">
        <v>861</v>
      </c>
      <c r="E179" s="593" t="str" cm="1">
        <f t="array" ref="E179">UPPER(IF(C179="COMPOSIÇÃO",_xlfn.XLOOKUP($B179,A:A,E:E,),IF(C179="COTAÇÃO",VLOOKUP($B179,COTAÇÕES!$A$11:$E$37,2,0),BuscarCampoAccess("Descricao",B179,B.A_SINAPI,B.M_SINAPI,C179))))</f>
        <v>ERRO: CONEXÃO NÃO ESTABELECIDA. CLIQUE EM CONECTAR.</v>
      </c>
      <c r="F179" s="594" t="str" cm="1">
        <f t="array" ref="F179">UPPER(IF(C179="COMPOSIÇÃO",_xlfn.XLOOKUP($B179,A:A,F:F,),IF(C179="COTAÇÃO",VLOOKUP($B179,COTAÇÕES!$A$11:$E$37,3,0),BuscarCampoAccess("Unidade",B179,B.A_SINAPI,B.M_SINAPI,C179))))</f>
        <v>ERRO: CONEXÃO NÃO ESTABELECIDA. CLIQUE EM CONECTAR.</v>
      </c>
      <c r="G179" s="517">
        <v>4.8999999999999998E-3</v>
      </c>
      <c r="H179" s="582" t="str" cm="1">
        <f t="array" ref="H179">UPPER(IF(C179="COMPOSIÇÃO",_xlfn.XLOOKUP($B179,A:A,I:I,),IF(C179="COTAÇÃO",VLOOKUP($B179,COTAÇÕES!$A$11:$E$37,5,0),BuscarCampoAccess("Custo",B179,B.A_SINAPI,B.M_SINAPI,C179))))</f>
        <v>ERRO: CONEXÃO NÃO ESTABELECIDA. CLIQUE EM CONECTAR.</v>
      </c>
      <c r="I179" s="583" t="e">
        <f t="shared" si="17"/>
        <v>#VALUE!</v>
      </c>
      <c r="K179" s="529" t="str">
        <f>IF(A179=B179,IFERROR(VLOOKUP(B179,#REF!,1,0),"-"),"-")</f>
        <v>-</v>
      </c>
      <c r="L179" s="304">
        <f t="shared" si="12"/>
        <v>1</v>
      </c>
      <c r="M179" s="304" t="str">
        <f t="shared" si="13"/>
        <v>-</v>
      </c>
    </row>
    <row r="180" spans="1:13" x14ac:dyDescent="0.3">
      <c r="K180" s="529" t="str">
        <f>IF(A180=B180,IFERROR(VLOOKUP(B180,#REF!,1,0),"-"),"-")</f>
        <v>-</v>
      </c>
      <c r="L180" s="304">
        <f t="shared" si="12"/>
        <v>0</v>
      </c>
      <c r="M180" s="304" t="b">
        <f t="shared" si="13"/>
        <v>0</v>
      </c>
    </row>
    <row r="181" spans="1:13" ht="28.5" customHeight="1" x14ac:dyDescent="0.3">
      <c r="A181" s="192" t="str">
        <f>IF(AND(D181="",E181&lt;&gt;""),B181,"")</f>
        <v>CPU-DRED 06</v>
      </c>
      <c r="B181" s="589" t="s">
        <v>889</v>
      </c>
      <c r="C181" s="187"/>
      <c r="D181" s="188"/>
      <c r="E181" s="189" t="s">
        <v>765</v>
      </c>
      <c r="F181" s="188" t="s">
        <v>327</v>
      </c>
      <c r="G181" s="188"/>
      <c r="H181" s="191"/>
      <c r="I181" s="590" t="e">
        <f>SUM(I182:I186)</f>
        <v>#VALUE!</v>
      </c>
      <c r="K181" s="529" t="str">
        <f>IF(A181=B181,IFERROR(VLOOKUP(B181,#REF!,1,0),"-"),"-")</f>
        <v>-</v>
      </c>
      <c r="L181" s="304">
        <f t="shared" si="12"/>
        <v>1</v>
      </c>
      <c r="M181" s="304" t="str">
        <f t="shared" si="13"/>
        <v>-</v>
      </c>
    </row>
    <row r="182" spans="1:13" ht="63.75" x14ac:dyDescent="0.3">
      <c r="B182" s="516">
        <v>103670</v>
      </c>
      <c r="C182" s="573" t="s">
        <v>309</v>
      </c>
      <c r="D182" s="516" t="s">
        <v>861</v>
      </c>
      <c r="E182" s="593" t="str" cm="1">
        <f t="array" ref="E182">UPPER(IF(C182="COMPOSIÇÃO",_xlfn.XLOOKUP($B182,A:A,E:E,),IF(C182="COTAÇÃO",VLOOKUP($B182,COTAÇÕES!$A$11:$E$37,2,0),BuscarCampoAccess("Descricao",B182,B.A_SINAPI,B.M_SINAPI,C182))))</f>
        <v>ERRO: CONEXÃO NÃO ESTABELECIDA. CLIQUE EM CONECTAR.</v>
      </c>
      <c r="F182" s="594" t="str" cm="1">
        <f t="array" ref="F182">UPPER(IF(C182="COMPOSIÇÃO",_xlfn.XLOOKUP($B182,A:A,F:F,),IF(C182="COTAÇÃO",VLOOKUP($B182,COTAÇÕES!$A$11:$E$37,3,0),BuscarCampoAccess("Unidade",B182,B.A_SINAPI,B.M_SINAPI,C182))))</f>
        <v>ERRO: CONEXÃO NÃO ESTABELECIDA. CLIQUE EM CONECTAR.</v>
      </c>
      <c r="G182" s="517">
        <v>9.14</v>
      </c>
      <c r="H182" s="582" t="str" cm="1">
        <f t="array" ref="H182">UPPER(IF(C182="COMPOSIÇÃO",_xlfn.XLOOKUP($B182,A:A,I:I,),IF(C182="COTAÇÃO",VLOOKUP($B182,COTAÇÕES!$A$11:$E$37,5,0),BuscarCampoAccess("Custo",B182,B.A_SINAPI,B.M_SINAPI,C182))))</f>
        <v>ERRO: CONEXÃO NÃO ESTABELECIDA. CLIQUE EM CONECTAR.</v>
      </c>
      <c r="I182" s="583" t="e">
        <f>TRUNC(G182*H182,2)</f>
        <v>#VALUE!</v>
      </c>
      <c r="K182" s="529" t="str">
        <f>IF(A182=B182,IFERROR(VLOOKUP(B182,#REF!,1,0),"-"),"-")</f>
        <v>-</v>
      </c>
      <c r="L182" s="304">
        <f t="shared" si="12"/>
        <v>1</v>
      </c>
      <c r="M182" s="304" t="str">
        <f t="shared" si="13"/>
        <v>-</v>
      </c>
    </row>
    <row r="183" spans="1:13" ht="63.75" x14ac:dyDescent="0.3">
      <c r="B183" s="516">
        <v>92916</v>
      </c>
      <c r="C183" s="573" t="s">
        <v>309</v>
      </c>
      <c r="D183" s="516" t="s">
        <v>861</v>
      </c>
      <c r="E183" s="593" t="str" cm="1">
        <f t="array" ref="E183">UPPER(IF(C183="COMPOSIÇÃO",_xlfn.XLOOKUP($B183,A:A,E:E,),IF(C183="COTAÇÃO",VLOOKUP($B183,COTAÇÕES!$A$11:$E$37,2,0),BuscarCampoAccess("Descricao",B183,B.A_SINAPI,B.M_SINAPI,C183))))</f>
        <v>ERRO: CONEXÃO NÃO ESTABELECIDA. CLIQUE EM CONECTAR.</v>
      </c>
      <c r="F183" s="594" t="str" cm="1">
        <f t="array" ref="F183">UPPER(IF(C183="COMPOSIÇÃO",_xlfn.XLOOKUP($B183,A:A,F:F,),IF(C183="COTAÇÃO",VLOOKUP($B183,COTAÇÕES!$A$11:$E$37,3,0),BuscarCampoAccess("Unidade",B183,B.A_SINAPI,B.M_SINAPI,C183))))</f>
        <v>ERRO: CONEXÃO NÃO ESTABELECIDA. CLIQUE EM CONECTAR.</v>
      </c>
      <c r="G183" s="517">
        <v>34.36</v>
      </c>
      <c r="H183" s="582" t="str" cm="1">
        <f t="array" ref="H183">UPPER(IF(C183="COMPOSIÇÃO",_xlfn.XLOOKUP($B183,A:A,I:I,),IF(C183="COTAÇÃO",VLOOKUP($B183,COTAÇÕES!$A$11:$E$37,5,0),BuscarCampoAccess("Custo",B183,B.A_SINAPI,B.M_SINAPI,C183))))</f>
        <v>ERRO: CONEXÃO NÃO ESTABELECIDA. CLIQUE EM CONECTAR.</v>
      </c>
      <c r="I183" s="583" t="e">
        <f>TRUNC(G183*H183,2)</f>
        <v>#VALUE!</v>
      </c>
      <c r="K183" s="529" t="str">
        <f>IF(A183=B183,IFERROR(VLOOKUP(B183,#REF!,1,0),"-"),"-")</f>
        <v>-</v>
      </c>
      <c r="L183" s="304">
        <f t="shared" si="12"/>
        <v>1</v>
      </c>
      <c r="M183" s="304" t="str">
        <f t="shared" si="13"/>
        <v>-</v>
      </c>
    </row>
    <row r="184" spans="1:13" ht="63.75" x14ac:dyDescent="0.3">
      <c r="B184" s="516">
        <v>94963</v>
      </c>
      <c r="C184" s="573" t="s">
        <v>309</v>
      </c>
      <c r="D184" s="516" t="s">
        <v>861</v>
      </c>
      <c r="E184" s="593" t="str" cm="1">
        <f t="array" ref="E184">UPPER(IF(C184="COMPOSIÇÃO",_xlfn.XLOOKUP($B184,A:A,E:E,),IF(C184="COTAÇÃO",VLOOKUP($B184,COTAÇÕES!$A$11:$E$37,2,0),BuscarCampoAccess("Descricao",B184,B.A_SINAPI,B.M_SINAPI,C184))))</f>
        <v>ERRO: CONEXÃO NÃO ESTABELECIDA. CLIQUE EM CONECTAR.</v>
      </c>
      <c r="F184" s="594" t="str" cm="1">
        <f t="array" ref="F184">UPPER(IF(C184="COMPOSIÇÃO",_xlfn.XLOOKUP($B184,A:A,F:F,),IF(C184="COTAÇÃO",VLOOKUP($B184,COTAÇÕES!$A$11:$E$37,3,0),BuscarCampoAccess("Unidade",B184,B.A_SINAPI,B.M_SINAPI,C184))))</f>
        <v>ERRO: CONEXÃO NÃO ESTABELECIDA. CLIQUE EM CONECTAR.</v>
      </c>
      <c r="G184" s="517">
        <v>8.24</v>
      </c>
      <c r="H184" s="582" t="str" cm="1">
        <f t="array" ref="H184">UPPER(IF(C184="COMPOSIÇÃO",_xlfn.XLOOKUP($B184,A:A,I:I,),IF(C184="COTAÇÃO",VLOOKUP($B184,COTAÇÕES!$A$11:$E$37,5,0),BuscarCampoAccess("Custo",B184,B.A_SINAPI,B.M_SINAPI,C184))))</f>
        <v>ERRO: CONEXÃO NÃO ESTABELECIDA. CLIQUE EM CONECTAR.</v>
      </c>
      <c r="I184" s="583" t="e">
        <f>TRUNC(G184*H184,2)</f>
        <v>#VALUE!</v>
      </c>
      <c r="K184" s="529" t="str">
        <f>IF(A184=B184,IFERROR(VLOOKUP(B184,#REF!,1,0),"-"),"-")</f>
        <v>-</v>
      </c>
      <c r="L184" s="304">
        <f t="shared" si="12"/>
        <v>1</v>
      </c>
      <c r="M184" s="304" t="str">
        <f t="shared" si="13"/>
        <v>-</v>
      </c>
    </row>
    <row r="185" spans="1:13" ht="63.75" x14ac:dyDescent="0.3">
      <c r="B185" s="516">
        <v>94968</v>
      </c>
      <c r="C185" s="573" t="s">
        <v>309</v>
      </c>
      <c r="D185" s="516" t="s">
        <v>861</v>
      </c>
      <c r="E185" s="593" t="str" cm="1">
        <f t="array" ref="E185">UPPER(IF(C185="COMPOSIÇÃO",_xlfn.XLOOKUP($B185,A:A,E:E,),IF(C185="COTAÇÃO",VLOOKUP($B185,COTAÇÕES!$A$11:$E$37,2,0),BuscarCampoAccess("Descricao",B185,B.A_SINAPI,B.M_SINAPI,C185))))</f>
        <v>ERRO: CONEXÃO NÃO ESTABELECIDA. CLIQUE EM CONECTAR.</v>
      </c>
      <c r="F185" s="594" t="str" cm="1">
        <f t="array" ref="F185">UPPER(IF(C185="COMPOSIÇÃO",_xlfn.XLOOKUP($B185,A:A,F:F,),IF(C185="COTAÇÃO",VLOOKUP($B185,COTAÇÕES!$A$11:$E$37,3,0),BuscarCampoAccess("Unidade",B185,B.A_SINAPI,B.M_SINAPI,C185))))</f>
        <v>ERRO: CONEXÃO NÃO ESTABELECIDA. CLIQUE EM CONECTAR.</v>
      </c>
      <c r="G185" s="517">
        <v>0.9</v>
      </c>
      <c r="H185" s="582" t="str" cm="1">
        <f t="array" ref="H185">UPPER(IF(C185="COMPOSIÇÃO",_xlfn.XLOOKUP($B185,A:A,I:I,),IF(C185="COTAÇÃO",VLOOKUP($B185,COTAÇÕES!$A$11:$E$37,5,0),BuscarCampoAccess("Custo",B185,B.A_SINAPI,B.M_SINAPI,C185))))</f>
        <v>ERRO: CONEXÃO NÃO ESTABELECIDA. CLIQUE EM CONECTAR.</v>
      </c>
      <c r="I185" s="583" t="e">
        <f>TRUNC(G185*H185,2)</f>
        <v>#VALUE!</v>
      </c>
      <c r="K185" s="529" t="str">
        <f>IF(A185=B185,IFERROR(VLOOKUP(B185,#REF!,1,0),"-"),"-")</f>
        <v>-</v>
      </c>
      <c r="L185" s="304">
        <f t="shared" si="12"/>
        <v>1</v>
      </c>
      <c r="M185" s="304" t="str">
        <f t="shared" si="13"/>
        <v>-</v>
      </c>
    </row>
    <row r="186" spans="1:13" ht="63.75" x14ac:dyDescent="0.3">
      <c r="B186" s="516">
        <v>96533</v>
      </c>
      <c r="C186" s="573" t="s">
        <v>309</v>
      </c>
      <c r="D186" s="516" t="s">
        <v>861</v>
      </c>
      <c r="E186" s="593" t="str" cm="1">
        <f t="array" ref="E186">UPPER(IF(C186="COMPOSIÇÃO",_xlfn.XLOOKUP($B186,A:A,E:E,),IF(C186="COTAÇÃO",VLOOKUP($B186,COTAÇÕES!$A$11:$E$37,2,0),BuscarCampoAccess("Descricao",B186,B.A_SINAPI,B.M_SINAPI,C186))))</f>
        <v>ERRO: CONEXÃO NÃO ESTABELECIDA. CLIQUE EM CONECTAR.</v>
      </c>
      <c r="F186" s="594" t="str" cm="1">
        <f t="array" ref="F186">UPPER(IF(C186="COMPOSIÇÃO",_xlfn.XLOOKUP($B186,A:A,F:F,),IF(C186="COTAÇÃO",VLOOKUP($B186,COTAÇÕES!$A$11:$E$37,3,0),BuscarCampoAccess("Unidade",B186,B.A_SINAPI,B.M_SINAPI,C186))))</f>
        <v>ERRO: CONEXÃO NÃO ESTABELECIDA. CLIQUE EM CONECTAR.</v>
      </c>
      <c r="G186" s="517">
        <v>34.299999999999997</v>
      </c>
      <c r="H186" s="582" t="str" cm="1">
        <f t="array" ref="H186">UPPER(IF(C186="COMPOSIÇÃO",_xlfn.XLOOKUP($B186,A:A,I:I,),IF(C186="COTAÇÃO",VLOOKUP($B186,COTAÇÕES!$A$11:$E$37,5,0),BuscarCampoAccess("Custo",B186,B.A_SINAPI,B.M_SINAPI,C186))))</f>
        <v>ERRO: CONEXÃO NÃO ESTABELECIDA. CLIQUE EM CONECTAR.</v>
      </c>
      <c r="I186" s="583" t="e">
        <f>TRUNC(G186*H186,2)</f>
        <v>#VALUE!</v>
      </c>
      <c r="K186" s="529" t="str">
        <f>IF(A186=B186,IFERROR(VLOOKUP(B186,#REF!,1,0),"-"),"-")</f>
        <v>-</v>
      </c>
      <c r="L186" s="304">
        <f t="shared" si="12"/>
        <v>1</v>
      </c>
      <c r="M186" s="304" t="str">
        <f t="shared" si="13"/>
        <v>-</v>
      </c>
    </row>
    <row r="187" spans="1:13" x14ac:dyDescent="0.3">
      <c r="K187" s="529" t="str">
        <f>IF(A187=B187,IFERROR(VLOOKUP(B187,#REF!,1,0),"-"),"-")</f>
        <v>-</v>
      </c>
      <c r="L187" s="304">
        <f t="shared" si="12"/>
        <v>0</v>
      </c>
      <c r="M187" s="304" t="b">
        <f t="shared" si="13"/>
        <v>0</v>
      </c>
    </row>
    <row r="188" spans="1:13" ht="25.5" x14ac:dyDescent="0.3">
      <c r="A188" s="192" t="str">
        <f>IF(AND(D188="",E188&lt;&gt;""),B188,"")</f>
        <v>CPU-CAT 05</v>
      </c>
      <c r="B188" s="589" t="s">
        <v>890</v>
      </c>
      <c r="C188" s="187"/>
      <c r="D188" s="188"/>
      <c r="E188" s="189" t="s">
        <v>410</v>
      </c>
      <c r="F188" s="188" t="s">
        <v>307</v>
      </c>
      <c r="G188" s="188"/>
      <c r="H188" s="191"/>
      <c r="I188" s="590" t="e">
        <f>SUM(I189:I193)</f>
        <v>#VALUE!</v>
      </c>
      <c r="K188" s="529" t="str">
        <f>IF(A188=B188,IFERROR(VLOOKUP(B188,#REF!,1,0),"-"),"-")</f>
        <v>-</v>
      </c>
      <c r="L188" s="304">
        <f t="shared" si="12"/>
        <v>1</v>
      </c>
      <c r="M188" s="304" t="str">
        <f t="shared" si="13"/>
        <v>-</v>
      </c>
    </row>
    <row r="189" spans="1:13" ht="63.75" x14ac:dyDescent="0.3">
      <c r="B189" s="516">
        <v>4433</v>
      </c>
      <c r="C189" s="573" t="s">
        <v>309</v>
      </c>
      <c r="D189" s="516" t="s">
        <v>861</v>
      </c>
      <c r="E189" s="593" t="str" cm="1">
        <f t="array" ref="E189">UPPER(IF(C189="COMPOSIÇÃO",_xlfn.XLOOKUP($B189,A:A,E:E,),IF(C189="COTAÇÃO",VLOOKUP($B189,COTAÇÕES!$A$11:$E$37,2,0),BuscarCampoAccess("Descricao",B189,B.A_SINAPI,B.M_SINAPI,C189))))</f>
        <v>ERRO: CONEXÃO NÃO ESTABELECIDA. CLIQUE EM CONECTAR.</v>
      </c>
      <c r="F189" s="594" t="str" cm="1">
        <f t="array" ref="F189">UPPER(IF(C189="COMPOSIÇÃO",_xlfn.XLOOKUP($B189,A:A,F:F,),IF(C189="COTAÇÃO",VLOOKUP($B189,COTAÇÕES!$A$11:$E$37,3,0),BuscarCampoAccess("Unidade",B189,B.A_SINAPI,B.M_SINAPI,C189))))</f>
        <v>ERRO: CONEXÃO NÃO ESTABELECIDA. CLIQUE EM CONECTAR.</v>
      </c>
      <c r="G189" s="517">
        <v>1</v>
      </c>
      <c r="H189" s="582" t="str" cm="1">
        <f t="array" ref="H189">UPPER(IF(C189="COMPOSIÇÃO",_xlfn.XLOOKUP($B189,A:A,I:I,),IF(C189="COTAÇÃO",VLOOKUP($B189,COTAÇÕES!$A$11:$E$37,5,0),BuscarCampoAccess("Custo",B189,B.A_SINAPI,B.M_SINAPI,C189))))</f>
        <v>ERRO: CONEXÃO NÃO ESTABELECIDA. CLIQUE EM CONECTAR.</v>
      </c>
      <c r="I189" s="583" t="e">
        <f>TRUNC(G189*H189,2)</f>
        <v>#VALUE!</v>
      </c>
      <c r="K189" s="529" t="str">
        <f>IF(A189=B189,IFERROR(VLOOKUP(B189,#REF!,1,0),"-"),"-")</f>
        <v>-</v>
      </c>
      <c r="L189" s="304">
        <f t="shared" si="12"/>
        <v>1</v>
      </c>
      <c r="M189" s="304" t="str">
        <f t="shared" si="13"/>
        <v>-</v>
      </c>
    </row>
    <row r="190" spans="1:13" ht="63.75" x14ac:dyDescent="0.3">
      <c r="B190" s="516">
        <v>4813</v>
      </c>
      <c r="C190" s="573" t="s">
        <v>309</v>
      </c>
      <c r="D190" s="516" t="s">
        <v>861</v>
      </c>
      <c r="E190" s="593" t="str" cm="1">
        <f t="array" ref="E190">UPPER(IF(C190="COMPOSIÇÃO",_xlfn.XLOOKUP($B190,A:A,E:E,),IF(C190="COTAÇÃO",VLOOKUP($B190,COTAÇÕES!$A$11:$E$37,2,0),BuscarCampoAccess("Descricao",B190,B.A_SINAPI,B.M_SINAPI,C190))))</f>
        <v>ERRO: CONEXÃO NÃO ESTABELECIDA. CLIQUE EM CONECTAR.</v>
      </c>
      <c r="F190" s="594" t="str" cm="1">
        <f t="array" ref="F190">UPPER(IF(C190="COMPOSIÇÃO",_xlfn.XLOOKUP($B190,A:A,F:F,),IF(C190="COTAÇÃO",VLOOKUP($B190,COTAÇÕES!$A$11:$E$37,3,0),BuscarCampoAccess("Unidade",B190,B.A_SINAPI,B.M_SINAPI,C190))))</f>
        <v>ERRO: CONEXÃO NÃO ESTABELECIDA. CLIQUE EM CONECTAR.</v>
      </c>
      <c r="G190" s="517">
        <v>1</v>
      </c>
      <c r="H190" s="582" t="str" cm="1">
        <f t="array" ref="H190">UPPER(IF(C190="COMPOSIÇÃO",_xlfn.XLOOKUP($B190,A:A,I:I,),IF(C190="COTAÇÃO",VLOOKUP($B190,COTAÇÕES!$A$11:$E$37,5,0),BuscarCampoAccess("Custo",B190,B.A_SINAPI,B.M_SINAPI,C190))))</f>
        <v>ERRO: CONEXÃO NÃO ESTABELECIDA. CLIQUE EM CONECTAR.</v>
      </c>
      <c r="I190" s="583" t="e">
        <f>TRUNC(G190*H190,2)</f>
        <v>#VALUE!</v>
      </c>
      <c r="K190" s="529" t="str">
        <f>IF(A190=B190,IFERROR(VLOOKUP(B190,#REF!,1,0),"-"),"-")</f>
        <v>-</v>
      </c>
      <c r="L190" s="304">
        <f t="shared" si="12"/>
        <v>1</v>
      </c>
      <c r="M190" s="304" t="str">
        <f t="shared" si="13"/>
        <v>-</v>
      </c>
    </row>
    <row r="191" spans="1:13" ht="63.75" x14ac:dyDescent="0.3">
      <c r="B191" s="516">
        <v>73467</v>
      </c>
      <c r="C191" s="573" t="s">
        <v>309</v>
      </c>
      <c r="D191" s="516" t="s">
        <v>861</v>
      </c>
      <c r="E191" s="593" t="str" cm="1">
        <f t="array" ref="E191">UPPER(IF(C191="COMPOSIÇÃO",_xlfn.XLOOKUP($B191,A:A,E:E,),IF(C191="COTAÇÃO",VLOOKUP($B191,COTAÇÕES!$A$11:$E$37,2,0),BuscarCampoAccess("Descricao",B191,B.A_SINAPI,B.M_SINAPI,C191))))</f>
        <v>ERRO: CONEXÃO NÃO ESTABELECIDA. CLIQUE EM CONECTAR.</v>
      </c>
      <c r="F191" s="594" t="str" cm="1">
        <f t="array" ref="F191">UPPER(IF(C191="COMPOSIÇÃO",_xlfn.XLOOKUP($B191,A:A,F:F,),IF(C191="COTAÇÃO",VLOOKUP($B191,COTAÇÕES!$A$11:$E$37,3,0),BuscarCampoAccess("Unidade",B191,B.A_SINAPI,B.M_SINAPI,C191))))</f>
        <v>ERRO: CONEXÃO NÃO ESTABELECIDA. CLIQUE EM CONECTAR.</v>
      </c>
      <c r="G191" s="517">
        <v>0.01</v>
      </c>
      <c r="H191" s="582" t="str" cm="1">
        <f t="array" ref="H191">UPPER(IF(C191="COMPOSIÇÃO",_xlfn.XLOOKUP($B191,A:A,I:I,),IF(C191="COTAÇÃO",VLOOKUP($B191,COTAÇÕES!$A$11:$E$37,5,0),BuscarCampoAccess("Custo",B191,B.A_SINAPI,B.M_SINAPI,C191))))</f>
        <v>ERRO: CONEXÃO NÃO ESTABELECIDA. CLIQUE EM CONECTAR.</v>
      </c>
      <c r="I191" s="583" t="e">
        <f>TRUNC(G191*H191,2)</f>
        <v>#VALUE!</v>
      </c>
      <c r="K191" s="529" t="str">
        <f>IF(A191=B191,IFERROR(VLOOKUP(B191,#REF!,1,0),"-"),"-")</f>
        <v>-</v>
      </c>
      <c r="L191" s="304">
        <f t="shared" si="12"/>
        <v>1</v>
      </c>
      <c r="M191" s="304" t="str">
        <f t="shared" si="13"/>
        <v>-</v>
      </c>
    </row>
    <row r="192" spans="1:13" ht="63.75" x14ac:dyDescent="0.3">
      <c r="B192" s="516">
        <v>88262</v>
      </c>
      <c r="C192" s="573" t="s">
        <v>309</v>
      </c>
      <c r="D192" s="516" t="s">
        <v>861</v>
      </c>
      <c r="E192" s="593" t="str" cm="1">
        <f t="array" ref="E192">UPPER(IF(C192="COMPOSIÇÃO",_xlfn.XLOOKUP($B192,A:A,E:E,),IF(C192="COTAÇÃO",VLOOKUP($B192,COTAÇÕES!$A$11:$E$37,2,0),BuscarCampoAccess("Descricao",B192,B.A_SINAPI,B.M_SINAPI,C192))))</f>
        <v>ERRO: CONEXÃO NÃO ESTABELECIDA. CLIQUE EM CONECTAR.</v>
      </c>
      <c r="F192" s="594" t="str" cm="1">
        <f t="array" ref="F192">UPPER(IF(C192="COMPOSIÇÃO",_xlfn.XLOOKUP($B192,A:A,F:F,),IF(C192="COTAÇÃO",VLOOKUP($B192,COTAÇÕES!$A$11:$E$37,3,0),BuscarCampoAccess("Unidade",B192,B.A_SINAPI,B.M_SINAPI,C192))))</f>
        <v>ERRO: CONEXÃO NÃO ESTABELECIDA. CLIQUE EM CONECTAR.</v>
      </c>
      <c r="G192" s="517">
        <v>1</v>
      </c>
      <c r="H192" s="582" t="str" cm="1">
        <f t="array" ref="H192">UPPER(IF(C192="COMPOSIÇÃO",_xlfn.XLOOKUP($B192,A:A,I:I,),IF(C192="COTAÇÃO",VLOOKUP($B192,COTAÇÕES!$A$11:$E$37,5,0),BuscarCampoAccess("Custo",B192,B.A_SINAPI,B.M_SINAPI,C192))))</f>
        <v>ERRO: CONEXÃO NÃO ESTABELECIDA. CLIQUE EM CONECTAR.</v>
      </c>
      <c r="I192" s="583" t="e">
        <f>TRUNC(G192*H192,2)</f>
        <v>#VALUE!</v>
      </c>
      <c r="K192" s="529" t="str">
        <f>IF(A192=B192,IFERROR(VLOOKUP(B192,#REF!,1,0),"-"),"-")</f>
        <v>-</v>
      </c>
      <c r="L192" s="304">
        <f t="shared" si="12"/>
        <v>1</v>
      </c>
      <c r="M192" s="304" t="str">
        <f t="shared" si="13"/>
        <v>-</v>
      </c>
    </row>
    <row r="193" spans="1:13" ht="63.75" x14ac:dyDescent="0.3">
      <c r="B193" s="516">
        <v>88316</v>
      </c>
      <c r="C193" s="573" t="s">
        <v>309</v>
      </c>
      <c r="D193" s="516" t="s">
        <v>861</v>
      </c>
      <c r="E193" s="593" t="str" cm="1">
        <f t="array" ref="E193">UPPER(IF(C193="COMPOSIÇÃO",_xlfn.XLOOKUP($B193,A:A,E:E,),IF(C193="COTAÇÃO",VLOOKUP($B193,COTAÇÕES!$A$11:$E$37,2,0),BuscarCampoAccess("Descricao",B193,B.A_SINAPI,B.M_SINAPI,C193))))</f>
        <v>ERRO: CONEXÃO NÃO ESTABELECIDA. CLIQUE EM CONECTAR.</v>
      </c>
      <c r="F193" s="594" t="str" cm="1">
        <f t="array" ref="F193">UPPER(IF(C193="COMPOSIÇÃO",_xlfn.XLOOKUP($B193,A:A,F:F,),IF(C193="COTAÇÃO",VLOOKUP($B193,COTAÇÕES!$A$11:$E$37,3,0),BuscarCampoAccess("Unidade",B193,B.A_SINAPI,B.M_SINAPI,C193))))</f>
        <v>ERRO: CONEXÃO NÃO ESTABELECIDA. CLIQUE EM CONECTAR.</v>
      </c>
      <c r="G193" s="517">
        <v>1.5</v>
      </c>
      <c r="H193" s="582" t="str" cm="1">
        <f t="array" ref="H193">UPPER(IF(C193="COMPOSIÇÃO",_xlfn.XLOOKUP($B193,A:A,I:I,),IF(C193="COTAÇÃO",VLOOKUP($B193,COTAÇÕES!$A$11:$E$37,5,0),BuscarCampoAccess("Custo",B193,B.A_SINAPI,B.M_SINAPI,C193))))</f>
        <v>ERRO: CONEXÃO NÃO ESTABELECIDA. CLIQUE EM CONECTAR.</v>
      </c>
      <c r="I193" s="583" t="e">
        <f>TRUNC(G193*H193,2)</f>
        <v>#VALUE!</v>
      </c>
      <c r="K193" s="529" t="str">
        <f>IF(A193=B193,IFERROR(VLOOKUP(B193,#REF!,1,0),"-"),"-")</f>
        <v>-</v>
      </c>
      <c r="L193" s="304">
        <f t="shared" si="12"/>
        <v>1</v>
      </c>
      <c r="M193" s="304" t="str">
        <f t="shared" si="13"/>
        <v>-</v>
      </c>
    </row>
    <row r="194" spans="1:13" x14ac:dyDescent="0.3">
      <c r="K194" s="529" t="str">
        <f>IF(A194=B194,IFERROR(VLOOKUP(B194,#REF!,1,0),"-"),"-")</f>
        <v>-</v>
      </c>
      <c r="L194" s="304">
        <f t="shared" si="12"/>
        <v>0</v>
      </c>
      <c r="M194" s="304" t="b">
        <f t="shared" si="13"/>
        <v>0</v>
      </c>
    </row>
    <row r="195" spans="1:13" ht="38.25" x14ac:dyDescent="0.3">
      <c r="A195" s="192" t="str">
        <f>IF(AND(D195="",E195&lt;&gt;""),B195,"")</f>
        <v>CPU-PAVI 03</v>
      </c>
      <c r="B195" s="589" t="s">
        <v>891</v>
      </c>
      <c r="C195" s="187"/>
      <c r="D195" s="188"/>
      <c r="E195" s="189" t="s">
        <v>794</v>
      </c>
      <c r="F195" s="188" t="s">
        <v>327</v>
      </c>
      <c r="G195" s="188"/>
      <c r="H195" s="191"/>
      <c r="I195" s="590" t="e">
        <f>SUM(I196:I200)</f>
        <v>#VALUE!</v>
      </c>
      <c r="K195" s="529" t="str">
        <f>IF(A195=B195,IFERROR(VLOOKUP(B195,#REF!,1,0),"-"),"-")</f>
        <v>-</v>
      </c>
      <c r="L195" s="304">
        <f t="shared" si="12"/>
        <v>1</v>
      </c>
      <c r="M195" s="304" t="str">
        <f t="shared" si="13"/>
        <v>-</v>
      </c>
    </row>
    <row r="196" spans="1:13" ht="63.75" x14ac:dyDescent="0.3">
      <c r="B196" s="516">
        <v>4433</v>
      </c>
      <c r="C196" s="573" t="s">
        <v>309</v>
      </c>
      <c r="D196" s="516" t="s">
        <v>861</v>
      </c>
      <c r="E196" s="593" t="str" cm="1">
        <f t="array" ref="E196">UPPER(IF(C196="COMPOSIÇÃO",_xlfn.XLOOKUP($B196,A:A,E:E,),IF(C196="COTAÇÃO",VLOOKUP($B196,COTAÇÕES!$A$11:$E$37,2,0),BuscarCampoAccess("Descricao",B196,B.A_SINAPI,B.M_SINAPI,C196))))</f>
        <v>ERRO: CONEXÃO NÃO ESTABELECIDA. CLIQUE EM CONECTAR.</v>
      </c>
      <c r="F196" s="594" t="str" cm="1">
        <f t="array" ref="F196">UPPER(IF(C196="COMPOSIÇÃO",_xlfn.XLOOKUP($B196,A:A,F:F,),IF(C196="COTAÇÃO",VLOOKUP($B196,COTAÇÕES!$A$11:$E$37,3,0),BuscarCampoAccess("Unidade",B196,B.A_SINAPI,B.M_SINAPI,C196))))</f>
        <v>ERRO: CONEXÃO NÃO ESTABELECIDA. CLIQUE EM CONECTAR.</v>
      </c>
      <c r="G196" s="517">
        <v>1</v>
      </c>
      <c r="H196" s="582" t="str" cm="1">
        <f t="array" ref="H196">UPPER(IF(C196="COMPOSIÇÃO",_xlfn.XLOOKUP($B196,A:A,I:I,),IF(C196="COTAÇÃO",VLOOKUP($B196,COTAÇÕES!$A$11:$E$37,5,0),BuscarCampoAccess("Custo",B196,B.A_SINAPI,B.M_SINAPI,C196))))</f>
        <v>ERRO: CONEXÃO NÃO ESTABELECIDA. CLIQUE EM CONECTAR.</v>
      </c>
      <c r="I196" s="583" t="e">
        <f>TRUNC(G196*H196,2)</f>
        <v>#VALUE!</v>
      </c>
      <c r="K196" s="529" t="str">
        <f>IF(A196=B196,IFERROR(VLOOKUP(B196,#REF!,1,0),"-"),"-")</f>
        <v>-</v>
      </c>
      <c r="L196" s="304">
        <f t="shared" si="12"/>
        <v>1</v>
      </c>
      <c r="M196" s="304" t="str">
        <f t="shared" si="13"/>
        <v>-</v>
      </c>
    </row>
    <row r="197" spans="1:13" ht="63.75" x14ac:dyDescent="0.3">
      <c r="B197" s="516">
        <v>4813</v>
      </c>
      <c r="C197" s="573" t="s">
        <v>309</v>
      </c>
      <c r="D197" s="516" t="s">
        <v>861</v>
      </c>
      <c r="E197" s="593" t="str" cm="1">
        <f t="array" ref="E197">UPPER(IF(C197="COMPOSIÇÃO",_xlfn.XLOOKUP($B197,A:A,E:E,),IF(C197="COTAÇÃO",VLOOKUP($B197,COTAÇÕES!$A$11:$E$37,2,0),BuscarCampoAccess("Descricao",B197,B.A_SINAPI,B.M_SINAPI,C197))))</f>
        <v>ERRO: CONEXÃO NÃO ESTABELECIDA. CLIQUE EM CONECTAR.</v>
      </c>
      <c r="F197" s="594" t="str" cm="1">
        <f t="array" ref="F197">UPPER(IF(C197="COMPOSIÇÃO",_xlfn.XLOOKUP($B197,A:A,F:F,),IF(C197="COTAÇÃO",VLOOKUP($B197,COTAÇÕES!$A$11:$E$37,3,0),BuscarCampoAccess("Unidade",B197,B.A_SINAPI,B.M_SINAPI,C197))))</f>
        <v>ERRO: CONEXÃO NÃO ESTABELECIDA. CLIQUE EM CONECTAR.</v>
      </c>
      <c r="G197" s="517">
        <v>1</v>
      </c>
      <c r="H197" s="582" t="str" cm="1">
        <f t="array" ref="H197">UPPER(IF(C197="COMPOSIÇÃO",_xlfn.XLOOKUP($B197,A:A,I:I,),IF(C197="COTAÇÃO",VLOOKUP($B197,COTAÇÕES!$A$11:$E$37,5,0),BuscarCampoAccess("Custo",B197,B.A_SINAPI,B.M_SINAPI,C197))))</f>
        <v>ERRO: CONEXÃO NÃO ESTABELECIDA. CLIQUE EM CONECTAR.</v>
      </c>
      <c r="I197" s="583" t="e">
        <f>TRUNC(G197*H197,2)</f>
        <v>#VALUE!</v>
      </c>
      <c r="K197" s="529" t="str">
        <f>IF(A197=B197,IFERROR(VLOOKUP(B197,#REF!,1,0),"-"),"-")</f>
        <v>-</v>
      </c>
      <c r="L197" s="304">
        <f t="shared" si="12"/>
        <v>1</v>
      </c>
      <c r="M197" s="304" t="str">
        <f t="shared" si="13"/>
        <v>-</v>
      </c>
    </row>
    <row r="198" spans="1:13" ht="63.75" x14ac:dyDescent="0.3">
      <c r="B198" s="516">
        <v>73467</v>
      </c>
      <c r="C198" s="573" t="s">
        <v>309</v>
      </c>
      <c r="D198" s="516" t="s">
        <v>861</v>
      </c>
      <c r="E198" s="593" t="str" cm="1">
        <f t="array" ref="E198">UPPER(IF(C198="COMPOSIÇÃO",_xlfn.XLOOKUP($B198,A:A,E:E,),IF(C198="COTAÇÃO",VLOOKUP($B198,COTAÇÕES!$A$11:$E$37,2,0),BuscarCampoAccess("Descricao",B198,B.A_SINAPI,B.M_SINAPI,C198))))</f>
        <v>ERRO: CONEXÃO NÃO ESTABELECIDA. CLIQUE EM CONECTAR.</v>
      </c>
      <c r="F198" s="594" t="str" cm="1">
        <f t="array" ref="F198">UPPER(IF(C198="COMPOSIÇÃO",_xlfn.XLOOKUP($B198,A:A,F:F,),IF(C198="COTAÇÃO",VLOOKUP($B198,COTAÇÕES!$A$11:$E$37,3,0),BuscarCampoAccess("Unidade",B198,B.A_SINAPI,B.M_SINAPI,C198))))</f>
        <v>ERRO: CONEXÃO NÃO ESTABELECIDA. CLIQUE EM CONECTAR.</v>
      </c>
      <c r="G198" s="517">
        <v>0.01</v>
      </c>
      <c r="H198" s="582" t="str" cm="1">
        <f t="array" ref="H198">UPPER(IF(C198="COMPOSIÇÃO",_xlfn.XLOOKUP($B198,A:A,I:I,),IF(C198="COTAÇÃO",VLOOKUP($B198,COTAÇÕES!$A$11:$E$37,5,0),BuscarCampoAccess("Custo",B198,B.A_SINAPI,B.M_SINAPI,C198))))</f>
        <v>ERRO: CONEXÃO NÃO ESTABELECIDA. CLIQUE EM CONECTAR.</v>
      </c>
      <c r="I198" s="583" t="e">
        <f>TRUNC(G198*H198,2)</f>
        <v>#VALUE!</v>
      </c>
      <c r="K198" s="529" t="str">
        <f>IF(A198=B198,IFERROR(VLOOKUP(B198,#REF!,1,0),"-"),"-")</f>
        <v>-</v>
      </c>
      <c r="L198" s="304">
        <f t="shared" si="12"/>
        <v>1</v>
      </c>
      <c r="M198" s="304" t="str">
        <f t="shared" si="13"/>
        <v>-</v>
      </c>
    </row>
    <row r="199" spans="1:13" ht="63.75" x14ac:dyDescent="0.3">
      <c r="B199" s="516">
        <v>88262</v>
      </c>
      <c r="C199" s="573" t="s">
        <v>309</v>
      </c>
      <c r="D199" s="516" t="s">
        <v>861</v>
      </c>
      <c r="E199" s="593" t="str" cm="1">
        <f t="array" ref="E199">UPPER(IF(C199="COMPOSIÇÃO",_xlfn.XLOOKUP($B199,A:A,E:E,),IF(C199="COTAÇÃO",VLOOKUP($B199,COTAÇÕES!$A$11:$E$37,2,0),BuscarCampoAccess("Descricao",B199,B.A_SINAPI,B.M_SINAPI,C199))))</f>
        <v>ERRO: CONEXÃO NÃO ESTABELECIDA. CLIQUE EM CONECTAR.</v>
      </c>
      <c r="F199" s="594" t="str" cm="1">
        <f t="array" ref="F199">UPPER(IF(C199="COMPOSIÇÃO",_xlfn.XLOOKUP($B199,A:A,F:F,),IF(C199="COTAÇÃO",VLOOKUP($B199,COTAÇÕES!$A$11:$E$37,3,0),BuscarCampoAccess("Unidade",B199,B.A_SINAPI,B.M_SINAPI,C199))))</f>
        <v>ERRO: CONEXÃO NÃO ESTABELECIDA. CLIQUE EM CONECTAR.</v>
      </c>
      <c r="G199" s="517">
        <v>1</v>
      </c>
      <c r="H199" s="582" t="str" cm="1">
        <f t="array" ref="H199">UPPER(IF(C199="COMPOSIÇÃO",_xlfn.XLOOKUP($B199,A:A,I:I,),IF(C199="COTAÇÃO",VLOOKUP($B199,COTAÇÕES!$A$11:$E$37,5,0),BuscarCampoAccess("Custo",B199,B.A_SINAPI,B.M_SINAPI,C199))))</f>
        <v>ERRO: CONEXÃO NÃO ESTABELECIDA. CLIQUE EM CONECTAR.</v>
      </c>
      <c r="I199" s="583" t="e">
        <f>TRUNC(G199*H199,2)</f>
        <v>#VALUE!</v>
      </c>
      <c r="K199" s="529" t="str">
        <f>IF(A199=B199,IFERROR(VLOOKUP(B199,#REF!,1,0),"-"),"-")</f>
        <v>-</v>
      </c>
      <c r="L199" s="304">
        <f t="shared" si="12"/>
        <v>1</v>
      </c>
      <c r="M199" s="304" t="str">
        <f t="shared" si="13"/>
        <v>-</v>
      </c>
    </row>
    <row r="200" spans="1:13" ht="63.75" x14ac:dyDescent="0.3">
      <c r="B200" s="516">
        <v>88316</v>
      </c>
      <c r="C200" s="573" t="s">
        <v>309</v>
      </c>
      <c r="D200" s="516" t="s">
        <v>861</v>
      </c>
      <c r="E200" s="593" t="str" cm="1">
        <f t="array" ref="E200">UPPER(IF(C200="COMPOSIÇÃO",_xlfn.XLOOKUP($B200,A:A,E:E,),IF(C200="COTAÇÃO",VLOOKUP($B200,COTAÇÕES!$A$11:$E$37,2,0),BuscarCampoAccess("Descricao",B200,B.A_SINAPI,B.M_SINAPI,C200))))</f>
        <v>ERRO: CONEXÃO NÃO ESTABELECIDA. CLIQUE EM CONECTAR.</v>
      </c>
      <c r="F200" s="594" t="str" cm="1">
        <f t="array" ref="F200">UPPER(IF(C200="COMPOSIÇÃO",_xlfn.XLOOKUP($B200,A:A,F:F,),IF(C200="COTAÇÃO",VLOOKUP($B200,COTAÇÕES!$A$11:$E$37,3,0),BuscarCampoAccess("Unidade",B200,B.A_SINAPI,B.M_SINAPI,C200))))</f>
        <v>ERRO: CONEXÃO NÃO ESTABELECIDA. CLIQUE EM CONECTAR.</v>
      </c>
      <c r="G200" s="517">
        <v>1.5</v>
      </c>
      <c r="H200" s="582" t="str" cm="1">
        <f t="array" ref="H200">UPPER(IF(C200="COMPOSIÇÃO",_xlfn.XLOOKUP($B200,A:A,I:I,),IF(C200="COTAÇÃO",VLOOKUP($B200,COTAÇÕES!$A$11:$E$37,5,0),BuscarCampoAccess("Custo",B200,B.A_SINAPI,B.M_SINAPI,C200))))</f>
        <v>ERRO: CONEXÃO NÃO ESTABELECIDA. CLIQUE EM CONECTAR.</v>
      </c>
      <c r="I200" s="583" t="e">
        <f>TRUNC(G200*H200,2)</f>
        <v>#VALUE!</v>
      </c>
      <c r="K200" s="529" t="str">
        <f>IF(A200=B200,IFERROR(VLOOKUP(B200,#REF!,1,0),"-"),"-")</f>
        <v>-</v>
      </c>
      <c r="L200" s="304">
        <f t="shared" si="12"/>
        <v>1</v>
      </c>
      <c r="M200" s="304" t="str">
        <f t="shared" si="13"/>
        <v>-</v>
      </c>
    </row>
    <row r="201" spans="1:13" x14ac:dyDescent="0.3">
      <c r="K201" s="529" t="str">
        <f>IF(A201=B201,IFERROR(VLOOKUP(B201,#REF!,1,0),"-"),"-")</f>
        <v>-</v>
      </c>
      <c r="L201" s="304">
        <f t="shared" si="12"/>
        <v>0</v>
      </c>
      <c r="M201" s="304" t="b">
        <f t="shared" si="13"/>
        <v>0</v>
      </c>
    </row>
    <row r="202" spans="1:13" ht="25.5" x14ac:dyDescent="0.3">
      <c r="A202" s="192" t="str">
        <f>IF(AND(D202="",E202&lt;&gt;""),B202,"")</f>
        <v>CPU-PAVI 04</v>
      </c>
      <c r="B202" s="589" t="s">
        <v>1060</v>
      </c>
      <c r="C202" s="187"/>
      <c r="D202" s="188"/>
      <c r="E202" s="189" t="s">
        <v>1061</v>
      </c>
      <c r="F202" s="188" t="s">
        <v>307</v>
      </c>
      <c r="G202" s="188"/>
      <c r="H202" s="191"/>
      <c r="I202" s="590" t="e">
        <f>SUM(I203:I204)</f>
        <v>#VALUE!</v>
      </c>
      <c r="K202" s="529" t="str">
        <f>IF(A202=B202,IFERROR(VLOOKUP(B202,#REF!,1,0),"-"),"-")</f>
        <v>-</v>
      </c>
      <c r="L202" s="304">
        <f t="shared" si="12"/>
        <v>1</v>
      </c>
      <c r="M202" s="304" t="str">
        <f t="shared" si="13"/>
        <v>-</v>
      </c>
    </row>
    <row r="203" spans="1:13" ht="63.75" x14ac:dyDescent="0.3">
      <c r="B203" s="516">
        <v>96156</v>
      </c>
      <c r="C203" s="573" t="s">
        <v>309</v>
      </c>
      <c r="D203" s="516" t="s">
        <v>861</v>
      </c>
      <c r="E203" s="593" t="str" cm="1">
        <f t="array" ref="E203">UPPER(IF(C203="COMPOSIÇÃO",_xlfn.XLOOKUP($B203,A:A,E:E,),IF(C203="COTAÇÃO",VLOOKUP($B203,COTAÇÕES!$A$11:$E$37,2,0),BuscarCampoAccess("Descricao",B203,B.A_SINAPI,B.M_SINAPI,C203))))</f>
        <v>ERRO: CONEXÃO NÃO ESTABELECIDA. CLIQUE EM CONECTAR.</v>
      </c>
      <c r="F203" s="594" t="str" cm="1">
        <f t="array" ref="F203">UPPER(IF(C203="COMPOSIÇÃO",_xlfn.XLOOKUP($B203,A:A,F:F,),IF(C203="COTAÇÃO",VLOOKUP($B203,COTAÇÕES!$A$11:$E$37,3,0),BuscarCampoAccess("Unidade",B203,B.A_SINAPI,B.M_SINAPI,C203))))</f>
        <v>ERRO: CONEXÃO NÃO ESTABELECIDA. CLIQUE EM CONECTAR.</v>
      </c>
      <c r="G203" s="517">
        <v>0.02</v>
      </c>
      <c r="H203" s="582" t="str" cm="1">
        <f t="array" ref="H203">UPPER(IF(C203="COMPOSIÇÃO",_xlfn.XLOOKUP($B203,A:A,I:I,),IF(C203="COTAÇÃO",VLOOKUP($B203,COTAÇÕES!$A$11:$E$37,5,0),BuscarCampoAccess("Custo",B203,B.A_SINAPI,B.M_SINAPI,C203))))</f>
        <v>ERRO: CONEXÃO NÃO ESTABELECIDA. CLIQUE EM CONECTAR.</v>
      </c>
      <c r="I203" s="583" t="e">
        <f>TRUNC(G203*H203,2)</f>
        <v>#VALUE!</v>
      </c>
      <c r="K203" s="529" t="str">
        <f>IF(A203=B203,IFERROR(VLOOKUP(B203,#REF!,1,0),"-"),"-")</f>
        <v>-</v>
      </c>
      <c r="L203" s="304">
        <f t="shared" si="12"/>
        <v>1</v>
      </c>
      <c r="M203" s="304" t="str">
        <f t="shared" si="13"/>
        <v>-</v>
      </c>
    </row>
    <row r="204" spans="1:13" ht="63.75" x14ac:dyDescent="0.3">
      <c r="B204" s="516">
        <v>96158</v>
      </c>
      <c r="C204" s="573" t="s">
        <v>309</v>
      </c>
      <c r="D204" s="516" t="s">
        <v>861</v>
      </c>
      <c r="E204" s="593" t="str" cm="1">
        <f t="array" ref="E204">UPPER(IF(C204="COMPOSIÇÃO",_xlfn.XLOOKUP($B204,A:A,E:E,),IF(C204="COTAÇÃO",VLOOKUP($B204,COTAÇÕES!$A$11:$E$37,2,0),BuscarCampoAccess("Descricao",B204,B.A_SINAPI,B.M_SINAPI,C204))))</f>
        <v>ERRO: CONEXÃO NÃO ESTABELECIDA. CLIQUE EM CONECTAR.</v>
      </c>
      <c r="F204" s="594" t="str" cm="1">
        <f t="array" ref="F204">UPPER(IF(C204="COMPOSIÇÃO",_xlfn.XLOOKUP($B204,A:A,F:F,),IF(C204="COTAÇÃO",VLOOKUP($B204,COTAÇÕES!$A$11:$E$37,3,0),BuscarCampoAccess("Unidade",B204,B.A_SINAPI,B.M_SINAPI,C204))))</f>
        <v>ERRO: CONEXÃO NÃO ESTABELECIDA. CLIQUE EM CONECTAR.</v>
      </c>
      <c r="G204" s="517">
        <v>2.5000000000000001E-3</v>
      </c>
      <c r="H204" s="582" t="str" cm="1">
        <f t="array" ref="H204">UPPER(IF(C204="COMPOSIÇÃO",_xlfn.XLOOKUP($B204,A:A,I:I,),IF(C204="COTAÇÃO",VLOOKUP($B204,COTAÇÕES!$A$11:$E$37,5,0),BuscarCampoAccess("Custo",B204,B.A_SINAPI,B.M_SINAPI,C204))))</f>
        <v>ERRO: CONEXÃO NÃO ESTABELECIDA. CLIQUE EM CONECTAR.</v>
      </c>
      <c r="I204" s="583" t="e">
        <f>TRUNC(G204*H204,2)</f>
        <v>#VALUE!</v>
      </c>
      <c r="K204" s="529" t="str">
        <f>IF(A204=B204,IFERROR(VLOOKUP(B204,#REF!,1,0),"-"),"-")</f>
        <v>-</v>
      </c>
      <c r="L204" s="304">
        <f t="shared" ref="L204:L267" si="18">IF(ISBLANK(B204)=FALSE,1,0)</f>
        <v>1</v>
      </c>
      <c r="M204" s="304" t="str">
        <f t="shared" ref="M204:M267" si="19">IF(M203=FALSE,K204,IF(L204=1,M203))</f>
        <v>-</v>
      </c>
    </row>
    <row r="205" spans="1:13" x14ac:dyDescent="0.3">
      <c r="K205" s="529" t="str">
        <f>IF(A205=B205,IFERROR(VLOOKUP(B205,#REF!,1,0),"-"),"-")</f>
        <v>-</v>
      </c>
      <c r="L205" s="304">
        <f t="shared" si="18"/>
        <v>0</v>
      </c>
      <c r="M205" s="304" t="b">
        <f t="shared" si="19"/>
        <v>0</v>
      </c>
    </row>
    <row r="206" spans="1:13" ht="25.5" x14ac:dyDescent="0.3">
      <c r="A206" s="192" t="str">
        <f>IF(AND(D206="",E206&lt;&gt;""),B206,"")</f>
        <v>CPU-DRED 10</v>
      </c>
      <c r="B206" s="589" t="s">
        <v>1065</v>
      </c>
      <c r="C206" s="187"/>
      <c r="D206" s="188"/>
      <c r="E206" s="189" t="s">
        <v>1101</v>
      </c>
      <c r="F206" s="188" t="s">
        <v>282</v>
      </c>
      <c r="G206" s="188"/>
      <c r="H206" s="191"/>
      <c r="I206" s="590" t="e">
        <f>SUM(I207:I209)</f>
        <v>#VALUE!</v>
      </c>
      <c r="K206" s="529" t="str">
        <f>IF(A206=B206,IFERROR(VLOOKUP(B206,#REF!,1,0),"-"),"-")</f>
        <v>-</v>
      </c>
      <c r="L206" s="304">
        <f t="shared" si="18"/>
        <v>1</v>
      </c>
      <c r="M206" s="304" t="str">
        <f t="shared" si="19"/>
        <v>-</v>
      </c>
    </row>
    <row r="207" spans="1:13" ht="63.75" x14ac:dyDescent="0.3">
      <c r="B207" s="516">
        <v>5930</v>
      </c>
      <c r="C207" s="573" t="s">
        <v>309</v>
      </c>
      <c r="D207" s="516" t="s">
        <v>861</v>
      </c>
      <c r="E207" s="593" t="str" cm="1">
        <f t="array" ref="E207">UPPER(IF(C207="COMPOSIÇÃO",_xlfn.XLOOKUP($B207,A:A,E:E,),IF(C207="COTAÇÃO",VLOOKUP($B207,COTAÇÕES!$A$11:$E$37,2,0),BuscarCampoAccess("Descricao",B207,B.A_SINAPI,B.M_SINAPI,C207))))</f>
        <v>ERRO: CONEXÃO NÃO ESTABELECIDA. CLIQUE EM CONECTAR.</v>
      </c>
      <c r="F207" s="594" t="str" cm="1">
        <f t="array" ref="F207">UPPER(IF(C207="COMPOSIÇÃO",_xlfn.XLOOKUP($B207,A:A,F:F,),IF(C207="COTAÇÃO",VLOOKUP($B207,COTAÇÕES!$A$11:$E$37,3,0),BuscarCampoAccess("Unidade",B207,B.A_SINAPI,B.M_SINAPI,C207))))</f>
        <v>ERRO: CONEXÃO NÃO ESTABELECIDA. CLIQUE EM CONECTAR.</v>
      </c>
      <c r="G207" s="517">
        <v>2.41E-2</v>
      </c>
      <c r="H207" s="582" t="str" cm="1">
        <f t="array" ref="H207">UPPER(IF(C207="COMPOSIÇÃO",_xlfn.XLOOKUP($B207,A:A,I:I,),IF(C207="COTAÇÃO",VLOOKUP($B207,COTAÇÕES!$A$11:$E$37,5,0),BuscarCampoAccess("Custo",B207,B.A_SINAPI,B.M_SINAPI,C207))))</f>
        <v>ERRO: CONEXÃO NÃO ESTABELECIDA. CLIQUE EM CONECTAR.</v>
      </c>
      <c r="I207" s="583" t="e">
        <f>TRUNC(G207*H207,2)</f>
        <v>#VALUE!</v>
      </c>
      <c r="K207" s="529" t="str">
        <f>IF(A207=B207,IFERROR(VLOOKUP(B207,#REF!,1,0),"-"),"-")</f>
        <v>-</v>
      </c>
      <c r="L207" s="304">
        <f t="shared" si="18"/>
        <v>1</v>
      </c>
      <c r="M207" s="304" t="str">
        <f t="shared" si="19"/>
        <v>-</v>
      </c>
    </row>
    <row r="208" spans="1:13" ht="63.75" x14ac:dyDescent="0.3">
      <c r="B208" s="516">
        <v>5928</v>
      </c>
      <c r="C208" s="573" t="s">
        <v>309</v>
      </c>
      <c r="D208" s="516" t="s">
        <v>861</v>
      </c>
      <c r="E208" s="593" t="str" cm="1">
        <f t="array" ref="E208">UPPER(IF(C208="COMPOSIÇÃO",_xlfn.XLOOKUP($B208,A:A,E:E,),IF(C208="COTAÇÃO",VLOOKUP($B208,COTAÇÕES!$A$11:$E$37,2,0),BuscarCampoAccess("Descricao",B208,B.A_SINAPI,B.M_SINAPI,C208))))</f>
        <v>ERRO: CONEXÃO NÃO ESTABELECIDA. CLIQUE EM CONECTAR.</v>
      </c>
      <c r="F208" s="594" t="str" cm="1">
        <f t="array" ref="F208">UPPER(IF(C208="COMPOSIÇÃO",_xlfn.XLOOKUP($B208,A:A,F:F,),IF(C208="COTAÇÃO",VLOOKUP($B208,COTAÇÕES!$A$11:$E$37,3,0),BuscarCampoAccess("Unidade",B208,B.A_SINAPI,B.M_SINAPI,C208))))</f>
        <v>ERRO: CONEXÃO NÃO ESTABELECIDA. CLIQUE EM CONECTAR.</v>
      </c>
      <c r="G208" s="517">
        <v>5.6399999999999999E-2</v>
      </c>
      <c r="H208" s="582" t="str" cm="1">
        <f t="array" ref="H208">UPPER(IF(C208="COMPOSIÇÃO",_xlfn.XLOOKUP($B208,A:A,I:I,),IF(C208="COTAÇÃO",VLOOKUP($B208,COTAÇÕES!$A$11:$E$37,5,0),BuscarCampoAccess("Custo",B208,B.A_SINAPI,B.M_SINAPI,C208))))</f>
        <v>ERRO: CONEXÃO NÃO ESTABELECIDA. CLIQUE EM CONECTAR.</v>
      </c>
      <c r="I208" s="583" t="e">
        <f>TRUNC(G208*H208,2)</f>
        <v>#VALUE!</v>
      </c>
      <c r="K208" s="529" t="str">
        <f>IF(A208=B208,IFERROR(VLOOKUP(B208,#REF!,1,0),"-"),"-")</f>
        <v>-</v>
      </c>
      <c r="L208" s="304">
        <f t="shared" si="18"/>
        <v>1</v>
      </c>
      <c r="M208" s="304" t="str">
        <f t="shared" si="19"/>
        <v>-</v>
      </c>
    </row>
    <row r="209" spans="1:13" ht="63.75" x14ac:dyDescent="0.3">
      <c r="B209" s="516">
        <v>88316</v>
      </c>
      <c r="C209" s="573" t="s">
        <v>309</v>
      </c>
      <c r="D209" s="516" t="s">
        <v>861</v>
      </c>
      <c r="E209" s="593" t="str" cm="1">
        <f t="array" ref="E209">UPPER(IF(C209="COMPOSIÇÃO",_xlfn.XLOOKUP($B209,A:A,E:E,),IF(C209="COTAÇÃO",VLOOKUP($B209,COTAÇÕES!$A$11:$E$37,2,0),BuscarCampoAccess("Descricao",B209,B.A_SINAPI,B.M_SINAPI,C209))))</f>
        <v>ERRO: CONEXÃO NÃO ESTABELECIDA. CLIQUE EM CONECTAR.</v>
      </c>
      <c r="F209" s="594" t="str" cm="1">
        <f t="array" ref="F209">UPPER(IF(C209="COMPOSIÇÃO",_xlfn.XLOOKUP($B209,A:A,F:F,),IF(C209="COTAÇÃO",VLOOKUP($B209,COTAÇÕES!$A$11:$E$37,3,0),BuscarCampoAccess("Unidade",B209,B.A_SINAPI,B.M_SINAPI,C209))))</f>
        <v>ERRO: CONEXÃO NÃO ESTABELECIDA. CLIQUE EM CONECTAR.</v>
      </c>
      <c r="G209" s="517">
        <v>0.16109999999999999</v>
      </c>
      <c r="H209" s="582" t="str" cm="1">
        <f t="array" ref="H209">UPPER(IF(C209="COMPOSIÇÃO",_xlfn.XLOOKUP($B209,A:A,I:I,),IF(C209="COTAÇÃO",VLOOKUP($B209,COTAÇÕES!$A$11:$E$37,5,0),BuscarCampoAccess("Custo",B209,B.A_SINAPI,B.M_SINAPI,C209))))</f>
        <v>ERRO: CONEXÃO NÃO ESTABELECIDA. CLIQUE EM CONECTAR.</v>
      </c>
      <c r="I209" s="583" t="e">
        <f>TRUNC(G209*H209,2)</f>
        <v>#VALUE!</v>
      </c>
      <c r="K209" s="529" t="str">
        <f>IF(A209=B209,IFERROR(VLOOKUP(B209,#REF!,1,0),"-"),"-")</f>
        <v>-</v>
      </c>
      <c r="L209" s="304">
        <f t="shared" si="18"/>
        <v>1</v>
      </c>
      <c r="M209" s="304" t="str">
        <f t="shared" si="19"/>
        <v>-</v>
      </c>
    </row>
    <row r="210" spans="1:13" x14ac:dyDescent="0.3">
      <c r="K210" s="529" t="str">
        <f>IF(A210=B210,IFERROR(VLOOKUP(B210,#REF!,1,0),"-"),"-")</f>
        <v>-</v>
      </c>
      <c r="L210" s="304">
        <f t="shared" si="18"/>
        <v>0</v>
      </c>
      <c r="M210" s="304" t="b">
        <f t="shared" si="19"/>
        <v>0</v>
      </c>
    </row>
    <row r="211" spans="1:13" ht="27" customHeight="1" x14ac:dyDescent="0.3">
      <c r="A211" s="192" t="str">
        <f>IF(AND(D211="",E211&lt;&gt;""),B211,"")</f>
        <v>CPU-DRED 21</v>
      </c>
      <c r="B211" s="589" t="s">
        <v>1066</v>
      </c>
      <c r="C211" s="187"/>
      <c r="D211" s="188"/>
      <c r="E211" s="189" t="s">
        <v>1102</v>
      </c>
      <c r="F211" s="188" t="s">
        <v>256</v>
      </c>
      <c r="G211" s="188"/>
      <c r="H211" s="191"/>
      <c r="I211" s="590" t="e">
        <f>SUM(I212:I222)</f>
        <v>#VALUE!</v>
      </c>
      <c r="K211" s="529" t="str">
        <f>IF(A211=B211,IFERROR(VLOOKUP(B211,#REF!,1,0),"-"),"-")</f>
        <v>-</v>
      </c>
      <c r="L211" s="304">
        <f t="shared" si="18"/>
        <v>1</v>
      </c>
      <c r="M211" s="304" t="str">
        <f t="shared" si="19"/>
        <v>-</v>
      </c>
    </row>
    <row r="212" spans="1:13" ht="63.75" x14ac:dyDescent="0.3">
      <c r="B212" s="516">
        <v>34449</v>
      </c>
      <c r="C212" s="573" t="s">
        <v>309</v>
      </c>
      <c r="D212" s="516" t="s">
        <v>861</v>
      </c>
      <c r="E212" s="593" t="str" cm="1">
        <f t="array" ref="E212">UPPER(IF(C212="COMPOSIÇÃO",_xlfn.XLOOKUP($B212,A:A,E:E,),IF(C212="COTAÇÃO",VLOOKUP($B212,COTAÇÕES!$A$11:$E$37,2,0),BuscarCampoAccess("Descricao",B212,B.A_SINAPI,B.M_SINAPI,C212))))</f>
        <v>ERRO: CONEXÃO NÃO ESTABELECIDA. CLIQUE EM CONECTAR.</v>
      </c>
      <c r="F212" s="594" t="str" cm="1">
        <f t="array" ref="F212">UPPER(IF(C212="COMPOSIÇÃO",_xlfn.XLOOKUP($B212,A:A,F:F,),IF(C212="COTAÇÃO",VLOOKUP($B212,COTAÇÕES!$A$11:$E$37,3,0),BuscarCampoAccess("Unidade",B212,B.A_SINAPI,B.M_SINAPI,C212))))</f>
        <v>ERRO: CONEXÃO NÃO ESTABELECIDA. CLIQUE EM CONECTAR.</v>
      </c>
      <c r="G212" s="517">
        <v>99.699999999999989</v>
      </c>
      <c r="H212" s="582" t="str" cm="1">
        <f t="array" ref="H212">UPPER(IF(C212="COMPOSIÇÃO",_xlfn.XLOOKUP($B212,A:A,I:I,),IF(C212="COTAÇÃO",VLOOKUP($B212,COTAÇÕES!$A$11:$E$37,5,0),BuscarCampoAccess("Custo",B212,B.A_SINAPI,B.M_SINAPI,C212))))</f>
        <v>ERRO: CONEXÃO NÃO ESTABELECIDA. CLIQUE EM CONECTAR.</v>
      </c>
      <c r="I212" s="583" t="e">
        <f>TRUNC(G212*H212,2)</f>
        <v>#VALUE!</v>
      </c>
      <c r="K212" s="529" t="str">
        <f>IF(A212=B212,IFERROR(VLOOKUP(B212,#REF!,1,0),"-"),"-")</f>
        <v>-</v>
      </c>
      <c r="L212" s="304">
        <f t="shared" si="18"/>
        <v>1</v>
      </c>
      <c r="M212" s="304" t="str">
        <f t="shared" si="19"/>
        <v>-</v>
      </c>
    </row>
    <row r="213" spans="1:13" ht="63.75" x14ac:dyDescent="0.3">
      <c r="B213" s="516">
        <v>33</v>
      </c>
      <c r="C213" s="573" t="s">
        <v>309</v>
      </c>
      <c r="D213" s="516" t="s">
        <v>861</v>
      </c>
      <c r="E213" s="593" t="str" cm="1">
        <f t="array" ref="E213">UPPER(IF(C213="COMPOSIÇÃO",_xlfn.XLOOKUP($B213,A:A,E:E,),IF(C213="COTAÇÃO",VLOOKUP($B213,COTAÇÕES!$A$11:$E$37,2,0),BuscarCampoAccess("Descricao",B213,B.A_SINAPI,B.M_SINAPI,C213))))</f>
        <v>ERRO: CONEXÃO NÃO ESTABELECIDA. CLIQUE EM CONECTAR.</v>
      </c>
      <c r="F213" s="594" t="str" cm="1">
        <f t="array" ref="F213">UPPER(IF(C213="COMPOSIÇÃO",_xlfn.XLOOKUP($B213,A:A,F:F,),IF(C213="COTAÇÃO",VLOOKUP($B213,COTAÇÕES!$A$11:$E$37,3,0),BuscarCampoAccess("Unidade",B213,B.A_SINAPI,B.M_SINAPI,C213))))</f>
        <v>ERRO: CONEXÃO NÃO ESTABELECIDA. CLIQUE EM CONECTAR.</v>
      </c>
      <c r="G213" s="517">
        <v>431.9</v>
      </c>
      <c r="H213" s="582" t="str" cm="1">
        <f t="array" ref="H213">UPPER(IF(C213="COMPOSIÇÃO",_xlfn.XLOOKUP($B213,A:A,I:I,),IF(C213="COTAÇÃO",VLOOKUP($B213,COTAÇÕES!$A$11:$E$37,5,0),BuscarCampoAccess("Custo",B213,B.A_SINAPI,B.M_SINAPI,C213))))</f>
        <v>ERRO: CONEXÃO NÃO ESTABELECIDA. CLIQUE EM CONECTAR.</v>
      </c>
      <c r="I213" s="583" t="e">
        <f>TRUNC(G213*H213,2)</f>
        <v>#VALUE!</v>
      </c>
      <c r="K213" s="529" t="str">
        <f>IF(A213=B213,IFERROR(VLOOKUP(B213,#REF!,1,0),"-"),"-")</f>
        <v>-</v>
      </c>
      <c r="L213" s="304">
        <f t="shared" si="18"/>
        <v>1</v>
      </c>
      <c r="M213" s="304" t="str">
        <f t="shared" si="19"/>
        <v>-</v>
      </c>
    </row>
    <row r="214" spans="1:13" ht="63.75" x14ac:dyDescent="0.3">
      <c r="B214" s="516">
        <v>43058</v>
      </c>
      <c r="C214" s="573" t="s">
        <v>309</v>
      </c>
      <c r="D214" s="516" t="s">
        <v>861</v>
      </c>
      <c r="E214" s="593" t="str" cm="1">
        <f t="array" ref="E214">UPPER(IF(C214="COMPOSIÇÃO",_xlfn.XLOOKUP($B214,A:A,E:E,),IF(C214="COTAÇÃO",VLOOKUP($B214,COTAÇÕES!$A$11:$E$37,2,0),BuscarCampoAccess("Descricao",B214,B.A_SINAPI,B.M_SINAPI,C214))))</f>
        <v>ERRO: CONEXÃO NÃO ESTABELECIDA. CLIQUE EM CONECTAR.</v>
      </c>
      <c r="F214" s="594" t="str" cm="1">
        <f t="array" ref="F214">UPPER(IF(C214="COMPOSIÇÃO",_xlfn.XLOOKUP($B214,A:A,F:F,),IF(C214="COTAÇÃO",VLOOKUP($B214,COTAÇÕES!$A$11:$E$37,3,0),BuscarCampoAccess("Unidade",B214,B.A_SINAPI,B.M_SINAPI,C214))))</f>
        <v>ERRO: CONEXÃO NÃO ESTABELECIDA. CLIQUE EM CONECTAR.</v>
      </c>
      <c r="G214" s="517">
        <v>1527.6999999999998</v>
      </c>
      <c r="H214" s="582" t="str" cm="1">
        <f t="array" ref="H214">UPPER(IF(C214="COMPOSIÇÃO",_xlfn.XLOOKUP($B214,A:A,I:I,),IF(C214="COTAÇÃO",VLOOKUP($B214,COTAÇÕES!$A$11:$E$37,5,0),BuscarCampoAccess("Custo",B214,B.A_SINAPI,B.M_SINAPI,C214))))</f>
        <v>ERRO: CONEXÃO NÃO ESTABELECIDA. CLIQUE EM CONECTAR.</v>
      </c>
      <c r="I214" s="583" t="e">
        <f t="shared" ref="I214:I219" si="20">TRUNC(G214*H214,2)</f>
        <v>#VALUE!</v>
      </c>
      <c r="K214" s="529" t="str">
        <f>IF(A214=B214,IFERROR(VLOOKUP(B214,#REF!,1,0),"-"),"-")</f>
        <v>-</v>
      </c>
      <c r="L214" s="304">
        <f t="shared" si="18"/>
        <v>1</v>
      </c>
      <c r="M214" s="304" t="str">
        <f t="shared" si="19"/>
        <v>-</v>
      </c>
    </row>
    <row r="215" spans="1:13" ht="63.75" x14ac:dyDescent="0.3">
      <c r="B215" s="516">
        <v>43061</v>
      </c>
      <c r="C215" s="573" t="s">
        <v>309</v>
      </c>
      <c r="D215" s="516" t="s">
        <v>861</v>
      </c>
      <c r="E215" s="593" t="str" cm="1">
        <f t="array" ref="E215">UPPER(IF(C215="COMPOSIÇÃO",_xlfn.XLOOKUP($B215,A:A,E:E,),IF(C215="COTAÇÃO",VLOOKUP($B215,COTAÇÕES!$A$11:$E$37,2,0),BuscarCampoAccess("Descricao",B215,B.A_SINAPI,B.M_SINAPI,C215))))</f>
        <v>ERRO: CONEXÃO NÃO ESTABELECIDA. CLIQUE EM CONECTAR.</v>
      </c>
      <c r="F215" s="594" t="str" cm="1">
        <f t="array" ref="F215">UPPER(IF(C215="COMPOSIÇÃO",_xlfn.XLOOKUP($B215,A:A,F:F,),IF(C215="COTAÇÃO",VLOOKUP($B215,COTAÇÕES!$A$11:$E$37,3,0),BuscarCampoAccess("Unidade",B215,B.A_SINAPI,B.M_SINAPI,C215))))</f>
        <v>ERRO: CONEXÃO NÃO ESTABELECIDA. CLIQUE EM CONECTAR.</v>
      </c>
      <c r="G215" s="517">
        <v>12.600000000000001</v>
      </c>
      <c r="H215" s="582" t="str" cm="1">
        <f t="array" ref="H215">UPPER(IF(C215="COMPOSIÇÃO",_xlfn.XLOOKUP($B215,A:A,I:I,),IF(C215="COTAÇÃO",VLOOKUP($B215,COTAÇÕES!$A$11:$E$37,5,0),BuscarCampoAccess("Custo",B215,B.A_SINAPI,B.M_SINAPI,C215))))</f>
        <v>ERRO: CONEXÃO NÃO ESTABELECIDA. CLIQUE EM CONECTAR.</v>
      </c>
      <c r="I215" s="583" t="e">
        <f t="shared" si="20"/>
        <v>#VALUE!</v>
      </c>
      <c r="K215" s="529" t="str">
        <f>IF(A215=B215,IFERROR(VLOOKUP(B215,#REF!,1,0),"-"),"-")</f>
        <v>-</v>
      </c>
      <c r="L215" s="304">
        <f t="shared" si="18"/>
        <v>1</v>
      </c>
      <c r="M215" s="304" t="str">
        <f t="shared" si="19"/>
        <v>-</v>
      </c>
    </row>
    <row r="216" spans="1:13" ht="63.75" x14ac:dyDescent="0.3">
      <c r="B216" s="516">
        <v>94965</v>
      </c>
      <c r="C216" s="573" t="s">
        <v>309</v>
      </c>
      <c r="D216" s="516" t="s">
        <v>861</v>
      </c>
      <c r="E216" s="593" t="str" cm="1">
        <f t="array" ref="E216">UPPER(IF(C216="COMPOSIÇÃO",_xlfn.XLOOKUP($B216,A:A,E:E,),IF(C216="COTAÇÃO",VLOOKUP($B216,COTAÇÕES!$A$11:$E$37,2,0),BuscarCampoAccess("Descricao",B216,B.A_SINAPI,B.M_SINAPI,C216))))</f>
        <v>ERRO: CONEXÃO NÃO ESTABELECIDA. CLIQUE EM CONECTAR.</v>
      </c>
      <c r="F216" s="594" t="str" cm="1">
        <f t="array" ref="F216">UPPER(IF(C216="COMPOSIÇÃO",_xlfn.XLOOKUP($B216,A:A,F:F,),IF(C216="COTAÇÃO",VLOOKUP($B216,COTAÇÕES!$A$11:$E$37,3,0),BuscarCampoAccess("Unidade",B216,B.A_SINAPI,B.M_SINAPI,C216))))</f>
        <v>ERRO: CONEXÃO NÃO ESTABELECIDA. CLIQUE EM CONECTAR.</v>
      </c>
      <c r="G216" s="517">
        <v>20.36</v>
      </c>
      <c r="H216" s="582" t="str" cm="1">
        <f t="array" ref="H216">UPPER(IF(C216="COMPOSIÇÃO",_xlfn.XLOOKUP($B216,A:A,I:I,),IF(C216="COTAÇÃO",VLOOKUP($B216,COTAÇÕES!$A$11:$E$37,5,0),BuscarCampoAccess("Custo",B216,B.A_SINAPI,B.M_SINAPI,C216))))</f>
        <v>ERRO: CONEXÃO NÃO ESTABELECIDA. CLIQUE EM CONECTAR.</v>
      </c>
      <c r="I216" s="583" t="e">
        <f t="shared" si="20"/>
        <v>#VALUE!</v>
      </c>
      <c r="K216" s="529" t="str">
        <f>IF(A216=B216,IFERROR(VLOOKUP(B216,#REF!,1,0),"-"),"-")</f>
        <v>-</v>
      </c>
      <c r="L216" s="304">
        <f t="shared" si="18"/>
        <v>1</v>
      </c>
      <c r="M216" s="304" t="str">
        <f t="shared" si="19"/>
        <v>-</v>
      </c>
    </row>
    <row r="217" spans="1:13" ht="63.75" x14ac:dyDescent="0.3">
      <c r="B217" s="516">
        <v>103670</v>
      </c>
      <c r="C217" s="573" t="s">
        <v>309</v>
      </c>
      <c r="D217" s="516" t="s">
        <v>861</v>
      </c>
      <c r="E217" s="593" t="str" cm="1">
        <f t="array" ref="E217">UPPER(IF(C217="COMPOSIÇÃO",_xlfn.XLOOKUP($B217,A:A,E:E,),IF(C217="COTAÇÃO",VLOOKUP($B217,COTAÇÕES!$A$11:$E$37,2,0),BuscarCampoAccess("Descricao",B217,B.A_SINAPI,B.M_SINAPI,C217))))</f>
        <v>ERRO: CONEXÃO NÃO ESTABELECIDA. CLIQUE EM CONECTAR.</v>
      </c>
      <c r="F217" s="594" t="str" cm="1">
        <f t="array" ref="F217">UPPER(IF(C217="COMPOSIÇÃO",_xlfn.XLOOKUP($B217,A:A,F:F,),IF(C217="COTAÇÃO",VLOOKUP($B217,COTAÇÕES!$A$11:$E$37,3,0),BuscarCampoAccess("Unidade",B217,B.A_SINAPI,B.M_SINAPI,C217))))</f>
        <v>ERRO: CONEXÃO NÃO ESTABELECIDA. CLIQUE EM CONECTAR.</v>
      </c>
      <c r="G217" s="517">
        <v>20.36</v>
      </c>
      <c r="H217" s="582" t="str" cm="1">
        <f t="array" ref="H217">UPPER(IF(C217="COMPOSIÇÃO",_xlfn.XLOOKUP($B217,A:A,I:I,),IF(C217="COTAÇÃO",VLOOKUP($B217,COTAÇÕES!$A$11:$E$37,5,0),BuscarCampoAccess("Custo",B217,B.A_SINAPI,B.M_SINAPI,C217))))</f>
        <v>ERRO: CONEXÃO NÃO ESTABELECIDA. CLIQUE EM CONECTAR.</v>
      </c>
      <c r="I217" s="583" t="e">
        <f t="shared" si="20"/>
        <v>#VALUE!</v>
      </c>
      <c r="K217" s="529" t="str">
        <f>IF(A217=B217,IFERROR(VLOOKUP(B217,#REF!,1,0),"-"),"-")</f>
        <v>-</v>
      </c>
      <c r="L217" s="304">
        <f t="shared" si="18"/>
        <v>1</v>
      </c>
      <c r="M217" s="304" t="str">
        <f t="shared" si="19"/>
        <v>-</v>
      </c>
    </row>
    <row r="218" spans="1:13" ht="63.75" x14ac:dyDescent="0.3">
      <c r="B218" s="516">
        <v>87313</v>
      </c>
      <c r="C218" s="573" t="s">
        <v>309</v>
      </c>
      <c r="D218" s="516" t="s">
        <v>861</v>
      </c>
      <c r="E218" s="593" t="str" cm="1">
        <f t="array" ref="E218">UPPER(IF(C218="COMPOSIÇÃO",_xlfn.XLOOKUP($B218,A:A,E:E,),IF(C218="COTAÇÃO",VLOOKUP($B218,COTAÇÕES!$A$11:$E$37,2,0),BuscarCampoAccess("Descricao",B218,B.A_SINAPI,B.M_SINAPI,C218))))</f>
        <v>ERRO: CONEXÃO NÃO ESTABELECIDA. CLIQUE EM CONECTAR.</v>
      </c>
      <c r="F218" s="594" t="str" cm="1">
        <f t="array" ref="F218">UPPER(IF(C218="COMPOSIÇÃO",_xlfn.XLOOKUP($B218,A:A,F:F,),IF(C218="COTAÇÃO",VLOOKUP($B218,COTAÇÕES!$A$11:$E$37,3,0),BuscarCampoAccess("Unidade",B218,B.A_SINAPI,B.M_SINAPI,C218))))</f>
        <v>ERRO: CONEXÃO NÃO ESTABELECIDA. CLIQUE EM CONECTAR.</v>
      </c>
      <c r="G218" s="517">
        <v>20.36</v>
      </c>
      <c r="H218" s="582" t="str" cm="1">
        <f t="array" ref="H218">UPPER(IF(C218="COMPOSIÇÃO",_xlfn.XLOOKUP($B218,A:A,I:I,),IF(C218="COTAÇÃO",VLOOKUP($B218,COTAÇÕES!$A$11:$E$37,5,0),BuscarCampoAccess("Custo",B218,B.A_SINAPI,B.M_SINAPI,C218))))</f>
        <v>ERRO: CONEXÃO NÃO ESTABELECIDA. CLIQUE EM CONECTAR.</v>
      </c>
      <c r="I218" s="583" t="e">
        <f t="shared" si="20"/>
        <v>#VALUE!</v>
      </c>
      <c r="K218" s="529" t="str">
        <f>IF(A218=B218,IFERROR(VLOOKUP(B218,#REF!,1,0),"-"),"-")</f>
        <v>-</v>
      </c>
      <c r="L218" s="304">
        <f t="shared" si="18"/>
        <v>1</v>
      </c>
      <c r="M218" s="304" t="str">
        <f t="shared" si="19"/>
        <v>-</v>
      </c>
    </row>
    <row r="219" spans="1:13" ht="63.75" x14ac:dyDescent="0.3">
      <c r="B219" s="516">
        <v>87879</v>
      </c>
      <c r="C219" s="573" t="s">
        <v>309</v>
      </c>
      <c r="D219" s="516" t="s">
        <v>861</v>
      </c>
      <c r="E219" s="593" t="str" cm="1">
        <f t="array" ref="E219">UPPER(IF(C219="COMPOSIÇÃO",_xlfn.XLOOKUP($B219,A:A,E:E,),IF(C219="COTAÇÃO",VLOOKUP($B219,COTAÇÕES!$A$11:$E$37,2,0),BuscarCampoAccess("Descricao",B219,B.A_SINAPI,B.M_SINAPI,C219))))</f>
        <v>ERRO: CONEXÃO NÃO ESTABELECIDA. CLIQUE EM CONECTAR.</v>
      </c>
      <c r="F219" s="594" t="str" cm="1">
        <f t="array" ref="F219">UPPER(IF(C219="COMPOSIÇÃO",_xlfn.XLOOKUP($B219,A:A,F:F,),IF(C219="COTAÇÃO",VLOOKUP($B219,COTAÇÕES!$A$11:$E$37,3,0),BuscarCampoAccess("Unidade",B219,B.A_SINAPI,B.M_SINAPI,C219))))</f>
        <v>ERRO: CONEXÃO NÃO ESTABELECIDA. CLIQUE EM CONECTAR.</v>
      </c>
      <c r="G219" s="517">
        <v>94.25</v>
      </c>
      <c r="H219" s="582" t="str" cm="1">
        <f t="array" ref="H219">UPPER(IF(C219="COMPOSIÇÃO",_xlfn.XLOOKUP($B219,A:A,I:I,),IF(C219="COTAÇÃO",VLOOKUP($B219,COTAÇÕES!$A$11:$E$37,5,0),BuscarCampoAccess("Custo",B219,B.A_SINAPI,B.M_SINAPI,C219))))</f>
        <v>ERRO: CONEXÃO NÃO ESTABELECIDA. CLIQUE EM CONECTAR.</v>
      </c>
      <c r="I219" s="583" t="e">
        <f t="shared" si="20"/>
        <v>#VALUE!</v>
      </c>
      <c r="K219" s="529" t="str">
        <f>IF(A219=B219,IFERROR(VLOOKUP(B219,#REF!,1,0),"-"),"-")</f>
        <v>-</v>
      </c>
      <c r="L219" s="304">
        <f t="shared" si="18"/>
        <v>1</v>
      </c>
      <c r="M219" s="304" t="str">
        <f t="shared" si="19"/>
        <v>-</v>
      </c>
    </row>
    <row r="220" spans="1:13" ht="63.75" x14ac:dyDescent="0.3">
      <c r="B220" s="516">
        <v>88245</v>
      </c>
      <c r="C220" s="573" t="s">
        <v>309</v>
      </c>
      <c r="D220" s="516" t="s">
        <v>861</v>
      </c>
      <c r="E220" s="593" t="str" cm="1">
        <f t="array" ref="E220">UPPER(IF(C220="COMPOSIÇÃO",_xlfn.XLOOKUP($B220,A:A,E:E,),IF(C220="COTAÇÃO",VLOOKUP($B220,COTAÇÕES!$A$11:$E$37,2,0),BuscarCampoAccess("Descricao",B220,B.A_SINAPI,B.M_SINAPI,C220))))</f>
        <v>ERRO: CONEXÃO NÃO ESTABELECIDA. CLIQUE EM CONECTAR.</v>
      </c>
      <c r="F220" s="594" t="str" cm="1">
        <f t="array" ref="F220">UPPER(IF(C220="COMPOSIÇÃO",_xlfn.XLOOKUP($B220,A:A,F:F,),IF(C220="COTAÇÃO",VLOOKUP($B220,COTAÇÕES!$A$11:$E$37,3,0),BuscarCampoAccess("Unidade",B220,B.A_SINAPI,B.M_SINAPI,C220))))</f>
        <v>ERRO: CONEXÃO NÃO ESTABELECIDA. CLIQUE EM CONECTAR.</v>
      </c>
      <c r="G220" s="517">
        <v>16</v>
      </c>
      <c r="H220" s="582" t="str" cm="1">
        <f t="array" ref="H220">UPPER(IF(C220="COMPOSIÇÃO",_xlfn.XLOOKUP($B220,A:A,I:I,),IF(C220="COTAÇÃO",VLOOKUP($B220,COTAÇÕES!$A$11:$E$37,5,0),BuscarCampoAccess("Custo",B220,B.A_SINAPI,B.M_SINAPI,C220))))</f>
        <v>ERRO: CONEXÃO NÃO ESTABELECIDA. CLIQUE EM CONECTAR.</v>
      </c>
      <c r="I220" s="583" t="e">
        <f>TRUNC(G220*H220,2)</f>
        <v>#VALUE!</v>
      </c>
      <c r="K220" s="529" t="str">
        <f>IF(A220=B220,IFERROR(VLOOKUP(B220,#REF!,1,0),"-"),"-")</f>
        <v>-</v>
      </c>
      <c r="L220" s="304">
        <f t="shared" si="18"/>
        <v>1</v>
      </c>
      <c r="M220" s="304" t="str">
        <f t="shared" si="19"/>
        <v>-</v>
      </c>
    </row>
    <row r="221" spans="1:13" ht="63.75" x14ac:dyDescent="0.3">
      <c r="B221" s="516">
        <v>92263</v>
      </c>
      <c r="C221" s="573" t="s">
        <v>309</v>
      </c>
      <c r="D221" s="516" t="s">
        <v>861</v>
      </c>
      <c r="E221" s="593" t="str" cm="1">
        <f t="array" ref="E221">UPPER(IF(C221="COMPOSIÇÃO",_xlfn.XLOOKUP($B221,A:A,E:E,),IF(C221="COTAÇÃO",VLOOKUP($B221,COTAÇÕES!$A$11:$E$37,2,0),BuscarCampoAccess("Descricao",B221,B.A_SINAPI,B.M_SINAPI,C221))))</f>
        <v>ERRO: CONEXÃO NÃO ESTABELECIDA. CLIQUE EM CONECTAR.</v>
      </c>
      <c r="F221" s="594" t="str" cm="1">
        <f t="array" ref="F221">UPPER(IF(C221="COMPOSIÇÃO",_xlfn.XLOOKUP($B221,A:A,F:F,),IF(C221="COTAÇÃO",VLOOKUP($B221,COTAÇÕES!$A$11:$E$37,3,0),BuscarCampoAccess("Unidade",B221,B.A_SINAPI,B.M_SINAPI,C221))))</f>
        <v>ERRO: CONEXÃO NÃO ESTABELECIDA. CLIQUE EM CONECTAR.</v>
      </c>
      <c r="G221" s="517">
        <v>188.5</v>
      </c>
      <c r="H221" s="582" t="str" cm="1">
        <f t="array" ref="H221">UPPER(IF(C221="COMPOSIÇÃO",_xlfn.XLOOKUP($B221,A:A,I:I,),IF(C221="COTAÇÃO",VLOOKUP($B221,COTAÇÕES!$A$11:$E$37,5,0),BuscarCampoAccess("Custo",B221,B.A_SINAPI,B.M_SINAPI,C221))))</f>
        <v>ERRO: CONEXÃO NÃO ESTABELECIDA. CLIQUE EM CONECTAR.</v>
      </c>
      <c r="I221" s="583" t="e">
        <f>TRUNC(G221*H221,2)</f>
        <v>#VALUE!</v>
      </c>
      <c r="K221" s="529" t="str">
        <f>IF(A221=B221,IFERROR(VLOOKUP(B221,#REF!,1,0),"-"),"-")</f>
        <v>-</v>
      </c>
      <c r="L221" s="304">
        <f t="shared" si="18"/>
        <v>1</v>
      </c>
      <c r="M221" s="304" t="str">
        <f t="shared" si="19"/>
        <v>-</v>
      </c>
    </row>
    <row r="222" spans="1:13" ht="63.75" x14ac:dyDescent="0.3">
      <c r="B222" s="516">
        <v>88317</v>
      </c>
      <c r="C222" s="573" t="s">
        <v>309</v>
      </c>
      <c r="D222" s="516" t="s">
        <v>861</v>
      </c>
      <c r="E222" s="593" t="str" cm="1">
        <f t="array" ref="E222">UPPER(IF(C222="COMPOSIÇÃO",_xlfn.XLOOKUP($B222,A:A,E:E,),IF(C222="COTAÇÃO",VLOOKUP($B222,COTAÇÕES!$A$11:$E$37,2,0),BuscarCampoAccess("Descricao",B222,B.A_SINAPI,B.M_SINAPI,C222))))</f>
        <v>ERRO: CONEXÃO NÃO ESTABELECIDA. CLIQUE EM CONECTAR.</v>
      </c>
      <c r="F222" s="594" t="str" cm="1">
        <f t="array" ref="F222">UPPER(IF(C222="COMPOSIÇÃO",_xlfn.XLOOKUP($B222,A:A,F:F,),IF(C222="COTAÇÃO",VLOOKUP($B222,COTAÇÕES!$A$11:$E$37,3,0),BuscarCampoAccess("Unidade",B222,B.A_SINAPI,B.M_SINAPI,C222))))</f>
        <v>ERRO: CONEXÃO NÃO ESTABELECIDA. CLIQUE EM CONECTAR.</v>
      </c>
      <c r="G222" s="517">
        <v>8</v>
      </c>
      <c r="H222" s="582" t="str" cm="1">
        <f t="array" ref="H222">UPPER(IF(C222="COMPOSIÇÃO",_xlfn.XLOOKUP($B222,A:A,I:I,),IF(C222="COTAÇÃO",VLOOKUP($B222,COTAÇÕES!$A$11:$E$37,5,0),BuscarCampoAccess("Custo",B222,B.A_SINAPI,B.M_SINAPI,C222))))</f>
        <v>ERRO: CONEXÃO NÃO ESTABELECIDA. CLIQUE EM CONECTAR.</v>
      </c>
      <c r="I222" s="583" t="e">
        <f>TRUNC(G222*H222,2)</f>
        <v>#VALUE!</v>
      </c>
      <c r="K222" s="529" t="str">
        <f>IF(A222=B222,IFERROR(VLOOKUP(B222,#REF!,1,0),"-"),"-")</f>
        <v>-</v>
      </c>
      <c r="L222" s="304">
        <f t="shared" si="18"/>
        <v>1</v>
      </c>
      <c r="M222" s="304" t="str">
        <f t="shared" si="19"/>
        <v>-</v>
      </c>
    </row>
    <row r="223" spans="1:13" x14ac:dyDescent="0.3">
      <c r="K223" s="529" t="str">
        <f>IF(A223=B223,IFERROR(VLOOKUP(B223,#REF!,1,0),"-"),"-")</f>
        <v>-</v>
      </c>
      <c r="L223" s="304">
        <f t="shared" si="18"/>
        <v>0</v>
      </c>
      <c r="M223" s="304" t="b">
        <f t="shared" si="19"/>
        <v>0</v>
      </c>
    </row>
    <row r="224" spans="1:13" x14ac:dyDescent="0.3">
      <c r="A224" s="192" t="str">
        <f>IF(AND(D224="",E224&lt;&gt;""),B224,"")</f>
        <v>CPU-DRED 16</v>
      </c>
      <c r="B224" s="589" t="s">
        <v>1103</v>
      </c>
      <c r="C224" s="187"/>
      <c r="D224" s="188"/>
      <c r="E224" s="189" t="s">
        <v>1104</v>
      </c>
      <c r="F224" s="188" t="s">
        <v>256</v>
      </c>
      <c r="G224" s="188"/>
      <c r="H224" s="191"/>
      <c r="I224" s="590" t="e">
        <f>SUM(I225:I233)</f>
        <v>#VALUE!</v>
      </c>
      <c r="K224" s="529" t="str">
        <f>IF(A224=B224,IFERROR(VLOOKUP(B224,#REF!,1,0),"-"),"-")</f>
        <v>-</v>
      </c>
      <c r="L224" s="304">
        <f t="shared" si="18"/>
        <v>1</v>
      </c>
      <c r="M224" s="304" t="str">
        <f t="shared" si="19"/>
        <v>-</v>
      </c>
    </row>
    <row r="225" spans="1:13" ht="63.75" x14ac:dyDescent="0.3">
      <c r="B225" s="516">
        <v>104790</v>
      </c>
      <c r="C225" s="573" t="s">
        <v>309</v>
      </c>
      <c r="D225" s="516" t="s">
        <v>861</v>
      </c>
      <c r="E225" s="593" t="str" cm="1">
        <f t="array" ref="E225">UPPER(IF(C225="COMPOSIÇÃO",_xlfn.XLOOKUP($B225,A:A,E:E,),IF(C225="COTAÇÃO",VLOOKUP($B225,COTAÇÕES!$A$11:$E$37,2,0),BuscarCampoAccess("Descricao",B225,B.A_SINAPI,B.M_SINAPI,C225))))</f>
        <v>ERRO: CONEXÃO NÃO ESTABELECIDA. CLIQUE EM CONECTAR.</v>
      </c>
      <c r="F225" s="594" t="str" cm="1">
        <f t="array" ref="F225">UPPER(IF(C225="COMPOSIÇÃO",_xlfn.XLOOKUP($B225,A:A,F:F,),IF(C225="COTAÇÃO",VLOOKUP($B225,COTAÇÕES!$A$11:$E$37,3,0),BuscarCampoAccess("Unidade",B225,B.A_SINAPI,B.M_SINAPI,C225))))</f>
        <v>ERRO: CONEXÃO NÃO ESTABELECIDA. CLIQUE EM CONECTAR.</v>
      </c>
      <c r="G225" s="517">
        <v>0.82404882121416922</v>
      </c>
      <c r="H225" s="582" t="str" cm="1">
        <f t="array" ref="H225">UPPER(IF(C225="COMPOSIÇÃO",_xlfn.XLOOKUP($B225,A:A,I:I,),IF(C225="COTAÇÃO",VLOOKUP($B225,COTAÇÕES!$A$11:$E$37,5,0),BuscarCampoAccess("Custo",B225,B.A_SINAPI,B.M_SINAPI,C225))))</f>
        <v>ERRO: CONEXÃO NÃO ESTABELECIDA. CLIQUE EM CONECTAR.</v>
      </c>
      <c r="I225" s="583" t="e">
        <f t="shared" ref="I225:I233" si="21">TRUNC(G225*H225,2)</f>
        <v>#VALUE!</v>
      </c>
      <c r="K225" s="529" t="str">
        <f>IF(A225=B225,IFERROR(VLOOKUP(B225,#REF!,1,0),"-"),"-")</f>
        <v>-</v>
      </c>
      <c r="L225" s="304">
        <f t="shared" si="18"/>
        <v>1</v>
      </c>
      <c r="M225" s="304" t="str">
        <f t="shared" si="19"/>
        <v>-</v>
      </c>
    </row>
    <row r="226" spans="1:13" ht="63.75" x14ac:dyDescent="0.3">
      <c r="B226" s="516">
        <v>97629</v>
      </c>
      <c r="C226" s="573" t="s">
        <v>309</v>
      </c>
      <c r="D226" s="516" t="s">
        <v>861</v>
      </c>
      <c r="E226" s="593" t="str" cm="1">
        <f t="array" ref="E226">UPPER(IF(C226="COMPOSIÇÃO",_xlfn.XLOOKUP($B226,A:A,E:E,),IF(C226="COTAÇÃO",VLOOKUP($B226,COTAÇÕES!$A$11:$E$37,2,0),BuscarCampoAccess("Descricao",B226,B.A_SINAPI,B.M_SINAPI,C226))))</f>
        <v>ERRO: CONEXÃO NÃO ESTABELECIDA. CLIQUE EM CONECTAR.</v>
      </c>
      <c r="F226" s="594" t="str" cm="1">
        <f t="array" ref="F226">UPPER(IF(C226="COMPOSIÇÃO",_xlfn.XLOOKUP($B226,A:A,F:F,),IF(C226="COTAÇÃO",VLOOKUP($B226,COTAÇÕES!$A$11:$E$37,3,0),BuscarCampoAccess("Unidade",B226,B.A_SINAPI,B.M_SINAPI,C226))))</f>
        <v>ERRO: CONEXÃO NÃO ESTABELECIDA. CLIQUE EM CONECTAR.</v>
      </c>
      <c r="G226" s="517">
        <v>0.64112730091837944</v>
      </c>
      <c r="H226" s="582" t="str" cm="1">
        <f t="array" ref="H226">UPPER(IF(C226="COMPOSIÇÃO",_xlfn.XLOOKUP($B226,A:A,I:I,),IF(C226="COTAÇÃO",VLOOKUP($B226,COTAÇÕES!$A$11:$E$37,5,0),BuscarCampoAccess("Custo",B226,B.A_SINAPI,B.M_SINAPI,C226))))</f>
        <v>ERRO: CONEXÃO NÃO ESTABELECIDA. CLIQUE EM CONECTAR.</v>
      </c>
      <c r="I226" s="583" t="e">
        <f t="shared" si="21"/>
        <v>#VALUE!</v>
      </c>
      <c r="K226" s="529" t="str">
        <f>IF(A226=B226,IFERROR(VLOOKUP(B226,#REF!,1,0),"-"),"-")</f>
        <v>-</v>
      </c>
      <c r="L226" s="304">
        <f t="shared" si="18"/>
        <v>1</v>
      </c>
      <c r="M226" s="304" t="str">
        <f t="shared" si="19"/>
        <v>-</v>
      </c>
    </row>
    <row r="227" spans="1:13" ht="63.75" x14ac:dyDescent="0.3">
      <c r="B227" s="516">
        <v>97625</v>
      </c>
      <c r="C227" s="573" t="s">
        <v>309</v>
      </c>
      <c r="D227" s="516" t="s">
        <v>861</v>
      </c>
      <c r="E227" s="593" t="str" cm="1">
        <f t="array" ref="E227">UPPER(IF(C227="COMPOSIÇÃO",_xlfn.XLOOKUP($B227,A:A,E:E,),IF(C227="COTAÇÃO",VLOOKUP($B227,COTAÇÕES!$A$11:$E$37,2,0),BuscarCampoAccess("Descricao",B227,B.A_SINAPI,B.M_SINAPI,C227))))</f>
        <v>ERRO: CONEXÃO NÃO ESTABELECIDA. CLIQUE EM CONECTAR.</v>
      </c>
      <c r="F227" s="594" t="str" cm="1">
        <f t="array" ref="F227">UPPER(IF(C227="COMPOSIÇÃO",_xlfn.XLOOKUP($B227,A:A,F:F,),IF(C227="COTAÇÃO",VLOOKUP($B227,COTAÇÕES!$A$11:$E$37,3,0),BuscarCampoAccess("Unidade",B227,B.A_SINAPI,B.M_SINAPI,C227))))</f>
        <v>ERRO: CONEXÃO NÃO ESTABELECIDA. CLIQUE EM CONECTAR.</v>
      </c>
      <c r="G227" s="517">
        <v>0.34982387786745117</v>
      </c>
      <c r="H227" s="582" t="str" cm="1">
        <f t="array" ref="H227">UPPER(IF(C227="COMPOSIÇÃO",_xlfn.XLOOKUP($B227,A:A,I:I,),IF(C227="COTAÇÃO",VLOOKUP($B227,COTAÇÕES!$A$11:$E$37,5,0),BuscarCampoAccess("Custo",B227,B.A_SINAPI,B.M_SINAPI,C227))))</f>
        <v>ERRO: CONEXÃO NÃO ESTABELECIDA. CLIQUE EM CONECTAR.</v>
      </c>
      <c r="I227" s="583" t="e">
        <f>TRUNC(G227*H227,2)</f>
        <v>#VALUE!</v>
      </c>
      <c r="K227" s="529" t="str">
        <f>IF(A227=B227,IFERROR(VLOOKUP(B227,#REF!,1,0),"-"),"-")</f>
        <v>-</v>
      </c>
      <c r="L227" s="304">
        <f t="shared" si="18"/>
        <v>1</v>
      </c>
      <c r="M227" s="304" t="str">
        <f t="shared" si="19"/>
        <v>-</v>
      </c>
    </row>
    <row r="228" spans="1:13" ht="63.75" x14ac:dyDescent="0.3">
      <c r="B228" s="516">
        <v>100984</v>
      </c>
      <c r="C228" s="573" t="s">
        <v>309</v>
      </c>
      <c r="D228" s="516" t="s">
        <v>861</v>
      </c>
      <c r="E228" s="593" t="str" cm="1">
        <f t="array" ref="E228">UPPER(IF(C228="COMPOSIÇÃO",_xlfn.XLOOKUP($B228,A:A,E:E,),IF(C228="COTAÇÃO",VLOOKUP($B228,COTAÇÕES!$A$11:$E$37,2,0),BuscarCampoAccess("Descricao",B228,B.A_SINAPI,B.M_SINAPI,C228))))</f>
        <v>ERRO: CONEXÃO NÃO ESTABELECIDA. CLIQUE EM CONECTAR.</v>
      </c>
      <c r="F228" s="594" t="str" cm="1">
        <f t="array" ref="F228">UPPER(IF(C228="COMPOSIÇÃO",_xlfn.XLOOKUP($B228,A:A,F:F,),IF(C228="COTAÇÃO",VLOOKUP($B228,COTAÇÕES!$A$11:$E$37,3,0),BuscarCampoAccess("Unidade",B228,B.A_SINAPI,B.M_SINAPI,C228))))</f>
        <v>ERRO: CONEXÃO NÃO ESTABELECIDA. CLIQUE EM CONECTAR.</v>
      </c>
      <c r="G228" s="517">
        <f>SUM(G225:G227)*1.3</f>
        <v>2.3594999999999997</v>
      </c>
      <c r="H228" s="582" t="str" cm="1">
        <f t="array" ref="H228">UPPER(IF(C228="COMPOSIÇÃO",_xlfn.XLOOKUP($B228,A:A,I:I,),IF(C228="COTAÇÃO",VLOOKUP($B228,COTAÇÕES!$A$11:$E$37,5,0),BuscarCampoAccess("Custo",B228,B.A_SINAPI,B.M_SINAPI,C228))))</f>
        <v>ERRO: CONEXÃO NÃO ESTABELECIDA. CLIQUE EM CONECTAR.</v>
      </c>
      <c r="I228" s="583" t="e">
        <f>TRUNC(G228*H228,2)</f>
        <v>#VALUE!</v>
      </c>
      <c r="K228" s="529" t="str">
        <f>IF(A228=B228,IFERROR(VLOOKUP(B228,#REF!,1,0),"-"),"-")</f>
        <v>-</v>
      </c>
      <c r="L228" s="304">
        <f t="shared" si="18"/>
        <v>1</v>
      </c>
      <c r="M228" s="304" t="str">
        <f t="shared" si="19"/>
        <v>-</v>
      </c>
    </row>
    <row r="229" spans="1:13" ht="63.75" x14ac:dyDescent="0.3">
      <c r="B229" s="516">
        <v>95876</v>
      </c>
      <c r="C229" s="573" t="s">
        <v>309</v>
      </c>
      <c r="D229" s="516" t="s">
        <v>861</v>
      </c>
      <c r="E229" s="593" t="str" cm="1">
        <f t="array" ref="E229">UPPER(IF(C229="COMPOSIÇÃO",_xlfn.XLOOKUP($B229,A:A,E:E,),IF(C229="COTAÇÃO",VLOOKUP($B229,COTAÇÕES!$A$11:$E$37,2,0),BuscarCampoAccess("Descricao",B229,B.A_SINAPI,B.M_SINAPI,C229))))</f>
        <v>ERRO: CONEXÃO NÃO ESTABELECIDA. CLIQUE EM CONECTAR.</v>
      </c>
      <c r="F229" s="594" t="str" cm="1">
        <f t="array" ref="F229">UPPER(IF(C229="COMPOSIÇÃO",_xlfn.XLOOKUP($B229,A:A,F:F,),IF(C229="COTAÇÃO",VLOOKUP($B229,COTAÇÕES!$A$11:$E$37,3,0),BuscarCampoAccess("Unidade",B229,B.A_SINAPI,B.M_SINAPI,C229))))</f>
        <v>ERRO: CONEXÃO NÃO ESTABELECIDA. CLIQUE EM CONECTAR.</v>
      </c>
      <c r="G229" s="517">
        <f>G228*'16-DMT'!$H$11</f>
        <v>13.685099999999998</v>
      </c>
      <c r="H229" s="582" t="str" cm="1">
        <f t="array" ref="H229">UPPER(IF(C229="COMPOSIÇÃO",_xlfn.XLOOKUP($B229,A:A,I:I,),IF(C229="COTAÇÃO",VLOOKUP($B229,COTAÇÕES!$A$11:$E$37,5,0),BuscarCampoAccess("Custo",B229,B.A_SINAPI,B.M_SINAPI,C229))))</f>
        <v>ERRO: CONEXÃO NÃO ESTABELECIDA. CLIQUE EM CONECTAR.</v>
      </c>
      <c r="I229" s="583" t="e">
        <f>TRUNC(G229*H229,2)</f>
        <v>#VALUE!</v>
      </c>
      <c r="K229" s="529" t="str">
        <f>IF(A229=B229,IFERROR(VLOOKUP(B229,#REF!,1,0),"-"),"-")</f>
        <v>-</v>
      </c>
      <c r="L229" s="304">
        <f t="shared" si="18"/>
        <v>1</v>
      </c>
      <c r="M229" s="304" t="str">
        <f t="shared" si="19"/>
        <v>-</v>
      </c>
    </row>
    <row r="230" spans="1:13" ht="63.75" x14ac:dyDescent="0.3">
      <c r="B230" s="516">
        <v>93358</v>
      </c>
      <c r="C230" s="573" t="s">
        <v>309</v>
      </c>
      <c r="D230" s="516" t="s">
        <v>861</v>
      </c>
      <c r="E230" s="593" t="str" cm="1">
        <f t="array" ref="E230">UPPER(IF(C230="COMPOSIÇÃO",_xlfn.XLOOKUP($B230,A:A,E:E,),IF(C230="COTAÇÃO",VLOOKUP($B230,COTAÇÕES!$A$11:$E$37,2,0),BuscarCampoAccess("Descricao",B230,B.A_SINAPI,B.M_SINAPI,C230))))</f>
        <v>ERRO: CONEXÃO NÃO ESTABELECIDA. CLIQUE EM CONECTAR.</v>
      </c>
      <c r="F230" s="594" t="str" cm="1">
        <f t="array" ref="F230">UPPER(IF(C230="COMPOSIÇÃO",_xlfn.XLOOKUP($B230,A:A,F:F,),IF(C230="COTAÇÃO",VLOOKUP($B230,COTAÇÕES!$A$11:$E$37,3,0),BuscarCampoAccess("Unidade",B230,B.A_SINAPI,B.M_SINAPI,C230))))</f>
        <v>ERRO: CONEXÃO NÃO ESTABELECIDA. CLIQUE EM CONECTAR.</v>
      </c>
      <c r="G230" s="517">
        <v>4.6749999999999998</v>
      </c>
      <c r="H230" s="582" t="str" cm="1">
        <f t="array" ref="H230">UPPER(IF(C230="COMPOSIÇÃO",_xlfn.XLOOKUP($B230,A:A,I:I,),IF(C230="COTAÇÃO",VLOOKUP($B230,COTAÇÕES!$A$11:$E$37,5,0),BuscarCampoAccess("Custo",B230,B.A_SINAPI,B.M_SINAPI,C230))))</f>
        <v>ERRO: CONEXÃO NÃO ESTABELECIDA. CLIQUE EM CONECTAR.</v>
      </c>
      <c r="I230" s="583" t="e">
        <f t="shared" si="21"/>
        <v>#VALUE!</v>
      </c>
      <c r="K230" s="529" t="str">
        <f>IF(A230=B230,IFERROR(VLOOKUP(B230,#REF!,1,0),"-"),"-")</f>
        <v>-</v>
      </c>
      <c r="L230" s="304">
        <f t="shared" si="18"/>
        <v>1</v>
      </c>
      <c r="M230" s="304" t="str">
        <f t="shared" si="19"/>
        <v>-</v>
      </c>
    </row>
    <row r="231" spans="1:13" ht="63.75" x14ac:dyDescent="0.3">
      <c r="B231" s="516">
        <v>104733</v>
      </c>
      <c r="C231" s="573" t="s">
        <v>309</v>
      </c>
      <c r="D231" s="516" t="s">
        <v>861</v>
      </c>
      <c r="E231" s="593" t="str" cm="1">
        <f t="array" ref="E231">UPPER(IF(C231="COMPOSIÇÃO",_xlfn.XLOOKUP($B231,A:A,E:E,),IF(C231="COTAÇÃO",VLOOKUP($B231,COTAÇÕES!$A$11:$E$37,2,0),BuscarCampoAccess("Descricao",B231,B.A_SINAPI,B.M_SINAPI,C231))))</f>
        <v>ERRO: CONEXÃO NÃO ESTABELECIDA. CLIQUE EM CONECTAR.</v>
      </c>
      <c r="F231" s="594" t="str" cm="1">
        <f t="array" ref="F231">UPPER(IF(C231="COMPOSIÇÃO",_xlfn.XLOOKUP($B231,A:A,F:F,),IF(C231="COTAÇÃO",VLOOKUP($B231,COTAÇÕES!$A$11:$E$37,3,0),BuscarCampoAccess("Unidade",B231,B.A_SINAPI,B.M_SINAPI,C231))))</f>
        <v>ERRO: CONEXÃO NÃO ESTABELECIDA. CLIQUE EM CONECTAR.</v>
      </c>
      <c r="G231" s="517">
        <f>G230</f>
        <v>4.6749999999999998</v>
      </c>
      <c r="H231" s="582" t="str" cm="1">
        <f t="array" ref="H231">UPPER(IF(C231="COMPOSIÇÃO",_xlfn.XLOOKUP($B231,A:A,I:I,),IF(C231="COTAÇÃO",VLOOKUP($B231,COTAÇÕES!$A$11:$E$37,5,0),BuscarCampoAccess("Custo",B231,B.A_SINAPI,B.M_SINAPI,C231))))</f>
        <v>ERRO: CONEXÃO NÃO ESTABELECIDA. CLIQUE EM CONECTAR.</v>
      </c>
      <c r="I231" s="583" t="e">
        <f>TRUNC(G231*H231,2)</f>
        <v>#VALUE!</v>
      </c>
      <c r="K231" s="529" t="str">
        <f>IF(A231=B231,IFERROR(VLOOKUP(B231,#REF!,1,0),"-"),"-")</f>
        <v>-</v>
      </c>
      <c r="L231" s="304">
        <f t="shared" si="18"/>
        <v>1</v>
      </c>
      <c r="M231" s="304" t="str">
        <f t="shared" si="19"/>
        <v>-</v>
      </c>
    </row>
    <row r="232" spans="1:13" ht="63.75" x14ac:dyDescent="0.3">
      <c r="B232" s="516">
        <v>100984</v>
      </c>
      <c r="C232" s="573" t="s">
        <v>309</v>
      </c>
      <c r="D232" s="516" t="s">
        <v>861</v>
      </c>
      <c r="E232" s="593" t="str" cm="1">
        <f t="array" ref="E232">UPPER(IF(C232="COMPOSIÇÃO",_xlfn.XLOOKUP($B232,A:A,E:E,),IF(C232="COTAÇÃO",VLOOKUP($B232,COTAÇÕES!$A$11:$E$37,2,0),BuscarCampoAccess("Descricao",B232,B.A_SINAPI,B.M_SINAPI,C232))))</f>
        <v>ERRO: CONEXÃO NÃO ESTABELECIDA. CLIQUE EM CONECTAR.</v>
      </c>
      <c r="F232" s="594" t="str" cm="1">
        <f t="array" ref="F232">UPPER(IF(C232="COMPOSIÇÃO",_xlfn.XLOOKUP($B232,A:A,F:F,),IF(C232="COTAÇÃO",VLOOKUP($B232,COTAÇÕES!$A$11:$E$37,3,0),BuscarCampoAccess("Unidade",B232,B.A_SINAPI,B.M_SINAPI,C232))))</f>
        <v>ERRO: CONEXÃO NÃO ESTABELECIDA. CLIQUE EM CONECTAR.</v>
      </c>
      <c r="G232" s="517">
        <f>G231*1.3</f>
        <v>6.0774999999999997</v>
      </c>
      <c r="H232" s="582" t="str" cm="1">
        <f t="array" ref="H232">UPPER(IF(C232="COMPOSIÇÃO",_xlfn.XLOOKUP($B232,A:A,I:I,),IF(C232="COTAÇÃO",VLOOKUP($B232,COTAÇÕES!$A$11:$E$37,5,0),BuscarCampoAccess("Custo",B232,B.A_SINAPI,B.M_SINAPI,C232))))</f>
        <v>ERRO: CONEXÃO NÃO ESTABELECIDA. CLIQUE EM CONECTAR.</v>
      </c>
      <c r="I232" s="583" t="e">
        <f>TRUNC(G232*H232,2)</f>
        <v>#VALUE!</v>
      </c>
      <c r="K232" s="529" t="str">
        <f>IF(A232=B232,IFERROR(VLOOKUP(B232,#REF!,1,0),"-"),"-")</f>
        <v>-</v>
      </c>
      <c r="L232" s="304">
        <f t="shared" si="18"/>
        <v>1</v>
      </c>
      <c r="M232" s="304" t="str">
        <f t="shared" si="19"/>
        <v>-</v>
      </c>
    </row>
    <row r="233" spans="1:13" ht="63.75" x14ac:dyDescent="0.3">
      <c r="B233" s="516">
        <v>95876</v>
      </c>
      <c r="C233" s="573" t="s">
        <v>309</v>
      </c>
      <c r="D233" s="516" t="s">
        <v>861</v>
      </c>
      <c r="E233" s="593" t="str" cm="1">
        <f t="array" ref="E233">UPPER(IF(C233="COMPOSIÇÃO",_xlfn.XLOOKUP($B233,A:A,E:E,),IF(C233="COTAÇÃO",VLOOKUP($B233,COTAÇÕES!$A$11:$E$37,2,0),BuscarCampoAccess("Descricao",B233,B.A_SINAPI,B.M_SINAPI,C233))))</f>
        <v>ERRO: CONEXÃO NÃO ESTABELECIDA. CLIQUE EM CONECTAR.</v>
      </c>
      <c r="F233" s="594" t="str" cm="1">
        <f t="array" ref="F233">UPPER(IF(C233="COMPOSIÇÃO",_xlfn.XLOOKUP($B233,A:A,F:F,),IF(C233="COTAÇÃO",VLOOKUP($B233,COTAÇÕES!$A$11:$E$37,3,0),BuscarCampoAccess("Unidade",B233,B.A_SINAPI,B.M_SINAPI,C233))))</f>
        <v>ERRO: CONEXÃO NÃO ESTABELECIDA. CLIQUE EM CONECTAR.</v>
      </c>
      <c r="G233" s="517">
        <f>G232*'16-DMT'!$H$11</f>
        <v>35.249499999999998</v>
      </c>
      <c r="H233" s="582" t="str" cm="1">
        <f t="array" ref="H233">UPPER(IF(C233="COMPOSIÇÃO",_xlfn.XLOOKUP($B233,A:A,I:I,),IF(C233="COTAÇÃO",VLOOKUP($B233,COTAÇÕES!$A$11:$E$37,5,0),BuscarCampoAccess("Custo",B233,B.A_SINAPI,B.M_SINAPI,C233))))</f>
        <v>ERRO: CONEXÃO NÃO ESTABELECIDA. CLIQUE EM CONECTAR.</v>
      </c>
      <c r="I233" s="583" t="e">
        <f t="shared" si="21"/>
        <v>#VALUE!</v>
      </c>
      <c r="K233" s="529" t="str">
        <f>IF(A233=B233,IFERROR(VLOOKUP(B233,#REF!,1,0),"-"),"-")</f>
        <v>-</v>
      </c>
      <c r="L233" s="304">
        <f t="shared" si="18"/>
        <v>1</v>
      </c>
      <c r="M233" s="304" t="str">
        <f t="shared" si="19"/>
        <v>-</v>
      </c>
    </row>
    <row r="234" spans="1:13" x14ac:dyDescent="0.3">
      <c r="K234" s="529" t="str">
        <f>IF(A234=B234,IFERROR(VLOOKUP(B234,#REF!,1,0),"-"),"-")</f>
        <v>-</v>
      </c>
      <c r="L234" s="304">
        <f t="shared" si="18"/>
        <v>0</v>
      </c>
      <c r="M234" s="304" t="b">
        <f t="shared" si="19"/>
        <v>0</v>
      </c>
    </row>
    <row r="235" spans="1:13" ht="25.5" x14ac:dyDescent="0.3">
      <c r="A235" s="192" t="str">
        <f>IF(AND(D235="",E235&lt;&gt;""),B235,"")</f>
        <v>CPU-DRED 23</v>
      </c>
      <c r="B235" s="589" t="s">
        <v>1105</v>
      </c>
      <c r="C235" s="187"/>
      <c r="D235" s="188"/>
      <c r="E235" s="189" t="s">
        <v>1107</v>
      </c>
      <c r="F235" s="188" t="s">
        <v>336</v>
      </c>
      <c r="G235" s="188"/>
      <c r="H235" s="191"/>
      <c r="I235" s="590" t="e">
        <f>SUM(I236:I238)</f>
        <v>#VALUE!</v>
      </c>
      <c r="K235" s="529" t="str">
        <f>IF(A235=B235,IFERROR(VLOOKUP(B235,#REF!,1,0),"-"),"-")</f>
        <v>-</v>
      </c>
      <c r="L235" s="304">
        <f t="shared" si="18"/>
        <v>1</v>
      </c>
      <c r="M235" s="304" t="str">
        <f t="shared" si="19"/>
        <v>-</v>
      </c>
    </row>
    <row r="236" spans="1:13" ht="63.75" x14ac:dyDescent="0.3">
      <c r="B236" s="516" t="s">
        <v>1106</v>
      </c>
      <c r="C236" s="573" t="s">
        <v>815</v>
      </c>
      <c r="D236" s="516" t="s">
        <v>861</v>
      </c>
      <c r="E236" s="593" t="str" cm="1">
        <f t="array" ref="E236">UPPER(IF(C237="COMPOSIÇÃO",_xlfn.XLOOKUP($B237,A:A,E:E,),IF(C237="COTAÇÃO",VLOOKUP($B237,COTAÇÕES!$A$11:$E$37,2,0),BuscarCampoAccess("Descricao",B237,B.A_SINAPI,B.M_SINAPI,C237))))</f>
        <v>ERRO: CONEXÃO NÃO ESTABELECIDA. CLIQUE EM CONECTAR.</v>
      </c>
      <c r="F236" s="594" t="str" cm="1">
        <f t="array" ref="F236">UPPER(IF(C236="COMPOSIÇÃO",_xlfn.XLOOKUP($B236,A:A,F:F,),IF(C236="COTAÇÃO",VLOOKUP($B236,COTAÇÕES!$A$11:$E$37,3,0),BuscarCampoAccess("Unidade",B236,B.A_SINAPI,B.M_SINAPI,C236))))</f>
        <v>ERRO: CONEXÃO NÃO ESTABELECIDA. CLIQUE EM CONECTAR.</v>
      </c>
      <c r="G236" s="517">
        <v>3</v>
      </c>
      <c r="H236" s="582" t="str" cm="1">
        <f t="array" ref="H236">UPPER(IF(C236="COMPOSIÇÃO",_xlfn.XLOOKUP($B236,A:A,I:I,),IF(C236="COTAÇÃO",VLOOKUP($B236,COTAÇÕES!$A$11:$E$37,5,0),BuscarCampoAccess("Custo",B236,B.A_SINAPI,B.M_SINAPI,C236))))</f>
        <v>ERRO: CONEXÃO NÃO ESTABELECIDA. CLIQUE EM CONECTAR.</v>
      </c>
      <c r="I236" s="583" t="e">
        <f>TRUNC(G236*H236,2)</f>
        <v>#VALUE!</v>
      </c>
      <c r="K236" s="529" t="str">
        <f>IF(A236=B236,IFERROR(VLOOKUP(B236,#REF!,1,0),"-"),"-")</f>
        <v>-</v>
      </c>
      <c r="L236" s="304">
        <f t="shared" si="18"/>
        <v>1</v>
      </c>
      <c r="M236" s="304" t="str">
        <f t="shared" si="19"/>
        <v>-</v>
      </c>
    </row>
    <row r="237" spans="1:13" ht="63.75" x14ac:dyDescent="0.3">
      <c r="B237" s="516">
        <v>88242</v>
      </c>
      <c r="C237" s="573" t="s">
        <v>309</v>
      </c>
      <c r="D237" s="516" t="s">
        <v>861</v>
      </c>
      <c r="E237" s="593" t="str" cm="1">
        <f t="array" ref="E237">UPPER(IF(C238="COMPOSIÇÃO",_xlfn.XLOOKUP($B238,A:A,E:E,),IF(C238="COTAÇÃO",VLOOKUP($B238,COTAÇÕES!$A$11:$E$37,2,0),BuscarCampoAccess("Descricao",B238,B.A_SINAPI,B.M_SINAPI,C238))))</f>
        <v>ERRO: CONEXÃO NÃO ESTABELECIDA. CLIQUE EM CONECTAR.</v>
      </c>
      <c r="F237" s="594" t="str" cm="1">
        <f t="array" ref="F237">UPPER(IF(C237="COMPOSIÇÃO",_xlfn.XLOOKUP($B237,A:A,F:F,),IF(C237="COTAÇÃO",VLOOKUP($B237,COTAÇÕES!$A$11:$E$37,3,0),BuscarCampoAccess("Unidade",B237,B.A_SINAPI,B.M_SINAPI,C237))))</f>
        <v>ERRO: CONEXÃO NÃO ESTABELECIDA. CLIQUE EM CONECTAR.</v>
      </c>
      <c r="G237" s="517">
        <v>2</v>
      </c>
      <c r="H237" s="582" t="str" cm="1">
        <f t="array" ref="H237">UPPER(IF(C237="COMPOSIÇÃO",_xlfn.XLOOKUP($B237,A:A,I:I,),IF(C237="COTAÇÃO",VLOOKUP($B237,COTAÇÕES!$A$11:$E$37,5,0),BuscarCampoAccess("Custo",B237,B.A_SINAPI,B.M_SINAPI,C237))))</f>
        <v>ERRO: CONEXÃO NÃO ESTABELECIDA. CLIQUE EM CONECTAR.</v>
      </c>
      <c r="I237" s="583" t="e">
        <f>TRUNC(G237*H237,2)</f>
        <v>#VALUE!</v>
      </c>
      <c r="K237" s="529" t="str">
        <f>IF(A237=B237,IFERROR(VLOOKUP(B237,#REF!,1,0),"-"),"-")</f>
        <v>-</v>
      </c>
      <c r="L237" s="304">
        <f t="shared" si="18"/>
        <v>1</v>
      </c>
      <c r="M237" s="304" t="str">
        <f t="shared" si="19"/>
        <v>-</v>
      </c>
    </row>
    <row r="238" spans="1:13" ht="63.75" x14ac:dyDescent="0.3">
      <c r="B238" s="516">
        <v>88309</v>
      </c>
      <c r="C238" s="573" t="s">
        <v>309</v>
      </c>
      <c r="D238" s="516" t="s">
        <v>861</v>
      </c>
      <c r="E238" s="593" t="str" cm="1">
        <f t="array" ref="E238">UPPER(IF(C238="COMPOSIÇÃO",_xlfn.XLOOKUP($B238,A:A,E:E,),IF(C238="COTAÇÃO",VLOOKUP($B238,COTAÇÕES!$A$11:$E$37,2,0),BuscarCampoAccess("Descricao",B238,B.A_SINAPI,B.M_SINAPI,C238))))</f>
        <v>ERRO: CONEXÃO NÃO ESTABELECIDA. CLIQUE EM CONECTAR.</v>
      </c>
      <c r="F238" s="594" t="str" cm="1">
        <f t="array" ref="F238">UPPER(IF(C238="COMPOSIÇÃO",_xlfn.XLOOKUP($B238,A:A,F:F,),IF(C238="COTAÇÃO",VLOOKUP($B238,COTAÇÕES!$A$11:$E$37,3,0),BuscarCampoAccess("Unidade",B238,B.A_SINAPI,B.M_SINAPI,C238))))</f>
        <v>ERRO: CONEXÃO NÃO ESTABELECIDA. CLIQUE EM CONECTAR.</v>
      </c>
      <c r="G238" s="517">
        <v>2</v>
      </c>
      <c r="H238" s="582" t="str" cm="1">
        <f t="array" ref="H238">UPPER(IF(C238="COMPOSIÇÃO",_xlfn.XLOOKUP($B238,A:A,I:I,),IF(C238="COTAÇÃO",VLOOKUP($B238,COTAÇÕES!$A$11:$E$37,5,0),BuscarCampoAccess("Custo",B238,B.A_SINAPI,B.M_SINAPI,C238))))</f>
        <v>ERRO: CONEXÃO NÃO ESTABELECIDA. CLIQUE EM CONECTAR.</v>
      </c>
      <c r="I238" s="583" t="e">
        <f>TRUNC(G238*H238,2)</f>
        <v>#VALUE!</v>
      </c>
      <c r="K238" s="529" t="str">
        <f>IF(A238=B238,IFERROR(VLOOKUP(B238,#REF!,1,0),"-"),"-")</f>
        <v>-</v>
      </c>
      <c r="L238" s="304">
        <f t="shared" si="18"/>
        <v>1</v>
      </c>
      <c r="M238" s="304" t="str">
        <f t="shared" si="19"/>
        <v>-</v>
      </c>
    </row>
    <row r="239" spans="1:13" x14ac:dyDescent="0.3">
      <c r="K239" s="529" t="str">
        <f>IF(A239=B239,IFERROR(VLOOKUP(B239,#REF!,1,0),"-"),"-")</f>
        <v>-</v>
      </c>
      <c r="L239" s="304">
        <f t="shared" si="18"/>
        <v>0</v>
      </c>
      <c r="M239" s="304" t="b">
        <f t="shared" si="19"/>
        <v>0</v>
      </c>
    </row>
    <row r="240" spans="1:13" x14ac:dyDescent="0.3">
      <c r="A240" s="192" t="str">
        <f>IF(AND(D240="",E240&lt;&gt;""),B240,"")</f>
        <v>CPU-DRED 24</v>
      </c>
      <c r="B240" s="589" t="s">
        <v>1109</v>
      </c>
      <c r="C240" s="187"/>
      <c r="D240" s="188"/>
      <c r="E240" s="189" t="s">
        <v>1108</v>
      </c>
      <c r="F240" s="188" t="s">
        <v>256</v>
      </c>
      <c r="G240" s="188"/>
      <c r="H240" s="191"/>
      <c r="I240" s="590" t="e">
        <f>SUM(I241:I249)</f>
        <v>#VALUE!</v>
      </c>
      <c r="K240" s="529" t="str">
        <f>IF(A240=B240,IFERROR(VLOOKUP(B240,#REF!,1,0),"-"),"-")</f>
        <v>-</v>
      </c>
      <c r="L240" s="304">
        <f t="shared" si="18"/>
        <v>1</v>
      </c>
      <c r="M240" s="304" t="str">
        <f t="shared" si="19"/>
        <v>-</v>
      </c>
    </row>
    <row r="241" spans="1:13" ht="63.75" x14ac:dyDescent="0.3">
      <c r="B241" s="516">
        <v>104790</v>
      </c>
      <c r="C241" s="573" t="s">
        <v>309</v>
      </c>
      <c r="D241" s="516" t="s">
        <v>861</v>
      </c>
      <c r="E241" s="596" t="str" cm="1">
        <f t="array" ref="E241">UPPER(IF(C241="COMPOSIÇÃO",_xlfn.XLOOKUP($B241,A:A,E:E,),IF(C241="COTAÇÃO",VLOOKUP($B241,COTAÇÕES!$A$11:$E$37,2,0),BuscarCampoAccess("Descricao",B241,B.A_SINAPI,B.M_SINAPI,C241))))</f>
        <v>ERRO: CONEXÃO NÃO ESTABELECIDA. CLIQUE EM CONECTAR.</v>
      </c>
      <c r="F241" s="594" t="str" cm="1">
        <f t="array" ref="F241">UPPER(IF(C241="COMPOSIÇÃO",_xlfn.XLOOKUP($B241,A:A,F:F,),IF(C241="COTAÇÃO",VLOOKUP($B241,COTAÇÕES!$A$11:$E$37,3,0),BuscarCampoAccess("Unidade",B241,B.A_SINAPI,B.M_SINAPI,C241))))</f>
        <v>ERRO: CONEXÃO NÃO ESTABELECIDA. CLIQUE EM CONECTAR.</v>
      </c>
      <c r="G241" s="517">
        <v>3.0032999999999999</v>
      </c>
      <c r="H241" s="582" t="str" cm="1">
        <f t="array" ref="H241">UPPER(IF(C241="COMPOSIÇÃO",_xlfn.XLOOKUP($B241,A:A,I:I,),IF(C241="COTAÇÃO",VLOOKUP($B241,COTAÇÕES!$A$11:$E$37,5,0),BuscarCampoAccess("Custo",B241,B.A_SINAPI,B.M_SINAPI,C241))))</f>
        <v>ERRO: CONEXÃO NÃO ESTABELECIDA. CLIQUE EM CONECTAR.</v>
      </c>
      <c r="I241" s="583" t="e">
        <f t="shared" ref="I241:I249" si="22">TRUNC(G241*H241,2)</f>
        <v>#VALUE!</v>
      </c>
      <c r="K241" s="529" t="str">
        <f>IF(A241=B241,IFERROR(VLOOKUP(B241,#REF!,1,0),"-"),"-")</f>
        <v>-</v>
      </c>
      <c r="L241" s="304">
        <f t="shared" si="18"/>
        <v>1</v>
      </c>
      <c r="M241" s="304" t="str">
        <f t="shared" si="19"/>
        <v>-</v>
      </c>
    </row>
    <row r="242" spans="1:13" ht="63.75" x14ac:dyDescent="0.3">
      <c r="B242" s="516">
        <v>97629</v>
      </c>
      <c r="C242" s="573" t="s">
        <v>309</v>
      </c>
      <c r="D242" s="516" t="s">
        <v>861</v>
      </c>
      <c r="E242" s="596" t="str" cm="1">
        <f t="array" ref="E242">UPPER(IF(C242="COMPOSIÇÃO",_xlfn.XLOOKUP($B242,A:A,E:E,),IF(C242="COTAÇÃO",VLOOKUP($B242,COTAÇÕES!$A$11:$E$37,2,0),BuscarCampoAccess("Descricao",B242,B.A_SINAPI,B.M_SINAPI,C242))))</f>
        <v>ERRO: CONEXÃO NÃO ESTABELECIDA. CLIQUE EM CONECTAR.</v>
      </c>
      <c r="F242" s="594" t="str" cm="1">
        <f t="array" ref="F242">UPPER(IF(C242="COMPOSIÇÃO",_xlfn.XLOOKUP($B242,A:A,F:F,),IF(C242="COTAÇÃO",VLOOKUP($B242,COTAÇÕES!$A$11:$E$37,3,0),BuscarCampoAccess("Unidade",B242,B.A_SINAPI,B.M_SINAPI,C242))))</f>
        <v>ERRO: CONEXÃO NÃO ESTABELECIDA. CLIQUE EM CONECTAR.</v>
      </c>
      <c r="G242" s="517">
        <v>3.278</v>
      </c>
      <c r="H242" s="582" t="str" cm="1">
        <f t="array" ref="H242">UPPER(IF(C242="COMPOSIÇÃO",_xlfn.XLOOKUP($B242,A:A,I:I,),IF(C242="COTAÇÃO",VLOOKUP($B242,COTAÇÕES!$A$11:$E$37,5,0),BuscarCampoAccess("Custo",B242,B.A_SINAPI,B.M_SINAPI,C242))))</f>
        <v>ERRO: CONEXÃO NÃO ESTABELECIDA. CLIQUE EM CONECTAR.</v>
      </c>
      <c r="I242" s="583" t="e">
        <f t="shared" si="22"/>
        <v>#VALUE!</v>
      </c>
      <c r="K242" s="529" t="str">
        <f>IF(A242=B242,IFERROR(VLOOKUP(B242,#REF!,1,0),"-"),"-")</f>
        <v>-</v>
      </c>
      <c r="L242" s="304">
        <f t="shared" si="18"/>
        <v>1</v>
      </c>
      <c r="M242" s="304" t="str">
        <f t="shared" si="19"/>
        <v>-</v>
      </c>
    </row>
    <row r="243" spans="1:13" ht="63.75" x14ac:dyDescent="0.3">
      <c r="B243" s="516">
        <v>97625</v>
      </c>
      <c r="C243" s="573" t="s">
        <v>309</v>
      </c>
      <c r="D243" s="516" t="s">
        <v>861</v>
      </c>
      <c r="E243" s="596" t="str" cm="1">
        <f t="array" ref="E243">UPPER(IF(C243="COMPOSIÇÃO",_xlfn.XLOOKUP($B243,A:A,E:E,),IF(C243="COTAÇÃO",VLOOKUP($B243,COTAÇÕES!$A$11:$E$37,2,0),BuscarCampoAccess("Descricao",B243,B.A_SINAPI,B.M_SINAPI,C243))))</f>
        <v>ERRO: CONEXÃO NÃO ESTABELECIDA. CLIQUE EM CONECTAR.</v>
      </c>
      <c r="F243" s="594" t="str" cm="1">
        <f t="array" ref="F243">UPPER(IF(C243="COMPOSIÇÃO",_xlfn.XLOOKUP($B243,A:A,F:F,),IF(C243="COTAÇÃO",VLOOKUP($B243,COTAÇÕES!$A$11:$E$37,3,0),BuscarCampoAccess("Unidade",B243,B.A_SINAPI,B.M_SINAPI,C243))))</f>
        <v>ERRO: CONEXÃO NÃO ESTABELECIDA. CLIQUE EM CONECTAR.</v>
      </c>
      <c r="G243" s="517">
        <v>1.3360232089999999</v>
      </c>
      <c r="H243" s="582" t="str" cm="1">
        <f t="array" ref="H243">UPPER(IF(C243="COMPOSIÇÃO",_xlfn.XLOOKUP($B243,A:A,I:I,),IF(C243="COTAÇÃO",VLOOKUP($B243,COTAÇÕES!$A$11:$E$37,5,0),BuscarCampoAccess("Custo",B243,B.A_SINAPI,B.M_SINAPI,C243))))</f>
        <v>ERRO: CONEXÃO NÃO ESTABELECIDA. CLIQUE EM CONECTAR.</v>
      </c>
      <c r="I243" s="583" t="e">
        <f t="shared" si="22"/>
        <v>#VALUE!</v>
      </c>
      <c r="K243" s="529" t="str">
        <f>IF(A243=B243,IFERROR(VLOOKUP(B243,#REF!,1,0),"-"),"-")</f>
        <v>-</v>
      </c>
      <c r="L243" s="304">
        <f t="shared" si="18"/>
        <v>1</v>
      </c>
      <c r="M243" s="304" t="str">
        <f t="shared" si="19"/>
        <v>-</v>
      </c>
    </row>
    <row r="244" spans="1:13" ht="63.75" x14ac:dyDescent="0.3">
      <c r="B244" s="516">
        <v>100984</v>
      </c>
      <c r="C244" s="573" t="s">
        <v>309</v>
      </c>
      <c r="D244" s="516" t="s">
        <v>861</v>
      </c>
      <c r="E244" s="596" t="str" cm="1">
        <f t="array" ref="E244">UPPER(IF(C244="COMPOSIÇÃO",_xlfn.XLOOKUP($B244,A:A,E:E,),IF(C244="COTAÇÃO",VLOOKUP($B244,COTAÇÕES!$A$11:$E$37,2,0),BuscarCampoAccess("Descricao",B244,B.A_SINAPI,B.M_SINAPI,C244))))</f>
        <v>ERRO: CONEXÃO NÃO ESTABELECIDA. CLIQUE EM CONECTAR.</v>
      </c>
      <c r="F244" s="594" t="str" cm="1">
        <f t="array" ref="F244">UPPER(IF(C244="COMPOSIÇÃO",_xlfn.XLOOKUP($B244,A:A,F:F,),IF(C244="COTAÇÃO",VLOOKUP($B244,COTAÇÕES!$A$11:$E$37,3,0),BuscarCampoAccess("Unidade",B244,B.A_SINAPI,B.M_SINAPI,C244))))</f>
        <v>ERRO: CONEXÃO NÃO ESTABELECIDA. CLIQUE EM CONECTAR.</v>
      </c>
      <c r="G244" s="517">
        <f>SUM(G241:G243)</f>
        <v>7.6173232090000003</v>
      </c>
      <c r="H244" s="582" t="str" cm="1">
        <f t="array" ref="H244">UPPER(IF(C244="COMPOSIÇÃO",_xlfn.XLOOKUP($B244,A:A,I:I,),IF(C244="COTAÇÃO",VLOOKUP($B244,COTAÇÕES!$A$11:$E$37,5,0),BuscarCampoAccess("Custo",B244,B.A_SINAPI,B.M_SINAPI,C244))))</f>
        <v>ERRO: CONEXÃO NÃO ESTABELECIDA. CLIQUE EM CONECTAR.</v>
      </c>
      <c r="I244" s="583" t="e">
        <f>TRUNC(G244*H244,2)</f>
        <v>#VALUE!</v>
      </c>
      <c r="K244" s="529" t="str">
        <f>IF(A244=B244,IFERROR(VLOOKUP(B244,#REF!,1,0),"-"),"-")</f>
        <v>-</v>
      </c>
      <c r="L244" s="304">
        <f t="shared" si="18"/>
        <v>1</v>
      </c>
      <c r="M244" s="304" t="str">
        <f t="shared" si="19"/>
        <v>-</v>
      </c>
    </row>
    <row r="245" spans="1:13" ht="63.75" x14ac:dyDescent="0.3">
      <c r="B245" s="516">
        <v>95876</v>
      </c>
      <c r="C245" s="573" t="s">
        <v>309</v>
      </c>
      <c r="D245" s="516" t="s">
        <v>861</v>
      </c>
      <c r="E245" s="596" t="str" cm="1">
        <f t="array" ref="E245">UPPER(IF(C245="COMPOSIÇÃO",_xlfn.XLOOKUP($B245,A:A,E:E,),IF(C245="COTAÇÃO",VLOOKUP($B245,COTAÇÕES!$A$11:$E$37,2,0),BuscarCampoAccess("Descricao",B245,B.A_SINAPI,B.M_SINAPI,C245))))</f>
        <v>ERRO: CONEXÃO NÃO ESTABELECIDA. CLIQUE EM CONECTAR.</v>
      </c>
      <c r="F245" s="594" t="str" cm="1">
        <f t="array" ref="F245">UPPER(IF(C245="COMPOSIÇÃO",_xlfn.XLOOKUP($B245,A:A,F:F,),IF(C245="COTAÇÃO",VLOOKUP($B245,COTAÇÕES!$A$11:$E$37,3,0),BuscarCampoAccess("Unidade",B245,B.A_SINAPI,B.M_SINAPI,C245))))</f>
        <v>ERRO: CONEXÃO NÃO ESTABELECIDA. CLIQUE EM CONECTAR.</v>
      </c>
      <c r="G245" s="517">
        <f>SUM(G241:G244)*'16-DMT'!$H$11</f>
        <v>88.360949224400002</v>
      </c>
      <c r="H245" s="582" t="str" cm="1">
        <f t="array" ref="H245">UPPER(IF(C245="COMPOSIÇÃO",_xlfn.XLOOKUP($B245,A:A,I:I,),IF(C245="COTAÇÃO",VLOOKUP($B245,COTAÇÕES!$A$11:$E$37,5,0),BuscarCampoAccess("Custo",B245,B.A_SINAPI,B.M_SINAPI,C245))))</f>
        <v>ERRO: CONEXÃO NÃO ESTABELECIDA. CLIQUE EM CONECTAR.</v>
      </c>
      <c r="I245" s="583" t="e">
        <f>TRUNC(G245*H245,2)</f>
        <v>#VALUE!</v>
      </c>
      <c r="K245" s="529" t="str">
        <f>IF(A245=B245,IFERROR(VLOOKUP(B245,#REF!,1,0),"-"),"-")</f>
        <v>-</v>
      </c>
      <c r="L245" s="304">
        <f t="shared" si="18"/>
        <v>1</v>
      </c>
      <c r="M245" s="304" t="str">
        <f t="shared" si="19"/>
        <v>-</v>
      </c>
    </row>
    <row r="246" spans="1:13" ht="63.75" x14ac:dyDescent="0.3">
      <c r="B246" s="516">
        <v>93358</v>
      </c>
      <c r="C246" s="573" t="s">
        <v>309</v>
      </c>
      <c r="D246" s="516" t="s">
        <v>861</v>
      </c>
      <c r="E246" s="596" t="str" cm="1">
        <f t="array" ref="E246">UPPER(IF(C246="COMPOSIÇÃO",_xlfn.XLOOKUP($B246,A:A,E:E,),IF(C246="COTAÇÃO",VLOOKUP($B246,COTAÇÕES!$A$11:$E$37,2,0),BuscarCampoAccess("Descricao",B246,B.A_SINAPI,B.M_SINAPI,C246))))</f>
        <v>ERRO: CONEXÃO NÃO ESTABELECIDA. CLIQUE EM CONECTAR.</v>
      </c>
      <c r="F246" s="594" t="str" cm="1">
        <f t="array" ref="F246">UPPER(IF(C246="COMPOSIÇÃO",_xlfn.XLOOKUP($B246,A:A,F:F,),IF(C246="COTAÇÃO",VLOOKUP($B246,COTAÇÕES!$A$11:$E$37,3,0),BuscarCampoAccess("Unidade",B246,B.A_SINAPI,B.M_SINAPI,C246))))</f>
        <v>ERRO: CONEXÃO NÃO ESTABELECIDA. CLIQUE EM CONECTAR.</v>
      </c>
      <c r="G246" s="517">
        <v>5.86</v>
      </c>
      <c r="H246" s="582" t="str" cm="1">
        <f t="array" ref="H246">UPPER(IF(C246="COMPOSIÇÃO",_xlfn.XLOOKUP($B246,A:A,I:I,),IF(C246="COTAÇÃO",VLOOKUP($B246,COTAÇÕES!$A$11:$E$37,5,0),BuscarCampoAccess("Custo",B246,B.A_SINAPI,B.M_SINAPI,C246))))</f>
        <v>ERRO: CONEXÃO NÃO ESTABELECIDA. CLIQUE EM CONECTAR.</v>
      </c>
      <c r="I246" s="583" t="e">
        <f t="shared" si="22"/>
        <v>#VALUE!</v>
      </c>
      <c r="K246" s="529" t="str">
        <f>IF(A246=B246,IFERROR(VLOOKUP(B246,#REF!,1,0),"-"),"-")</f>
        <v>-</v>
      </c>
      <c r="L246" s="304">
        <f t="shared" si="18"/>
        <v>1</v>
      </c>
      <c r="M246" s="304" t="str">
        <f t="shared" si="19"/>
        <v>-</v>
      </c>
    </row>
    <row r="247" spans="1:13" ht="63.75" x14ac:dyDescent="0.3">
      <c r="B247" s="516">
        <v>104733</v>
      </c>
      <c r="C247" s="573" t="s">
        <v>309</v>
      </c>
      <c r="D247" s="516" t="s">
        <v>861</v>
      </c>
      <c r="E247" s="596" t="str" cm="1">
        <f t="array" ref="E247">UPPER(IF(C247="COMPOSIÇÃO",_xlfn.XLOOKUP($B247,A:A,E:E,),IF(C247="COTAÇÃO",VLOOKUP($B247,COTAÇÕES!$A$11:$E$37,2,0),BuscarCampoAccess("Descricao",B247,B.A_SINAPI,B.M_SINAPI,C247))))</f>
        <v>ERRO: CONEXÃO NÃO ESTABELECIDA. CLIQUE EM CONECTAR.</v>
      </c>
      <c r="F247" s="594" t="str" cm="1">
        <f t="array" ref="F247">UPPER(IF(C247="COMPOSIÇÃO",_xlfn.XLOOKUP($B247,A:A,F:F,),IF(C247="COTAÇÃO",VLOOKUP($B247,COTAÇÕES!$A$11:$E$37,3,0),BuscarCampoAccess("Unidade",B247,B.A_SINAPI,B.M_SINAPI,C247))))</f>
        <v>ERRO: CONEXÃO NÃO ESTABELECIDA. CLIQUE EM CONECTAR.</v>
      </c>
      <c r="G247" s="517">
        <v>5.86</v>
      </c>
      <c r="H247" s="582" t="str" cm="1">
        <f t="array" ref="H247">UPPER(IF(C247="COMPOSIÇÃO",_xlfn.XLOOKUP($B247,A:A,I:I,),IF(C247="COTAÇÃO",VLOOKUP($B247,COTAÇÕES!$A$11:$E$37,5,0),BuscarCampoAccess("Custo",B247,B.A_SINAPI,B.M_SINAPI,C247))))</f>
        <v>ERRO: CONEXÃO NÃO ESTABELECIDA. CLIQUE EM CONECTAR.</v>
      </c>
      <c r="I247" s="583" t="e">
        <f>TRUNC(G247*H247,2)</f>
        <v>#VALUE!</v>
      </c>
      <c r="K247" s="529" t="str">
        <f>IF(A247=B247,IFERROR(VLOOKUP(B247,#REF!,1,0),"-"),"-")</f>
        <v>-</v>
      </c>
      <c r="L247" s="304">
        <f t="shared" si="18"/>
        <v>1</v>
      </c>
      <c r="M247" s="304" t="str">
        <f t="shared" si="19"/>
        <v>-</v>
      </c>
    </row>
    <row r="248" spans="1:13" ht="63.75" x14ac:dyDescent="0.3">
      <c r="B248" s="516">
        <v>100984</v>
      </c>
      <c r="C248" s="573" t="s">
        <v>309</v>
      </c>
      <c r="D248" s="516" t="s">
        <v>861</v>
      </c>
      <c r="E248" s="596" t="str" cm="1">
        <f t="array" ref="E248">UPPER(IF(C248="COMPOSIÇÃO",_xlfn.XLOOKUP($B248,A:A,E:E,),IF(C248="COTAÇÃO",VLOOKUP($B248,COTAÇÕES!$A$11:$E$37,2,0),BuscarCampoAccess("Descricao",B248,B.A_SINAPI,B.M_SINAPI,C248))))</f>
        <v>ERRO: CONEXÃO NÃO ESTABELECIDA. CLIQUE EM CONECTAR.</v>
      </c>
      <c r="F248" s="594" t="str" cm="1">
        <f t="array" ref="F248">UPPER(IF(C248="COMPOSIÇÃO",_xlfn.XLOOKUP($B248,A:A,F:F,),IF(C248="COTAÇÃO",VLOOKUP($B248,COTAÇÕES!$A$11:$E$37,3,0),BuscarCampoAccess("Unidade",B248,B.A_SINAPI,B.M_SINAPI,C248))))</f>
        <v>ERRO: CONEXÃO NÃO ESTABELECIDA. CLIQUE EM CONECTAR.</v>
      </c>
      <c r="G248" s="517">
        <f>G247</f>
        <v>5.86</v>
      </c>
      <c r="H248" s="582" t="str" cm="1">
        <f t="array" ref="H248">UPPER(IF(C248="COMPOSIÇÃO",_xlfn.XLOOKUP($B248,A:A,I:I,),IF(C248="COTAÇÃO",VLOOKUP($B248,COTAÇÕES!$A$11:$E$37,5,0),BuscarCampoAccess("Custo",B248,B.A_SINAPI,B.M_SINAPI,C248))))</f>
        <v>ERRO: CONEXÃO NÃO ESTABELECIDA. CLIQUE EM CONECTAR.</v>
      </c>
      <c r="I248" s="583" t="e">
        <f>TRUNC(G248*H248,2)</f>
        <v>#VALUE!</v>
      </c>
      <c r="K248" s="529" t="str">
        <f>IF(A248=B248,IFERROR(VLOOKUP(B248,#REF!,1,0),"-"),"-")</f>
        <v>-</v>
      </c>
      <c r="L248" s="304">
        <f t="shared" si="18"/>
        <v>1</v>
      </c>
      <c r="M248" s="304" t="str">
        <f t="shared" si="19"/>
        <v>-</v>
      </c>
    </row>
    <row r="249" spans="1:13" ht="63.75" x14ac:dyDescent="0.3">
      <c r="B249" s="516">
        <v>95876</v>
      </c>
      <c r="C249" s="573" t="s">
        <v>309</v>
      </c>
      <c r="D249" s="516" t="s">
        <v>861</v>
      </c>
      <c r="E249" s="596" t="str" cm="1">
        <f t="array" ref="E249">UPPER(IF(C249="COMPOSIÇÃO",_xlfn.XLOOKUP($B249,A:A,E:E,),IF(C249="COTAÇÃO",VLOOKUP($B249,COTAÇÕES!$A$11:$E$37,2,0),BuscarCampoAccess("Descricao",B249,B.A_SINAPI,B.M_SINAPI,C249))))</f>
        <v>ERRO: CONEXÃO NÃO ESTABELECIDA. CLIQUE EM CONECTAR.</v>
      </c>
      <c r="F249" s="594" t="str" cm="1">
        <f t="array" ref="F249">UPPER(IF(C249="COMPOSIÇÃO",_xlfn.XLOOKUP($B249,A:A,F:F,),IF(C249="COTAÇÃO",VLOOKUP($B249,COTAÇÕES!$A$11:$E$37,3,0),BuscarCampoAccess("Unidade",B249,B.A_SINAPI,B.M_SINAPI,C249))))</f>
        <v>ERRO: CONEXÃO NÃO ESTABELECIDA. CLIQUE EM CONECTAR.</v>
      </c>
      <c r="G249" s="517">
        <f>G248*'16-DMT'!$H$11</f>
        <v>33.988</v>
      </c>
      <c r="H249" s="582" t="str" cm="1">
        <f t="array" ref="H249">UPPER(IF(C249="COMPOSIÇÃO",_xlfn.XLOOKUP($B249,A:A,I:I,),IF(C249="COTAÇÃO",VLOOKUP($B249,COTAÇÕES!$A$11:$E$37,5,0),BuscarCampoAccess("Custo",B249,B.A_SINAPI,B.M_SINAPI,C249))))</f>
        <v>ERRO: CONEXÃO NÃO ESTABELECIDA. CLIQUE EM CONECTAR.</v>
      </c>
      <c r="I249" s="583" t="e">
        <f t="shared" si="22"/>
        <v>#VALUE!</v>
      </c>
      <c r="K249" s="529" t="str">
        <f>IF(A249=B249,IFERROR(VLOOKUP(B249,#REF!,1,0),"-"),"-")</f>
        <v>-</v>
      </c>
      <c r="L249" s="304">
        <f t="shared" si="18"/>
        <v>1</v>
      </c>
      <c r="M249" s="304" t="str">
        <f t="shared" si="19"/>
        <v>-</v>
      </c>
    </row>
    <row r="250" spans="1:13" x14ac:dyDescent="0.3">
      <c r="K250" s="529" t="str">
        <f>IF(A250=B250,IFERROR(VLOOKUP(B250,#REF!,1,0),"-"),"-")</f>
        <v>-</v>
      </c>
      <c r="L250" s="304">
        <f t="shared" si="18"/>
        <v>0</v>
      </c>
      <c r="M250" s="304" t="b">
        <f t="shared" si="19"/>
        <v>0</v>
      </c>
    </row>
    <row r="251" spans="1:13" x14ac:dyDescent="0.3">
      <c r="A251" s="192" t="str">
        <f>IF(AND(D251="",E251&lt;&gt;""),B251,"")</f>
        <v>CPU-DRED 25</v>
      </c>
      <c r="B251" s="589" t="s">
        <v>1110</v>
      </c>
      <c r="C251" s="187"/>
      <c r="D251" s="188"/>
      <c r="E251" s="189" t="s">
        <v>1111</v>
      </c>
      <c r="F251" s="188" t="s">
        <v>256</v>
      </c>
      <c r="G251" s="188"/>
      <c r="H251" s="191"/>
      <c r="I251" s="590" t="e">
        <f>SUM(I252:I254)</f>
        <v>#VALUE!</v>
      </c>
      <c r="K251" s="529" t="str">
        <f>IF(A251=B251,IFERROR(VLOOKUP(B251,#REF!,1,0),"-"),"-")</f>
        <v>-</v>
      </c>
      <c r="L251" s="304">
        <f t="shared" si="18"/>
        <v>1</v>
      </c>
      <c r="M251" s="304" t="str">
        <f t="shared" si="19"/>
        <v>-</v>
      </c>
    </row>
    <row r="252" spans="1:13" ht="63.75" x14ac:dyDescent="0.3">
      <c r="A252" s="545"/>
      <c r="B252" s="516">
        <v>97629</v>
      </c>
      <c r="C252" s="573" t="s">
        <v>309</v>
      </c>
      <c r="D252" s="516" t="s">
        <v>861</v>
      </c>
      <c r="E252" s="596" t="str" cm="1">
        <f t="array" ref="E252">UPPER(IF(C252="COMPOSIÇÃO",_xlfn.XLOOKUP($B252,A:A,E:E,),IF(C252="COTAÇÃO",VLOOKUP($B252,COTAÇÕES!$A$11:$E$37,2,0),BuscarCampoAccess("Descricao",B252,B.A_SINAPI,B.M_SINAPI,C252))))</f>
        <v>ERRO: CONEXÃO NÃO ESTABELECIDA. CLIQUE EM CONECTAR.</v>
      </c>
      <c r="F252" s="594" t="str" cm="1">
        <f t="array" ref="F252">UPPER(IF(C252="COMPOSIÇÃO",_xlfn.XLOOKUP($B252,A:A,F:F,),IF(C252="COTAÇÃO",VLOOKUP($B252,COTAÇÕES!$A$11:$E$37,3,0),BuscarCampoAccess("Unidade",B252,B.A_SINAPI,B.M_SINAPI,C252))))</f>
        <v>ERRO: CONEXÃO NÃO ESTABELECIDA. CLIQUE EM CONECTAR.</v>
      </c>
      <c r="G252" s="517">
        <v>1.103</v>
      </c>
      <c r="H252" s="582" t="str" cm="1">
        <f t="array" ref="H252">UPPER(IF(C252="COMPOSIÇÃO",_xlfn.XLOOKUP($B252,A:A,I:I,),IF(C252="COTAÇÃO",VLOOKUP($B252,COTAÇÕES!$A$11:$E$37,5,0),BuscarCampoAccess("Custo",B252,B.A_SINAPI,B.M_SINAPI,C252))))</f>
        <v>ERRO: CONEXÃO NÃO ESTABELECIDA. CLIQUE EM CONECTAR.</v>
      </c>
      <c r="I252" s="583" t="e">
        <f>TRUNC(G252*H252,2)</f>
        <v>#VALUE!</v>
      </c>
      <c r="K252" s="529" t="str">
        <f>IF(A252=B252,IFERROR(VLOOKUP(B252,#REF!,1,0),"-"),"-")</f>
        <v>-</v>
      </c>
      <c r="L252" s="304">
        <f t="shared" si="18"/>
        <v>1</v>
      </c>
      <c r="M252" s="304" t="str">
        <f t="shared" si="19"/>
        <v>-</v>
      </c>
    </row>
    <row r="253" spans="1:13" ht="63.75" x14ac:dyDescent="0.3">
      <c r="A253" s="545"/>
      <c r="B253" s="516">
        <v>100984</v>
      </c>
      <c r="C253" s="573" t="s">
        <v>309</v>
      </c>
      <c r="D253" s="516" t="s">
        <v>861</v>
      </c>
      <c r="E253" s="596" t="str" cm="1">
        <f t="array" ref="E253">UPPER(IF(C253="COMPOSIÇÃO",_xlfn.XLOOKUP($B253,A:A,E:E,),IF(C253="COTAÇÃO",VLOOKUP($B253,COTAÇÕES!$A$11:$E$37,2,0),BuscarCampoAccess("Descricao",B253,B.A_SINAPI,B.M_SINAPI,C253))))</f>
        <v>ERRO: CONEXÃO NÃO ESTABELECIDA. CLIQUE EM CONECTAR.</v>
      </c>
      <c r="F253" s="594" t="str" cm="1">
        <f t="array" ref="F253">UPPER(IF(C253="COMPOSIÇÃO",_xlfn.XLOOKUP($B253,A:A,F:F,),IF(C253="COTAÇÃO",VLOOKUP($B253,COTAÇÕES!$A$11:$E$37,3,0),BuscarCampoAccess("Unidade",B253,B.A_SINAPI,B.M_SINAPI,C253))))</f>
        <v>ERRO: CONEXÃO NÃO ESTABELECIDA. CLIQUE EM CONECTAR.</v>
      </c>
      <c r="G253" s="517">
        <f>G252*1.3</f>
        <v>1.4339</v>
      </c>
      <c r="H253" s="582" t="str" cm="1">
        <f t="array" ref="H253">UPPER(IF(C253="COMPOSIÇÃO",_xlfn.XLOOKUP($B253,A:A,I:I,),IF(C253="COTAÇÃO",VLOOKUP($B253,COTAÇÕES!$A$11:$E$37,5,0),BuscarCampoAccess("Custo",B253,B.A_SINAPI,B.M_SINAPI,C253))))</f>
        <v>ERRO: CONEXÃO NÃO ESTABELECIDA. CLIQUE EM CONECTAR.</v>
      </c>
      <c r="I253" s="583" t="e">
        <f>TRUNC(G253*H253,2)</f>
        <v>#VALUE!</v>
      </c>
      <c r="K253" s="529" t="str">
        <f>IF(A253=B253,IFERROR(VLOOKUP(B253,#REF!,1,0),"-"),"-")</f>
        <v>-</v>
      </c>
      <c r="L253" s="304">
        <f t="shared" si="18"/>
        <v>1</v>
      </c>
      <c r="M253" s="304" t="str">
        <f t="shared" si="19"/>
        <v>-</v>
      </c>
    </row>
    <row r="254" spans="1:13" ht="63.75" x14ac:dyDescent="0.3">
      <c r="A254" s="545"/>
      <c r="B254" s="516">
        <v>95876</v>
      </c>
      <c r="C254" s="573" t="s">
        <v>309</v>
      </c>
      <c r="D254" s="516" t="s">
        <v>861</v>
      </c>
      <c r="E254" s="596" t="str" cm="1">
        <f t="array" ref="E254">UPPER(IF(C254="COMPOSIÇÃO",_xlfn.XLOOKUP($B254,A:A,E:E,),IF(C254="COTAÇÃO",VLOOKUP($B254,COTAÇÕES!$A$11:$E$37,2,0),BuscarCampoAccess("Descricao",B254,B.A_SINAPI,B.M_SINAPI,C254))))</f>
        <v>ERRO: CONEXÃO NÃO ESTABELECIDA. CLIQUE EM CONECTAR.</v>
      </c>
      <c r="F254" s="594" t="str" cm="1">
        <f t="array" ref="F254">UPPER(IF(C254="COMPOSIÇÃO",_xlfn.XLOOKUP($B254,A:A,F:F,),IF(C254="COTAÇÃO",VLOOKUP($B254,COTAÇÕES!$A$11:$E$37,3,0),BuscarCampoAccess("Unidade",B254,B.A_SINAPI,B.M_SINAPI,C254))))</f>
        <v>ERRO: CONEXÃO NÃO ESTABELECIDA. CLIQUE EM CONECTAR.</v>
      </c>
      <c r="G254" s="517">
        <f>G253*'16-DMT'!$H$11</f>
        <v>8.3166200000000003</v>
      </c>
      <c r="H254" s="582" t="str" cm="1">
        <f t="array" ref="H254">UPPER(IF(C254="COMPOSIÇÃO",_xlfn.XLOOKUP($B254,A:A,I:I,),IF(C254="COTAÇÃO",VLOOKUP($B254,COTAÇÕES!$A$11:$E$37,5,0),BuscarCampoAccess("Custo",B254,B.A_SINAPI,B.M_SINAPI,C254))))</f>
        <v>ERRO: CONEXÃO NÃO ESTABELECIDA. CLIQUE EM CONECTAR.</v>
      </c>
      <c r="I254" s="583" t="e">
        <f>TRUNC(G254*H254,2)</f>
        <v>#VALUE!</v>
      </c>
      <c r="K254" s="529" t="str">
        <f>IF(A254=B254,IFERROR(VLOOKUP(B254,#REF!,1,0),"-"),"-")</f>
        <v>-</v>
      </c>
      <c r="L254" s="304">
        <f t="shared" si="18"/>
        <v>1</v>
      </c>
      <c r="M254" s="304" t="str">
        <f t="shared" si="19"/>
        <v>-</v>
      </c>
    </row>
    <row r="255" spans="1:13" x14ac:dyDescent="0.3">
      <c r="K255" s="529" t="str">
        <f>IF(A255=B255,IFERROR(VLOOKUP(B255,#REF!,1,0),"-"),"-")</f>
        <v>-</v>
      </c>
      <c r="L255" s="304">
        <f t="shared" si="18"/>
        <v>0</v>
      </c>
      <c r="M255" s="304" t="b">
        <f t="shared" si="19"/>
        <v>0</v>
      </c>
    </row>
    <row r="256" spans="1:13" ht="24.75" customHeight="1" x14ac:dyDescent="0.3">
      <c r="A256" s="192" t="str">
        <f>IF(AND(D256="",E256&lt;&gt;""),B256,"")</f>
        <v>CPU-DRED 26</v>
      </c>
      <c r="B256" s="589" t="s">
        <v>1151</v>
      </c>
      <c r="C256" s="187"/>
      <c r="D256" s="188"/>
      <c r="E256" s="189" t="str">
        <f>UPPER("Boca de BDTC D = 0,60 m - esconsidade 0° - areia extraída e brita produzida - alas retas")</f>
        <v>BOCA DE BDTC D = 0,60 M - ESCONSIDADE 0° - AREIA EXTRAÍDA E BRITA PRODUZIDA - ALAS RETAS</v>
      </c>
      <c r="F256" s="188" t="s">
        <v>256</v>
      </c>
      <c r="G256" s="188"/>
      <c r="H256" s="191"/>
      <c r="I256" s="590" t="e">
        <f>SUM(I257:I258)</f>
        <v>#VALUE!</v>
      </c>
      <c r="K256" s="529" t="str">
        <f>IF(A256=B256,IFERROR(VLOOKUP(B256,#REF!,1,0),"-"),"-")</f>
        <v>-</v>
      </c>
      <c r="L256" s="304">
        <f t="shared" si="18"/>
        <v>1</v>
      </c>
      <c r="M256" s="304" t="str">
        <f t="shared" si="19"/>
        <v>-</v>
      </c>
    </row>
    <row r="257" spans="1:13" ht="63.75" x14ac:dyDescent="0.3">
      <c r="B257" s="516">
        <v>1107891</v>
      </c>
      <c r="C257" s="573" t="s">
        <v>815</v>
      </c>
      <c r="D257" s="516" t="s">
        <v>861</v>
      </c>
      <c r="E257" s="593" t="str" cm="1">
        <f t="array" ref="E257">UPPER(IF(C257="COMPOSIÇÃO",_xlfn.XLOOKUP($B257,A:A,E:E,),IF(C257="COTAÇÃO",VLOOKUP($B257,COTAÇÕES!$A$11:$E$37,2,0),BuscarCampoAccess("Descricao",B257,B.A_SINAPI,B.M_SINAPI,C257))))</f>
        <v>ERRO: CONEXÃO NÃO ESTABELECIDA. CLIQUE EM CONECTAR.</v>
      </c>
      <c r="F257" s="594" t="str" cm="1">
        <f t="array" ref="F257">UPPER(IF(C257="COMPOSIÇÃO",_xlfn.XLOOKUP($B257,A:A,F:F,),IF(C257="COTAÇÃO",VLOOKUP($B257,COTAÇÕES!$A$11:$E$37,3,0),BuscarCampoAccess("Unidade",B257,B.A_SINAPI,B.M_SINAPI,C257))))</f>
        <v>ERRO: CONEXÃO NÃO ESTABELECIDA. CLIQUE EM CONECTAR.</v>
      </c>
      <c r="G257" s="517">
        <v>1.101</v>
      </c>
      <c r="H257" s="582" t="str" cm="1">
        <f t="array" ref="H257">UPPER(IF(C257="COMPOSIÇÃO",_xlfn.XLOOKUP($B257,A:A,I:I,),IF(C257="COTAÇÃO",VLOOKUP($B257,COTAÇÕES!$A$11:$E$37,5,0),BuscarCampoAccess("Custo",B257,B.A_SINAPI,B.M_SINAPI,C257))))</f>
        <v>ERRO: CONEXÃO NÃO ESTABELECIDA. CLIQUE EM CONECTAR.</v>
      </c>
      <c r="I257" s="583" t="e">
        <f>TRUNC(G257*H257,2)</f>
        <v>#VALUE!</v>
      </c>
      <c r="K257" s="529" t="str">
        <f>IF(A257=B257,IFERROR(VLOOKUP(B257,#REF!,1,0),"-"),"-")</f>
        <v>-</v>
      </c>
      <c r="L257" s="304">
        <f t="shared" si="18"/>
        <v>1</v>
      </c>
      <c r="M257" s="304" t="str">
        <f t="shared" si="19"/>
        <v>-</v>
      </c>
    </row>
    <row r="258" spans="1:13" ht="63.75" x14ac:dyDescent="0.3">
      <c r="B258" s="516">
        <v>3103302</v>
      </c>
      <c r="C258" s="573" t="s">
        <v>815</v>
      </c>
      <c r="D258" s="516" t="s">
        <v>861</v>
      </c>
      <c r="E258" s="593" t="str" cm="1">
        <f t="array" ref="E258">UPPER(IF(C258="COMPOSIÇÃO",_xlfn.XLOOKUP($B258,A:A,E:E,),IF(C258="COTAÇÃO",VLOOKUP($B258,COTAÇÕES!$A$11:$E$37,2,0),BuscarCampoAccess("Descricao",B258,B.A_SINAPI,B.M_SINAPI,C258))))</f>
        <v>ERRO: CONEXÃO NÃO ESTABELECIDA. CLIQUE EM CONECTAR.</v>
      </c>
      <c r="F258" s="594" t="str" cm="1">
        <f t="array" ref="F258">UPPER(IF(C258="COMPOSIÇÃO",_xlfn.XLOOKUP($B258,A:A,F:F,),IF(C258="COTAÇÃO",VLOOKUP($B258,COTAÇÕES!$A$11:$E$37,3,0),BuscarCampoAccess("Unidade",B258,B.A_SINAPI,B.M_SINAPI,C258))))</f>
        <v>ERRO: CONEXÃO NÃO ESTABELECIDA. CLIQUE EM CONECTAR.</v>
      </c>
      <c r="G258" s="517">
        <v>4.6360000000000001</v>
      </c>
      <c r="H258" s="582" t="str" cm="1">
        <f t="array" ref="H258">UPPER(IF(C258="COMPOSIÇÃO",_xlfn.XLOOKUP($B258,A:A,I:I,),IF(C258="COTAÇÃO",VLOOKUP($B258,COTAÇÕES!$A$11:$E$37,5,0),BuscarCampoAccess("Custo",B258,B.A_SINAPI,B.M_SINAPI,C258))))</f>
        <v>ERRO: CONEXÃO NÃO ESTABELECIDA. CLIQUE EM CONECTAR.</v>
      </c>
      <c r="I258" s="583" t="e">
        <f>TRUNC(G258*H258,2)</f>
        <v>#VALUE!</v>
      </c>
      <c r="K258" s="529" t="str">
        <f>IF(A258=B258,IFERROR(VLOOKUP(B258,#REF!,1,0),"-"),"-")</f>
        <v>-</v>
      </c>
      <c r="L258" s="304">
        <f t="shared" si="18"/>
        <v>1</v>
      </c>
      <c r="M258" s="304" t="str">
        <f t="shared" si="19"/>
        <v>-</v>
      </c>
    </row>
    <row r="259" spans="1:13" x14ac:dyDescent="0.3">
      <c r="B259" s="738"/>
      <c r="C259" s="530"/>
      <c r="D259" s="738"/>
      <c r="E259" s="739"/>
      <c r="F259" s="740"/>
      <c r="G259" s="741"/>
      <c r="H259" s="742"/>
      <c r="I259" s="743"/>
      <c r="K259" s="529" t="str">
        <f>IF(A259=B259,IFERROR(VLOOKUP(B259,#REF!,1,0),"-"),"-")</f>
        <v>-</v>
      </c>
      <c r="L259" s="304">
        <f t="shared" si="18"/>
        <v>0</v>
      </c>
      <c r="M259" s="304" t="b">
        <f t="shared" si="19"/>
        <v>0</v>
      </c>
    </row>
    <row r="260" spans="1:13" ht="25.5" x14ac:dyDescent="0.3">
      <c r="B260" s="589" t="s">
        <v>1349</v>
      </c>
      <c r="C260" s="187"/>
      <c r="D260" s="188"/>
      <c r="E260" s="189" t="str">
        <f>UPPER("VALETA DE PROTEÇÃO DE ATERROS COM REVESTIMENTO VEGETAL - SICRO 2003311")</f>
        <v>VALETA DE PROTEÇÃO DE ATERROS COM REVESTIMENTO VEGETAL - SICRO 2003311</v>
      </c>
      <c r="F260" s="188" t="s">
        <v>256</v>
      </c>
      <c r="G260" s="188"/>
      <c r="H260" s="191"/>
      <c r="I260" s="590" t="e">
        <f>SUM(I261:I264)</f>
        <v>#VALUE!</v>
      </c>
      <c r="K260" s="529" t="str">
        <f>IF(A260=B260,IFERROR(VLOOKUP(B260,#REF!,1,0),"-"),"-")</f>
        <v>-</v>
      </c>
      <c r="L260" s="304">
        <f t="shared" si="18"/>
        <v>1</v>
      </c>
      <c r="M260" s="304" t="str">
        <f t="shared" si="19"/>
        <v>-</v>
      </c>
    </row>
    <row r="261" spans="1:13" ht="63.75" x14ac:dyDescent="0.3">
      <c r="B261" s="516">
        <v>4805756</v>
      </c>
      <c r="C261" s="573" t="s">
        <v>815</v>
      </c>
      <c r="D261" s="516" t="s">
        <v>861</v>
      </c>
      <c r="E261" s="593" t="str" cm="1">
        <f t="array" ref="E261">UPPER(IF(C261="COMPOSIÇÃO",_xlfn.XLOOKUP($B261,A:A,E:E,),IF(C261="COTAÇÃO",VLOOKUP($B261,COTAÇÕES!$A$11:$E$37,2,0),BuscarCampoAccess("Descricao",B261,B.A_SINAPI,B.M_SINAPI,C261))))</f>
        <v>ERRO: CONEXÃO NÃO ESTABELECIDA. CLIQUE EM CONECTAR.</v>
      </c>
      <c r="F261" s="594" t="str" cm="1">
        <f t="array" ref="F261">UPPER(IF(C261="COMPOSIÇÃO",_xlfn.XLOOKUP($B261,A:A,F:F,),IF(C261="COTAÇÃO",VLOOKUP($B261,COTAÇÕES!$A$11:$E$37,3,0),BuscarCampoAccess("Unidade",B261,B.A_SINAPI,B.M_SINAPI,C261))))</f>
        <v>ERRO: CONEXÃO NÃO ESTABELECIDA. CLIQUE EM CONECTAR.</v>
      </c>
      <c r="G261" s="517">
        <v>1.4484999999999999</v>
      </c>
      <c r="H261" s="582" t="str" cm="1">
        <f t="array" ref="H261">UPPER(IF(C261="COMPOSIÇÃO",_xlfn.XLOOKUP($B261,A:A,I:I,),IF(C261="COTAÇÃO",VLOOKUP($B261,COTAÇÕES!$A$11:$E$37,5,0),BuscarCampoAccess("Custo",B261,B.A_SINAPI,B.M_SINAPI,C261))))</f>
        <v>ERRO: CONEXÃO NÃO ESTABELECIDA. CLIQUE EM CONECTAR.</v>
      </c>
      <c r="I261" s="583" t="e">
        <f>TRUNC(G261*H261,2)</f>
        <v>#VALUE!</v>
      </c>
      <c r="K261" s="529" t="str">
        <f>IF(A261=B261,IFERROR(VLOOKUP(B261,#REF!,1,0),"-"),"-")</f>
        <v>-</v>
      </c>
      <c r="L261" s="304">
        <f t="shared" si="18"/>
        <v>1</v>
      </c>
      <c r="M261" s="304" t="str">
        <f t="shared" si="19"/>
        <v>-</v>
      </c>
    </row>
    <row r="262" spans="1:13" ht="63.75" x14ac:dyDescent="0.3">
      <c r="B262" s="516">
        <v>4805754</v>
      </c>
      <c r="C262" s="573" t="s">
        <v>815</v>
      </c>
      <c r="D262" s="516" t="s">
        <v>861</v>
      </c>
      <c r="E262" s="593" t="str" cm="1">
        <f t="array" ref="E262">UPPER(IF(C262="COMPOSIÇÃO",_xlfn.XLOOKUP($B262,A:A,E:E,),IF(C262="COTAÇÃO",VLOOKUP($B262,COTAÇÕES!$A$11:$E$37,2,0),BuscarCampoAccess("Descricao",B262,B.A_SINAPI,B.M_SINAPI,C262))))</f>
        <v>ERRO: CONEXÃO NÃO ESTABELECIDA. CLIQUE EM CONECTAR.</v>
      </c>
      <c r="F262" s="594" t="str" cm="1">
        <f t="array" ref="F262">UPPER(IF(C262="COMPOSIÇÃO",_xlfn.XLOOKUP($B262,A:A,F:F,),IF(C262="COTAÇÃO",VLOOKUP($B262,COTAÇÕES!$A$11:$E$37,3,0),BuscarCampoAccess("Unidade",B262,B.A_SINAPI,B.M_SINAPI,C262))))</f>
        <v>ERRO: CONEXÃO NÃO ESTABELECIDA. CLIQUE EM CONECTAR.</v>
      </c>
      <c r="G262" s="517">
        <v>0.27</v>
      </c>
      <c r="H262" s="582" t="str" cm="1">
        <f t="array" ref="H262">UPPER(IF(C262="COMPOSIÇÃO",_xlfn.XLOOKUP($B262,A:A,I:I,),IF(C262="COTAÇÃO",VLOOKUP($B262,COTAÇÕES!$A$11:$E$37,5,0),BuscarCampoAccess("Custo",B262,B.A_SINAPI,B.M_SINAPI,C262))))</f>
        <v>ERRO: CONEXÃO NÃO ESTABELECIDA. CLIQUE EM CONECTAR.</v>
      </c>
      <c r="I262" s="583" t="e">
        <f>TRUNC(G262*H262,2)</f>
        <v>#VALUE!</v>
      </c>
      <c r="K262" s="529" t="str">
        <f>IF(A262=B262,IFERROR(VLOOKUP(B262,#REF!,1,0),"-"),"-")</f>
        <v>-</v>
      </c>
      <c r="L262" s="304">
        <f t="shared" si="18"/>
        <v>1</v>
      </c>
      <c r="M262" s="304" t="str">
        <f t="shared" si="19"/>
        <v>-</v>
      </c>
    </row>
    <row r="263" spans="1:13" ht="63.75" x14ac:dyDescent="0.3">
      <c r="B263" s="516">
        <v>4413996</v>
      </c>
      <c r="C263" s="573" t="s">
        <v>815</v>
      </c>
      <c r="D263" s="516" t="s">
        <v>861</v>
      </c>
      <c r="E263" s="593" t="str" cm="1">
        <f t="array" ref="E263">UPPER(IF(C263="COMPOSIÇÃO",_xlfn.XLOOKUP($B263,A:A,E:E,),IF(C263="COTAÇÃO",VLOOKUP($B263,COTAÇÕES!$A$11:$E$37,2,0),BuscarCampoAccess("Descricao",B263,B.A_SINAPI,B.M_SINAPI,C263))))</f>
        <v>ERRO: CONEXÃO NÃO ESTABELECIDA. CLIQUE EM CONECTAR.</v>
      </c>
      <c r="F263" s="594" t="str" cm="1">
        <f t="array" ref="F263">UPPER(IF(C263="COMPOSIÇÃO",_xlfn.XLOOKUP($B263,A:A,F:F,),IF(C263="COTAÇÃO",VLOOKUP($B263,COTAÇÕES!$A$11:$E$37,3,0),BuscarCampoAccess("Unidade",B263,B.A_SINAPI,B.M_SINAPI,C263))))</f>
        <v>ERRO: CONEXÃO NÃO ESTABELECIDA. CLIQUE EM CONECTAR.</v>
      </c>
      <c r="G263" s="517">
        <v>2.8969999999999998</v>
      </c>
      <c r="H263" s="582" t="str" cm="1">
        <f t="array" ref="H263">UPPER(IF(C263="COMPOSIÇÃO",_xlfn.XLOOKUP($B263,A:A,I:I,),IF(C263="COTAÇÃO",VLOOKUP($B263,COTAÇÕES!$A$11:$E$37,5,0),BuscarCampoAccess("Custo",B263,B.A_SINAPI,B.M_SINAPI,C263))))</f>
        <v>ERRO: CONEXÃO NÃO ESTABELECIDA. CLIQUE EM CONECTAR.</v>
      </c>
      <c r="I263" s="583" t="e">
        <f>TRUNC(G263*H263,2)</f>
        <v>#VALUE!</v>
      </c>
      <c r="K263" s="529" t="str">
        <f>IF(A263=B263,IFERROR(VLOOKUP(B263,#REF!,1,0),"-"),"-")</f>
        <v>-</v>
      </c>
      <c r="L263" s="304">
        <f t="shared" si="18"/>
        <v>1</v>
      </c>
      <c r="M263" s="304" t="str">
        <f t="shared" si="19"/>
        <v>-</v>
      </c>
    </row>
    <row r="264" spans="1:13" ht="63.75" x14ac:dyDescent="0.3">
      <c r="B264" s="516">
        <v>2004521</v>
      </c>
      <c r="C264" s="573" t="s">
        <v>815</v>
      </c>
      <c r="D264" s="516" t="s">
        <v>861</v>
      </c>
      <c r="E264" s="593" t="str" cm="1">
        <f t="array" ref="E264">UPPER(IF(C264="COMPOSIÇÃO",_xlfn.XLOOKUP($B264,A:A,E:E,),IF(C264="COTAÇÃO",VLOOKUP($B264,COTAÇÕES!$A$11:$E$37,2,0),BuscarCampoAccess("Descricao",B264,B.A_SINAPI,B.M_SINAPI,C264))))</f>
        <v>ERRO: CONEXÃO NÃO ESTABELECIDA. CLIQUE EM CONECTAR.</v>
      </c>
      <c r="F264" s="594" t="str" cm="1">
        <f t="array" ref="F264">UPPER(IF(C264="COMPOSIÇÃO",_xlfn.XLOOKUP($B264,A:A,F:F,),IF(C264="COTAÇÃO",VLOOKUP($B264,COTAÇÕES!$A$11:$E$37,3,0),BuscarCampoAccess("Unidade",B264,B.A_SINAPI,B.M_SINAPI,C264))))</f>
        <v>ERRO: CONEXÃO NÃO ESTABELECIDA. CLIQUE EM CONECTAR.</v>
      </c>
      <c r="G264" s="517">
        <v>0.27</v>
      </c>
      <c r="H264" s="582" t="str" cm="1">
        <f t="array" ref="H264">UPPER(IF(C264="COMPOSIÇÃO",_xlfn.XLOOKUP($B264,A:A,I:I,),IF(C264="COTAÇÃO",VLOOKUP($B264,COTAÇÕES!$A$11:$E$37,5,0),BuscarCampoAccess("Custo",B264,B.A_SINAPI,B.M_SINAPI,C264))))</f>
        <v>ERRO: CONEXÃO NÃO ESTABELECIDA. CLIQUE EM CONECTAR.</v>
      </c>
      <c r="I264" s="583" t="e">
        <f>TRUNC(G264*H264,2)</f>
        <v>#VALUE!</v>
      </c>
      <c r="K264" s="529" t="str">
        <f>IF(A264=B264,IFERROR(VLOOKUP(B264,#REF!,1,0),"-"),"-")</f>
        <v>-</v>
      </c>
      <c r="L264" s="304">
        <f t="shared" si="18"/>
        <v>1</v>
      </c>
      <c r="M264" s="304" t="str">
        <f t="shared" si="19"/>
        <v>-</v>
      </c>
    </row>
    <row r="265" spans="1:13" x14ac:dyDescent="0.3">
      <c r="B265" s="738"/>
      <c r="C265" s="530"/>
      <c r="D265" s="738"/>
      <c r="E265" s="739"/>
      <c r="F265" s="740"/>
      <c r="G265" s="741"/>
      <c r="H265" s="742"/>
      <c r="I265" s="743"/>
      <c r="K265" s="529" t="str">
        <f>IF(A265=B265,IFERROR(VLOOKUP(B265,#REF!,1,0),"-"),"-")</f>
        <v>-</v>
      </c>
      <c r="L265" s="304">
        <f t="shared" si="18"/>
        <v>0</v>
      </c>
      <c r="M265" s="304" t="b">
        <f t="shared" si="19"/>
        <v>0</v>
      </c>
    </row>
    <row r="266" spans="1:13" x14ac:dyDescent="0.3">
      <c r="B266" s="589" t="s">
        <v>1350</v>
      </c>
      <c r="C266" s="187"/>
      <c r="D266" s="188"/>
      <c r="E266" s="189" t="str">
        <f>UPPER("SARJETA TRAPEZOIDAL DE GRAMA  - SICRO 2003347")</f>
        <v>SARJETA TRAPEZOIDAL DE GRAMA  - SICRO 2003347</v>
      </c>
      <c r="F266" s="188" t="s">
        <v>256</v>
      </c>
      <c r="G266" s="188"/>
      <c r="H266" s="191"/>
      <c r="I266" s="590" t="e">
        <f>SUM(I267:I269)</f>
        <v>#VALUE!</v>
      </c>
      <c r="K266" s="529" t="str">
        <f>IF(A266=B266,IFERROR(VLOOKUP(B266,#REF!,1,0),"-"),"-")</f>
        <v>-</v>
      </c>
      <c r="L266" s="304">
        <f t="shared" si="18"/>
        <v>1</v>
      </c>
      <c r="M266" s="304" t="str">
        <f t="shared" si="19"/>
        <v>-</v>
      </c>
    </row>
    <row r="267" spans="1:13" ht="63.75" x14ac:dyDescent="0.3">
      <c r="B267" s="516">
        <v>4805756</v>
      </c>
      <c r="C267" s="573" t="s">
        <v>815</v>
      </c>
      <c r="D267" s="516" t="s">
        <v>861</v>
      </c>
      <c r="E267" s="593" t="str" cm="1">
        <f t="array" ref="E267">UPPER(IF(C267="COMPOSIÇÃO",_xlfn.XLOOKUP($B267,A:A,E:E,),IF(C267="COTAÇÃO",VLOOKUP($B267,COTAÇÕES!$A$11:$E$37,2,0),BuscarCampoAccess("Descricao",B267,B.A_SINAPI,B.M_SINAPI,C267))))</f>
        <v>ERRO: CONEXÃO NÃO ESTABELECIDA. CLIQUE EM CONECTAR.</v>
      </c>
      <c r="F267" s="594" t="str" cm="1">
        <f t="array" ref="F267">UPPER(IF(C267="COMPOSIÇÃO",_xlfn.XLOOKUP($B267,A:A,F:F,),IF(C267="COTAÇÃO",VLOOKUP($B267,COTAÇÕES!$A$11:$E$37,3,0),BuscarCampoAccess("Unidade",B267,B.A_SINAPI,B.M_SINAPI,C267))))</f>
        <v>ERRO: CONEXÃO NÃO ESTABELECIDA. CLIQUE EM CONECTAR.</v>
      </c>
      <c r="G267" s="517">
        <v>0.76570000000000005</v>
      </c>
      <c r="H267" s="582" t="str" cm="1">
        <f t="array" ref="H267">UPPER(IF(C267="COMPOSIÇÃO",_xlfn.XLOOKUP($B267,A:A,I:I,),IF(C267="COTAÇÃO",VLOOKUP($B267,COTAÇÕES!$A$11:$E$37,5,0),BuscarCampoAccess("Custo",B267,B.A_SINAPI,B.M_SINAPI,C267))))</f>
        <v>ERRO: CONEXÃO NÃO ESTABELECIDA. CLIQUE EM CONECTAR.</v>
      </c>
      <c r="I267" s="583" t="e">
        <f>TRUNC(G267*H267,2)</f>
        <v>#VALUE!</v>
      </c>
      <c r="K267" s="529" t="str">
        <f>IF(A267=B267,IFERROR(VLOOKUP(B267,#REF!,1,0),"-"),"-")</f>
        <v>-</v>
      </c>
      <c r="L267" s="304">
        <f t="shared" si="18"/>
        <v>1</v>
      </c>
      <c r="M267" s="304" t="str">
        <f t="shared" si="19"/>
        <v>-</v>
      </c>
    </row>
    <row r="268" spans="1:13" ht="63.75" x14ac:dyDescent="0.3">
      <c r="B268" s="516">
        <v>4413996</v>
      </c>
      <c r="C268" s="573" t="s">
        <v>815</v>
      </c>
      <c r="D268" s="516" t="s">
        <v>861</v>
      </c>
      <c r="E268" s="593" t="str" cm="1">
        <f t="array" ref="E268">UPPER(IF(C268="COMPOSIÇÃO",_xlfn.XLOOKUP($B268,A:A,E:E,),IF(C268="COTAÇÃO",VLOOKUP($B268,COTAÇÕES!$A$11:$E$37,2,0),BuscarCampoAccess("Descricao",B268,B.A_SINAPI,B.M_SINAPI,C268))))</f>
        <v>ERRO: CONEXÃO NÃO ESTABELECIDA. CLIQUE EM CONECTAR.</v>
      </c>
      <c r="F268" s="594" t="str" cm="1">
        <f t="array" ref="F268">UPPER(IF(C268="COMPOSIÇÃO",_xlfn.XLOOKUP($B268,A:A,F:F,),IF(C268="COTAÇÃO",VLOOKUP($B268,COTAÇÕES!$A$11:$E$37,3,0),BuscarCampoAccess("Unidade",B268,B.A_SINAPI,B.M_SINAPI,C268))))</f>
        <v>ERRO: CONEXÃO NÃO ESTABELECIDA. CLIQUE EM CONECTAR.</v>
      </c>
      <c r="G268" s="517">
        <v>0.76570000000000005</v>
      </c>
      <c r="H268" s="582" t="str" cm="1">
        <f t="array" ref="H268">UPPER(IF(C268="COMPOSIÇÃO",_xlfn.XLOOKUP($B268,A:A,I:I,),IF(C268="COTAÇÃO",VLOOKUP($B268,COTAÇÕES!$A$11:$E$37,5,0),BuscarCampoAccess("Custo",B268,B.A_SINAPI,B.M_SINAPI,C268))))</f>
        <v>ERRO: CONEXÃO NÃO ESTABELECIDA. CLIQUE EM CONECTAR.</v>
      </c>
      <c r="I268" s="583" t="e">
        <f>TRUNC(G268*H268,2)</f>
        <v>#VALUE!</v>
      </c>
      <c r="K268" s="529" t="str">
        <f>IF(A268=B268,IFERROR(VLOOKUP(B268,#REF!,1,0),"-"),"-")</f>
        <v>-</v>
      </c>
      <c r="L268" s="304">
        <f t="shared" ref="L268:L331" si="23">IF(ISBLANK(B268)=FALSE,1,0)</f>
        <v>1</v>
      </c>
      <c r="M268" s="304" t="str">
        <f t="shared" ref="M268:M331" si="24">IF(M267=FALSE,K268,IF(L268=1,M267))</f>
        <v>-</v>
      </c>
    </row>
    <row r="269" spans="1:13" ht="63.75" x14ac:dyDescent="0.3">
      <c r="B269" s="516">
        <v>2004518</v>
      </c>
      <c r="C269" s="573" t="s">
        <v>815</v>
      </c>
      <c r="D269" s="516" t="s">
        <v>861</v>
      </c>
      <c r="E269" s="593" t="str" cm="1">
        <f t="array" ref="E269">UPPER(IF(C269="COMPOSIÇÃO",_xlfn.XLOOKUP($B269,A:A,E:E,),IF(C269="COTAÇÃO",VLOOKUP($B269,COTAÇÕES!$A$11:$E$37,2,0),BuscarCampoAccess("Descricao",B269,B.A_SINAPI,B.M_SINAPI,C269))))</f>
        <v>ERRO: CONEXÃO NÃO ESTABELECIDA. CLIQUE EM CONECTAR.</v>
      </c>
      <c r="F269" s="594" t="str" cm="1">
        <f t="array" ref="F269">UPPER(IF(C269="COMPOSIÇÃO",_xlfn.XLOOKUP($B269,A:A,F:F,),IF(C269="COTAÇÃO",VLOOKUP($B269,COTAÇÕES!$A$11:$E$37,3,0),BuscarCampoAccess("Unidade",B269,B.A_SINAPI,B.M_SINAPI,C269))))</f>
        <v>ERRO: CONEXÃO NÃO ESTABELECIDA. CLIQUE EM CONECTAR.</v>
      </c>
      <c r="G269" s="517">
        <v>0.08</v>
      </c>
      <c r="H269" s="582" t="str" cm="1">
        <f t="array" ref="H269">UPPER(IF(C269="COMPOSIÇÃO",_xlfn.XLOOKUP($B269,A:A,I:I,),IF(C269="COTAÇÃO",VLOOKUP($B269,COTAÇÕES!$A$11:$E$37,5,0),BuscarCampoAccess("Custo",B269,B.A_SINAPI,B.M_SINAPI,C269))))</f>
        <v>ERRO: CONEXÃO NÃO ESTABELECIDA. CLIQUE EM CONECTAR.</v>
      </c>
      <c r="I269" s="583" t="e">
        <f>TRUNC(G269*H269,2)</f>
        <v>#VALUE!</v>
      </c>
      <c r="K269" s="529" t="str">
        <f>IF(A269=B269,IFERROR(VLOOKUP(B269,#REF!,1,0),"-"),"-")</f>
        <v>-</v>
      </c>
      <c r="L269" s="304">
        <f t="shared" si="23"/>
        <v>1</v>
      </c>
      <c r="M269" s="304" t="str">
        <f t="shared" si="24"/>
        <v>-</v>
      </c>
    </row>
    <row r="270" spans="1:13" x14ac:dyDescent="0.3">
      <c r="B270" s="738"/>
      <c r="C270" s="530"/>
      <c r="D270" s="738"/>
      <c r="E270" s="739"/>
      <c r="F270" s="740"/>
      <c r="G270" s="741"/>
      <c r="H270" s="742"/>
      <c r="I270" s="743"/>
      <c r="K270" s="529" t="str">
        <f>IF(A270=B270,IFERROR(VLOOKUP(B270,#REF!,1,0),"-"),"-")</f>
        <v>-</v>
      </c>
      <c r="L270" s="304">
        <f t="shared" si="23"/>
        <v>0</v>
      </c>
      <c r="M270" s="304" t="b">
        <f t="shared" si="24"/>
        <v>0</v>
      </c>
    </row>
    <row r="271" spans="1:13" ht="24.75" customHeight="1" x14ac:dyDescent="0.3">
      <c r="A271" s="192" t="str">
        <f>IF(AND(D271="",E271&lt;&gt;""),B271,"")</f>
        <v>CPU-SINL 05</v>
      </c>
      <c r="B271" s="589" t="s">
        <v>1154</v>
      </c>
      <c r="C271" s="187"/>
      <c r="D271" s="188"/>
      <c r="E271" s="189" t="s">
        <v>1155</v>
      </c>
      <c r="F271" s="188" t="s">
        <v>256</v>
      </c>
      <c r="G271" s="188"/>
      <c r="H271" s="191"/>
      <c r="I271" s="590" t="e">
        <f>SUM(I272:I279)</f>
        <v>#VALUE!</v>
      </c>
      <c r="K271" s="529" t="str">
        <f>IF(A271=B271,IFERROR(VLOOKUP(B271,#REF!,1,0),"-"),"-")</f>
        <v>-</v>
      </c>
      <c r="L271" s="304">
        <f t="shared" si="23"/>
        <v>1</v>
      </c>
      <c r="M271" s="304" t="str">
        <f t="shared" si="24"/>
        <v>-</v>
      </c>
    </row>
    <row r="272" spans="1:13" ht="25.5" x14ac:dyDescent="0.3">
      <c r="B272" s="516" t="s">
        <v>879</v>
      </c>
      <c r="C272" s="573" t="s">
        <v>310</v>
      </c>
      <c r="D272" s="516" t="s">
        <v>861</v>
      </c>
      <c r="E272" s="593" t="str" cm="1">
        <f t="array" ref="E272">UPPER(IF(C272="COMPOSIÇÃO",_xlfn.XLOOKUP($B272,A:A,E:E,),IF(C272="COTAÇÃO",VLOOKUP($B272,COTAÇÕES!$A$11:$E$37,2,0),BuscarCampoAccess("Descricao",B272,B.A_SINAPI,B.M_SINAPI,C272))))</f>
        <v>RECORTE MECÂNICO DE PAVIMENTO ASFÁLTICO OU PISO DE CONCRETO, COM SERRA DE DISCO DIAMANTADO PARA PISO/ASFALTO</v>
      </c>
      <c r="F272" s="594" t="str" cm="1">
        <f t="array" ref="F272">UPPER(IF(C272="COMPOSIÇÃO",_xlfn.XLOOKUP($B272,A:A,F:F,),IF(C272="COTAÇÃO",VLOOKUP($B272,COTAÇÕES!$A$11:$E$37,3,0),BuscarCampoAccess("Unidade",B272,B.A_SINAPI,B.M_SINAPI,C272))))</f>
        <v>M2</v>
      </c>
      <c r="G272" s="517">
        <v>12.75</v>
      </c>
      <c r="H272" s="582" t="e" cm="1">
        <f t="array" ref="H272">UPPER(IF(C272="COMPOSIÇÃO",_xlfn.XLOOKUP($B272,A:A,I:I,),IF(C272="COTAÇÃO",VLOOKUP($B272,COTAÇÕES!$A$11:$E$37,5,0),BuscarCampoAccess("Custo",B272,B.A_SINAPI,B.M_SINAPI,C272))))</f>
        <v>#VALUE!</v>
      </c>
      <c r="I272" s="583" t="e">
        <f t="shared" ref="I272:I279" si="25">TRUNC(G272*H272,2)</f>
        <v>#VALUE!</v>
      </c>
      <c r="K272" s="529" t="str">
        <f>IF(A272=B272,IFERROR(VLOOKUP(B272,#REF!,1,0),"-"),"-")</f>
        <v>-</v>
      </c>
      <c r="L272" s="304">
        <f t="shared" si="23"/>
        <v>1</v>
      </c>
      <c r="M272" s="304" t="str">
        <f t="shared" si="24"/>
        <v>-</v>
      </c>
    </row>
    <row r="273" spans="1:13" ht="63.75" x14ac:dyDescent="0.3">
      <c r="B273" s="516">
        <v>370</v>
      </c>
      <c r="C273" s="573" t="s">
        <v>309</v>
      </c>
      <c r="D273" s="516" t="s">
        <v>861</v>
      </c>
      <c r="E273" s="593" t="str" cm="1">
        <f t="array" ref="E273">UPPER(IF(C273="COMPOSIÇÃO",_xlfn.XLOOKUP($B273,A:A,E:E,),IF(C273="COTAÇÃO",VLOOKUP($B273,COTAÇÕES!$A$11:$E$37,2,0),BuscarCampoAccess("Descricao",B273,B.A_SINAPI,B.M_SINAPI,C273))))</f>
        <v>ERRO: CONEXÃO NÃO ESTABELECIDA. CLIQUE EM CONECTAR.</v>
      </c>
      <c r="F273" s="594" t="str" cm="1">
        <f t="array" ref="F273">UPPER(IF(C273="COMPOSIÇÃO",_xlfn.XLOOKUP($B273,A:A,F:F,),IF(C273="COTAÇÃO",VLOOKUP($B273,COTAÇÕES!$A$11:$E$37,3,0),BuscarCampoAccess("Unidade",B273,B.A_SINAPI,B.M_SINAPI,C273))))</f>
        <v>ERRO: CONEXÃO NÃO ESTABELECIDA. CLIQUE EM CONECTAR.</v>
      </c>
      <c r="G273" s="517">
        <v>0.51</v>
      </c>
      <c r="H273" s="582" t="str" cm="1">
        <f t="array" ref="H273">UPPER(IF(C273="COMPOSIÇÃO",_xlfn.XLOOKUP($B273,A:A,I:I,),IF(C273="COTAÇÃO",VLOOKUP($B273,COTAÇÕES!$A$11:$E$37,5,0),BuscarCampoAccess("Custo",B273,B.A_SINAPI,B.M_SINAPI,C273))))</f>
        <v>ERRO: CONEXÃO NÃO ESTABELECIDA. CLIQUE EM CONECTAR.</v>
      </c>
      <c r="I273" s="583" t="e">
        <f t="shared" si="25"/>
        <v>#VALUE!</v>
      </c>
      <c r="K273" s="529" t="str">
        <f>IF(A273=B273,IFERROR(VLOOKUP(B273,#REF!,1,0),"-"),"-")</f>
        <v>-</v>
      </c>
      <c r="L273" s="304">
        <f t="shared" si="23"/>
        <v>1</v>
      </c>
      <c r="M273" s="304" t="str">
        <f t="shared" si="24"/>
        <v>-</v>
      </c>
    </row>
    <row r="274" spans="1:13" ht="24" customHeight="1" x14ac:dyDescent="0.3">
      <c r="B274" s="516">
        <v>4517</v>
      </c>
      <c r="C274" s="573" t="s">
        <v>309</v>
      </c>
      <c r="D274" s="516" t="s">
        <v>861</v>
      </c>
      <c r="E274" s="593" t="str" cm="1">
        <f t="array" ref="E274">UPPER(IF(C274="COMPOSIÇÃO",_xlfn.XLOOKUP($B274,A:A,E:E,),IF(C274="COTAÇÃO",VLOOKUP($B274,COTAÇÕES!$A$11:$E$37,2,0),BuscarCampoAccess("Descricao",B274,B.A_SINAPI,B.M_SINAPI,C274))))</f>
        <v>ERRO: CONEXÃO NÃO ESTABELECIDA. CLIQUE EM CONECTAR.</v>
      </c>
      <c r="F274" s="594" t="str" cm="1">
        <f t="array" ref="F274">UPPER(IF(C274="COMPOSIÇÃO",_xlfn.XLOOKUP($B274,A:A,F:F,),IF(C274="COTAÇÃO",VLOOKUP($B274,COTAÇÕES!$A$11:$E$37,3,0),BuscarCampoAccess("Unidade",B274,B.A_SINAPI,B.M_SINAPI,C274))))</f>
        <v>ERRO: CONEXÃO NÃO ESTABELECIDA. CLIQUE EM CONECTAR.</v>
      </c>
      <c r="G274" s="517">
        <v>8.9250000000000007</v>
      </c>
      <c r="H274" s="582" t="str" cm="1">
        <f t="array" ref="H274">UPPER(IF(C274="COMPOSIÇÃO",_xlfn.XLOOKUP($B274,A:A,I:I,),IF(C274="COTAÇÃO",VLOOKUP($B274,COTAÇÕES!$A$11:$E$37,5,0),BuscarCampoAccess("Custo",B274,B.A_SINAPI,B.M_SINAPI,C274))))</f>
        <v>ERRO: CONEXÃO NÃO ESTABELECIDA. CLIQUE EM CONECTAR.</v>
      </c>
      <c r="I274" s="583" t="e">
        <f t="shared" si="25"/>
        <v>#VALUE!</v>
      </c>
      <c r="K274" s="529" t="str">
        <f>IF(A274=B274,IFERROR(VLOOKUP(B274,#REF!,1,0),"-"),"-")</f>
        <v>-</v>
      </c>
      <c r="L274" s="304">
        <f t="shared" si="23"/>
        <v>1</v>
      </c>
      <c r="M274" s="304" t="str">
        <f t="shared" si="24"/>
        <v>-</v>
      </c>
    </row>
    <row r="275" spans="1:13" ht="63.75" x14ac:dyDescent="0.3">
      <c r="B275" s="516">
        <v>6189</v>
      </c>
      <c r="C275" s="573" t="s">
        <v>309</v>
      </c>
      <c r="D275" s="516" t="s">
        <v>861</v>
      </c>
      <c r="E275" s="593" t="str" cm="1">
        <f t="array" ref="E275">UPPER(IF(C275="COMPOSIÇÃO",_xlfn.XLOOKUP($B275,A:A,E:E,),IF(C275="COTAÇÃO",VLOOKUP($B275,COTAÇÕES!$A$11:$E$37,2,0),BuscarCampoAccess("Descricao",B275,B.A_SINAPI,B.M_SINAPI,C275))))</f>
        <v>ERRO: CONEXÃO NÃO ESTABELECIDA. CLIQUE EM CONECTAR.</v>
      </c>
      <c r="F275" s="594" t="str" cm="1">
        <f t="array" ref="F275">UPPER(IF(C275="COMPOSIÇÃO",_xlfn.XLOOKUP($B275,A:A,F:F,),IF(C275="COTAÇÃO",VLOOKUP($B275,COTAÇÕES!$A$11:$E$37,3,0),BuscarCampoAccess("Unidade",B275,B.A_SINAPI,B.M_SINAPI,C275))))</f>
        <v>ERRO: CONEXÃO NÃO ESTABELECIDA. CLIQUE EM CONECTAR.</v>
      </c>
      <c r="G275" s="517">
        <v>3.8250000000000002</v>
      </c>
      <c r="H275" s="582" t="str" cm="1">
        <f t="array" ref="H275">UPPER(IF(C275="COMPOSIÇÃO",_xlfn.XLOOKUP($B275,A:A,I:I,),IF(C275="COTAÇÃO",VLOOKUP($B275,COTAÇÕES!$A$11:$E$37,5,0),BuscarCampoAccess("Custo",B275,B.A_SINAPI,B.M_SINAPI,C275))))</f>
        <v>ERRO: CONEXÃO NÃO ESTABELECIDA. CLIQUE EM CONECTAR.</v>
      </c>
      <c r="I275" s="583" t="e">
        <f t="shared" si="25"/>
        <v>#VALUE!</v>
      </c>
      <c r="K275" s="529" t="str">
        <f>IF(A275=B275,IFERROR(VLOOKUP(B275,#REF!,1,0),"-"),"-")</f>
        <v>-</v>
      </c>
      <c r="L275" s="304">
        <f t="shared" si="23"/>
        <v>1</v>
      </c>
      <c r="M275" s="304" t="str">
        <f t="shared" si="24"/>
        <v>-</v>
      </c>
    </row>
    <row r="276" spans="1:13" ht="63.75" x14ac:dyDescent="0.3">
      <c r="B276" s="516">
        <v>34492</v>
      </c>
      <c r="C276" s="573" t="s">
        <v>309</v>
      </c>
      <c r="D276" s="516" t="s">
        <v>861</v>
      </c>
      <c r="E276" s="593" t="str" cm="1">
        <f t="array" ref="E276">UPPER(IF(C276="COMPOSIÇÃO",_xlfn.XLOOKUP($B276,A:A,E:E,),IF(C276="COTAÇÃO",VLOOKUP($B276,COTAÇÕES!$A$11:$E$37,2,0),BuscarCampoAccess("Descricao",B276,B.A_SINAPI,B.M_SINAPI,C276))))</f>
        <v>ERRO: CONEXÃO NÃO ESTABELECIDA. CLIQUE EM CONECTAR.</v>
      </c>
      <c r="F276" s="594" t="str" cm="1">
        <f t="array" ref="F276">UPPER(IF(C276="COMPOSIÇÃO",_xlfn.XLOOKUP($B276,A:A,F:F,),IF(C276="COTAÇÃO",VLOOKUP($B276,COTAÇÕES!$A$11:$E$37,3,0),BuscarCampoAccess("Unidade",B276,B.A_SINAPI,B.M_SINAPI,C276))))</f>
        <v>ERRO: CONEXÃO NÃO ESTABELECIDA. CLIQUE EM CONECTAR.</v>
      </c>
      <c r="G276" s="517">
        <v>2.5499999999999998</v>
      </c>
      <c r="H276" s="582" t="str" cm="1">
        <f t="array" ref="H276">UPPER(IF(C276="COMPOSIÇÃO",_xlfn.XLOOKUP($B276,A:A,I:I,),IF(C276="COTAÇÃO",VLOOKUP($B276,COTAÇÕES!$A$11:$E$37,5,0),BuscarCampoAccess("Custo",B276,B.A_SINAPI,B.M_SINAPI,C276))))</f>
        <v>ERRO: CONEXÃO NÃO ESTABELECIDA. CLIQUE EM CONECTAR.</v>
      </c>
      <c r="I276" s="583" t="e">
        <f t="shared" si="25"/>
        <v>#VALUE!</v>
      </c>
      <c r="K276" s="529" t="str">
        <f>IF(A276=B276,IFERROR(VLOOKUP(B276,#REF!,1,0),"-"),"-")</f>
        <v>-</v>
      </c>
      <c r="L276" s="304">
        <f t="shared" si="23"/>
        <v>1</v>
      </c>
      <c r="M276" s="304" t="str">
        <f t="shared" si="24"/>
        <v>-</v>
      </c>
    </row>
    <row r="277" spans="1:13" ht="63.75" x14ac:dyDescent="0.3">
      <c r="B277" s="516">
        <v>88309</v>
      </c>
      <c r="C277" s="573" t="s">
        <v>309</v>
      </c>
      <c r="D277" s="516" t="s">
        <v>861</v>
      </c>
      <c r="E277" s="593" t="str" cm="1">
        <f t="array" ref="E277">UPPER(IF(C277="COMPOSIÇÃO",_xlfn.XLOOKUP($B277,A:A,E:E,),IF(C277="COTAÇÃO",VLOOKUP($B277,COTAÇÕES!$A$11:$E$37,2,0),BuscarCampoAccess("Descricao",B277,B.A_SINAPI,B.M_SINAPI,C277))))</f>
        <v>ERRO: CONEXÃO NÃO ESTABELECIDA. CLIQUE EM CONECTAR.</v>
      </c>
      <c r="F277" s="594" t="str" cm="1">
        <f t="array" ref="F277">UPPER(IF(C277="COMPOSIÇÃO",_xlfn.XLOOKUP($B277,A:A,F:F,),IF(C277="COTAÇÃO",VLOOKUP($B277,COTAÇÕES!$A$11:$E$37,3,0),BuscarCampoAccess("Unidade",B277,B.A_SINAPI,B.M_SINAPI,C277))))</f>
        <v>ERRO: CONEXÃO NÃO ESTABELECIDA. CLIQUE EM CONECTAR.</v>
      </c>
      <c r="G277" s="517">
        <v>21</v>
      </c>
      <c r="H277" s="582" t="str" cm="1">
        <f t="array" ref="H277">UPPER(IF(C277="COMPOSIÇÃO",_xlfn.XLOOKUP($B277,A:A,I:I,),IF(C277="COTAÇÃO",VLOOKUP($B277,COTAÇÕES!$A$11:$E$37,5,0),BuscarCampoAccess("Custo",B277,B.A_SINAPI,B.M_SINAPI,C277))))</f>
        <v>ERRO: CONEXÃO NÃO ESTABELECIDA. CLIQUE EM CONECTAR.</v>
      </c>
      <c r="I277" s="583" t="e">
        <f t="shared" si="25"/>
        <v>#VALUE!</v>
      </c>
      <c r="K277" s="529" t="str">
        <f>IF(A277=B277,IFERROR(VLOOKUP(B277,#REF!,1,0),"-"),"-")</f>
        <v>-</v>
      </c>
      <c r="L277" s="304">
        <f t="shared" si="23"/>
        <v>1</v>
      </c>
      <c r="M277" s="304" t="str">
        <f t="shared" si="24"/>
        <v>-</v>
      </c>
    </row>
    <row r="278" spans="1:13" ht="63.75" x14ac:dyDescent="0.3">
      <c r="B278" s="516">
        <v>88316</v>
      </c>
      <c r="C278" s="573" t="s">
        <v>309</v>
      </c>
      <c r="D278" s="516" t="s">
        <v>861</v>
      </c>
      <c r="E278" s="593" t="str" cm="1">
        <f t="array" ref="E278">UPPER(IF(C278="COMPOSIÇÃO",_xlfn.XLOOKUP($B278,A:A,E:E,),IF(C278="COTAÇÃO",VLOOKUP($B278,COTAÇÕES!$A$11:$E$37,2,0),BuscarCampoAccess("Descricao",B278,B.A_SINAPI,B.M_SINAPI,C278))))</f>
        <v>ERRO: CONEXÃO NÃO ESTABELECIDA. CLIQUE EM CONECTAR.</v>
      </c>
      <c r="F278" s="594" t="str" cm="1">
        <f t="array" ref="F278">UPPER(IF(C278="COMPOSIÇÃO",_xlfn.XLOOKUP($B278,A:A,F:F,),IF(C278="COTAÇÃO",VLOOKUP($B278,COTAÇÕES!$A$11:$E$37,3,0),BuscarCampoAccess("Unidade",B278,B.A_SINAPI,B.M_SINAPI,C278))))</f>
        <v>ERRO: CONEXÃO NÃO ESTABELECIDA. CLIQUE EM CONECTAR.</v>
      </c>
      <c r="G278" s="517">
        <v>21</v>
      </c>
      <c r="H278" s="582" t="str" cm="1">
        <f t="array" ref="H278">UPPER(IF(C278="COMPOSIÇÃO",_xlfn.XLOOKUP($B278,A:A,I:I,),IF(C278="COTAÇÃO",VLOOKUP($B278,COTAÇÕES!$A$11:$E$37,5,0),BuscarCampoAccess("Custo",B278,B.A_SINAPI,B.M_SINAPI,C278))))</f>
        <v>ERRO: CONEXÃO NÃO ESTABELECIDA. CLIQUE EM CONECTAR.</v>
      </c>
      <c r="I278" s="583" t="e">
        <f t="shared" si="25"/>
        <v>#VALUE!</v>
      </c>
      <c r="K278" s="529" t="str">
        <f>IF(A278=B278,IFERROR(VLOOKUP(B278,#REF!,1,0),"-"),"-")</f>
        <v>-</v>
      </c>
      <c r="L278" s="304">
        <f t="shared" si="23"/>
        <v>1</v>
      </c>
      <c r="M278" s="304" t="str">
        <f t="shared" si="24"/>
        <v>-</v>
      </c>
    </row>
    <row r="279" spans="1:13" ht="63.75" x14ac:dyDescent="0.3">
      <c r="B279" s="516">
        <v>21141</v>
      </c>
      <c r="C279" s="573" t="s">
        <v>309</v>
      </c>
      <c r="D279" s="516" t="s">
        <v>861</v>
      </c>
      <c r="E279" s="593" t="str" cm="1">
        <f t="array" ref="E279">UPPER(IF(C279="COMPOSIÇÃO",_xlfn.XLOOKUP($B279,A:A,E:E,),IF(C279="COTAÇÃO",VLOOKUP($B279,COTAÇÕES!$A$11:$E$37,2,0),BuscarCampoAccess("Descricao",B279,B.A_SINAPI,B.M_SINAPI,C279))))</f>
        <v>ERRO: CONEXÃO NÃO ESTABELECIDA. CLIQUE EM CONECTAR.</v>
      </c>
      <c r="F279" s="594" t="str" cm="1">
        <f t="array" ref="F279">UPPER(IF(C279="COMPOSIÇÃO",_xlfn.XLOOKUP($B279,A:A,F:F,),IF(C279="COTAÇÃO",VLOOKUP($B279,COTAÇÕES!$A$11:$E$37,3,0),BuscarCampoAccess("Unidade",B279,B.A_SINAPI,B.M_SINAPI,C279))))</f>
        <v>ERRO: CONEXÃO NÃO ESTABELECIDA. CLIQUE EM CONECTAR.</v>
      </c>
      <c r="G279" s="517">
        <v>13.93</v>
      </c>
      <c r="H279" s="582" t="str" cm="1">
        <f t="array" ref="H279">UPPER(IF(C279="COMPOSIÇÃO",_xlfn.XLOOKUP($B279,A:A,I:I,),IF(C279="COTAÇÃO",VLOOKUP($B279,COTAÇÕES!$A$11:$E$37,5,0),BuscarCampoAccess("Custo",B279,B.A_SINAPI,B.M_SINAPI,C279))))</f>
        <v>ERRO: CONEXÃO NÃO ESTABELECIDA. CLIQUE EM CONECTAR.</v>
      </c>
      <c r="I279" s="583" t="e">
        <f t="shared" si="25"/>
        <v>#VALUE!</v>
      </c>
      <c r="K279" s="529" t="str">
        <f>IF(A279=B279,IFERROR(VLOOKUP(B279,#REF!,1,0),"-"),"-")</f>
        <v>-</v>
      </c>
      <c r="L279" s="304">
        <f t="shared" si="23"/>
        <v>1</v>
      </c>
      <c r="M279" s="304" t="str">
        <f t="shared" si="24"/>
        <v>-</v>
      </c>
    </row>
    <row r="280" spans="1:13" x14ac:dyDescent="0.3">
      <c r="K280" s="529" t="str">
        <f>IF(A280=B280,IFERROR(VLOOKUP(B280,#REF!,1,0),"-"),"-")</f>
        <v>-</v>
      </c>
      <c r="L280" s="304">
        <f t="shared" si="23"/>
        <v>0</v>
      </c>
      <c r="M280" s="304" t="b">
        <f t="shared" si="24"/>
        <v>0</v>
      </c>
    </row>
    <row r="281" spans="1:13" ht="24.75" customHeight="1" x14ac:dyDescent="0.3">
      <c r="A281" s="192" t="str">
        <f>IF(AND(D281="",E281&lt;&gt;""),B281,"")</f>
        <v>CPU-DRED 29</v>
      </c>
      <c r="B281" s="589" t="s">
        <v>1269</v>
      </c>
      <c r="C281" s="187"/>
      <c r="D281" s="188"/>
      <c r="E281" s="189" t="s">
        <v>1517</v>
      </c>
      <c r="F281" s="188" t="s">
        <v>256</v>
      </c>
      <c r="G281" s="188"/>
      <c r="H281" s="191"/>
      <c r="I281" s="590" t="e">
        <f>SUM(I282:I323)</f>
        <v>#VALUE!</v>
      </c>
      <c r="K281" s="529" t="str">
        <f>IF(A281=B281,IFERROR(VLOOKUP(B281,#REF!,1,0),"-"),"-")</f>
        <v>-</v>
      </c>
      <c r="L281" s="304">
        <f t="shared" si="23"/>
        <v>1</v>
      </c>
      <c r="M281" s="304" t="str">
        <f t="shared" si="24"/>
        <v>-</v>
      </c>
    </row>
    <row r="282" spans="1:13" ht="63.75" x14ac:dyDescent="0.3">
      <c r="B282" s="516">
        <v>100324</v>
      </c>
      <c r="C282" s="573" t="s">
        <v>309</v>
      </c>
      <c r="D282" s="516" t="s">
        <v>861</v>
      </c>
      <c r="E282" s="593" t="str" cm="1">
        <f t="array" ref="E282">UPPER(IF(C282="COMPOSIÇÃO",_xlfn.XLOOKUP($B282,A:A,E:E,),IF(C282="COTAÇÃO",VLOOKUP($B282,COTAÇÕES!$A$11:$E$37,2,0),BuscarCampoAccess("Descricao",B282,B.A_SINAPI,B.M_SINAPI,C282))))</f>
        <v>ERRO: CONEXÃO NÃO ESTABELECIDA. CLIQUE EM CONECTAR.</v>
      </c>
      <c r="F282" s="594" t="str" cm="1">
        <f t="array" ref="F282">UPPER(IF(C282="COMPOSIÇÃO",_xlfn.XLOOKUP($B282,A:A,F:F,),IF(C282="COTAÇÃO",VLOOKUP($B282,COTAÇÕES!$A$11:$E$37,3,0),BuscarCampoAccess("Unidade",B282,B.A_SINAPI,B.M_SINAPI,C282))))</f>
        <v>ERRO: CONEXÃO NÃO ESTABELECIDA. CLIQUE EM CONECTAR.</v>
      </c>
      <c r="G282" s="517">
        <v>0.54755999999999994</v>
      </c>
      <c r="H282" s="582" t="str" cm="1">
        <f t="array" ref="H282">UPPER(IF(C282="COMPOSIÇÃO",_xlfn.XLOOKUP($B282,A:A,I:I,),IF(C282="COTAÇÃO",VLOOKUP($B282,COTAÇÕES!$A$11:$E$37,5,0),BuscarCampoAccess("Custo",B282,B.A_SINAPI,B.M_SINAPI,C282))))</f>
        <v>ERRO: CONEXÃO NÃO ESTABELECIDA. CLIQUE EM CONECTAR.</v>
      </c>
      <c r="I282" s="583" t="e">
        <f>TRUNC(G282*H282,2)</f>
        <v>#VALUE!</v>
      </c>
      <c r="K282" s="529" t="str">
        <f>IF(A282=B282,IFERROR(VLOOKUP(B282,#REF!,1,0),"-"),"-")</f>
        <v>-</v>
      </c>
      <c r="L282" s="304">
        <f t="shared" si="23"/>
        <v>1</v>
      </c>
      <c r="M282" s="304" t="str">
        <f t="shared" si="24"/>
        <v>-</v>
      </c>
    </row>
    <row r="283" spans="1:13" x14ac:dyDescent="0.3">
      <c r="B283" s="574" t="s">
        <v>1270</v>
      </c>
      <c r="C283" s="575"/>
      <c r="D283" s="576"/>
      <c r="E283" s="577"/>
      <c r="F283" s="578"/>
      <c r="G283" s="579"/>
      <c r="H283" s="580"/>
      <c r="I283" s="581"/>
      <c r="K283" s="529" t="str">
        <f>IF(A283=B283,IFERROR(VLOOKUP(B283,#REF!,1,0),"-"),"-")</f>
        <v>-</v>
      </c>
      <c r="L283" s="304">
        <f t="shared" si="23"/>
        <v>1</v>
      </c>
      <c r="M283" s="304" t="str">
        <f t="shared" si="24"/>
        <v>-</v>
      </c>
    </row>
    <row r="284" spans="1:13" ht="63.75" x14ac:dyDescent="0.3">
      <c r="B284" s="516">
        <v>96527</v>
      </c>
      <c r="C284" s="573" t="s">
        <v>309</v>
      </c>
      <c r="D284" s="516" t="s">
        <v>861</v>
      </c>
      <c r="E284" s="593" t="str" cm="1">
        <f t="array" ref="E284">UPPER(IF(C284="COMPOSIÇÃO",_xlfn.XLOOKUP($B284,A:A,E:E,),IF(C284="COTAÇÃO",VLOOKUP($B284,COTAÇÕES!$A$11:$E$37,2,0),BuscarCampoAccess("Descricao",B284,B.A_SINAPI,B.M_SINAPI,C284))))</f>
        <v>ERRO: CONEXÃO NÃO ESTABELECIDA. CLIQUE EM CONECTAR.</v>
      </c>
      <c r="F284" s="594" t="str" cm="1">
        <f t="array" ref="F284">UPPER(IF(C284="COMPOSIÇÃO",_xlfn.XLOOKUP($B284,A:A,F:F,),IF(C284="COTAÇÃO",VLOOKUP($B284,COTAÇÕES!$A$11:$E$37,3,0),BuscarCampoAccess("Unidade",B284,B.A_SINAPI,B.M_SINAPI,C284))))</f>
        <v>ERRO: CONEXÃO NÃO ESTABELECIDA. CLIQUE EM CONECTAR.</v>
      </c>
      <c r="G284" s="517">
        <v>0.64800000000000002</v>
      </c>
      <c r="H284" s="582" t="str" cm="1">
        <f t="array" ref="H284">UPPER(IF(C284="COMPOSIÇÃO",_xlfn.XLOOKUP($B284,A:A,I:I,),IF(C284="COTAÇÃO",VLOOKUP($B284,COTAÇÕES!$A$11:$E$37,5,0),BuscarCampoAccess("Custo",B284,B.A_SINAPI,B.M_SINAPI,C284))))</f>
        <v>ERRO: CONEXÃO NÃO ESTABELECIDA. CLIQUE EM CONECTAR.</v>
      </c>
      <c r="I284" s="583" t="e">
        <f>TRUNC(G284*H284,2)</f>
        <v>#VALUE!</v>
      </c>
      <c r="K284" s="529" t="str">
        <f>IF(A284=B284,IFERROR(VLOOKUP(B284,#REF!,1,0),"-"),"-")</f>
        <v>-</v>
      </c>
      <c r="L284" s="304">
        <f t="shared" si="23"/>
        <v>1</v>
      </c>
      <c r="M284" s="304" t="str">
        <f t="shared" si="24"/>
        <v>-</v>
      </c>
    </row>
    <row r="285" spans="1:13" ht="63.75" x14ac:dyDescent="0.3">
      <c r="B285" s="516">
        <v>96536</v>
      </c>
      <c r="C285" s="573" t="s">
        <v>309</v>
      </c>
      <c r="D285" s="516" t="s">
        <v>861</v>
      </c>
      <c r="E285" s="593" t="str" cm="1">
        <f t="array" ref="E285">UPPER(IF(C285="COMPOSIÇÃO",_xlfn.XLOOKUP($B285,A:A,E:E,),IF(C285="COTAÇÃO",VLOOKUP($B285,COTAÇÕES!$A$11:$E$37,2,0),BuscarCampoAccess("Descricao",B285,B.A_SINAPI,B.M_SINAPI,C285))))</f>
        <v>ERRO: CONEXÃO NÃO ESTABELECIDA. CLIQUE EM CONECTAR.</v>
      </c>
      <c r="F285" s="594" t="str" cm="1">
        <f t="array" ref="F285">UPPER(IF(C285="COMPOSIÇÃO",_xlfn.XLOOKUP($B285,A:A,F:F,),IF(C285="COTAÇÃO",VLOOKUP($B285,COTAÇÕES!$A$11:$E$37,3,0),BuscarCampoAccess("Unidade",B285,B.A_SINAPI,B.M_SINAPI,C285))))</f>
        <v>ERRO: CONEXÃO NÃO ESTABELECIDA. CLIQUE EM CONECTAR.</v>
      </c>
      <c r="G285" s="517">
        <v>5.97</v>
      </c>
      <c r="H285" s="582" t="str" cm="1">
        <f t="array" ref="H285">UPPER(IF(C285="COMPOSIÇÃO",_xlfn.XLOOKUP($B285,A:A,I:I,),IF(C285="COTAÇÃO",VLOOKUP($B285,COTAÇÕES!$A$11:$E$37,5,0),BuscarCampoAccess("Custo",B285,B.A_SINAPI,B.M_SINAPI,C285))))</f>
        <v>ERRO: CONEXÃO NÃO ESTABELECIDA. CLIQUE EM CONECTAR.</v>
      </c>
      <c r="I285" s="583" t="e">
        <f t="shared" ref="I285:I293" si="26">TRUNC(G285*H285,2)</f>
        <v>#VALUE!</v>
      </c>
      <c r="K285" s="529" t="str">
        <f>IF(A285=B285,IFERROR(VLOOKUP(B285,#REF!,1,0),"-"),"-")</f>
        <v>-</v>
      </c>
      <c r="L285" s="304">
        <f t="shared" si="23"/>
        <v>1</v>
      </c>
      <c r="M285" s="304" t="str">
        <f t="shared" si="24"/>
        <v>-</v>
      </c>
    </row>
    <row r="286" spans="1:13" ht="63.75" x14ac:dyDescent="0.3">
      <c r="B286" s="516">
        <v>95241</v>
      </c>
      <c r="C286" s="573" t="s">
        <v>309</v>
      </c>
      <c r="D286" s="516" t="s">
        <v>861</v>
      </c>
      <c r="E286" s="593" t="str" cm="1">
        <f t="array" ref="E286">UPPER(IF(C286="COMPOSIÇÃO",_xlfn.XLOOKUP($B286,A:A,E:E,),IF(C286="COTAÇÃO",VLOOKUP($B286,COTAÇÕES!$A$11:$E$37,2,0),BuscarCampoAccess("Descricao",B286,B.A_SINAPI,B.M_SINAPI,C286))))</f>
        <v>ERRO: CONEXÃO NÃO ESTABELECIDA. CLIQUE EM CONECTAR.</v>
      </c>
      <c r="F286" s="594" t="str" cm="1">
        <f t="array" ref="F286">UPPER(IF(C286="COMPOSIÇÃO",_xlfn.XLOOKUP($B286,A:A,F:F,),IF(C286="COTAÇÃO",VLOOKUP($B286,COTAÇÕES!$A$11:$E$37,3,0),BuscarCampoAccess("Unidade",B286,B.A_SINAPI,B.M_SINAPI,C286))))</f>
        <v>ERRO: CONEXÃO NÃO ESTABELECIDA. CLIQUE EM CONECTAR.</v>
      </c>
      <c r="G286" s="517">
        <v>5.4755999999999991</v>
      </c>
      <c r="H286" s="582" t="str" cm="1">
        <f t="array" ref="H286">UPPER(IF(C286="COMPOSIÇÃO",_xlfn.XLOOKUP($B286,A:A,I:I,),IF(C286="COTAÇÃO",VLOOKUP($B286,COTAÇÕES!$A$11:$E$37,5,0),BuscarCampoAccess("Custo",B286,B.A_SINAPI,B.M_SINAPI,C286))))</f>
        <v>ERRO: CONEXÃO NÃO ESTABELECIDA. CLIQUE EM CONECTAR.</v>
      </c>
      <c r="I286" s="583" t="e">
        <f t="shared" si="26"/>
        <v>#VALUE!</v>
      </c>
      <c r="K286" s="529" t="str">
        <f>IF(A286=B286,IFERROR(VLOOKUP(B286,#REF!,1,0),"-"),"-")</f>
        <v>-</v>
      </c>
      <c r="L286" s="304">
        <f t="shared" si="23"/>
        <v>1</v>
      </c>
      <c r="M286" s="304" t="str">
        <f t="shared" si="24"/>
        <v>-</v>
      </c>
    </row>
    <row r="287" spans="1:13" ht="63.75" x14ac:dyDescent="0.3">
      <c r="B287" s="516">
        <v>92759</v>
      </c>
      <c r="C287" s="573" t="s">
        <v>309</v>
      </c>
      <c r="D287" s="516" t="s">
        <v>861</v>
      </c>
      <c r="E287" s="593" t="str" cm="1">
        <f t="array" ref="E287">UPPER(IF(C287="COMPOSIÇÃO",_xlfn.XLOOKUP($B287,A:A,E:E,),IF(C287="COTAÇÃO",VLOOKUP($B287,COTAÇÕES!$A$11:$E$37,2,0),BuscarCampoAccess("Descricao",B287,B.A_SINAPI,B.M_SINAPI,C287))))</f>
        <v>ERRO: CONEXÃO NÃO ESTABELECIDA. CLIQUE EM CONECTAR.</v>
      </c>
      <c r="F287" s="594" t="str" cm="1">
        <f t="array" ref="F287">UPPER(IF(C287="COMPOSIÇÃO",_xlfn.XLOOKUP($B287,A:A,F:F,),IF(C287="COTAÇÃO",VLOOKUP($B287,COTAÇÕES!$A$11:$E$37,3,0),BuscarCampoAccess("Unidade",B287,B.A_SINAPI,B.M_SINAPI,C287))))</f>
        <v>ERRO: CONEXÃO NÃO ESTABELECIDA. CLIQUE EM CONECTAR.</v>
      </c>
      <c r="G287" s="517">
        <v>8.1999999999999993</v>
      </c>
      <c r="H287" s="582" t="str" cm="1">
        <f t="array" ref="H287">UPPER(IF(C287="COMPOSIÇÃO",_xlfn.XLOOKUP($B287,A:A,I:I,),IF(C287="COTAÇÃO",VLOOKUP($B287,COTAÇÕES!$A$11:$E$37,5,0),BuscarCampoAccess("Custo",B287,B.A_SINAPI,B.M_SINAPI,C287))))</f>
        <v>ERRO: CONEXÃO NÃO ESTABELECIDA. CLIQUE EM CONECTAR.</v>
      </c>
      <c r="I287" s="583" t="e">
        <f t="shared" si="26"/>
        <v>#VALUE!</v>
      </c>
      <c r="K287" s="529" t="str">
        <f>IF(A287=B287,IFERROR(VLOOKUP(B287,#REF!,1,0),"-"),"-")</f>
        <v>-</v>
      </c>
      <c r="L287" s="304">
        <f t="shared" si="23"/>
        <v>1</v>
      </c>
      <c r="M287" s="304" t="str">
        <f t="shared" si="24"/>
        <v>-</v>
      </c>
    </row>
    <row r="288" spans="1:13" ht="63.75" x14ac:dyDescent="0.3">
      <c r="B288" s="516">
        <v>92761</v>
      </c>
      <c r="C288" s="573" t="s">
        <v>309</v>
      </c>
      <c r="D288" s="516" t="s">
        <v>861</v>
      </c>
      <c r="E288" s="593" t="str" cm="1">
        <f t="array" ref="E288">UPPER(IF(C288="COMPOSIÇÃO",_xlfn.XLOOKUP($B288,A:A,E:E,),IF(C288="COTAÇÃO",VLOOKUP($B288,COTAÇÕES!$A$11:$E$37,2,0),BuscarCampoAccess("Descricao",B288,B.A_SINAPI,B.M_SINAPI,C288))))</f>
        <v>ERRO: CONEXÃO NÃO ESTABELECIDA. CLIQUE EM CONECTAR.</v>
      </c>
      <c r="F288" s="594" t="str" cm="1">
        <f t="array" ref="F288">UPPER(IF(C288="COMPOSIÇÃO",_xlfn.XLOOKUP($B288,A:A,F:F,),IF(C288="COTAÇÃO",VLOOKUP($B288,COTAÇÕES!$A$11:$E$37,3,0),BuscarCampoAccess("Unidade",B288,B.A_SINAPI,B.M_SINAPI,C288))))</f>
        <v>ERRO: CONEXÃO NÃO ESTABELECIDA. CLIQUE EM CONECTAR.</v>
      </c>
      <c r="G288" s="517">
        <v>14.9</v>
      </c>
      <c r="H288" s="582" t="str" cm="1">
        <f t="array" ref="H288">UPPER(IF(C288="COMPOSIÇÃO",_xlfn.XLOOKUP($B288,A:A,I:I,),IF(C288="COTAÇÃO",VLOOKUP($B288,COTAÇÕES!$A$11:$E$37,5,0),BuscarCampoAccess("Custo",B288,B.A_SINAPI,B.M_SINAPI,C288))))</f>
        <v>ERRO: CONEXÃO NÃO ESTABELECIDA. CLIQUE EM CONECTAR.</v>
      </c>
      <c r="I288" s="583" t="e">
        <f t="shared" si="26"/>
        <v>#VALUE!</v>
      </c>
      <c r="K288" s="529" t="str">
        <f>IF(A288=B288,IFERROR(VLOOKUP(B288,#REF!,1,0),"-"),"-")</f>
        <v>-</v>
      </c>
      <c r="L288" s="304">
        <f t="shared" si="23"/>
        <v>1</v>
      </c>
      <c r="M288" s="304" t="str">
        <f t="shared" si="24"/>
        <v>-</v>
      </c>
    </row>
    <row r="289" spans="2:13" ht="63.75" x14ac:dyDescent="0.3">
      <c r="B289" s="516">
        <v>92762</v>
      </c>
      <c r="C289" s="573" t="s">
        <v>309</v>
      </c>
      <c r="D289" s="516" t="s">
        <v>861</v>
      </c>
      <c r="E289" s="593" t="str" cm="1">
        <f t="array" ref="E289">UPPER(IF(C289="COMPOSIÇÃO",_xlfn.XLOOKUP($B289,A:A,E:E,),IF(C289="COTAÇÃO",VLOOKUP($B289,COTAÇÕES!$A$11:$E$37,2,0),BuscarCampoAccess("Descricao",B289,B.A_SINAPI,B.M_SINAPI,C289))))</f>
        <v>ERRO: CONEXÃO NÃO ESTABELECIDA. CLIQUE EM CONECTAR.</v>
      </c>
      <c r="F289" s="594" t="str" cm="1">
        <f t="array" ref="F289">UPPER(IF(C289="COMPOSIÇÃO",_xlfn.XLOOKUP($B289,A:A,F:F,),IF(C289="COTAÇÃO",VLOOKUP($B289,COTAÇÕES!$A$11:$E$37,3,0),BuscarCampoAccess("Unidade",B289,B.A_SINAPI,B.M_SINAPI,C289))))</f>
        <v>ERRO: CONEXÃO NÃO ESTABELECIDA. CLIQUE EM CONECTAR.</v>
      </c>
      <c r="G289" s="517">
        <v>8.5</v>
      </c>
      <c r="H289" s="582" t="str" cm="1">
        <f t="array" ref="H289">UPPER(IF(C289="COMPOSIÇÃO",_xlfn.XLOOKUP($B289,A:A,I:I,),IF(C289="COTAÇÃO",VLOOKUP($B289,COTAÇÕES!$A$11:$E$37,5,0),BuscarCampoAccess("Custo",B289,B.A_SINAPI,B.M_SINAPI,C289))))</f>
        <v>ERRO: CONEXÃO NÃO ESTABELECIDA. CLIQUE EM CONECTAR.</v>
      </c>
      <c r="I289" s="583" t="e">
        <f t="shared" si="26"/>
        <v>#VALUE!</v>
      </c>
      <c r="K289" s="529" t="str">
        <f>IF(A289=B289,IFERROR(VLOOKUP(B289,#REF!,1,0),"-"),"-")</f>
        <v>-</v>
      </c>
      <c r="L289" s="304">
        <f t="shared" si="23"/>
        <v>1</v>
      </c>
      <c r="M289" s="304" t="str">
        <f t="shared" si="24"/>
        <v>-</v>
      </c>
    </row>
    <row r="290" spans="2:13" ht="63.75" x14ac:dyDescent="0.3">
      <c r="B290" s="516">
        <v>94965</v>
      </c>
      <c r="C290" s="573" t="s">
        <v>309</v>
      </c>
      <c r="D290" s="516" t="s">
        <v>861</v>
      </c>
      <c r="E290" s="593" t="str" cm="1">
        <f t="array" ref="E290">UPPER(IF(C290="COMPOSIÇÃO",_xlfn.XLOOKUP($B290,A:A,E:E,),IF(C290="COTAÇÃO",VLOOKUP($B290,COTAÇÕES!$A$11:$E$37,2,0),BuscarCampoAccess("Descricao",B290,B.A_SINAPI,B.M_SINAPI,C290))))</f>
        <v>ERRO: CONEXÃO NÃO ESTABELECIDA. CLIQUE EM CONECTAR.</v>
      </c>
      <c r="F290" s="594" t="str" cm="1">
        <f t="array" ref="F290">UPPER(IF(C290="COMPOSIÇÃO",_xlfn.XLOOKUP($B290,A:A,F:F,),IF(C290="COTAÇÃO",VLOOKUP($B290,COTAÇÕES!$A$11:$E$37,3,0),BuscarCampoAccess("Unidade",B290,B.A_SINAPI,B.M_SINAPI,C290))))</f>
        <v>ERRO: CONEXÃO NÃO ESTABELECIDA. CLIQUE EM CONECTAR.</v>
      </c>
      <c r="G290" s="517">
        <v>0.47</v>
      </c>
      <c r="H290" s="582" t="str" cm="1">
        <f t="array" ref="H290">UPPER(IF(C290="COMPOSIÇÃO",_xlfn.XLOOKUP($B290,A:A,I:I,),IF(C290="COTAÇÃO",VLOOKUP($B290,COTAÇÕES!$A$11:$E$37,5,0),BuscarCampoAccess("Custo",B290,B.A_SINAPI,B.M_SINAPI,C290))))</f>
        <v>ERRO: CONEXÃO NÃO ESTABELECIDA. CLIQUE EM CONECTAR.</v>
      </c>
      <c r="I290" s="583" t="e">
        <f t="shared" si="26"/>
        <v>#VALUE!</v>
      </c>
      <c r="K290" s="529" t="str">
        <f>IF(A290=B290,IFERROR(VLOOKUP(B290,#REF!,1,0),"-"),"-")</f>
        <v>-</v>
      </c>
      <c r="L290" s="304">
        <f t="shared" si="23"/>
        <v>1</v>
      </c>
      <c r="M290" s="304" t="str">
        <f t="shared" si="24"/>
        <v>-</v>
      </c>
    </row>
    <row r="291" spans="2:13" ht="63.75" x14ac:dyDescent="0.3">
      <c r="B291" s="516">
        <v>103670</v>
      </c>
      <c r="C291" s="573" t="s">
        <v>309</v>
      </c>
      <c r="D291" s="516" t="s">
        <v>861</v>
      </c>
      <c r="E291" s="593" t="str" cm="1">
        <f t="array" ref="E291">UPPER(IF(C291="COMPOSIÇÃO",_xlfn.XLOOKUP($B291,A:A,E:E,),IF(C291="COTAÇÃO",VLOOKUP($B291,COTAÇÕES!$A$11:$E$37,2,0),BuscarCampoAccess("Descricao",B291,B.A_SINAPI,B.M_SINAPI,C291))))</f>
        <v>ERRO: CONEXÃO NÃO ESTABELECIDA. CLIQUE EM CONECTAR.</v>
      </c>
      <c r="F291" s="594" t="str" cm="1">
        <f t="array" ref="F291">UPPER(IF(C291="COMPOSIÇÃO",_xlfn.XLOOKUP($B291,A:A,F:F,),IF(C291="COTAÇÃO",VLOOKUP($B291,COTAÇÕES!$A$11:$E$37,3,0),BuscarCampoAccess("Unidade",B291,B.A_SINAPI,B.M_SINAPI,C291))))</f>
        <v>ERRO: CONEXÃO NÃO ESTABELECIDA. CLIQUE EM CONECTAR.</v>
      </c>
      <c r="G291" s="517">
        <v>0.47</v>
      </c>
      <c r="H291" s="582" t="str" cm="1">
        <f t="array" ref="H291">UPPER(IF(C291="COMPOSIÇÃO",_xlfn.XLOOKUP($B291,A:A,I:I,),IF(C291="COTAÇÃO",VLOOKUP($B291,COTAÇÕES!$A$11:$E$37,5,0),BuscarCampoAccess("Custo",B291,B.A_SINAPI,B.M_SINAPI,C291))))</f>
        <v>ERRO: CONEXÃO NÃO ESTABELECIDA. CLIQUE EM CONECTAR.</v>
      </c>
      <c r="I291" s="583" t="e">
        <f t="shared" si="26"/>
        <v>#VALUE!</v>
      </c>
      <c r="K291" s="529" t="str">
        <f>IF(A291=B291,IFERROR(VLOOKUP(B291,#REF!,1,0),"-"),"-")</f>
        <v>-</v>
      </c>
      <c r="L291" s="304">
        <f t="shared" si="23"/>
        <v>1</v>
      </c>
      <c r="M291" s="304" t="str">
        <f t="shared" si="24"/>
        <v>-</v>
      </c>
    </row>
    <row r="292" spans="2:13" ht="63.75" x14ac:dyDescent="0.3">
      <c r="B292" s="516">
        <v>98557</v>
      </c>
      <c r="C292" s="573" t="s">
        <v>309</v>
      </c>
      <c r="D292" s="516" t="s">
        <v>861</v>
      </c>
      <c r="E292" s="593" t="str" cm="1">
        <f t="array" ref="E292">UPPER(IF(C292="COMPOSIÇÃO",_xlfn.XLOOKUP($B292,A:A,E:E,),IF(C292="COTAÇÃO",VLOOKUP($B292,COTAÇÕES!$A$11:$E$37,2,0),BuscarCampoAccess("Descricao",B292,B.A_SINAPI,B.M_SINAPI,C292))))</f>
        <v>ERRO: CONEXÃO NÃO ESTABELECIDA. CLIQUE EM CONECTAR.</v>
      </c>
      <c r="F292" s="594" t="str" cm="1">
        <f t="array" ref="F292">UPPER(IF(C292="COMPOSIÇÃO",_xlfn.XLOOKUP($B292,A:A,F:F,),IF(C292="COTAÇÃO",VLOOKUP($B292,COTAÇÕES!$A$11:$E$37,3,0),BuscarCampoAccess("Unidade",B292,B.A_SINAPI,B.M_SINAPI,C292))))</f>
        <v>ERRO: CONEXÃO NÃO ESTABELECIDA. CLIQUE EM CONECTAR.</v>
      </c>
      <c r="G292" s="517">
        <v>5.97</v>
      </c>
      <c r="H292" s="582" t="str" cm="1">
        <f t="array" ref="H292">UPPER(IF(C292="COMPOSIÇÃO",_xlfn.XLOOKUP($B292,A:A,I:I,),IF(C292="COTAÇÃO",VLOOKUP($B292,COTAÇÕES!$A$11:$E$37,5,0),BuscarCampoAccess("Custo",B292,B.A_SINAPI,B.M_SINAPI,C292))))</f>
        <v>ERRO: CONEXÃO NÃO ESTABELECIDA. CLIQUE EM CONECTAR.</v>
      </c>
      <c r="I292" s="583" t="e">
        <f t="shared" si="26"/>
        <v>#VALUE!</v>
      </c>
      <c r="K292" s="529" t="str">
        <f>IF(A292=B292,IFERROR(VLOOKUP(B292,#REF!,1,0),"-"),"-")</f>
        <v>-</v>
      </c>
      <c r="L292" s="304">
        <f t="shared" si="23"/>
        <v>1</v>
      </c>
      <c r="M292" s="304" t="str">
        <f t="shared" si="24"/>
        <v>-</v>
      </c>
    </row>
    <row r="293" spans="2:13" ht="63.75" x14ac:dyDescent="0.3">
      <c r="B293" s="516">
        <v>93382</v>
      </c>
      <c r="C293" s="573" t="s">
        <v>309</v>
      </c>
      <c r="D293" s="516" t="s">
        <v>861</v>
      </c>
      <c r="E293" s="593" t="str" cm="1">
        <f t="array" ref="E293">UPPER(IF(C293="COMPOSIÇÃO",_xlfn.XLOOKUP($B293,A:A,E:E,),IF(C293="COTAÇÃO",VLOOKUP($B293,COTAÇÕES!$A$11:$E$37,2,0),BuscarCampoAccess("Descricao",B293,B.A_SINAPI,B.M_SINAPI,C293))))</f>
        <v>ERRO: CONEXÃO NÃO ESTABELECIDA. CLIQUE EM CONECTAR.</v>
      </c>
      <c r="F293" s="594" t="str" cm="1">
        <f t="array" ref="F293">UPPER(IF(C293="COMPOSIÇÃO",_xlfn.XLOOKUP($B293,A:A,F:F,),IF(C293="COTAÇÃO",VLOOKUP($B293,COTAÇÕES!$A$11:$E$37,3,0),BuscarCampoAccess("Unidade",B293,B.A_SINAPI,B.M_SINAPI,C293))))</f>
        <v>ERRO: CONEXÃO NÃO ESTABELECIDA. CLIQUE EM CONECTAR.</v>
      </c>
      <c r="G293" s="517">
        <v>0.24</v>
      </c>
      <c r="H293" s="582" t="str" cm="1">
        <f t="array" ref="H293">UPPER(IF(C293="COMPOSIÇÃO",_xlfn.XLOOKUP($B293,A:A,I:I,),IF(C293="COTAÇÃO",VLOOKUP($B293,COTAÇÕES!$A$11:$E$37,5,0),BuscarCampoAccess("Custo",B293,B.A_SINAPI,B.M_SINAPI,C293))))</f>
        <v>ERRO: CONEXÃO NÃO ESTABELECIDA. CLIQUE EM CONECTAR.</v>
      </c>
      <c r="I293" s="583" t="e">
        <f t="shared" si="26"/>
        <v>#VALUE!</v>
      </c>
      <c r="K293" s="529" t="str">
        <f>IF(A293=B293,IFERROR(VLOOKUP(B293,#REF!,1,0),"-"),"-")</f>
        <v>-</v>
      </c>
      <c r="L293" s="304">
        <f t="shared" si="23"/>
        <v>1</v>
      </c>
      <c r="M293" s="304" t="str">
        <f t="shared" si="24"/>
        <v>-</v>
      </c>
    </row>
    <row r="294" spans="2:13" x14ac:dyDescent="0.3">
      <c r="B294" s="574" t="s">
        <v>1271</v>
      </c>
      <c r="C294" s="575"/>
      <c r="D294" s="576"/>
      <c r="E294" s="577"/>
      <c r="F294" s="578"/>
      <c r="G294" s="579"/>
      <c r="H294" s="580"/>
      <c r="I294" s="581"/>
      <c r="K294" s="529" t="str">
        <f>IF(A294=B294,IFERROR(VLOOKUP(B294,#REF!,1,0),"-"),"-")</f>
        <v>-</v>
      </c>
      <c r="L294" s="304">
        <f t="shared" si="23"/>
        <v>1</v>
      </c>
      <c r="M294" s="304" t="str">
        <f t="shared" si="24"/>
        <v>-</v>
      </c>
    </row>
    <row r="295" spans="2:13" ht="63.75" x14ac:dyDescent="0.3">
      <c r="B295" s="516">
        <v>92770</v>
      </c>
      <c r="C295" s="573" t="s">
        <v>309</v>
      </c>
      <c r="D295" s="516" t="s">
        <v>861</v>
      </c>
      <c r="E295" s="593" t="str" cm="1">
        <f t="array" ref="E295">UPPER(IF(C295="COMPOSIÇÃO",_xlfn.XLOOKUP($B295,A:A,E:E,),IF(C295="COTAÇÃO",VLOOKUP($B295,COTAÇÕES!$A$11:$E$37,2,0),BuscarCampoAccess("Descricao",B295,B.A_SINAPI,B.M_SINAPI,C295))))</f>
        <v>ERRO: CONEXÃO NÃO ESTABELECIDA. CLIQUE EM CONECTAR.</v>
      </c>
      <c r="F295" s="594" t="str" cm="1">
        <f t="array" ref="F295">UPPER(IF(C295="COMPOSIÇÃO",_xlfn.XLOOKUP($B295,A:A,F:F,),IF(C295="COTAÇÃO",VLOOKUP($B295,COTAÇÕES!$A$11:$E$37,3,0),BuscarCampoAccess("Unidade",B295,B.A_SINAPI,B.M_SINAPI,C295))))</f>
        <v>ERRO: CONEXÃO NÃO ESTABELECIDA. CLIQUE EM CONECTAR.</v>
      </c>
      <c r="G295" s="517">
        <v>72.599999999999994</v>
      </c>
      <c r="H295" s="582" t="str" cm="1">
        <f t="array" ref="H295">UPPER(IF(C295="COMPOSIÇÃO",_xlfn.XLOOKUP($B295,A:A,I:I,),IF(C295="COTAÇÃO",VLOOKUP($B295,COTAÇÕES!$A$11:$E$37,5,0),BuscarCampoAccess("Custo",B295,B.A_SINAPI,B.M_SINAPI,C295))))</f>
        <v>ERRO: CONEXÃO NÃO ESTABELECIDA. CLIQUE EM CONECTAR.</v>
      </c>
      <c r="I295" s="583" t="e">
        <f>TRUNC(G295*H295,2)</f>
        <v>#VALUE!</v>
      </c>
      <c r="K295" s="529" t="str">
        <f>IF(A295=B295,IFERROR(VLOOKUP(B295,#REF!,1,0),"-"),"-")</f>
        <v>-</v>
      </c>
      <c r="L295" s="304">
        <f t="shared" si="23"/>
        <v>1</v>
      </c>
      <c r="M295" s="304" t="str">
        <f t="shared" si="24"/>
        <v>-</v>
      </c>
    </row>
    <row r="296" spans="2:13" ht="63.75" x14ac:dyDescent="0.3">
      <c r="B296" s="516">
        <v>94965</v>
      </c>
      <c r="C296" s="573" t="s">
        <v>309</v>
      </c>
      <c r="D296" s="516" t="s">
        <v>861</v>
      </c>
      <c r="E296" s="593" t="str" cm="1">
        <f t="array" ref="E296">UPPER(IF(C296="COMPOSIÇÃO",_xlfn.XLOOKUP($B296,A:A,E:E,),IF(C296="COTAÇÃO",VLOOKUP($B296,COTAÇÕES!$A$11:$E$37,2,0),BuscarCampoAccess("Descricao",B296,B.A_SINAPI,B.M_SINAPI,C296))))</f>
        <v>ERRO: CONEXÃO NÃO ESTABELECIDA. CLIQUE EM CONECTAR.</v>
      </c>
      <c r="F296" s="594" t="str" cm="1">
        <f t="array" ref="F296">UPPER(IF(C296="COMPOSIÇÃO",_xlfn.XLOOKUP($B296,A:A,F:F,),IF(C296="COTAÇÃO",VLOOKUP($B296,COTAÇÕES!$A$11:$E$37,3,0),BuscarCampoAccess("Unidade",B296,B.A_SINAPI,B.M_SINAPI,C296))))</f>
        <v>ERRO: CONEXÃO NÃO ESTABELECIDA. CLIQUE EM CONECTAR.</v>
      </c>
      <c r="G296" s="517">
        <v>0.6</v>
      </c>
      <c r="H296" s="582" t="str" cm="1">
        <f t="array" ref="H296">UPPER(IF(C296="COMPOSIÇÃO",_xlfn.XLOOKUP($B296,A:A,I:I,),IF(C296="COTAÇÃO",VLOOKUP($B296,COTAÇÕES!$A$11:$E$37,5,0),BuscarCampoAccess("Custo",B296,B.A_SINAPI,B.M_SINAPI,C296))))</f>
        <v>ERRO: CONEXÃO NÃO ESTABELECIDA. CLIQUE EM CONECTAR.</v>
      </c>
      <c r="I296" s="583" t="e">
        <f>TRUNC(G296*H296,2)</f>
        <v>#VALUE!</v>
      </c>
      <c r="K296" s="529" t="str">
        <f>IF(A296=B296,IFERROR(VLOOKUP(B296,#REF!,1,0),"-"),"-")</f>
        <v>-</v>
      </c>
      <c r="L296" s="304">
        <f t="shared" si="23"/>
        <v>1</v>
      </c>
      <c r="M296" s="304" t="str">
        <f t="shared" si="24"/>
        <v>-</v>
      </c>
    </row>
    <row r="297" spans="2:13" ht="63.75" x14ac:dyDescent="0.3">
      <c r="B297" s="516">
        <v>103673</v>
      </c>
      <c r="C297" s="573" t="s">
        <v>309</v>
      </c>
      <c r="D297" s="516" t="s">
        <v>861</v>
      </c>
      <c r="E297" s="593" t="str" cm="1">
        <f t="array" ref="E297">UPPER(IF(C297="COMPOSIÇÃO",_xlfn.XLOOKUP($B297,A:A,E:E,),IF(C297="COTAÇÃO",VLOOKUP($B297,COTAÇÕES!$A$11:$E$37,2,0),BuscarCampoAccess("Descricao",B297,B.A_SINAPI,B.M_SINAPI,C297))))</f>
        <v>ERRO: CONEXÃO NÃO ESTABELECIDA. CLIQUE EM CONECTAR.</v>
      </c>
      <c r="F297" s="594" t="str" cm="1">
        <f t="array" ref="F297">UPPER(IF(C297="COMPOSIÇÃO",_xlfn.XLOOKUP($B297,A:A,F:F,),IF(C297="COTAÇÃO",VLOOKUP($B297,COTAÇÕES!$A$11:$E$37,3,0),BuscarCampoAccess("Unidade",B297,B.A_SINAPI,B.M_SINAPI,C297))))</f>
        <v>ERRO: CONEXÃO NÃO ESTABELECIDA. CLIQUE EM CONECTAR.</v>
      </c>
      <c r="G297" s="517">
        <v>0.6</v>
      </c>
      <c r="H297" s="582" t="str" cm="1">
        <f t="array" ref="H297">UPPER(IF(C297="COMPOSIÇÃO",_xlfn.XLOOKUP($B297,A:A,I:I,),IF(C297="COTAÇÃO",VLOOKUP($B297,COTAÇÕES!$A$11:$E$37,5,0),BuscarCampoAccess("Custo",B297,B.A_SINAPI,B.M_SINAPI,C297))))</f>
        <v>ERRO: CONEXÃO NÃO ESTABELECIDA. CLIQUE EM CONECTAR.</v>
      </c>
      <c r="I297" s="583" t="e">
        <f>TRUNC(G297*H297,2)</f>
        <v>#VALUE!</v>
      </c>
      <c r="K297" s="529" t="str">
        <f>IF(A297=B297,IFERROR(VLOOKUP(B297,#REF!,1,0),"-"),"-")</f>
        <v>-</v>
      </c>
      <c r="L297" s="304">
        <f t="shared" si="23"/>
        <v>1</v>
      </c>
      <c r="M297" s="304" t="str">
        <f t="shared" si="24"/>
        <v>-</v>
      </c>
    </row>
    <row r="298" spans="2:13" x14ac:dyDescent="0.3">
      <c r="B298" s="574" t="s">
        <v>1272</v>
      </c>
      <c r="C298" s="575"/>
      <c r="D298" s="576"/>
      <c r="E298" s="577"/>
      <c r="F298" s="578"/>
      <c r="G298" s="579"/>
      <c r="H298" s="580"/>
      <c r="I298" s="581"/>
      <c r="K298" s="529" t="str">
        <f>IF(A298=B298,IFERROR(VLOOKUP(B298,#REF!,1,0),"-"),"-")</f>
        <v>-</v>
      </c>
      <c r="L298" s="304">
        <f t="shared" si="23"/>
        <v>1</v>
      </c>
      <c r="M298" s="304" t="str">
        <f t="shared" si="24"/>
        <v>-</v>
      </c>
    </row>
    <row r="299" spans="2:13" ht="63.75" x14ac:dyDescent="0.3">
      <c r="B299" s="516">
        <v>92443</v>
      </c>
      <c r="C299" s="573" t="s">
        <v>309</v>
      </c>
      <c r="D299" s="516" t="s">
        <v>861</v>
      </c>
      <c r="E299" s="593" t="str" cm="1">
        <f t="array" ref="E299">UPPER(IF(C299="COMPOSIÇÃO",_xlfn.XLOOKUP($B299,A:A,E:E,),IF(C299="COTAÇÃO",VLOOKUP($B299,COTAÇÕES!$A$11:$E$37,2,0),BuscarCampoAccess("Descricao",B299,B.A_SINAPI,B.M_SINAPI,C299))))</f>
        <v>ERRO: CONEXÃO NÃO ESTABELECIDA. CLIQUE EM CONECTAR.</v>
      </c>
      <c r="F299" s="594" t="str" cm="1">
        <f t="array" ref="F299">UPPER(IF(C299="COMPOSIÇÃO",_xlfn.XLOOKUP($B299,A:A,F:F,),IF(C299="COTAÇÃO",VLOOKUP($B299,COTAÇÕES!$A$11:$E$37,3,0),BuscarCampoAccess("Unidade",B299,B.A_SINAPI,B.M_SINAPI,C299))))</f>
        <v>ERRO: CONEXÃO NÃO ESTABELECIDA. CLIQUE EM CONECTAR.</v>
      </c>
      <c r="G299" s="517">
        <v>4.08</v>
      </c>
      <c r="H299" s="582" t="str" cm="1">
        <f t="array" ref="H299">UPPER(IF(C299="COMPOSIÇÃO",_xlfn.XLOOKUP($B299,A:A,I:I,),IF(C299="COTAÇÃO",VLOOKUP($B299,COTAÇÕES!$A$11:$E$37,5,0),BuscarCampoAccess("Custo",B299,B.A_SINAPI,B.M_SINAPI,C299))))</f>
        <v>ERRO: CONEXÃO NÃO ESTABELECIDA. CLIQUE EM CONECTAR.</v>
      </c>
      <c r="I299" s="583" t="e">
        <f>TRUNC(G299*H299,2)</f>
        <v>#VALUE!</v>
      </c>
      <c r="K299" s="529" t="str">
        <f>IF(A299=B299,IFERROR(VLOOKUP(B299,#REF!,1,0),"-"),"-")</f>
        <v>-</v>
      </c>
      <c r="L299" s="304">
        <f t="shared" si="23"/>
        <v>1</v>
      </c>
      <c r="M299" s="304" t="str">
        <f t="shared" si="24"/>
        <v>-</v>
      </c>
    </row>
    <row r="300" spans="2:13" ht="63.75" x14ac:dyDescent="0.3">
      <c r="B300" s="516">
        <v>92759</v>
      </c>
      <c r="C300" s="573" t="s">
        <v>309</v>
      </c>
      <c r="D300" s="516" t="s">
        <v>861</v>
      </c>
      <c r="E300" s="593" t="str" cm="1">
        <f t="array" ref="E300">UPPER(IF(C300="COMPOSIÇÃO",_xlfn.XLOOKUP($B300,A:A,E:E,),IF(C300="COTAÇÃO",VLOOKUP($B300,COTAÇÕES!$A$11:$E$37,2,0),BuscarCampoAccess("Descricao",B300,B.A_SINAPI,B.M_SINAPI,C300))))</f>
        <v>ERRO: CONEXÃO NÃO ESTABELECIDA. CLIQUE EM CONECTAR.</v>
      </c>
      <c r="F300" s="594" t="str" cm="1">
        <f t="array" ref="F300">UPPER(IF(C300="COMPOSIÇÃO",_xlfn.XLOOKUP($B300,A:A,F:F,),IF(C300="COTAÇÃO",VLOOKUP($B300,COTAÇÕES!$A$11:$E$37,3,0),BuscarCampoAccess("Unidade",B300,B.A_SINAPI,B.M_SINAPI,C300))))</f>
        <v>ERRO: CONEXÃO NÃO ESTABELECIDA. CLIQUE EM CONECTAR.</v>
      </c>
      <c r="G300" s="517">
        <v>5.8</v>
      </c>
      <c r="H300" s="582" t="str" cm="1">
        <f t="array" ref="H300">UPPER(IF(C300="COMPOSIÇÃO",_xlfn.XLOOKUP($B300,A:A,I:I,),IF(C300="COTAÇÃO",VLOOKUP($B300,COTAÇÕES!$A$11:$E$37,5,0),BuscarCampoAccess("Custo",B300,B.A_SINAPI,B.M_SINAPI,C300))))</f>
        <v>ERRO: CONEXÃO NÃO ESTABELECIDA. CLIQUE EM CONECTAR.</v>
      </c>
      <c r="I300" s="583" t="e">
        <f>TRUNC(G300*H300,2)</f>
        <v>#VALUE!</v>
      </c>
      <c r="K300" s="529" t="str">
        <f>IF(A300=B300,IFERROR(VLOOKUP(B300,#REF!,1,0),"-"),"-")</f>
        <v>-</v>
      </c>
      <c r="L300" s="304">
        <f t="shared" si="23"/>
        <v>1</v>
      </c>
      <c r="M300" s="304" t="str">
        <f t="shared" si="24"/>
        <v>-</v>
      </c>
    </row>
    <row r="301" spans="2:13" ht="63.75" x14ac:dyDescent="0.3">
      <c r="B301" s="516">
        <v>92762</v>
      </c>
      <c r="C301" s="573" t="s">
        <v>309</v>
      </c>
      <c r="D301" s="516" t="s">
        <v>861</v>
      </c>
      <c r="E301" s="593" t="str" cm="1">
        <f t="array" ref="E301">UPPER(IF(C301="COMPOSIÇÃO",_xlfn.XLOOKUP($B301,A:A,E:E,),IF(C301="COTAÇÃO",VLOOKUP($B301,COTAÇÕES!$A$11:$E$37,2,0),BuscarCampoAccess("Descricao",B301,B.A_SINAPI,B.M_SINAPI,C301))))</f>
        <v>ERRO: CONEXÃO NÃO ESTABELECIDA. CLIQUE EM CONECTAR.</v>
      </c>
      <c r="F301" s="594" t="str" cm="1">
        <f t="array" ref="F301">UPPER(IF(C301="COMPOSIÇÃO",_xlfn.XLOOKUP($B301,A:A,F:F,),IF(C301="COTAÇÃO",VLOOKUP($B301,COTAÇÕES!$A$11:$E$37,3,0),BuscarCampoAccess("Unidade",B301,B.A_SINAPI,B.M_SINAPI,C301))))</f>
        <v>ERRO: CONEXÃO NÃO ESTABELECIDA. CLIQUE EM CONECTAR.</v>
      </c>
      <c r="G301" s="517">
        <v>14.6</v>
      </c>
      <c r="H301" s="582" t="str" cm="1">
        <f t="array" ref="H301">UPPER(IF(C301="COMPOSIÇÃO",_xlfn.XLOOKUP($B301,A:A,I:I,),IF(C301="COTAÇÃO",VLOOKUP($B301,COTAÇÕES!$A$11:$E$37,5,0),BuscarCampoAccess("Custo",B301,B.A_SINAPI,B.M_SINAPI,C301))))</f>
        <v>ERRO: CONEXÃO NÃO ESTABELECIDA. CLIQUE EM CONECTAR.</v>
      </c>
      <c r="I301" s="583" t="e">
        <f>TRUNC(G301*H301,2)</f>
        <v>#VALUE!</v>
      </c>
      <c r="K301" s="529" t="str">
        <f>IF(A301=B301,IFERROR(VLOOKUP(B301,#REF!,1,0),"-"),"-")</f>
        <v>-</v>
      </c>
      <c r="L301" s="304">
        <f t="shared" si="23"/>
        <v>1</v>
      </c>
      <c r="M301" s="304" t="str">
        <f t="shared" si="24"/>
        <v>-</v>
      </c>
    </row>
    <row r="302" spans="2:13" ht="63.75" x14ac:dyDescent="0.3">
      <c r="B302" s="516">
        <v>94965</v>
      </c>
      <c r="C302" s="573" t="s">
        <v>309</v>
      </c>
      <c r="D302" s="516" t="s">
        <v>861</v>
      </c>
      <c r="E302" s="593" t="str" cm="1">
        <f t="array" ref="E302">UPPER(IF(C302="COMPOSIÇÃO",_xlfn.XLOOKUP($B302,A:A,E:E,),IF(C302="COTAÇÃO",VLOOKUP($B302,COTAÇÕES!$A$11:$E$37,2,0),BuscarCampoAccess("Descricao",B302,B.A_SINAPI,B.M_SINAPI,C302))))</f>
        <v>ERRO: CONEXÃO NÃO ESTABELECIDA. CLIQUE EM CONECTAR.</v>
      </c>
      <c r="F302" s="594" t="str" cm="1">
        <f t="array" ref="F302">UPPER(IF(C302="COMPOSIÇÃO",_xlfn.XLOOKUP($B302,A:A,F:F,),IF(C302="COTAÇÃO",VLOOKUP($B302,COTAÇÕES!$A$11:$E$37,3,0),BuscarCampoAccess("Unidade",B302,B.A_SINAPI,B.M_SINAPI,C302))))</f>
        <v>ERRO: CONEXÃO NÃO ESTABELECIDA. CLIQUE EM CONECTAR.</v>
      </c>
      <c r="G302" s="517">
        <v>0.17</v>
      </c>
      <c r="H302" s="582" t="str" cm="1">
        <f t="array" ref="H302">UPPER(IF(C302="COMPOSIÇÃO",_xlfn.XLOOKUP($B302,A:A,I:I,),IF(C302="COTAÇÃO",VLOOKUP($B302,COTAÇÕES!$A$11:$E$37,5,0),BuscarCampoAccess("Custo",B302,B.A_SINAPI,B.M_SINAPI,C302))))</f>
        <v>ERRO: CONEXÃO NÃO ESTABELECIDA. CLIQUE EM CONECTAR.</v>
      </c>
      <c r="I302" s="583" t="e">
        <f>TRUNC(G302*H302,2)</f>
        <v>#VALUE!</v>
      </c>
      <c r="K302" s="529" t="str">
        <f>IF(A302=B302,IFERROR(VLOOKUP(B302,#REF!,1,0),"-"),"-")</f>
        <v>-</v>
      </c>
      <c r="L302" s="304">
        <f t="shared" si="23"/>
        <v>1</v>
      </c>
      <c r="M302" s="304" t="str">
        <f t="shared" si="24"/>
        <v>-</v>
      </c>
    </row>
    <row r="303" spans="2:13" ht="63.75" x14ac:dyDescent="0.3">
      <c r="B303" s="516">
        <v>103670</v>
      </c>
      <c r="C303" s="573" t="s">
        <v>309</v>
      </c>
      <c r="D303" s="516" t="s">
        <v>861</v>
      </c>
      <c r="E303" s="593" t="str" cm="1">
        <f t="array" ref="E303">UPPER(IF(C303="COMPOSIÇÃO",_xlfn.XLOOKUP($B303,A:A,E:E,),IF(C303="COTAÇÃO",VLOOKUP($B303,COTAÇÕES!$A$11:$E$37,2,0),BuscarCampoAccess("Descricao",B303,B.A_SINAPI,B.M_SINAPI,C303))))</f>
        <v>ERRO: CONEXÃO NÃO ESTABELECIDA. CLIQUE EM CONECTAR.</v>
      </c>
      <c r="F303" s="594" t="str" cm="1">
        <f t="array" ref="F303">UPPER(IF(C303="COMPOSIÇÃO",_xlfn.XLOOKUP($B303,A:A,F:F,),IF(C303="COTAÇÃO",VLOOKUP($B303,COTAÇÕES!$A$11:$E$37,3,0),BuscarCampoAccess("Unidade",B303,B.A_SINAPI,B.M_SINAPI,C303))))</f>
        <v>ERRO: CONEXÃO NÃO ESTABELECIDA. CLIQUE EM CONECTAR.</v>
      </c>
      <c r="G303" s="517">
        <v>0.17</v>
      </c>
      <c r="H303" s="582" t="str" cm="1">
        <f t="array" ref="H303">UPPER(IF(C303="COMPOSIÇÃO",_xlfn.XLOOKUP($B303,A:A,I:I,),IF(C303="COTAÇÃO",VLOOKUP($B303,COTAÇÕES!$A$11:$E$37,5,0),BuscarCampoAccess("Custo",B303,B.A_SINAPI,B.M_SINAPI,C303))))</f>
        <v>ERRO: CONEXÃO NÃO ESTABELECIDA. CLIQUE EM CONECTAR.</v>
      </c>
      <c r="I303" s="583" t="e">
        <f>TRUNC(G303*H303,2)</f>
        <v>#VALUE!</v>
      </c>
      <c r="K303" s="529" t="str">
        <f>IF(A303=B303,IFERROR(VLOOKUP(B303,#REF!,1,0),"-"),"-")</f>
        <v>-</v>
      </c>
      <c r="L303" s="304">
        <f t="shared" si="23"/>
        <v>1</v>
      </c>
      <c r="M303" s="304" t="str">
        <f t="shared" si="24"/>
        <v>-</v>
      </c>
    </row>
    <row r="304" spans="2:13" x14ac:dyDescent="0.3">
      <c r="B304" s="574" t="s">
        <v>1273</v>
      </c>
      <c r="C304" s="575"/>
      <c r="D304" s="576"/>
      <c r="E304" s="577"/>
      <c r="F304" s="578"/>
      <c r="G304" s="579"/>
      <c r="H304" s="580"/>
      <c r="I304" s="581"/>
      <c r="K304" s="529" t="str">
        <f>IF(A304=B304,IFERROR(VLOOKUP(B304,#REF!,1,0),"-"),"-")</f>
        <v>-</v>
      </c>
      <c r="L304" s="304">
        <f t="shared" si="23"/>
        <v>1</v>
      </c>
      <c r="M304" s="304" t="str">
        <f t="shared" si="24"/>
        <v>-</v>
      </c>
    </row>
    <row r="305" spans="2:13" ht="63.75" x14ac:dyDescent="0.3">
      <c r="B305" s="516">
        <v>92479</v>
      </c>
      <c r="C305" s="573" t="s">
        <v>309</v>
      </c>
      <c r="D305" s="516" t="s">
        <v>861</v>
      </c>
      <c r="E305" s="593" t="str" cm="1">
        <f t="array" ref="E305">UPPER(IF(C305="COMPOSIÇÃO",_xlfn.XLOOKUP($B305,A:A,E:E,),IF(C305="COTAÇÃO",VLOOKUP($B305,COTAÇÕES!$A$11:$E$37,2,0),BuscarCampoAccess("Descricao",B305,B.A_SINAPI,B.M_SINAPI,C305))))</f>
        <v>ERRO: CONEXÃO NÃO ESTABELECIDA. CLIQUE EM CONECTAR.</v>
      </c>
      <c r="F305" s="594" t="str" cm="1">
        <f t="array" ref="F305">UPPER(IF(C305="COMPOSIÇÃO",_xlfn.XLOOKUP($B305,A:A,F:F,),IF(C305="COTAÇÃO",VLOOKUP($B305,COTAÇÕES!$A$11:$E$37,3,0),BuscarCampoAccess("Unidade",B305,B.A_SINAPI,B.M_SINAPI,C305))))</f>
        <v>ERRO: CONEXÃO NÃO ESTABELECIDA. CLIQUE EM CONECTAR.</v>
      </c>
      <c r="G305" s="517">
        <v>5.2</v>
      </c>
      <c r="H305" s="582" t="str" cm="1">
        <f t="array" ref="H305">UPPER(IF(C305="COMPOSIÇÃO",_xlfn.XLOOKUP($B305,A:A,I:I,),IF(C305="COTAÇÃO",VLOOKUP($B305,COTAÇÕES!$A$11:$E$37,5,0),BuscarCampoAccess("Custo",B305,B.A_SINAPI,B.M_SINAPI,C305))))</f>
        <v>ERRO: CONEXÃO NÃO ESTABELECIDA. CLIQUE EM CONECTAR.</v>
      </c>
      <c r="I305" s="583" t="e">
        <f>TRUNC(G305*H305,2)</f>
        <v>#VALUE!</v>
      </c>
      <c r="K305" s="529" t="str">
        <f>IF(A305=B305,IFERROR(VLOOKUP(B305,#REF!,1,0),"-"),"-")</f>
        <v>-</v>
      </c>
      <c r="L305" s="304">
        <f t="shared" si="23"/>
        <v>1</v>
      </c>
      <c r="M305" s="304" t="str">
        <f t="shared" si="24"/>
        <v>-</v>
      </c>
    </row>
    <row r="306" spans="2:13" ht="63.75" x14ac:dyDescent="0.3">
      <c r="B306" s="516">
        <v>92759</v>
      </c>
      <c r="C306" s="573" t="s">
        <v>309</v>
      </c>
      <c r="D306" s="516" t="s">
        <v>861</v>
      </c>
      <c r="E306" s="593" t="str" cm="1">
        <f t="array" ref="E306">UPPER(IF(C306="COMPOSIÇÃO",_xlfn.XLOOKUP($B306,A:A,E:E,),IF(C306="COTAÇÃO",VLOOKUP($B306,COTAÇÕES!$A$11:$E$37,2,0),BuscarCampoAccess("Descricao",B306,B.A_SINAPI,B.M_SINAPI,C306))))</f>
        <v>ERRO: CONEXÃO NÃO ESTABELECIDA. CLIQUE EM CONECTAR.</v>
      </c>
      <c r="F306" s="594" t="str" cm="1">
        <f t="array" ref="F306">UPPER(IF(C306="COMPOSIÇÃO",_xlfn.XLOOKUP($B306,A:A,F:F,),IF(C306="COTAÇÃO",VLOOKUP($B306,COTAÇÕES!$A$11:$E$37,3,0),BuscarCampoAccess("Unidade",B306,B.A_SINAPI,B.M_SINAPI,C306))))</f>
        <v>ERRO: CONEXÃO NÃO ESTABELECIDA. CLIQUE EM CONECTAR.</v>
      </c>
      <c r="G306" s="517">
        <v>7</v>
      </c>
      <c r="H306" s="582" t="str" cm="1">
        <f t="array" ref="H306">UPPER(IF(C306="COMPOSIÇÃO",_xlfn.XLOOKUP($B306,A:A,I:I,),IF(C306="COTAÇÃO",VLOOKUP($B306,COTAÇÕES!$A$11:$E$37,5,0),BuscarCampoAccess("Custo",B306,B.A_SINAPI,B.M_SINAPI,C306))))</f>
        <v>ERRO: CONEXÃO NÃO ESTABELECIDA. CLIQUE EM CONECTAR.</v>
      </c>
      <c r="I306" s="583" t="e">
        <f>TRUNC(G306*H306,2)</f>
        <v>#VALUE!</v>
      </c>
      <c r="K306" s="529" t="str">
        <f>IF(A306=B306,IFERROR(VLOOKUP(B306,#REF!,1,0),"-"),"-")</f>
        <v>-</v>
      </c>
      <c r="L306" s="304">
        <f t="shared" si="23"/>
        <v>1</v>
      </c>
      <c r="M306" s="304" t="str">
        <f t="shared" si="24"/>
        <v>-</v>
      </c>
    </row>
    <row r="307" spans="2:13" ht="63.75" x14ac:dyDescent="0.3">
      <c r="B307" s="516">
        <v>92761</v>
      </c>
      <c r="C307" s="573" t="s">
        <v>309</v>
      </c>
      <c r="D307" s="516" t="s">
        <v>861</v>
      </c>
      <c r="E307" s="593" t="str" cm="1">
        <f t="array" ref="E307">UPPER(IF(C307="COMPOSIÇÃO",_xlfn.XLOOKUP($B307,A:A,E:E,),IF(C307="COTAÇÃO",VLOOKUP($B307,COTAÇÕES!$A$11:$E$37,2,0),BuscarCampoAccess("Descricao",B307,B.A_SINAPI,B.M_SINAPI,C307))))</f>
        <v>ERRO: CONEXÃO NÃO ESTABELECIDA. CLIQUE EM CONECTAR.</v>
      </c>
      <c r="F307" s="594" t="str" cm="1">
        <f t="array" ref="F307">UPPER(IF(C307="COMPOSIÇÃO",_xlfn.XLOOKUP($B307,A:A,F:F,),IF(C307="COTAÇÃO",VLOOKUP($B307,COTAÇÕES!$A$11:$E$37,3,0),BuscarCampoAccess("Unidade",B307,B.A_SINAPI,B.M_SINAPI,C307))))</f>
        <v>ERRO: CONEXÃO NÃO ESTABELECIDA. CLIQUE EM CONECTAR.</v>
      </c>
      <c r="G307" s="517">
        <v>15.7</v>
      </c>
      <c r="H307" s="582" t="str" cm="1">
        <f t="array" ref="H307">UPPER(IF(C307="COMPOSIÇÃO",_xlfn.XLOOKUP($B307,A:A,I:I,),IF(C307="COTAÇÃO",VLOOKUP($B307,COTAÇÕES!$A$11:$E$37,5,0),BuscarCampoAccess("Custo",B307,B.A_SINAPI,B.M_SINAPI,C307))))</f>
        <v>ERRO: CONEXÃO NÃO ESTABELECIDA. CLIQUE EM CONECTAR.</v>
      </c>
      <c r="I307" s="583" t="e">
        <f>TRUNC(G307*H307,2)</f>
        <v>#VALUE!</v>
      </c>
      <c r="K307" s="529" t="str">
        <f>IF(A307=B307,IFERROR(VLOOKUP(B307,#REF!,1,0),"-"),"-")</f>
        <v>-</v>
      </c>
      <c r="L307" s="304">
        <f t="shared" si="23"/>
        <v>1</v>
      </c>
      <c r="M307" s="304" t="str">
        <f t="shared" si="24"/>
        <v>-</v>
      </c>
    </row>
    <row r="308" spans="2:13" ht="63.75" x14ac:dyDescent="0.3">
      <c r="B308" s="516">
        <v>94965</v>
      </c>
      <c r="C308" s="573" t="s">
        <v>309</v>
      </c>
      <c r="D308" s="516" t="s">
        <v>861</v>
      </c>
      <c r="E308" s="593" t="str" cm="1">
        <f t="array" ref="E308">UPPER(IF(C308="COMPOSIÇÃO",_xlfn.XLOOKUP($B308,A:A,E:E,),IF(C308="COTAÇÃO",VLOOKUP($B308,COTAÇÕES!$A$11:$E$37,2,0),BuscarCampoAccess("Descricao",B308,B.A_SINAPI,B.M_SINAPI,C308))))</f>
        <v>ERRO: CONEXÃO NÃO ESTABELECIDA. CLIQUE EM CONECTAR.</v>
      </c>
      <c r="F308" s="594" t="str" cm="1">
        <f t="array" ref="F308">UPPER(IF(C308="COMPOSIÇÃO",_xlfn.XLOOKUP($B308,A:A,F:F,),IF(C308="COTAÇÃO",VLOOKUP($B308,COTAÇÕES!$A$11:$E$37,3,0),BuscarCampoAccess("Unidade",B308,B.A_SINAPI,B.M_SINAPI,C308))))</f>
        <v>ERRO: CONEXÃO NÃO ESTABELECIDA. CLIQUE EM CONECTAR.</v>
      </c>
      <c r="G308" s="517">
        <v>0.41</v>
      </c>
      <c r="H308" s="582" t="str" cm="1">
        <f t="array" ref="H308">UPPER(IF(C308="COMPOSIÇÃO",_xlfn.XLOOKUP($B308,A:A,I:I,),IF(C308="COTAÇÃO",VLOOKUP($B308,COTAÇÕES!$A$11:$E$37,5,0),BuscarCampoAccess("Custo",B308,B.A_SINAPI,B.M_SINAPI,C308))))</f>
        <v>ERRO: CONEXÃO NÃO ESTABELECIDA. CLIQUE EM CONECTAR.</v>
      </c>
      <c r="I308" s="583" t="e">
        <f>TRUNC(G308*H308,2)</f>
        <v>#VALUE!</v>
      </c>
      <c r="K308" s="529" t="str">
        <f>IF(A308=B308,IFERROR(VLOOKUP(B308,#REF!,1,0),"-"),"-")</f>
        <v>-</v>
      </c>
      <c r="L308" s="304">
        <f t="shared" si="23"/>
        <v>1</v>
      </c>
      <c r="M308" s="304" t="str">
        <f t="shared" si="24"/>
        <v>-</v>
      </c>
    </row>
    <row r="309" spans="2:13" ht="63.75" x14ac:dyDescent="0.3">
      <c r="B309" s="516">
        <v>103670</v>
      </c>
      <c r="C309" s="573" t="s">
        <v>309</v>
      </c>
      <c r="D309" s="516" t="s">
        <v>861</v>
      </c>
      <c r="E309" s="593" t="str" cm="1">
        <f t="array" ref="E309">UPPER(IF(C309="COMPOSIÇÃO",_xlfn.XLOOKUP($B309,A:A,E:E,),IF(C309="COTAÇÃO",VLOOKUP($B309,COTAÇÕES!$A$11:$E$37,2,0),BuscarCampoAccess("Descricao",B309,B.A_SINAPI,B.M_SINAPI,C309))))</f>
        <v>ERRO: CONEXÃO NÃO ESTABELECIDA. CLIQUE EM CONECTAR.</v>
      </c>
      <c r="F309" s="594" t="str" cm="1">
        <f t="array" ref="F309">UPPER(IF(C309="COMPOSIÇÃO",_xlfn.XLOOKUP($B309,A:A,F:F,),IF(C309="COTAÇÃO",VLOOKUP($B309,COTAÇÕES!$A$11:$E$37,3,0),BuscarCampoAccess("Unidade",B309,B.A_SINAPI,B.M_SINAPI,C309))))</f>
        <v>ERRO: CONEXÃO NÃO ESTABELECIDA. CLIQUE EM CONECTAR.</v>
      </c>
      <c r="G309" s="517">
        <v>0.41</v>
      </c>
      <c r="H309" s="582" t="str" cm="1">
        <f t="array" ref="H309">UPPER(IF(C309="COMPOSIÇÃO",_xlfn.XLOOKUP($B309,A:A,I:I,),IF(C309="COTAÇÃO",VLOOKUP($B309,COTAÇÕES!$A$11:$E$37,5,0),BuscarCampoAccess("Custo",B309,B.A_SINAPI,B.M_SINAPI,C309))))</f>
        <v>ERRO: CONEXÃO NÃO ESTABELECIDA. CLIQUE EM CONECTAR.</v>
      </c>
      <c r="I309" s="583" t="e">
        <f>TRUNC(G309*H309,2)</f>
        <v>#VALUE!</v>
      </c>
      <c r="K309" s="529" t="str">
        <f>IF(A309=B309,IFERROR(VLOOKUP(B309,#REF!,1,0),"-"),"-")</f>
        <v>-</v>
      </c>
      <c r="L309" s="304">
        <f t="shared" si="23"/>
        <v>1</v>
      </c>
      <c r="M309" s="304" t="str">
        <f t="shared" si="24"/>
        <v>-</v>
      </c>
    </row>
    <row r="310" spans="2:13" x14ac:dyDescent="0.3">
      <c r="B310" s="574" t="s">
        <v>1274</v>
      </c>
      <c r="C310" s="575"/>
      <c r="D310" s="576"/>
      <c r="E310" s="577"/>
      <c r="F310" s="578"/>
      <c r="G310" s="579"/>
      <c r="H310" s="580"/>
      <c r="I310" s="581"/>
      <c r="K310" s="529" t="str">
        <f>IF(A310=B310,IFERROR(VLOOKUP(B310,#REF!,1,0),"-"),"-")</f>
        <v>-</v>
      </c>
      <c r="L310" s="304">
        <f t="shared" si="23"/>
        <v>1</v>
      </c>
      <c r="M310" s="304" t="str">
        <f t="shared" si="24"/>
        <v>-</v>
      </c>
    </row>
    <row r="311" spans="2:13" ht="63.75" x14ac:dyDescent="0.3">
      <c r="B311" s="516">
        <v>92267</v>
      </c>
      <c r="C311" s="573" t="s">
        <v>309</v>
      </c>
      <c r="D311" s="516" t="s">
        <v>861</v>
      </c>
      <c r="E311" s="593" t="str" cm="1">
        <f t="array" ref="E311">UPPER(IF(C311="COMPOSIÇÃO",_xlfn.XLOOKUP($B311,A:A,E:E,),IF(C311="COTAÇÃO",VLOOKUP($B311,COTAÇÕES!$A$11:$E$37,2,0),BuscarCampoAccess("Descricao",B311,B.A_SINAPI,B.M_SINAPI,C311))))</f>
        <v>ERRO: CONEXÃO NÃO ESTABELECIDA. CLIQUE EM CONECTAR.</v>
      </c>
      <c r="F311" s="594" t="str" cm="1">
        <f t="array" ref="F311">UPPER(IF(C311="COMPOSIÇÃO",_xlfn.XLOOKUP($B311,A:A,F:F,),IF(C311="COTAÇÃO",VLOOKUP($B311,COTAÇÕES!$A$11:$E$37,3,0),BuscarCampoAccess("Unidade",B311,B.A_SINAPI,B.M_SINAPI,C311))))</f>
        <v>ERRO: CONEXÃO NÃO ESTABELECIDA. CLIQUE EM CONECTAR.</v>
      </c>
      <c r="G311" s="517">
        <v>3.53</v>
      </c>
      <c r="H311" s="582" t="str" cm="1">
        <f t="array" ref="H311">UPPER(IF(C311="COMPOSIÇÃO",_xlfn.XLOOKUP($B311,A:A,I:I,),IF(C311="COTAÇÃO",VLOOKUP($B311,COTAÇÕES!$A$11:$E$37,5,0),BuscarCampoAccess("Custo",B311,B.A_SINAPI,B.M_SINAPI,C311))))</f>
        <v>ERRO: CONEXÃO NÃO ESTABELECIDA. CLIQUE EM CONECTAR.</v>
      </c>
      <c r="I311" s="583" t="e">
        <f>TRUNC(G311*H311,2)</f>
        <v>#VALUE!</v>
      </c>
      <c r="K311" s="529" t="str">
        <f>IF(A311=B311,IFERROR(VLOOKUP(B311,#REF!,1,0),"-"),"-")</f>
        <v>-</v>
      </c>
      <c r="L311" s="304">
        <f t="shared" si="23"/>
        <v>1</v>
      </c>
      <c r="M311" s="304" t="str">
        <f t="shared" si="24"/>
        <v>-</v>
      </c>
    </row>
    <row r="312" spans="2:13" ht="63.75" x14ac:dyDescent="0.3">
      <c r="B312" s="516">
        <v>92769</v>
      </c>
      <c r="C312" s="573" t="s">
        <v>309</v>
      </c>
      <c r="D312" s="516" t="s">
        <v>861</v>
      </c>
      <c r="E312" s="593" t="str" cm="1">
        <f t="array" ref="E312">UPPER(IF(C312="COMPOSIÇÃO",_xlfn.XLOOKUP($B312,A:A,E:E,),IF(C312="COTAÇÃO",VLOOKUP($B312,COTAÇÕES!$A$11:$E$37,2,0),BuscarCampoAccess("Descricao",B312,B.A_SINAPI,B.M_SINAPI,C312))))</f>
        <v>ERRO: CONEXÃO NÃO ESTABELECIDA. CLIQUE EM CONECTAR.</v>
      </c>
      <c r="F312" s="594" t="str" cm="1">
        <f t="array" ref="F312">UPPER(IF(C312="COMPOSIÇÃO",_xlfn.XLOOKUP($B312,A:A,F:F,),IF(C312="COTAÇÃO",VLOOKUP($B312,COTAÇÕES!$A$11:$E$37,3,0),BuscarCampoAccess("Unidade",B312,B.A_SINAPI,B.M_SINAPI,C312))))</f>
        <v>ERRO: CONEXÃO NÃO ESTABELECIDA. CLIQUE EM CONECTAR.</v>
      </c>
      <c r="G312" s="517">
        <v>10.7</v>
      </c>
      <c r="H312" s="582" t="str" cm="1">
        <f t="array" ref="H312">UPPER(IF(C312="COMPOSIÇÃO",_xlfn.XLOOKUP($B312,A:A,I:I,),IF(C312="COTAÇÃO",VLOOKUP($B312,COTAÇÕES!$A$11:$E$37,5,0),BuscarCampoAccess("Custo",B312,B.A_SINAPI,B.M_SINAPI,C312))))</f>
        <v>ERRO: CONEXÃO NÃO ESTABELECIDA. CLIQUE EM CONECTAR.</v>
      </c>
      <c r="I312" s="583" t="e">
        <f>TRUNC(G312*H312,2)</f>
        <v>#VALUE!</v>
      </c>
      <c r="K312" s="529" t="str">
        <f>IF(A312=B312,IFERROR(VLOOKUP(B312,#REF!,1,0),"-"),"-")</f>
        <v>-</v>
      </c>
      <c r="L312" s="304">
        <f t="shared" si="23"/>
        <v>1</v>
      </c>
      <c r="M312" s="304" t="str">
        <f t="shared" si="24"/>
        <v>-</v>
      </c>
    </row>
    <row r="313" spans="2:13" ht="63.75" x14ac:dyDescent="0.3">
      <c r="B313" s="516">
        <v>92770</v>
      </c>
      <c r="C313" s="573" t="s">
        <v>309</v>
      </c>
      <c r="D313" s="516" t="s">
        <v>861</v>
      </c>
      <c r="E313" s="593" t="str" cm="1">
        <f t="array" ref="E313">UPPER(IF(C313="COMPOSIÇÃO",_xlfn.XLOOKUP($B313,A:A,E:E,),IF(C313="COTAÇÃO",VLOOKUP($B313,COTAÇÕES!$A$11:$E$37,2,0),BuscarCampoAccess("Descricao",B313,B.A_SINAPI,B.M_SINAPI,C313))))</f>
        <v>ERRO: CONEXÃO NÃO ESTABELECIDA. CLIQUE EM CONECTAR.</v>
      </c>
      <c r="F313" s="594" t="str" cm="1">
        <f t="array" ref="F313">UPPER(IF(C313="COMPOSIÇÃO",_xlfn.XLOOKUP($B313,A:A,F:F,),IF(C313="COTAÇÃO",VLOOKUP($B313,COTAÇÕES!$A$11:$E$37,3,0),BuscarCampoAccess("Unidade",B313,B.A_SINAPI,B.M_SINAPI,C313))))</f>
        <v>ERRO: CONEXÃO NÃO ESTABELECIDA. CLIQUE EM CONECTAR.</v>
      </c>
      <c r="G313" s="517">
        <v>29.3</v>
      </c>
      <c r="H313" s="582" t="str" cm="1">
        <f t="array" ref="H313">UPPER(IF(C313="COMPOSIÇÃO",_xlfn.XLOOKUP($B313,A:A,I:I,),IF(C313="COTAÇÃO",VLOOKUP($B313,COTAÇÕES!$A$11:$E$37,5,0),BuscarCampoAccess("Custo",B313,B.A_SINAPI,B.M_SINAPI,C313))))</f>
        <v>ERRO: CONEXÃO NÃO ESTABELECIDA. CLIQUE EM CONECTAR.</v>
      </c>
      <c r="I313" s="583" t="e">
        <f>TRUNC(G313*H313,2)</f>
        <v>#VALUE!</v>
      </c>
      <c r="K313" s="529" t="str">
        <f>IF(A313=B313,IFERROR(VLOOKUP(B313,#REF!,1,0),"-"),"-")</f>
        <v>-</v>
      </c>
      <c r="L313" s="304">
        <f t="shared" si="23"/>
        <v>1</v>
      </c>
      <c r="M313" s="304" t="str">
        <f t="shared" si="24"/>
        <v>-</v>
      </c>
    </row>
    <row r="314" spans="2:13" ht="63.75" x14ac:dyDescent="0.3">
      <c r="B314" s="516">
        <v>94965</v>
      </c>
      <c r="C314" s="573" t="s">
        <v>309</v>
      </c>
      <c r="D314" s="516" t="s">
        <v>861</v>
      </c>
      <c r="E314" s="593" t="str" cm="1">
        <f t="array" ref="E314">UPPER(IF(C314="COMPOSIÇÃO",_xlfn.XLOOKUP($B314,A:A,E:E,),IF(C314="COTAÇÃO",VLOOKUP($B314,COTAÇÕES!$A$11:$E$37,2,0),BuscarCampoAccess("Descricao",B314,B.A_SINAPI,B.M_SINAPI,C314))))</f>
        <v>ERRO: CONEXÃO NÃO ESTABELECIDA. CLIQUE EM CONECTAR.</v>
      </c>
      <c r="F314" s="594" t="str" cm="1">
        <f t="array" ref="F314">UPPER(IF(C314="COMPOSIÇÃO",_xlfn.XLOOKUP($B314,A:A,F:F,),IF(C314="COTAÇÃO",VLOOKUP($B314,COTAÇÕES!$A$11:$E$37,3,0),BuscarCampoAccess("Unidade",B314,B.A_SINAPI,B.M_SINAPI,C314))))</f>
        <v>ERRO: CONEXÃO NÃO ESTABELECIDA. CLIQUE EM CONECTAR.</v>
      </c>
      <c r="G314" s="517">
        <v>0.38</v>
      </c>
      <c r="H314" s="582" t="str" cm="1">
        <f t="array" ref="H314">UPPER(IF(C314="COMPOSIÇÃO",_xlfn.XLOOKUP($B314,A:A,I:I,),IF(C314="COTAÇÃO",VLOOKUP($B314,COTAÇÕES!$A$11:$E$37,5,0),BuscarCampoAccess("Custo",B314,B.A_SINAPI,B.M_SINAPI,C314))))</f>
        <v>ERRO: CONEXÃO NÃO ESTABELECIDA. CLIQUE EM CONECTAR.</v>
      </c>
      <c r="I314" s="583" t="e">
        <f>TRUNC(G314*H314,2)</f>
        <v>#VALUE!</v>
      </c>
      <c r="K314" s="529" t="str">
        <f>IF(A314=B314,IFERROR(VLOOKUP(B314,#REF!,1,0),"-"),"-")</f>
        <v>-</v>
      </c>
      <c r="L314" s="304">
        <f t="shared" si="23"/>
        <v>1</v>
      </c>
      <c r="M314" s="304" t="str">
        <f t="shared" si="24"/>
        <v>-</v>
      </c>
    </row>
    <row r="315" spans="2:13" ht="63.75" x14ac:dyDescent="0.3">
      <c r="B315" s="516">
        <v>103673</v>
      </c>
      <c r="C315" s="573" t="s">
        <v>309</v>
      </c>
      <c r="D315" s="516" t="s">
        <v>861</v>
      </c>
      <c r="E315" s="593" t="str" cm="1">
        <f t="array" ref="E315">UPPER(IF(C315="COMPOSIÇÃO",_xlfn.XLOOKUP($B315,A:A,E:E,),IF(C315="COTAÇÃO",VLOOKUP($B315,COTAÇÕES!$A$11:$E$37,2,0),BuscarCampoAccess("Descricao",B315,B.A_SINAPI,B.M_SINAPI,C315))))</f>
        <v>ERRO: CONEXÃO NÃO ESTABELECIDA. CLIQUE EM CONECTAR.</v>
      </c>
      <c r="F315" s="594" t="str" cm="1">
        <f t="array" ref="F315">UPPER(IF(C315="COMPOSIÇÃO",_xlfn.XLOOKUP($B315,A:A,F:F,),IF(C315="COTAÇÃO",VLOOKUP($B315,COTAÇÕES!$A$11:$E$37,3,0),BuscarCampoAccess("Unidade",B315,B.A_SINAPI,B.M_SINAPI,C315))))</f>
        <v>ERRO: CONEXÃO NÃO ESTABELECIDA. CLIQUE EM CONECTAR.</v>
      </c>
      <c r="G315" s="517">
        <v>0.38</v>
      </c>
      <c r="H315" s="582" t="str" cm="1">
        <f t="array" ref="H315">UPPER(IF(C315="COMPOSIÇÃO",_xlfn.XLOOKUP($B315,A:A,I:I,),IF(C315="COTAÇÃO",VLOOKUP($B315,COTAÇÕES!$A$11:$E$37,5,0),BuscarCampoAccess("Custo",B315,B.A_SINAPI,B.M_SINAPI,C315))))</f>
        <v>ERRO: CONEXÃO NÃO ESTABELECIDA. CLIQUE EM CONECTAR.</v>
      </c>
      <c r="I315" s="583" t="e">
        <f>TRUNC(G315*H315,2)</f>
        <v>#VALUE!</v>
      </c>
      <c r="K315" s="529" t="str">
        <f>IF(A315=B315,IFERROR(VLOOKUP(B315,#REF!,1,0),"-"),"-")</f>
        <v>-</v>
      </c>
      <c r="L315" s="304">
        <f t="shared" si="23"/>
        <v>1</v>
      </c>
      <c r="M315" s="304" t="str">
        <f t="shared" si="24"/>
        <v>-</v>
      </c>
    </row>
    <row r="316" spans="2:13" x14ac:dyDescent="0.3">
      <c r="B316" s="574" t="s">
        <v>1275</v>
      </c>
      <c r="C316" s="575"/>
      <c r="D316" s="576"/>
      <c r="E316" s="577"/>
      <c r="F316" s="578"/>
      <c r="G316" s="579"/>
      <c r="H316" s="580"/>
      <c r="I316" s="581"/>
      <c r="K316" s="529" t="str">
        <f>IF(A316=B316,IFERROR(VLOOKUP(B316,#REF!,1,0),"-"),"-")</f>
        <v>-</v>
      </c>
      <c r="L316" s="304">
        <f t="shared" si="23"/>
        <v>1</v>
      </c>
      <c r="M316" s="304" t="str">
        <f t="shared" si="24"/>
        <v>-</v>
      </c>
    </row>
    <row r="317" spans="2:13" ht="63.75" x14ac:dyDescent="0.3">
      <c r="B317" s="516">
        <v>34573</v>
      </c>
      <c r="C317" s="573" t="s">
        <v>309</v>
      </c>
      <c r="D317" s="516" t="s">
        <v>861</v>
      </c>
      <c r="E317" s="593" t="str" cm="1">
        <f t="array" ref="E317">UPPER(IF(C317="COMPOSIÇÃO",_xlfn.XLOOKUP($B317,A:A,E:E,),IF(C317="COTAÇÃO",VLOOKUP($B317,COTAÇÕES!$A$11:$E$37,2,0),BuscarCampoAccess("Descricao",B317,B.A_SINAPI,B.M_SINAPI,C317))))</f>
        <v>ERRO: CONEXÃO NÃO ESTABELECIDA. CLIQUE EM CONECTAR.</v>
      </c>
      <c r="F317" s="594" t="str" cm="1">
        <f t="array" ref="F317">UPPER(IF(C317="COMPOSIÇÃO",_xlfn.XLOOKUP($B317,A:A,F:F,),IF(C317="COTAÇÃO",VLOOKUP($B317,COTAÇÕES!$A$11:$E$37,3,0),BuscarCampoAccess("Unidade",B317,B.A_SINAPI,B.M_SINAPI,C317))))</f>
        <v>ERRO: CONEXÃO NÃO ESTABELECIDA. CLIQUE EM CONECTAR.</v>
      </c>
      <c r="G317" s="517">
        <v>239.76</v>
      </c>
      <c r="H317" s="582" t="str" cm="1">
        <f t="array" ref="H317">UPPER(IF(C317="COMPOSIÇÃO",_xlfn.XLOOKUP($B317,A:A,I:I,),IF(C317="COTAÇÃO",VLOOKUP($B317,COTAÇÕES!$A$11:$E$37,5,0),BuscarCampoAccess("Custo",B317,B.A_SINAPI,B.M_SINAPI,C317))))</f>
        <v>ERRO: CONEXÃO NÃO ESTABELECIDA. CLIQUE EM CONECTAR.</v>
      </c>
      <c r="I317" s="583" t="e">
        <f>TRUNC(G317*H317,2)</f>
        <v>#VALUE!</v>
      </c>
      <c r="K317" s="529" t="str">
        <f>IF(A317=B317,IFERROR(VLOOKUP(B317,#REF!,1,0),"-"),"-")</f>
        <v>-</v>
      </c>
      <c r="L317" s="304">
        <f t="shared" si="23"/>
        <v>1</v>
      </c>
      <c r="M317" s="304" t="str">
        <f t="shared" si="24"/>
        <v>-</v>
      </c>
    </row>
    <row r="318" spans="2:13" ht="63.75" x14ac:dyDescent="0.3">
      <c r="B318" s="516">
        <v>88626</v>
      </c>
      <c r="C318" s="573" t="s">
        <v>309</v>
      </c>
      <c r="D318" s="516" t="s">
        <v>861</v>
      </c>
      <c r="E318" s="593" t="str" cm="1">
        <f t="array" ref="E318">UPPER(IF(C318="COMPOSIÇÃO",_xlfn.XLOOKUP($B318,A:A,E:E,),IF(C318="COTAÇÃO",VLOOKUP($B318,COTAÇÕES!$A$11:$E$37,2,0),BuscarCampoAccess("Descricao",B318,B.A_SINAPI,B.M_SINAPI,C318))))</f>
        <v>ERRO: CONEXÃO NÃO ESTABELECIDA. CLIQUE EM CONECTAR.</v>
      </c>
      <c r="F318" s="594" t="str" cm="1">
        <f t="array" ref="F318">UPPER(IF(C318="COMPOSIÇÃO",_xlfn.XLOOKUP($B318,A:A,F:F,),IF(C318="COTAÇÃO",VLOOKUP($B318,COTAÇÕES!$A$11:$E$37,3,0),BuscarCampoAccess("Unidade",B318,B.A_SINAPI,B.M_SINAPI,C318))))</f>
        <v>ERRO: CONEXÃO NÃO ESTABELECIDA. CLIQUE EM CONECTAR.</v>
      </c>
      <c r="G318" s="517">
        <v>0.4032</v>
      </c>
      <c r="H318" s="582" t="str" cm="1">
        <f t="array" ref="H318">UPPER(IF(C318="COMPOSIÇÃO",_xlfn.XLOOKUP($B318,A:A,I:I,),IF(C318="COTAÇÃO",VLOOKUP($B318,COTAÇÕES!$A$11:$E$37,5,0),BuscarCampoAccess("Custo",B318,B.A_SINAPI,B.M_SINAPI,C318))))</f>
        <v>ERRO: CONEXÃO NÃO ESTABELECIDA. CLIQUE EM CONECTAR.</v>
      </c>
      <c r="I318" s="583" t="e">
        <f t="shared" ref="I318:I323" si="27">TRUNC(G318*H318,2)</f>
        <v>#VALUE!</v>
      </c>
      <c r="K318" s="529" t="str">
        <f>IF(A318=B318,IFERROR(VLOOKUP(B318,#REF!,1,0),"-"),"-")</f>
        <v>-</v>
      </c>
      <c r="L318" s="304">
        <f t="shared" si="23"/>
        <v>1</v>
      </c>
      <c r="M318" s="304" t="str">
        <f t="shared" si="24"/>
        <v>-</v>
      </c>
    </row>
    <row r="319" spans="2:13" ht="63.75" x14ac:dyDescent="0.3">
      <c r="B319" s="516">
        <v>87879</v>
      </c>
      <c r="C319" s="573" t="s">
        <v>309</v>
      </c>
      <c r="D319" s="516" t="s">
        <v>861</v>
      </c>
      <c r="E319" s="593" t="str" cm="1">
        <f t="array" ref="E319">UPPER(IF(C319="COMPOSIÇÃO",_xlfn.XLOOKUP($B319,A:A,E:E,),IF(C319="COTAÇÃO",VLOOKUP($B319,COTAÇÕES!$A$11:$E$37,2,0),BuscarCampoAccess("Descricao",B319,B.A_SINAPI,B.M_SINAPI,C319))))</f>
        <v>ERRO: CONEXÃO NÃO ESTABELECIDA. CLIQUE EM CONECTAR.</v>
      </c>
      <c r="F319" s="594" t="str" cm="1">
        <f t="array" ref="F319">UPPER(IF(C319="COMPOSIÇÃO",_xlfn.XLOOKUP($B319,A:A,F:F,),IF(C319="COTAÇÃO",VLOOKUP($B319,COTAÇÕES!$A$11:$E$37,3,0),BuscarCampoAccess("Unidade",B319,B.A_SINAPI,B.M_SINAPI,C319))))</f>
        <v>ERRO: CONEXÃO NÃO ESTABELECIDA. CLIQUE EM CONECTAR.</v>
      </c>
      <c r="G319" s="517">
        <v>12</v>
      </c>
      <c r="H319" s="582" t="str" cm="1">
        <f t="array" ref="H319">UPPER(IF(C319="COMPOSIÇÃO",_xlfn.XLOOKUP($B319,A:A,I:I,),IF(C319="COTAÇÃO",VLOOKUP($B319,COTAÇÕES!$A$11:$E$37,5,0),BuscarCampoAccess("Custo",B319,B.A_SINAPI,B.M_SINAPI,C319))))</f>
        <v>ERRO: CONEXÃO NÃO ESTABELECIDA. CLIQUE EM CONECTAR.</v>
      </c>
      <c r="I319" s="583" t="e">
        <f t="shared" si="27"/>
        <v>#VALUE!</v>
      </c>
      <c r="K319" s="529" t="str">
        <f>IF(A319=B319,IFERROR(VLOOKUP(B319,#REF!,1,0),"-"),"-")</f>
        <v>-</v>
      </c>
      <c r="L319" s="304">
        <f t="shared" si="23"/>
        <v>1</v>
      </c>
      <c r="M319" s="304" t="str">
        <f t="shared" si="24"/>
        <v>-</v>
      </c>
    </row>
    <row r="320" spans="2:13" ht="63.75" x14ac:dyDescent="0.3">
      <c r="B320" s="516">
        <v>87529</v>
      </c>
      <c r="C320" s="573" t="s">
        <v>309</v>
      </c>
      <c r="D320" s="516" t="s">
        <v>861</v>
      </c>
      <c r="E320" s="593" t="str" cm="1">
        <f t="array" ref="E320">UPPER(IF(C320="COMPOSIÇÃO",_xlfn.XLOOKUP($B320,A:A,E:E,),IF(C320="COTAÇÃO",VLOOKUP($B320,COTAÇÕES!$A$11:$E$37,2,0),BuscarCampoAccess("Descricao",B320,B.A_SINAPI,B.M_SINAPI,C320))))</f>
        <v>ERRO: CONEXÃO NÃO ESTABELECIDA. CLIQUE EM CONECTAR.</v>
      </c>
      <c r="F320" s="594" t="str" cm="1">
        <f t="array" ref="F320">UPPER(IF(C320="COMPOSIÇÃO",_xlfn.XLOOKUP($B320,A:A,F:F,),IF(C320="COTAÇÃO",VLOOKUP($B320,COTAÇÕES!$A$11:$E$37,3,0),BuscarCampoAccess("Unidade",B320,B.A_SINAPI,B.M_SINAPI,C320))))</f>
        <v>ERRO: CONEXÃO NÃO ESTABELECIDA. CLIQUE EM CONECTAR.</v>
      </c>
      <c r="G320" s="517">
        <v>12</v>
      </c>
      <c r="H320" s="582" t="str" cm="1">
        <f t="array" ref="H320">UPPER(IF(C320="COMPOSIÇÃO",_xlfn.XLOOKUP($B320,A:A,I:I,),IF(C320="COTAÇÃO",VLOOKUP($B320,COTAÇÕES!$A$11:$E$37,5,0),BuscarCampoAccess("Custo",B320,B.A_SINAPI,B.M_SINAPI,C320))))</f>
        <v>ERRO: CONEXÃO NÃO ESTABELECIDA. CLIQUE EM CONECTAR.</v>
      </c>
      <c r="I320" s="583" t="e">
        <f t="shared" si="27"/>
        <v>#VALUE!</v>
      </c>
      <c r="K320" s="529" t="str">
        <f>IF(A320=B320,IFERROR(VLOOKUP(B320,#REF!,1,0),"-"),"-")</f>
        <v>-</v>
      </c>
      <c r="L320" s="304">
        <f t="shared" si="23"/>
        <v>1</v>
      </c>
      <c r="M320" s="304" t="str">
        <f t="shared" si="24"/>
        <v>-</v>
      </c>
    </row>
    <row r="321" spans="1:13" ht="63.75" x14ac:dyDescent="0.3">
      <c r="B321" s="516">
        <v>94965</v>
      </c>
      <c r="C321" s="573" t="s">
        <v>309</v>
      </c>
      <c r="D321" s="516" t="s">
        <v>861</v>
      </c>
      <c r="E321" s="593" t="str" cm="1">
        <f t="array" ref="E321">UPPER(IF(C321="COMPOSIÇÃO",_xlfn.XLOOKUP($B321,A:A,E:E,),IF(C321="COTAÇÃO",VLOOKUP($B321,COTAÇÕES!$A$11:$E$37,2,0),BuscarCampoAccess("Descricao",B321,B.A_SINAPI,B.M_SINAPI,C321))))</f>
        <v>ERRO: CONEXÃO NÃO ESTABELECIDA. CLIQUE EM CONECTAR.</v>
      </c>
      <c r="F321" s="594" t="str" cm="1">
        <f t="array" ref="F321">UPPER(IF(C321="COMPOSIÇÃO",_xlfn.XLOOKUP($B321,A:A,F:F,),IF(C321="COTAÇÃO",VLOOKUP($B321,COTAÇÕES!$A$11:$E$37,3,0),BuscarCampoAccess("Unidade",B321,B.A_SINAPI,B.M_SINAPI,C321))))</f>
        <v>ERRO: CONEXÃO NÃO ESTABELECIDA. CLIQUE EM CONECTAR.</v>
      </c>
      <c r="G321" s="517">
        <v>1.2349999999999999</v>
      </c>
      <c r="H321" s="582" t="str" cm="1">
        <f t="array" ref="H321">UPPER(IF(C321="COMPOSIÇÃO",_xlfn.XLOOKUP($B321,A:A,I:I,),IF(C321="COTAÇÃO",VLOOKUP($B321,COTAÇÕES!$A$11:$E$37,5,0),BuscarCampoAccess("Custo",B321,B.A_SINAPI,B.M_SINAPI,C321))))</f>
        <v>ERRO: CONEXÃO NÃO ESTABELECIDA. CLIQUE EM CONECTAR.</v>
      </c>
      <c r="I321" s="583" t="e">
        <f t="shared" si="27"/>
        <v>#VALUE!</v>
      </c>
      <c r="K321" s="529" t="str">
        <f>IF(A321=B321,IFERROR(VLOOKUP(B321,#REF!,1,0),"-"),"-")</f>
        <v>-</v>
      </c>
      <c r="L321" s="304">
        <f t="shared" si="23"/>
        <v>1</v>
      </c>
      <c r="M321" s="304" t="str">
        <f t="shared" si="24"/>
        <v>-</v>
      </c>
    </row>
    <row r="322" spans="1:13" ht="63.75" x14ac:dyDescent="0.3">
      <c r="B322" s="516">
        <v>88309</v>
      </c>
      <c r="C322" s="573" t="s">
        <v>309</v>
      </c>
      <c r="D322" s="516" t="s">
        <v>861</v>
      </c>
      <c r="E322" s="593" t="str" cm="1">
        <f t="array" ref="E322">UPPER(IF(C322="COMPOSIÇÃO",_xlfn.XLOOKUP($B322,A:A,E:E,),IF(C322="COTAÇÃO",VLOOKUP($B322,COTAÇÕES!$A$11:$E$37,2,0),BuscarCampoAccess("Descricao",B322,B.A_SINAPI,B.M_SINAPI,C322))))</f>
        <v>ERRO: CONEXÃO NÃO ESTABELECIDA. CLIQUE EM CONECTAR.</v>
      </c>
      <c r="F322" s="594" t="str" cm="1">
        <f t="array" ref="F322">UPPER(IF(C322="COMPOSIÇÃO",_xlfn.XLOOKUP($B322,A:A,F:F,),IF(C322="COTAÇÃO",VLOOKUP($B322,COTAÇÕES!$A$11:$E$37,3,0),BuscarCampoAccess("Unidade",B322,B.A_SINAPI,B.M_SINAPI,C322))))</f>
        <v>ERRO: CONEXÃO NÃO ESTABELECIDA. CLIQUE EM CONECTAR.</v>
      </c>
      <c r="G322" s="517">
        <v>16.080000000000002</v>
      </c>
      <c r="H322" s="582" t="str" cm="1">
        <f t="array" ref="H322">UPPER(IF(C322="COMPOSIÇÃO",_xlfn.XLOOKUP($B322,A:A,I:I,),IF(C322="COTAÇÃO",VLOOKUP($B322,COTAÇÕES!$A$11:$E$37,5,0),BuscarCampoAccess("Custo",B322,B.A_SINAPI,B.M_SINAPI,C322))))</f>
        <v>ERRO: CONEXÃO NÃO ESTABELECIDA. CLIQUE EM CONECTAR.</v>
      </c>
      <c r="I322" s="583" t="e">
        <f t="shared" si="27"/>
        <v>#VALUE!</v>
      </c>
      <c r="K322" s="529" t="str">
        <f>IF(A322=B322,IFERROR(VLOOKUP(B322,#REF!,1,0),"-"),"-")</f>
        <v>-</v>
      </c>
      <c r="L322" s="304">
        <f t="shared" si="23"/>
        <v>1</v>
      </c>
      <c r="M322" s="304" t="str">
        <f t="shared" si="24"/>
        <v>-</v>
      </c>
    </row>
    <row r="323" spans="1:13" ht="63.75" x14ac:dyDescent="0.3">
      <c r="B323" s="516">
        <v>88316</v>
      </c>
      <c r="C323" s="573" t="s">
        <v>309</v>
      </c>
      <c r="D323" s="516" t="s">
        <v>861</v>
      </c>
      <c r="E323" s="593" t="str" cm="1">
        <f t="array" ref="E323">UPPER(IF(C323="COMPOSIÇÃO",_xlfn.XLOOKUP($B323,A:A,E:E,),IF(C323="COTAÇÃO",VLOOKUP($B323,COTAÇÕES!$A$11:$E$37,2,0),BuscarCampoAccess("Descricao",B323,B.A_SINAPI,B.M_SINAPI,C323))))</f>
        <v>ERRO: CONEXÃO NÃO ESTABELECIDA. CLIQUE EM CONECTAR.</v>
      </c>
      <c r="F323" s="594" t="str" cm="1">
        <f t="array" ref="F323">UPPER(IF(C323="COMPOSIÇÃO",_xlfn.XLOOKUP($B323,A:A,F:F,),IF(C323="COTAÇÃO",VLOOKUP($B323,COTAÇÕES!$A$11:$E$37,3,0),BuscarCampoAccess("Unidade",B323,B.A_SINAPI,B.M_SINAPI,C323))))</f>
        <v>ERRO: CONEXÃO NÃO ESTABELECIDA. CLIQUE EM CONECTAR.</v>
      </c>
      <c r="G323" s="517">
        <v>16.080000000000002</v>
      </c>
      <c r="H323" s="582" t="str" cm="1">
        <f t="array" ref="H323">UPPER(IF(C323="COMPOSIÇÃO",_xlfn.XLOOKUP($B323,A:A,I:I,),IF(C323="COTAÇÃO",VLOOKUP($B323,COTAÇÕES!$A$11:$E$37,5,0),BuscarCampoAccess("Custo",B323,B.A_SINAPI,B.M_SINAPI,C323))))</f>
        <v>ERRO: CONEXÃO NÃO ESTABELECIDA. CLIQUE EM CONECTAR.</v>
      </c>
      <c r="I323" s="583" t="e">
        <f t="shared" si="27"/>
        <v>#VALUE!</v>
      </c>
      <c r="K323" s="529" t="str">
        <f>IF(A323=B323,IFERROR(VLOOKUP(B323,#REF!,1,0),"-"),"-")</f>
        <v>-</v>
      </c>
      <c r="L323" s="304">
        <f t="shared" si="23"/>
        <v>1</v>
      </c>
      <c r="M323" s="304" t="str">
        <f t="shared" si="24"/>
        <v>-</v>
      </c>
    </row>
    <row r="324" spans="1:13" x14ac:dyDescent="0.3">
      <c r="K324" s="529" t="str">
        <f>IF(A324=B324,IFERROR(VLOOKUP(B324,#REF!,1,0),"-"),"-")</f>
        <v>-</v>
      </c>
      <c r="L324" s="304">
        <f t="shared" si="23"/>
        <v>0</v>
      </c>
      <c r="M324" s="304" t="b">
        <f t="shared" si="24"/>
        <v>0</v>
      </c>
    </row>
    <row r="325" spans="1:13" ht="24.75" customHeight="1" x14ac:dyDescent="0.3">
      <c r="A325" s="192" t="str">
        <f>IF(AND(D325="",E325&lt;&gt;""),B325,"")</f>
        <v>CPU-DRED 30</v>
      </c>
      <c r="B325" s="589" t="s">
        <v>1276</v>
      </c>
      <c r="C325" s="187"/>
      <c r="D325" s="188"/>
      <c r="E325" s="189" t="s">
        <v>1518</v>
      </c>
      <c r="F325" s="188" t="s">
        <v>256</v>
      </c>
      <c r="G325" s="188"/>
      <c r="H325" s="191"/>
      <c r="I325" s="590" t="e">
        <f>SUM(I326:I367)</f>
        <v>#VALUE!</v>
      </c>
      <c r="K325" s="529" t="str">
        <f>IF(A325=B325,IFERROR(VLOOKUP(B325,#REF!,1,0),"-"),"-")</f>
        <v>-</v>
      </c>
      <c r="L325" s="304">
        <f t="shared" si="23"/>
        <v>1</v>
      </c>
      <c r="M325" s="304" t="str">
        <f t="shared" si="24"/>
        <v>-</v>
      </c>
    </row>
    <row r="326" spans="1:13" ht="63.75" x14ac:dyDescent="0.3">
      <c r="B326" s="516">
        <v>100324</v>
      </c>
      <c r="C326" s="573" t="s">
        <v>309</v>
      </c>
      <c r="D326" s="516" t="s">
        <v>861</v>
      </c>
      <c r="E326" s="593" t="str" cm="1">
        <f t="array" ref="E326">UPPER(IF(C326="COMPOSIÇÃO",_xlfn.XLOOKUP($B326,A:A,E:E,),IF(C326="COTAÇÃO",VLOOKUP($B326,COTAÇÕES!$A$11:$E$37,2,0),BuscarCampoAccess("Descricao",B326,B.A_SINAPI,B.M_SINAPI,C326))))</f>
        <v>ERRO: CONEXÃO NÃO ESTABELECIDA. CLIQUE EM CONECTAR.</v>
      </c>
      <c r="F326" s="594" t="str" cm="1">
        <f t="array" ref="F326">UPPER(IF(C326="COMPOSIÇÃO",_xlfn.XLOOKUP($B326,A:A,F:F,),IF(C326="COTAÇÃO",VLOOKUP($B326,COTAÇÕES!$A$11:$E$37,3,0),BuscarCampoAccess("Unidade",B326,B.A_SINAPI,B.M_SINAPI,C326))))</f>
        <v>ERRO: CONEXÃO NÃO ESTABELECIDA. CLIQUE EM CONECTAR.</v>
      </c>
      <c r="G326" s="517">
        <v>0.54755999999999994</v>
      </c>
      <c r="H326" s="582" t="str" cm="1">
        <f t="array" ref="H326">UPPER(IF(C326="COMPOSIÇÃO",_xlfn.XLOOKUP($B326,A:A,I:I,),IF(C326="COTAÇÃO",VLOOKUP($B326,COTAÇÕES!$A$11:$E$37,5,0),BuscarCampoAccess("Custo",B326,B.A_SINAPI,B.M_SINAPI,C326))))</f>
        <v>ERRO: CONEXÃO NÃO ESTABELECIDA. CLIQUE EM CONECTAR.</v>
      </c>
      <c r="I326" s="583" t="e">
        <f>TRUNC(G326*H326,2)</f>
        <v>#VALUE!</v>
      </c>
      <c r="K326" s="529" t="str">
        <f>IF(A326=B326,IFERROR(VLOOKUP(B326,#REF!,1,0),"-"),"-")</f>
        <v>-</v>
      </c>
      <c r="L326" s="304">
        <f t="shared" si="23"/>
        <v>1</v>
      </c>
      <c r="M326" s="304" t="str">
        <f t="shared" si="24"/>
        <v>-</v>
      </c>
    </row>
    <row r="327" spans="1:13" x14ac:dyDescent="0.3">
      <c r="B327" s="574" t="s">
        <v>1270</v>
      </c>
      <c r="C327" s="575"/>
      <c r="D327" s="576"/>
      <c r="E327" s="577"/>
      <c r="F327" s="578"/>
      <c r="G327" s="517"/>
      <c r="H327" s="580"/>
      <c r="I327" s="581"/>
      <c r="K327" s="529" t="str">
        <f>IF(A327=B327,IFERROR(VLOOKUP(B327,#REF!,1,0),"-"),"-")</f>
        <v>-</v>
      </c>
      <c r="L327" s="304">
        <f t="shared" si="23"/>
        <v>1</v>
      </c>
      <c r="M327" s="304" t="str">
        <f t="shared" si="24"/>
        <v>-</v>
      </c>
    </row>
    <row r="328" spans="1:13" ht="63.75" x14ac:dyDescent="0.3">
      <c r="B328" s="516">
        <v>96527</v>
      </c>
      <c r="C328" s="573" t="s">
        <v>309</v>
      </c>
      <c r="D328" s="516" t="s">
        <v>861</v>
      </c>
      <c r="E328" s="593" t="str" cm="1">
        <f t="array" ref="E328">UPPER(IF(C328="COMPOSIÇÃO",_xlfn.XLOOKUP($B328,A:A,E:E,),IF(C328="COTAÇÃO",VLOOKUP($B328,COTAÇÕES!$A$11:$E$37,2,0),BuscarCampoAccess("Descricao",B328,B.A_SINAPI,B.M_SINAPI,C328))))</f>
        <v>ERRO: CONEXÃO NÃO ESTABELECIDA. CLIQUE EM CONECTAR.</v>
      </c>
      <c r="F328" s="594" t="str" cm="1">
        <f t="array" ref="F328">UPPER(IF(C328="COMPOSIÇÃO",_xlfn.XLOOKUP($B328,A:A,F:F,),IF(C328="COTAÇÃO",VLOOKUP($B328,COTAÇÕES!$A$11:$E$37,3,0),BuscarCampoAccess("Unidade",B328,B.A_SINAPI,B.M_SINAPI,C328))))</f>
        <v>ERRO: CONEXÃO NÃO ESTABELECIDA. CLIQUE EM CONECTAR.</v>
      </c>
      <c r="G328" s="517">
        <v>0.72000000000000008</v>
      </c>
      <c r="H328" s="582" t="str" cm="1">
        <f t="array" ref="H328">UPPER(IF(C328="COMPOSIÇÃO",_xlfn.XLOOKUP($B328,A:A,I:I,),IF(C328="COTAÇÃO",VLOOKUP($B328,COTAÇÕES!$A$11:$E$37,5,0),BuscarCampoAccess("Custo",B328,B.A_SINAPI,B.M_SINAPI,C328))))</f>
        <v>ERRO: CONEXÃO NÃO ESTABELECIDA. CLIQUE EM CONECTAR.</v>
      </c>
      <c r="I328" s="583" t="e">
        <f t="shared" ref="I328:I337" si="28">TRUNC(G328*H328,2)</f>
        <v>#VALUE!</v>
      </c>
      <c r="K328" s="529" t="str">
        <f>IF(A328=B328,IFERROR(VLOOKUP(B328,#REF!,1,0),"-"),"-")</f>
        <v>-</v>
      </c>
      <c r="L328" s="304">
        <f t="shared" si="23"/>
        <v>1</v>
      </c>
      <c r="M328" s="304" t="str">
        <f t="shared" si="24"/>
        <v>-</v>
      </c>
    </row>
    <row r="329" spans="1:13" ht="63.75" x14ac:dyDescent="0.3">
      <c r="B329" s="516">
        <v>96536</v>
      </c>
      <c r="C329" s="573" t="s">
        <v>309</v>
      </c>
      <c r="D329" s="516" t="s">
        <v>861</v>
      </c>
      <c r="E329" s="593" t="str" cm="1">
        <f t="array" ref="E329">UPPER(IF(C329="COMPOSIÇÃO",_xlfn.XLOOKUP($B329,A:A,E:E,),IF(C329="COTAÇÃO",VLOOKUP($B329,COTAÇÕES!$A$11:$E$37,2,0),BuscarCampoAccess("Descricao",B329,B.A_SINAPI,B.M_SINAPI,C329))))</f>
        <v>ERRO: CONEXÃO NÃO ESTABELECIDA. CLIQUE EM CONECTAR.</v>
      </c>
      <c r="F329" s="594" t="str" cm="1">
        <f t="array" ref="F329">UPPER(IF(C329="COMPOSIÇÃO",_xlfn.XLOOKUP($B329,A:A,F:F,),IF(C329="COTAÇÃO",VLOOKUP($B329,COTAÇÕES!$A$11:$E$37,3,0),BuscarCampoAccess("Unidade",B329,B.A_SINAPI,B.M_SINAPI,C329))))</f>
        <v>ERRO: CONEXÃO NÃO ESTABELECIDA. CLIQUE EM CONECTAR.</v>
      </c>
      <c r="G329" s="517">
        <v>5.95</v>
      </c>
      <c r="H329" s="582" t="str" cm="1">
        <f t="array" ref="H329">UPPER(IF(C329="COMPOSIÇÃO",_xlfn.XLOOKUP($B329,A:A,I:I,),IF(C329="COTAÇÃO",VLOOKUP($B329,COTAÇÕES!$A$11:$E$37,5,0),BuscarCampoAccess("Custo",B329,B.A_SINAPI,B.M_SINAPI,C329))))</f>
        <v>ERRO: CONEXÃO NÃO ESTABELECIDA. CLIQUE EM CONECTAR.</v>
      </c>
      <c r="I329" s="583" t="e">
        <f t="shared" si="28"/>
        <v>#VALUE!</v>
      </c>
      <c r="K329" s="529" t="str">
        <f>IF(A329=B329,IFERROR(VLOOKUP(B329,#REF!,1,0),"-"),"-")</f>
        <v>-</v>
      </c>
      <c r="L329" s="304">
        <f t="shared" si="23"/>
        <v>1</v>
      </c>
      <c r="M329" s="304" t="str">
        <f t="shared" si="24"/>
        <v>-</v>
      </c>
    </row>
    <row r="330" spans="1:13" ht="63.75" x14ac:dyDescent="0.3">
      <c r="B330" s="516">
        <v>95241</v>
      </c>
      <c r="C330" s="573" t="s">
        <v>309</v>
      </c>
      <c r="D330" s="516" t="s">
        <v>861</v>
      </c>
      <c r="E330" s="593" t="str" cm="1">
        <f t="array" ref="E330">UPPER(IF(C330="COMPOSIÇÃO",_xlfn.XLOOKUP($B330,A:A,E:E,),IF(C330="COTAÇÃO",VLOOKUP($B330,COTAÇÕES!$A$11:$E$37,2,0),BuscarCampoAccess("Descricao",B330,B.A_SINAPI,B.M_SINAPI,C330))))</f>
        <v>ERRO: CONEXÃO NÃO ESTABELECIDA. CLIQUE EM CONECTAR.</v>
      </c>
      <c r="F330" s="594" t="str" cm="1">
        <f t="array" ref="F330">UPPER(IF(C330="COMPOSIÇÃO",_xlfn.XLOOKUP($B330,A:A,F:F,),IF(C330="COTAÇÃO",VLOOKUP($B330,COTAÇÕES!$A$11:$E$37,3,0),BuscarCampoAccess("Unidade",B330,B.A_SINAPI,B.M_SINAPI,C330))))</f>
        <v>ERRO: CONEXÃO NÃO ESTABELECIDA. CLIQUE EM CONECTAR.</v>
      </c>
      <c r="G330" s="517">
        <v>5.4755999999999991</v>
      </c>
      <c r="H330" s="582" t="str" cm="1">
        <f t="array" ref="H330">UPPER(IF(C330="COMPOSIÇÃO",_xlfn.XLOOKUP($B330,A:A,I:I,),IF(C330="COTAÇÃO",VLOOKUP($B330,COTAÇÕES!$A$11:$E$37,5,0),BuscarCampoAccess("Custo",B330,B.A_SINAPI,B.M_SINAPI,C330))))</f>
        <v>ERRO: CONEXÃO NÃO ESTABELECIDA. CLIQUE EM CONECTAR.</v>
      </c>
      <c r="I330" s="583" t="e">
        <f t="shared" si="28"/>
        <v>#VALUE!</v>
      </c>
      <c r="K330" s="529" t="str">
        <f>IF(A330=B330,IFERROR(VLOOKUP(B330,#REF!,1,0),"-"),"-")</f>
        <v>-</v>
      </c>
      <c r="L330" s="304">
        <f t="shared" si="23"/>
        <v>1</v>
      </c>
      <c r="M330" s="304" t="str">
        <f t="shared" si="24"/>
        <v>-</v>
      </c>
    </row>
    <row r="331" spans="1:13" ht="63.75" x14ac:dyDescent="0.3">
      <c r="B331" s="516">
        <v>92759</v>
      </c>
      <c r="C331" s="573" t="s">
        <v>309</v>
      </c>
      <c r="D331" s="516" t="s">
        <v>861</v>
      </c>
      <c r="E331" s="593" t="str" cm="1">
        <f t="array" ref="E331">UPPER(IF(C331="COMPOSIÇÃO",_xlfn.XLOOKUP($B331,A:A,E:E,),IF(C331="COTAÇÃO",VLOOKUP($B331,COTAÇÕES!$A$11:$E$37,2,0),BuscarCampoAccess("Descricao",B331,B.A_SINAPI,B.M_SINAPI,C331))))</f>
        <v>ERRO: CONEXÃO NÃO ESTABELECIDA. CLIQUE EM CONECTAR.</v>
      </c>
      <c r="F331" s="594" t="str" cm="1">
        <f t="array" ref="F331">UPPER(IF(C331="COMPOSIÇÃO",_xlfn.XLOOKUP($B331,A:A,F:F,),IF(C331="COTAÇÃO",VLOOKUP($B331,COTAÇÕES!$A$11:$E$37,3,0),BuscarCampoAccess("Unidade",B331,B.A_SINAPI,B.M_SINAPI,C331))))</f>
        <v>ERRO: CONEXÃO NÃO ESTABELECIDA. CLIQUE EM CONECTAR.</v>
      </c>
      <c r="G331" s="517">
        <v>8.1</v>
      </c>
      <c r="H331" s="582" t="str" cm="1">
        <f t="array" ref="H331">UPPER(IF(C331="COMPOSIÇÃO",_xlfn.XLOOKUP($B331,A:A,I:I,),IF(C331="COTAÇÃO",VLOOKUP($B331,COTAÇÕES!$A$11:$E$37,5,0),BuscarCampoAccess("Custo",B331,B.A_SINAPI,B.M_SINAPI,C331))))</f>
        <v>ERRO: CONEXÃO NÃO ESTABELECIDA. CLIQUE EM CONECTAR.</v>
      </c>
      <c r="I331" s="583" t="e">
        <f t="shared" si="28"/>
        <v>#VALUE!</v>
      </c>
      <c r="K331" s="529" t="str">
        <f>IF(A331=B331,IFERROR(VLOOKUP(B331,#REF!,1,0),"-"),"-")</f>
        <v>-</v>
      </c>
      <c r="L331" s="304">
        <f t="shared" si="23"/>
        <v>1</v>
      </c>
      <c r="M331" s="304" t="str">
        <f t="shared" si="24"/>
        <v>-</v>
      </c>
    </row>
    <row r="332" spans="1:13" ht="63.75" x14ac:dyDescent="0.3">
      <c r="B332" s="516">
        <v>92761</v>
      </c>
      <c r="C332" s="573" t="s">
        <v>309</v>
      </c>
      <c r="D332" s="516" t="s">
        <v>861</v>
      </c>
      <c r="E332" s="593" t="str" cm="1">
        <f t="array" ref="E332">UPPER(IF(C332="COMPOSIÇÃO",_xlfn.XLOOKUP($B332,A:A,E:E,),IF(C332="COTAÇÃO",VLOOKUP($B332,COTAÇÕES!$A$11:$E$37,2,0),BuscarCampoAccess("Descricao",B332,B.A_SINAPI,B.M_SINAPI,C332))))</f>
        <v>ERRO: CONEXÃO NÃO ESTABELECIDA. CLIQUE EM CONECTAR.</v>
      </c>
      <c r="F332" s="594" t="str" cm="1">
        <f t="array" ref="F332">UPPER(IF(C332="COMPOSIÇÃO",_xlfn.XLOOKUP($B332,A:A,F:F,),IF(C332="COTAÇÃO",VLOOKUP($B332,COTAÇÕES!$A$11:$E$37,3,0),BuscarCampoAccess("Unidade",B332,B.A_SINAPI,B.M_SINAPI,C332))))</f>
        <v>ERRO: CONEXÃO NÃO ESTABELECIDA. CLIQUE EM CONECTAR.</v>
      </c>
      <c r="G332" s="517">
        <v>14.9</v>
      </c>
      <c r="H332" s="582" t="str" cm="1">
        <f t="array" ref="H332">UPPER(IF(C332="COMPOSIÇÃO",_xlfn.XLOOKUP($B332,A:A,I:I,),IF(C332="COTAÇÃO",VLOOKUP($B332,COTAÇÕES!$A$11:$E$37,5,0),BuscarCampoAccess("Custo",B332,B.A_SINAPI,B.M_SINAPI,C332))))</f>
        <v>ERRO: CONEXÃO NÃO ESTABELECIDA. CLIQUE EM CONECTAR.</v>
      </c>
      <c r="I332" s="583" t="e">
        <f t="shared" si="28"/>
        <v>#VALUE!</v>
      </c>
      <c r="K332" s="529" t="str">
        <f>IF(A332=B332,IFERROR(VLOOKUP(B332,#REF!,1,0),"-"),"-")</f>
        <v>-</v>
      </c>
      <c r="L332" s="304">
        <f t="shared" ref="L332:L395" si="29">IF(ISBLANK(B332)=FALSE,1,0)</f>
        <v>1</v>
      </c>
      <c r="M332" s="304" t="str">
        <f t="shared" ref="M332:M395" si="30">IF(M331=FALSE,K332,IF(L332=1,M331))</f>
        <v>-</v>
      </c>
    </row>
    <row r="333" spans="1:13" ht="63.75" x14ac:dyDescent="0.3">
      <c r="B333" s="516">
        <v>92762</v>
      </c>
      <c r="C333" s="573" t="s">
        <v>309</v>
      </c>
      <c r="D333" s="516" t="s">
        <v>861</v>
      </c>
      <c r="E333" s="593" t="str" cm="1">
        <f t="array" ref="E333">UPPER(IF(C333="COMPOSIÇÃO",_xlfn.XLOOKUP($B333,A:A,E:E,),IF(C333="COTAÇÃO",VLOOKUP($B333,COTAÇÕES!$A$11:$E$37,2,0),BuscarCampoAccess("Descricao",B333,B.A_SINAPI,B.M_SINAPI,C333))))</f>
        <v>ERRO: CONEXÃO NÃO ESTABELECIDA. CLIQUE EM CONECTAR.</v>
      </c>
      <c r="F333" s="594" t="str" cm="1">
        <f t="array" ref="F333">UPPER(IF(C333="COMPOSIÇÃO",_xlfn.XLOOKUP($B333,A:A,F:F,),IF(C333="COTAÇÃO",VLOOKUP($B333,COTAÇÕES!$A$11:$E$37,3,0),BuscarCampoAccess("Unidade",B333,B.A_SINAPI,B.M_SINAPI,C333))))</f>
        <v>ERRO: CONEXÃO NÃO ESTABELECIDA. CLIQUE EM CONECTAR.</v>
      </c>
      <c r="G333" s="517">
        <v>8.5</v>
      </c>
      <c r="H333" s="582" t="str" cm="1">
        <f t="array" ref="H333">UPPER(IF(C333="COMPOSIÇÃO",_xlfn.XLOOKUP($B333,A:A,I:I,),IF(C333="COTAÇÃO",VLOOKUP($B333,COTAÇÕES!$A$11:$E$37,5,0),BuscarCampoAccess("Custo",B333,B.A_SINAPI,B.M_SINAPI,C333))))</f>
        <v>ERRO: CONEXÃO NÃO ESTABELECIDA. CLIQUE EM CONECTAR.</v>
      </c>
      <c r="I333" s="583" t="e">
        <f t="shared" si="28"/>
        <v>#VALUE!</v>
      </c>
      <c r="K333" s="529" t="str">
        <f>IF(A333=B333,IFERROR(VLOOKUP(B333,#REF!,1,0),"-"),"-")</f>
        <v>-</v>
      </c>
      <c r="L333" s="304">
        <f t="shared" si="29"/>
        <v>1</v>
      </c>
      <c r="M333" s="304" t="str">
        <f t="shared" si="30"/>
        <v>-</v>
      </c>
    </row>
    <row r="334" spans="1:13" ht="63.75" x14ac:dyDescent="0.3">
      <c r="B334" s="516">
        <v>94965</v>
      </c>
      <c r="C334" s="573" t="s">
        <v>309</v>
      </c>
      <c r="D334" s="516" t="s">
        <v>861</v>
      </c>
      <c r="E334" s="593" t="str" cm="1">
        <f t="array" ref="E334">UPPER(IF(C334="COMPOSIÇÃO",_xlfn.XLOOKUP($B334,A:A,E:E,),IF(C334="COTAÇÃO",VLOOKUP($B334,COTAÇÕES!$A$11:$E$37,2,0),BuscarCampoAccess("Descricao",B334,B.A_SINAPI,B.M_SINAPI,C334))))</f>
        <v>ERRO: CONEXÃO NÃO ESTABELECIDA. CLIQUE EM CONECTAR.</v>
      </c>
      <c r="F334" s="594" t="str" cm="1">
        <f t="array" ref="F334">UPPER(IF(C334="COMPOSIÇÃO",_xlfn.XLOOKUP($B334,A:A,F:F,),IF(C334="COTAÇÃO",VLOOKUP($B334,COTAÇÕES!$A$11:$E$37,3,0),BuscarCampoAccess("Unidade",B334,B.A_SINAPI,B.M_SINAPI,C334))))</f>
        <v>ERRO: CONEXÃO NÃO ESTABELECIDA. CLIQUE EM CONECTAR.</v>
      </c>
      <c r="G334" s="517">
        <v>0.55000000000000004</v>
      </c>
      <c r="H334" s="582" t="str" cm="1">
        <f t="array" ref="H334">UPPER(IF(C334="COMPOSIÇÃO",_xlfn.XLOOKUP($B334,A:A,I:I,),IF(C334="COTAÇÃO",VLOOKUP($B334,COTAÇÕES!$A$11:$E$37,5,0),BuscarCampoAccess("Custo",B334,B.A_SINAPI,B.M_SINAPI,C334))))</f>
        <v>ERRO: CONEXÃO NÃO ESTABELECIDA. CLIQUE EM CONECTAR.</v>
      </c>
      <c r="I334" s="583" t="e">
        <f t="shared" si="28"/>
        <v>#VALUE!</v>
      </c>
      <c r="K334" s="529" t="str">
        <f>IF(A334=B334,IFERROR(VLOOKUP(B334,#REF!,1,0),"-"),"-")</f>
        <v>-</v>
      </c>
      <c r="L334" s="304">
        <f t="shared" si="29"/>
        <v>1</v>
      </c>
      <c r="M334" s="304" t="str">
        <f t="shared" si="30"/>
        <v>-</v>
      </c>
    </row>
    <row r="335" spans="1:13" ht="63.75" x14ac:dyDescent="0.3">
      <c r="B335" s="516">
        <v>103670</v>
      </c>
      <c r="C335" s="573" t="s">
        <v>309</v>
      </c>
      <c r="D335" s="516" t="s">
        <v>861</v>
      </c>
      <c r="E335" s="593" t="str" cm="1">
        <f t="array" ref="E335">UPPER(IF(C335="COMPOSIÇÃO",_xlfn.XLOOKUP($B335,A:A,E:E,),IF(C335="COTAÇÃO",VLOOKUP($B335,COTAÇÕES!$A$11:$E$37,2,0),BuscarCampoAccess("Descricao",B335,B.A_SINAPI,B.M_SINAPI,C335))))</f>
        <v>ERRO: CONEXÃO NÃO ESTABELECIDA. CLIQUE EM CONECTAR.</v>
      </c>
      <c r="F335" s="594" t="str" cm="1">
        <f t="array" ref="F335">UPPER(IF(C335="COMPOSIÇÃO",_xlfn.XLOOKUP($B335,A:A,F:F,),IF(C335="COTAÇÃO",VLOOKUP($B335,COTAÇÕES!$A$11:$E$37,3,0),BuscarCampoAccess("Unidade",B335,B.A_SINAPI,B.M_SINAPI,C335))))</f>
        <v>ERRO: CONEXÃO NÃO ESTABELECIDA. CLIQUE EM CONECTAR.</v>
      </c>
      <c r="G335" s="517">
        <v>0.55000000000000004</v>
      </c>
      <c r="H335" s="582" t="str" cm="1">
        <f t="array" ref="H335">UPPER(IF(C335="COMPOSIÇÃO",_xlfn.XLOOKUP($B335,A:A,I:I,),IF(C335="COTAÇÃO",VLOOKUP($B335,COTAÇÕES!$A$11:$E$37,5,0),BuscarCampoAccess("Custo",B335,B.A_SINAPI,B.M_SINAPI,C335))))</f>
        <v>ERRO: CONEXÃO NÃO ESTABELECIDA. CLIQUE EM CONECTAR.</v>
      </c>
      <c r="I335" s="583" t="e">
        <f t="shared" si="28"/>
        <v>#VALUE!</v>
      </c>
      <c r="K335" s="529" t="str">
        <f>IF(A335=B335,IFERROR(VLOOKUP(B335,#REF!,1,0),"-"),"-")</f>
        <v>-</v>
      </c>
      <c r="L335" s="304">
        <f t="shared" si="29"/>
        <v>1</v>
      </c>
      <c r="M335" s="304" t="str">
        <f t="shared" si="30"/>
        <v>-</v>
      </c>
    </row>
    <row r="336" spans="1:13" ht="63.75" x14ac:dyDescent="0.3">
      <c r="B336" s="516">
        <v>98557</v>
      </c>
      <c r="C336" s="573" t="s">
        <v>309</v>
      </c>
      <c r="D336" s="516" t="s">
        <v>861</v>
      </c>
      <c r="E336" s="593" t="str" cm="1">
        <f t="array" ref="E336">UPPER(IF(C336="COMPOSIÇÃO",_xlfn.XLOOKUP($B336,A:A,E:E,),IF(C336="COTAÇÃO",VLOOKUP($B336,COTAÇÕES!$A$11:$E$37,2,0),BuscarCampoAccess("Descricao",B336,B.A_SINAPI,B.M_SINAPI,C336))))</f>
        <v>ERRO: CONEXÃO NÃO ESTABELECIDA. CLIQUE EM CONECTAR.</v>
      </c>
      <c r="F336" s="594" t="str" cm="1">
        <f t="array" ref="F336">UPPER(IF(C336="COMPOSIÇÃO",_xlfn.XLOOKUP($B336,A:A,F:F,),IF(C336="COTAÇÃO",VLOOKUP($B336,COTAÇÕES!$A$11:$E$37,3,0),BuscarCampoAccess("Unidade",B336,B.A_SINAPI,B.M_SINAPI,C336))))</f>
        <v>ERRO: CONEXÃO NÃO ESTABELECIDA. CLIQUE EM CONECTAR.</v>
      </c>
      <c r="G336" s="517">
        <v>5.95</v>
      </c>
      <c r="H336" s="582" t="str" cm="1">
        <f t="array" ref="H336">UPPER(IF(C336="COMPOSIÇÃO",_xlfn.XLOOKUP($B336,A:A,I:I,),IF(C336="COTAÇÃO",VLOOKUP($B336,COTAÇÕES!$A$11:$E$37,5,0),BuscarCampoAccess("Custo",B336,B.A_SINAPI,B.M_SINAPI,C336))))</f>
        <v>ERRO: CONEXÃO NÃO ESTABELECIDA. CLIQUE EM CONECTAR.</v>
      </c>
      <c r="I336" s="583" t="e">
        <f t="shared" si="28"/>
        <v>#VALUE!</v>
      </c>
      <c r="K336" s="529" t="str">
        <f>IF(A336=B336,IFERROR(VLOOKUP(B336,#REF!,1,0),"-"),"-")</f>
        <v>-</v>
      </c>
      <c r="L336" s="304">
        <f t="shared" si="29"/>
        <v>1</v>
      </c>
      <c r="M336" s="304" t="str">
        <f t="shared" si="30"/>
        <v>-</v>
      </c>
    </row>
    <row r="337" spans="2:13" ht="63.75" x14ac:dyDescent="0.3">
      <c r="B337" s="516">
        <v>93382</v>
      </c>
      <c r="C337" s="573" t="s">
        <v>309</v>
      </c>
      <c r="D337" s="516" t="s">
        <v>861</v>
      </c>
      <c r="E337" s="593" t="str" cm="1">
        <f t="array" ref="E337">UPPER(IF(C337="COMPOSIÇÃO",_xlfn.XLOOKUP($B337,A:A,E:E,),IF(C337="COTAÇÃO",VLOOKUP($B337,COTAÇÕES!$A$11:$E$37,2,0),BuscarCampoAccess("Descricao",B337,B.A_SINAPI,B.M_SINAPI,C337))))</f>
        <v>ERRO: CONEXÃO NÃO ESTABELECIDA. CLIQUE EM CONECTAR.</v>
      </c>
      <c r="F337" s="594" t="str" cm="1">
        <f t="array" ref="F337">UPPER(IF(C337="COMPOSIÇÃO",_xlfn.XLOOKUP($B337,A:A,F:F,),IF(C337="COTAÇÃO",VLOOKUP($B337,COTAÇÕES!$A$11:$E$37,3,0),BuscarCampoAccess("Unidade",B337,B.A_SINAPI,B.M_SINAPI,C337))))</f>
        <v>ERRO: CONEXÃO NÃO ESTABELECIDA. CLIQUE EM CONECTAR.</v>
      </c>
      <c r="G337" s="517">
        <v>0.2400000000000001</v>
      </c>
      <c r="H337" s="582" t="str" cm="1">
        <f t="array" ref="H337">UPPER(IF(C337="COMPOSIÇÃO",_xlfn.XLOOKUP($B337,A:A,I:I,),IF(C337="COTAÇÃO",VLOOKUP($B337,COTAÇÕES!$A$11:$E$37,5,0),BuscarCampoAccess("Custo",B337,B.A_SINAPI,B.M_SINAPI,C337))))</f>
        <v>ERRO: CONEXÃO NÃO ESTABELECIDA. CLIQUE EM CONECTAR.</v>
      </c>
      <c r="I337" s="583" t="e">
        <f t="shared" si="28"/>
        <v>#VALUE!</v>
      </c>
      <c r="K337" s="529" t="str">
        <f>IF(A337=B337,IFERROR(VLOOKUP(B337,#REF!,1,0),"-"),"-")</f>
        <v>-</v>
      </c>
      <c r="L337" s="304">
        <f t="shared" si="29"/>
        <v>1</v>
      </c>
      <c r="M337" s="304" t="str">
        <f t="shared" si="30"/>
        <v>-</v>
      </c>
    </row>
    <row r="338" spans="2:13" x14ac:dyDescent="0.3">
      <c r="B338" s="574" t="s">
        <v>1271</v>
      </c>
      <c r="C338" s="575"/>
      <c r="D338" s="576"/>
      <c r="E338" s="577"/>
      <c r="F338" s="578"/>
      <c r="G338" s="517"/>
      <c r="H338" s="580"/>
      <c r="I338" s="581"/>
      <c r="K338" s="529" t="str">
        <f>IF(A338=B338,IFERROR(VLOOKUP(B338,#REF!,1,0),"-"),"-")</f>
        <v>-</v>
      </c>
      <c r="L338" s="304">
        <f t="shared" si="29"/>
        <v>1</v>
      </c>
      <c r="M338" s="304" t="str">
        <f t="shared" si="30"/>
        <v>-</v>
      </c>
    </row>
    <row r="339" spans="2:13" ht="63.75" x14ac:dyDescent="0.3">
      <c r="B339" s="516">
        <v>92770</v>
      </c>
      <c r="C339" s="573" t="s">
        <v>309</v>
      </c>
      <c r="D339" s="516" t="s">
        <v>861</v>
      </c>
      <c r="E339" s="593" t="str" cm="1">
        <f t="array" ref="E339">UPPER(IF(C339="COMPOSIÇÃO",_xlfn.XLOOKUP($B339,A:A,E:E,),IF(C339="COTAÇÃO",VLOOKUP($B339,COTAÇÕES!$A$11:$E$37,2,0),BuscarCampoAccess("Descricao",B339,B.A_SINAPI,B.M_SINAPI,C339))))</f>
        <v>ERRO: CONEXÃO NÃO ESTABELECIDA. CLIQUE EM CONECTAR.</v>
      </c>
      <c r="F339" s="594" t="str" cm="1">
        <f t="array" ref="F339">UPPER(IF(C339="COMPOSIÇÃO",_xlfn.XLOOKUP($B339,A:A,F:F,),IF(C339="COTAÇÃO",VLOOKUP($B339,COTAÇÕES!$A$11:$E$37,3,0),BuscarCampoAccess("Unidade",B339,B.A_SINAPI,B.M_SINAPI,C339))))</f>
        <v>ERRO: CONEXÃO NÃO ESTABELECIDA. CLIQUE EM CONECTAR.</v>
      </c>
      <c r="G339" s="517">
        <v>68.400000000000006</v>
      </c>
      <c r="H339" s="582" t="str" cm="1">
        <f t="array" ref="H339">UPPER(IF(C339="COMPOSIÇÃO",_xlfn.XLOOKUP($B339,A:A,I:I,),IF(C339="COTAÇÃO",VLOOKUP($B339,COTAÇÕES!$A$11:$E$37,5,0),BuscarCampoAccess("Custo",B339,B.A_SINAPI,B.M_SINAPI,C339))))</f>
        <v>ERRO: CONEXÃO NÃO ESTABELECIDA. CLIQUE EM CONECTAR.</v>
      </c>
      <c r="I339" s="583" t="e">
        <f>TRUNC(G339*H339,2)</f>
        <v>#VALUE!</v>
      </c>
      <c r="K339" s="529" t="str">
        <f>IF(A339=B339,IFERROR(VLOOKUP(B339,#REF!,1,0),"-"),"-")</f>
        <v>-</v>
      </c>
      <c r="L339" s="304">
        <f t="shared" si="29"/>
        <v>1</v>
      </c>
      <c r="M339" s="304" t="str">
        <f t="shared" si="30"/>
        <v>-</v>
      </c>
    </row>
    <row r="340" spans="2:13" ht="63.75" x14ac:dyDescent="0.3">
      <c r="B340" s="516">
        <v>94965</v>
      </c>
      <c r="C340" s="573" t="s">
        <v>309</v>
      </c>
      <c r="D340" s="516" t="s">
        <v>861</v>
      </c>
      <c r="E340" s="593" t="str" cm="1">
        <f t="array" ref="E340">UPPER(IF(C340="COMPOSIÇÃO",_xlfn.XLOOKUP($B340,A:A,E:E,),IF(C340="COTAÇÃO",VLOOKUP($B340,COTAÇÕES!$A$11:$E$37,2,0),BuscarCampoAccess("Descricao",B340,B.A_SINAPI,B.M_SINAPI,C340))))</f>
        <v>ERRO: CONEXÃO NÃO ESTABELECIDA. CLIQUE EM CONECTAR.</v>
      </c>
      <c r="F340" s="594" t="str" cm="1">
        <f t="array" ref="F340">UPPER(IF(C340="COMPOSIÇÃO",_xlfn.XLOOKUP($B340,A:A,F:F,),IF(C340="COTAÇÃO",VLOOKUP($B340,COTAÇÕES!$A$11:$E$37,3,0),BuscarCampoAccess("Unidade",B340,B.A_SINAPI,B.M_SINAPI,C340))))</f>
        <v>ERRO: CONEXÃO NÃO ESTABELECIDA. CLIQUE EM CONECTAR.</v>
      </c>
      <c r="G340" s="517">
        <v>0.56000000000000005</v>
      </c>
      <c r="H340" s="582" t="str" cm="1">
        <f t="array" ref="H340">UPPER(IF(C340="COMPOSIÇÃO",_xlfn.XLOOKUP($B340,A:A,I:I,),IF(C340="COTAÇÃO",VLOOKUP($B340,COTAÇÕES!$A$11:$E$37,5,0),BuscarCampoAccess("Custo",B340,B.A_SINAPI,B.M_SINAPI,C340))))</f>
        <v>ERRO: CONEXÃO NÃO ESTABELECIDA. CLIQUE EM CONECTAR.</v>
      </c>
      <c r="I340" s="583" t="e">
        <f>TRUNC(G340*H340,2)</f>
        <v>#VALUE!</v>
      </c>
      <c r="K340" s="529" t="str">
        <f>IF(A340=B340,IFERROR(VLOOKUP(B340,#REF!,1,0),"-"),"-")</f>
        <v>-</v>
      </c>
      <c r="L340" s="304">
        <f t="shared" si="29"/>
        <v>1</v>
      </c>
      <c r="M340" s="304" t="str">
        <f t="shared" si="30"/>
        <v>-</v>
      </c>
    </row>
    <row r="341" spans="2:13" ht="63.75" x14ac:dyDescent="0.3">
      <c r="B341" s="516">
        <v>103673</v>
      </c>
      <c r="C341" s="573" t="s">
        <v>309</v>
      </c>
      <c r="D341" s="516" t="s">
        <v>861</v>
      </c>
      <c r="E341" s="593" t="str" cm="1">
        <f t="array" ref="E341">UPPER(IF(C341="COMPOSIÇÃO",_xlfn.XLOOKUP($B341,A:A,E:E,),IF(C341="COTAÇÃO",VLOOKUP($B341,COTAÇÕES!$A$11:$E$37,2,0),BuscarCampoAccess("Descricao",B341,B.A_SINAPI,B.M_SINAPI,C341))))</f>
        <v>ERRO: CONEXÃO NÃO ESTABELECIDA. CLIQUE EM CONECTAR.</v>
      </c>
      <c r="F341" s="594" t="str" cm="1">
        <f t="array" ref="F341">UPPER(IF(C341="COMPOSIÇÃO",_xlfn.XLOOKUP($B341,A:A,F:F,),IF(C341="COTAÇÃO",VLOOKUP($B341,COTAÇÕES!$A$11:$E$37,3,0),BuscarCampoAccess("Unidade",B341,B.A_SINAPI,B.M_SINAPI,C341))))</f>
        <v>ERRO: CONEXÃO NÃO ESTABELECIDA. CLIQUE EM CONECTAR.</v>
      </c>
      <c r="G341" s="517">
        <v>0.56000000000000005</v>
      </c>
      <c r="H341" s="582" t="str" cm="1">
        <f t="array" ref="H341">UPPER(IF(C341="COMPOSIÇÃO",_xlfn.XLOOKUP($B341,A:A,I:I,),IF(C341="COTAÇÃO",VLOOKUP($B341,COTAÇÕES!$A$11:$E$37,5,0),BuscarCampoAccess("Custo",B341,B.A_SINAPI,B.M_SINAPI,C341))))</f>
        <v>ERRO: CONEXÃO NÃO ESTABELECIDA. CLIQUE EM CONECTAR.</v>
      </c>
      <c r="I341" s="583" t="e">
        <f>TRUNC(G341*H341,2)</f>
        <v>#VALUE!</v>
      </c>
      <c r="K341" s="529" t="str">
        <f>IF(A341=B341,IFERROR(VLOOKUP(B341,#REF!,1,0),"-"),"-")</f>
        <v>-</v>
      </c>
      <c r="L341" s="304">
        <f t="shared" si="29"/>
        <v>1</v>
      </c>
      <c r="M341" s="304" t="str">
        <f t="shared" si="30"/>
        <v>-</v>
      </c>
    </row>
    <row r="342" spans="2:13" x14ac:dyDescent="0.3">
      <c r="B342" s="574" t="s">
        <v>1272</v>
      </c>
      <c r="C342" s="575"/>
      <c r="D342" s="576"/>
      <c r="E342" s="577"/>
      <c r="F342" s="578"/>
      <c r="G342" s="517"/>
      <c r="H342" s="580"/>
      <c r="I342" s="581"/>
      <c r="K342" s="529" t="str">
        <f>IF(A342=B342,IFERROR(VLOOKUP(B342,#REF!,1,0),"-"),"-")</f>
        <v>-</v>
      </c>
      <c r="L342" s="304">
        <f t="shared" si="29"/>
        <v>1</v>
      </c>
      <c r="M342" s="304" t="str">
        <f t="shared" si="30"/>
        <v>-</v>
      </c>
    </row>
    <row r="343" spans="2:13" ht="63.75" x14ac:dyDescent="0.3">
      <c r="B343" s="516">
        <v>92443</v>
      </c>
      <c r="C343" s="573" t="s">
        <v>309</v>
      </c>
      <c r="D343" s="516" t="s">
        <v>861</v>
      </c>
      <c r="E343" s="593" t="str" cm="1">
        <f t="array" ref="E343">UPPER(IF(C343="COMPOSIÇÃO",_xlfn.XLOOKUP($B343,A:A,E:E,),IF(C343="COTAÇÃO",VLOOKUP($B343,COTAÇÕES!$A$11:$E$37,2,0),BuscarCampoAccess("Descricao",B343,B.A_SINAPI,B.M_SINAPI,C343))))</f>
        <v>ERRO: CONEXÃO NÃO ESTABELECIDA. CLIQUE EM CONECTAR.</v>
      </c>
      <c r="F343" s="594" t="str" cm="1">
        <f t="array" ref="F343">UPPER(IF(C343="COMPOSIÇÃO",_xlfn.XLOOKUP($B343,A:A,F:F,),IF(C343="COTAÇÃO",VLOOKUP($B343,COTAÇÕES!$A$11:$E$37,3,0),BuscarCampoAccess("Unidade",B343,B.A_SINAPI,B.M_SINAPI,C343))))</f>
        <v>ERRO: CONEXÃO NÃO ESTABELECIDA. CLIQUE EM CONECTAR.</v>
      </c>
      <c r="G343" s="517">
        <v>6.4</v>
      </c>
      <c r="H343" s="582" t="str" cm="1">
        <f t="array" ref="H343">UPPER(IF(C343="COMPOSIÇÃO",_xlfn.XLOOKUP($B343,A:A,I:I,),IF(C343="COTAÇÃO",VLOOKUP($B343,COTAÇÕES!$A$11:$E$37,5,0),BuscarCampoAccess("Custo",B343,B.A_SINAPI,B.M_SINAPI,C343))))</f>
        <v>ERRO: CONEXÃO NÃO ESTABELECIDA. CLIQUE EM CONECTAR.</v>
      </c>
      <c r="I343" s="583" t="e">
        <f>TRUNC(G343*H343,2)</f>
        <v>#VALUE!</v>
      </c>
      <c r="K343" s="529" t="str">
        <f>IF(A343=B343,IFERROR(VLOOKUP(B343,#REF!,1,0),"-"),"-")</f>
        <v>-</v>
      </c>
      <c r="L343" s="304">
        <f t="shared" si="29"/>
        <v>1</v>
      </c>
      <c r="M343" s="304" t="str">
        <f t="shared" si="30"/>
        <v>-</v>
      </c>
    </row>
    <row r="344" spans="2:13" ht="63.75" x14ac:dyDescent="0.3">
      <c r="B344" s="516">
        <v>92759</v>
      </c>
      <c r="C344" s="573" t="s">
        <v>309</v>
      </c>
      <c r="D344" s="516" t="s">
        <v>861</v>
      </c>
      <c r="E344" s="593" t="str" cm="1">
        <f t="array" ref="E344">UPPER(IF(C344="COMPOSIÇÃO",_xlfn.XLOOKUP($B344,A:A,E:E,),IF(C344="COTAÇÃO",VLOOKUP($B344,COTAÇÕES!$A$11:$E$37,2,0),BuscarCampoAccess("Descricao",B344,B.A_SINAPI,B.M_SINAPI,C344))))</f>
        <v>ERRO: CONEXÃO NÃO ESTABELECIDA. CLIQUE EM CONECTAR.</v>
      </c>
      <c r="F344" s="594" t="str" cm="1">
        <f t="array" ref="F344">UPPER(IF(C344="COMPOSIÇÃO",_xlfn.XLOOKUP($B344,A:A,F:F,),IF(C344="COTAÇÃO",VLOOKUP($B344,COTAÇÕES!$A$11:$E$37,3,0),BuscarCampoAccess("Unidade",B344,B.A_SINAPI,B.M_SINAPI,C344))))</f>
        <v>ERRO: CONEXÃO NÃO ESTABELECIDA. CLIQUE EM CONECTAR.</v>
      </c>
      <c r="G344" s="517">
        <v>7.8</v>
      </c>
      <c r="H344" s="582" t="str" cm="1">
        <f t="array" ref="H344">UPPER(IF(C344="COMPOSIÇÃO",_xlfn.XLOOKUP($B344,A:A,I:I,),IF(C344="COTAÇÃO",VLOOKUP($B344,COTAÇÕES!$A$11:$E$37,5,0),BuscarCampoAccess("Custo",B344,B.A_SINAPI,B.M_SINAPI,C344))))</f>
        <v>ERRO: CONEXÃO NÃO ESTABELECIDA. CLIQUE EM CONECTAR.</v>
      </c>
      <c r="I344" s="583" t="e">
        <f>TRUNC(G344*H344,2)</f>
        <v>#VALUE!</v>
      </c>
      <c r="K344" s="529" t="str">
        <f>IF(A344=B344,IFERROR(VLOOKUP(B344,#REF!,1,0),"-"),"-")</f>
        <v>-</v>
      </c>
      <c r="L344" s="304">
        <f t="shared" si="29"/>
        <v>1</v>
      </c>
      <c r="M344" s="304" t="str">
        <f t="shared" si="30"/>
        <v>-</v>
      </c>
    </row>
    <row r="345" spans="2:13" ht="63.75" x14ac:dyDescent="0.3">
      <c r="B345" s="516">
        <v>92762</v>
      </c>
      <c r="C345" s="573" t="s">
        <v>309</v>
      </c>
      <c r="D345" s="516" t="s">
        <v>861</v>
      </c>
      <c r="E345" s="593" t="str" cm="1">
        <f t="array" ref="E345">UPPER(IF(C345="COMPOSIÇÃO",_xlfn.XLOOKUP($B345,A:A,E:E,),IF(C345="COTAÇÃO",VLOOKUP($B345,COTAÇÕES!$A$11:$E$37,2,0),BuscarCampoAccess("Descricao",B345,B.A_SINAPI,B.M_SINAPI,C345))))</f>
        <v>ERRO: CONEXÃO NÃO ESTABELECIDA. CLIQUE EM CONECTAR.</v>
      </c>
      <c r="F345" s="594" t="str" cm="1">
        <f t="array" ref="F345">UPPER(IF(C345="COMPOSIÇÃO",_xlfn.XLOOKUP($B345,A:A,F:F,),IF(C345="COTAÇÃO",VLOOKUP($B345,COTAÇÕES!$A$11:$E$37,3,0),BuscarCampoAccess("Unidade",B345,B.A_SINAPI,B.M_SINAPI,C345))))</f>
        <v>ERRO: CONEXÃO NÃO ESTABELECIDA. CLIQUE EM CONECTAR.</v>
      </c>
      <c r="G345" s="517">
        <v>19.3</v>
      </c>
      <c r="H345" s="582" t="str" cm="1">
        <f t="array" ref="H345">UPPER(IF(C345="COMPOSIÇÃO",_xlfn.XLOOKUP($B345,A:A,I:I,),IF(C345="COTAÇÃO",VLOOKUP($B345,COTAÇÕES!$A$11:$E$37,5,0),BuscarCampoAccess("Custo",B345,B.A_SINAPI,B.M_SINAPI,C345))))</f>
        <v>ERRO: CONEXÃO NÃO ESTABELECIDA. CLIQUE EM CONECTAR.</v>
      </c>
      <c r="I345" s="583" t="e">
        <f>TRUNC(G345*H345,2)</f>
        <v>#VALUE!</v>
      </c>
      <c r="K345" s="529" t="str">
        <f>IF(A345=B345,IFERROR(VLOOKUP(B345,#REF!,1,0),"-"),"-")</f>
        <v>-</v>
      </c>
      <c r="L345" s="304">
        <f t="shared" si="29"/>
        <v>1</v>
      </c>
      <c r="M345" s="304" t="str">
        <f t="shared" si="30"/>
        <v>-</v>
      </c>
    </row>
    <row r="346" spans="2:13" ht="63.75" x14ac:dyDescent="0.3">
      <c r="B346" s="516">
        <v>94965</v>
      </c>
      <c r="C346" s="573" t="s">
        <v>309</v>
      </c>
      <c r="D346" s="516" t="s">
        <v>861</v>
      </c>
      <c r="E346" s="593" t="str" cm="1">
        <f t="array" ref="E346">UPPER(IF(C346="COMPOSIÇÃO",_xlfn.XLOOKUP($B346,A:A,E:E,),IF(C346="COTAÇÃO",VLOOKUP($B346,COTAÇÕES!$A$11:$E$37,2,0),BuscarCampoAccess("Descricao",B346,B.A_SINAPI,B.M_SINAPI,C346))))</f>
        <v>ERRO: CONEXÃO NÃO ESTABELECIDA. CLIQUE EM CONECTAR.</v>
      </c>
      <c r="F346" s="594" t="str" cm="1">
        <f t="array" ref="F346">UPPER(IF(C346="COMPOSIÇÃO",_xlfn.XLOOKUP($B346,A:A,F:F,),IF(C346="COTAÇÃO",VLOOKUP($B346,COTAÇÕES!$A$11:$E$37,3,0),BuscarCampoAccess("Unidade",B346,B.A_SINAPI,B.M_SINAPI,C346))))</f>
        <v>ERRO: CONEXÃO NÃO ESTABELECIDA. CLIQUE EM CONECTAR.</v>
      </c>
      <c r="G346" s="517">
        <v>0.32</v>
      </c>
      <c r="H346" s="582" t="str" cm="1">
        <f t="array" ref="H346">UPPER(IF(C346="COMPOSIÇÃO",_xlfn.XLOOKUP($B346,A:A,I:I,),IF(C346="COTAÇÃO",VLOOKUP($B346,COTAÇÕES!$A$11:$E$37,5,0),BuscarCampoAccess("Custo",B346,B.A_SINAPI,B.M_SINAPI,C346))))</f>
        <v>ERRO: CONEXÃO NÃO ESTABELECIDA. CLIQUE EM CONECTAR.</v>
      </c>
      <c r="I346" s="583" t="e">
        <f>TRUNC(G346*H346,2)</f>
        <v>#VALUE!</v>
      </c>
      <c r="K346" s="529" t="str">
        <f>IF(A346=B346,IFERROR(VLOOKUP(B346,#REF!,1,0),"-"),"-")</f>
        <v>-</v>
      </c>
      <c r="L346" s="304">
        <f t="shared" si="29"/>
        <v>1</v>
      </c>
      <c r="M346" s="304" t="str">
        <f t="shared" si="30"/>
        <v>-</v>
      </c>
    </row>
    <row r="347" spans="2:13" ht="63.75" x14ac:dyDescent="0.3">
      <c r="B347" s="516">
        <v>103670</v>
      </c>
      <c r="C347" s="573" t="s">
        <v>309</v>
      </c>
      <c r="D347" s="516" t="s">
        <v>861</v>
      </c>
      <c r="E347" s="593" t="str" cm="1">
        <f t="array" ref="E347">UPPER(IF(C347="COMPOSIÇÃO",_xlfn.XLOOKUP($B347,A:A,E:E,),IF(C347="COTAÇÃO",VLOOKUP($B347,COTAÇÕES!$A$11:$E$37,2,0),BuscarCampoAccess("Descricao",B347,B.A_SINAPI,B.M_SINAPI,C347))))</f>
        <v>ERRO: CONEXÃO NÃO ESTABELECIDA. CLIQUE EM CONECTAR.</v>
      </c>
      <c r="F347" s="594" t="str" cm="1">
        <f t="array" ref="F347">UPPER(IF(C347="COMPOSIÇÃO",_xlfn.XLOOKUP($B347,A:A,F:F,),IF(C347="COTAÇÃO",VLOOKUP($B347,COTAÇÕES!$A$11:$E$37,3,0),BuscarCampoAccess("Unidade",B347,B.A_SINAPI,B.M_SINAPI,C347))))</f>
        <v>ERRO: CONEXÃO NÃO ESTABELECIDA. CLIQUE EM CONECTAR.</v>
      </c>
      <c r="G347" s="517">
        <v>0.32</v>
      </c>
      <c r="H347" s="582" t="str" cm="1">
        <f t="array" ref="H347">UPPER(IF(C347="COMPOSIÇÃO",_xlfn.XLOOKUP($B347,A:A,I:I,),IF(C347="COTAÇÃO",VLOOKUP($B347,COTAÇÕES!$A$11:$E$37,5,0),BuscarCampoAccess("Custo",B347,B.A_SINAPI,B.M_SINAPI,C347))))</f>
        <v>ERRO: CONEXÃO NÃO ESTABELECIDA. CLIQUE EM CONECTAR.</v>
      </c>
      <c r="I347" s="583" t="e">
        <f>TRUNC(G347*H347,2)</f>
        <v>#VALUE!</v>
      </c>
      <c r="K347" s="529" t="str">
        <f>IF(A347=B347,IFERROR(VLOOKUP(B347,#REF!,1,0),"-"),"-")</f>
        <v>-</v>
      </c>
      <c r="L347" s="304">
        <f t="shared" si="29"/>
        <v>1</v>
      </c>
      <c r="M347" s="304" t="str">
        <f t="shared" si="30"/>
        <v>-</v>
      </c>
    </row>
    <row r="348" spans="2:13" x14ac:dyDescent="0.3">
      <c r="B348" s="574" t="s">
        <v>1273</v>
      </c>
      <c r="C348" s="575"/>
      <c r="D348" s="576"/>
      <c r="E348" s="577"/>
      <c r="F348" s="578"/>
      <c r="G348" s="517"/>
      <c r="H348" s="580"/>
      <c r="I348" s="581"/>
      <c r="K348" s="529" t="str">
        <f>IF(A348=B348,IFERROR(VLOOKUP(B348,#REF!,1,0),"-"),"-")</f>
        <v>-</v>
      </c>
      <c r="L348" s="304">
        <f t="shared" si="29"/>
        <v>1</v>
      </c>
      <c r="M348" s="304" t="str">
        <f t="shared" si="30"/>
        <v>-</v>
      </c>
    </row>
    <row r="349" spans="2:13" ht="63.75" x14ac:dyDescent="0.3">
      <c r="B349" s="516">
        <v>92479</v>
      </c>
      <c r="C349" s="573" t="s">
        <v>309</v>
      </c>
      <c r="D349" s="516" t="s">
        <v>861</v>
      </c>
      <c r="E349" s="593" t="str" cm="1">
        <f t="array" ref="E349">UPPER(IF(C349="COMPOSIÇÃO",_xlfn.XLOOKUP($B349,A:A,E:E,),IF(C349="COTAÇÃO",VLOOKUP($B349,COTAÇÕES!$A$11:$E$37,2,0),BuscarCampoAccess("Descricao",B349,B.A_SINAPI,B.M_SINAPI,C349))))</f>
        <v>ERRO: CONEXÃO NÃO ESTABELECIDA. CLIQUE EM CONECTAR.</v>
      </c>
      <c r="F349" s="594" t="str" cm="1">
        <f t="array" ref="F349">UPPER(IF(C349="COMPOSIÇÃO",_xlfn.XLOOKUP($B349,A:A,F:F,),IF(C349="COTAÇÃO",VLOOKUP($B349,COTAÇÕES!$A$11:$E$37,3,0),BuscarCampoAccess("Unidade",B349,B.A_SINAPI,B.M_SINAPI,C349))))</f>
        <v>ERRO: CONEXÃO NÃO ESTABELECIDA. CLIQUE EM CONECTAR.</v>
      </c>
      <c r="G349" s="517">
        <v>6.21</v>
      </c>
      <c r="H349" s="582" t="str" cm="1">
        <f t="array" ref="H349">UPPER(IF(C349="COMPOSIÇÃO",_xlfn.XLOOKUP($B349,A:A,I:I,),IF(C349="COTAÇÃO",VLOOKUP($B349,COTAÇÕES!$A$11:$E$37,5,0),BuscarCampoAccess("Custo",B349,B.A_SINAPI,B.M_SINAPI,C349))))</f>
        <v>ERRO: CONEXÃO NÃO ESTABELECIDA. CLIQUE EM CONECTAR.</v>
      </c>
      <c r="I349" s="583" t="e">
        <f>TRUNC(G349*H349,2)</f>
        <v>#VALUE!</v>
      </c>
      <c r="K349" s="529" t="str">
        <f>IF(A349=B349,IFERROR(VLOOKUP(B349,#REF!,1,0),"-"),"-")</f>
        <v>-</v>
      </c>
      <c r="L349" s="304">
        <f t="shared" si="29"/>
        <v>1</v>
      </c>
      <c r="M349" s="304" t="str">
        <f t="shared" si="30"/>
        <v>-</v>
      </c>
    </row>
    <row r="350" spans="2:13" ht="63.75" x14ac:dyDescent="0.3">
      <c r="B350" s="516">
        <v>92759</v>
      </c>
      <c r="C350" s="573" t="s">
        <v>309</v>
      </c>
      <c r="D350" s="516" t="s">
        <v>861</v>
      </c>
      <c r="E350" s="593" t="str" cm="1">
        <f t="array" ref="E350">UPPER(IF(C350="COMPOSIÇÃO",_xlfn.XLOOKUP($B350,A:A,E:E,),IF(C350="COTAÇÃO",VLOOKUP($B350,COTAÇÕES!$A$11:$E$37,2,0),BuscarCampoAccess("Descricao",B350,B.A_SINAPI,B.M_SINAPI,C350))))</f>
        <v>ERRO: CONEXÃO NÃO ESTABELECIDA. CLIQUE EM CONECTAR.</v>
      </c>
      <c r="F350" s="594" t="str" cm="1">
        <f t="array" ref="F350">UPPER(IF(C350="COMPOSIÇÃO",_xlfn.XLOOKUP($B350,A:A,F:F,),IF(C350="COTAÇÃO",VLOOKUP($B350,COTAÇÕES!$A$11:$E$37,3,0),BuscarCampoAccess("Unidade",B350,B.A_SINAPI,B.M_SINAPI,C350))))</f>
        <v>ERRO: CONEXÃO NÃO ESTABELECIDA. CLIQUE EM CONECTAR.</v>
      </c>
      <c r="G350" s="517">
        <v>7</v>
      </c>
      <c r="H350" s="582" t="str" cm="1">
        <f t="array" ref="H350">UPPER(IF(C350="COMPOSIÇÃO",_xlfn.XLOOKUP($B350,A:A,I:I,),IF(C350="COTAÇÃO",VLOOKUP($B350,COTAÇÕES!$A$11:$E$37,5,0),BuscarCampoAccess("Custo",B350,B.A_SINAPI,B.M_SINAPI,C350))))</f>
        <v>ERRO: CONEXÃO NÃO ESTABELECIDA. CLIQUE EM CONECTAR.</v>
      </c>
      <c r="I350" s="583" t="e">
        <f>TRUNC(G350*H350,2)</f>
        <v>#VALUE!</v>
      </c>
      <c r="K350" s="529" t="str">
        <f>IF(A350=B350,IFERROR(VLOOKUP(B350,#REF!,1,0),"-"),"-")</f>
        <v>-</v>
      </c>
      <c r="L350" s="304">
        <f t="shared" si="29"/>
        <v>1</v>
      </c>
      <c r="M350" s="304" t="str">
        <f t="shared" si="30"/>
        <v>-</v>
      </c>
    </row>
    <row r="351" spans="2:13" ht="63.75" x14ac:dyDescent="0.3">
      <c r="B351" s="516">
        <v>92761</v>
      </c>
      <c r="C351" s="573" t="s">
        <v>309</v>
      </c>
      <c r="D351" s="516" t="s">
        <v>861</v>
      </c>
      <c r="E351" s="593" t="str" cm="1">
        <f t="array" ref="E351">UPPER(IF(C351="COMPOSIÇÃO",_xlfn.XLOOKUP($B351,A:A,E:E,),IF(C351="COTAÇÃO",VLOOKUP($B351,COTAÇÕES!$A$11:$E$37,2,0),BuscarCampoAccess("Descricao",B351,B.A_SINAPI,B.M_SINAPI,C351))))</f>
        <v>ERRO: CONEXÃO NÃO ESTABELECIDA. CLIQUE EM CONECTAR.</v>
      </c>
      <c r="F351" s="594" t="str" cm="1">
        <f t="array" ref="F351">UPPER(IF(C351="COMPOSIÇÃO",_xlfn.XLOOKUP($B351,A:A,F:F,),IF(C351="COTAÇÃO",VLOOKUP($B351,COTAÇÕES!$A$11:$E$37,3,0),BuscarCampoAccess("Unidade",B351,B.A_SINAPI,B.M_SINAPI,C351))))</f>
        <v>ERRO: CONEXÃO NÃO ESTABELECIDA. CLIQUE EM CONECTAR.</v>
      </c>
      <c r="G351" s="517">
        <v>16</v>
      </c>
      <c r="H351" s="582" t="str" cm="1">
        <f t="array" ref="H351">UPPER(IF(C351="COMPOSIÇÃO",_xlfn.XLOOKUP($B351,A:A,I:I,),IF(C351="COTAÇÃO",VLOOKUP($B351,COTAÇÕES!$A$11:$E$37,5,0),BuscarCampoAccess("Custo",B351,B.A_SINAPI,B.M_SINAPI,C351))))</f>
        <v>ERRO: CONEXÃO NÃO ESTABELECIDA. CLIQUE EM CONECTAR.</v>
      </c>
      <c r="I351" s="583" t="e">
        <f>TRUNC(G351*H351,2)</f>
        <v>#VALUE!</v>
      </c>
      <c r="K351" s="529" t="str">
        <f>IF(A351=B351,IFERROR(VLOOKUP(B351,#REF!,1,0),"-"),"-")</f>
        <v>-</v>
      </c>
      <c r="L351" s="304">
        <f t="shared" si="29"/>
        <v>1</v>
      </c>
      <c r="M351" s="304" t="str">
        <f t="shared" si="30"/>
        <v>-</v>
      </c>
    </row>
    <row r="352" spans="2:13" ht="63.75" x14ac:dyDescent="0.3">
      <c r="B352" s="516">
        <v>94965</v>
      </c>
      <c r="C352" s="573" t="s">
        <v>309</v>
      </c>
      <c r="D352" s="516" t="s">
        <v>861</v>
      </c>
      <c r="E352" s="593" t="str" cm="1">
        <f t="array" ref="E352">UPPER(IF(C352="COMPOSIÇÃO",_xlfn.XLOOKUP($B352,A:A,E:E,),IF(C352="COTAÇÃO",VLOOKUP($B352,COTAÇÕES!$A$11:$E$37,2,0),BuscarCampoAccess("Descricao",B352,B.A_SINAPI,B.M_SINAPI,C352))))</f>
        <v>ERRO: CONEXÃO NÃO ESTABELECIDA. CLIQUE EM CONECTAR.</v>
      </c>
      <c r="F352" s="594" t="str" cm="1">
        <f t="array" ref="F352">UPPER(IF(C352="COMPOSIÇÃO",_xlfn.XLOOKUP($B352,A:A,F:F,),IF(C352="COTAÇÃO",VLOOKUP($B352,COTAÇÕES!$A$11:$E$37,3,0),BuscarCampoAccess("Unidade",B352,B.A_SINAPI,B.M_SINAPI,C352))))</f>
        <v>ERRO: CONEXÃO NÃO ESTABELECIDA. CLIQUE EM CONECTAR.</v>
      </c>
      <c r="G352" s="517">
        <v>0.47</v>
      </c>
      <c r="H352" s="582" t="str" cm="1">
        <f t="array" ref="H352">UPPER(IF(C352="COMPOSIÇÃO",_xlfn.XLOOKUP($B352,A:A,I:I,),IF(C352="COTAÇÃO",VLOOKUP($B352,COTAÇÕES!$A$11:$E$37,5,0),BuscarCampoAccess("Custo",B352,B.A_SINAPI,B.M_SINAPI,C352))))</f>
        <v>ERRO: CONEXÃO NÃO ESTABELECIDA. CLIQUE EM CONECTAR.</v>
      </c>
      <c r="I352" s="583" t="e">
        <f>TRUNC(G352*H352,2)</f>
        <v>#VALUE!</v>
      </c>
      <c r="K352" s="529" t="str">
        <f>IF(A352=B352,IFERROR(VLOOKUP(B352,#REF!,1,0),"-"),"-")</f>
        <v>-</v>
      </c>
      <c r="L352" s="304">
        <f t="shared" si="29"/>
        <v>1</v>
      </c>
      <c r="M352" s="304" t="str">
        <f t="shared" si="30"/>
        <v>-</v>
      </c>
    </row>
    <row r="353" spans="2:13" ht="63.75" x14ac:dyDescent="0.3">
      <c r="B353" s="516">
        <v>103670</v>
      </c>
      <c r="C353" s="573" t="s">
        <v>309</v>
      </c>
      <c r="D353" s="516" t="s">
        <v>861</v>
      </c>
      <c r="E353" s="593" t="str" cm="1">
        <f t="array" ref="E353">UPPER(IF(C353="COMPOSIÇÃO",_xlfn.XLOOKUP($B353,A:A,E:E,),IF(C353="COTAÇÃO",VLOOKUP($B353,COTAÇÕES!$A$11:$E$37,2,0),BuscarCampoAccess("Descricao",B353,B.A_SINAPI,B.M_SINAPI,C353))))</f>
        <v>ERRO: CONEXÃO NÃO ESTABELECIDA. CLIQUE EM CONECTAR.</v>
      </c>
      <c r="F353" s="594" t="str" cm="1">
        <f t="array" ref="F353">UPPER(IF(C353="COMPOSIÇÃO",_xlfn.XLOOKUP($B353,A:A,F:F,),IF(C353="COTAÇÃO",VLOOKUP($B353,COTAÇÕES!$A$11:$E$37,3,0),BuscarCampoAccess("Unidade",B353,B.A_SINAPI,B.M_SINAPI,C353))))</f>
        <v>ERRO: CONEXÃO NÃO ESTABELECIDA. CLIQUE EM CONECTAR.</v>
      </c>
      <c r="G353" s="517">
        <v>0.47</v>
      </c>
      <c r="H353" s="582" t="str" cm="1">
        <f t="array" ref="H353">UPPER(IF(C353="COMPOSIÇÃO",_xlfn.XLOOKUP($B353,A:A,I:I,),IF(C353="COTAÇÃO",VLOOKUP($B353,COTAÇÕES!$A$11:$E$37,5,0),BuscarCampoAccess("Custo",B353,B.A_SINAPI,B.M_SINAPI,C353))))</f>
        <v>ERRO: CONEXÃO NÃO ESTABELECIDA. CLIQUE EM CONECTAR.</v>
      </c>
      <c r="I353" s="583" t="e">
        <f>TRUNC(G353*H353,2)</f>
        <v>#VALUE!</v>
      </c>
      <c r="K353" s="529" t="str">
        <f>IF(A353=B353,IFERROR(VLOOKUP(B353,#REF!,1,0),"-"),"-")</f>
        <v>-</v>
      </c>
      <c r="L353" s="304">
        <f t="shared" si="29"/>
        <v>1</v>
      </c>
      <c r="M353" s="304" t="str">
        <f t="shared" si="30"/>
        <v>-</v>
      </c>
    </row>
    <row r="354" spans="2:13" x14ac:dyDescent="0.3">
      <c r="B354" s="574" t="s">
        <v>1274</v>
      </c>
      <c r="C354" s="575"/>
      <c r="D354" s="576"/>
      <c r="E354" s="577"/>
      <c r="F354" s="578"/>
      <c r="G354" s="517"/>
      <c r="H354" s="580"/>
      <c r="I354" s="581"/>
      <c r="K354" s="529" t="str">
        <f>IF(A354=B354,IFERROR(VLOOKUP(B354,#REF!,1,0),"-"),"-")</f>
        <v>-</v>
      </c>
      <c r="L354" s="304">
        <f t="shared" si="29"/>
        <v>1</v>
      </c>
      <c r="M354" s="304" t="str">
        <f t="shared" si="30"/>
        <v>-</v>
      </c>
    </row>
    <row r="355" spans="2:13" ht="63.75" x14ac:dyDescent="0.3">
      <c r="B355" s="516">
        <v>92267</v>
      </c>
      <c r="C355" s="573" t="s">
        <v>309</v>
      </c>
      <c r="D355" s="516" t="s">
        <v>861</v>
      </c>
      <c r="E355" s="593" t="str" cm="1">
        <f t="array" ref="E355">UPPER(IF(C355="COMPOSIÇÃO",_xlfn.XLOOKUP($B355,A:A,E:E,),IF(C355="COTAÇÃO",VLOOKUP($B355,COTAÇÕES!$A$11:$E$37,2,0),BuscarCampoAccess("Descricao",B355,B.A_SINAPI,B.M_SINAPI,C355))))</f>
        <v>ERRO: CONEXÃO NÃO ESTABELECIDA. CLIQUE EM CONECTAR.</v>
      </c>
      <c r="F355" s="594" t="str" cm="1">
        <f t="array" ref="F355">UPPER(IF(C355="COMPOSIÇÃO",_xlfn.XLOOKUP($B355,A:A,F:F,),IF(C355="COTAÇÃO",VLOOKUP($B355,COTAÇÕES!$A$11:$E$37,3,0),BuscarCampoAccess("Unidade",B355,B.A_SINAPI,B.M_SINAPI,C355))))</f>
        <v>ERRO: CONEXÃO NÃO ESTABELECIDA. CLIQUE EM CONECTAR.</v>
      </c>
      <c r="G355" s="517">
        <v>3.53</v>
      </c>
      <c r="H355" s="582" t="str" cm="1">
        <f t="array" ref="H355">UPPER(IF(C355="COMPOSIÇÃO",_xlfn.XLOOKUP($B355,A:A,I:I,),IF(C355="COTAÇÃO",VLOOKUP($B355,COTAÇÕES!$A$11:$E$37,5,0),BuscarCampoAccess("Custo",B355,B.A_SINAPI,B.M_SINAPI,C355))))</f>
        <v>ERRO: CONEXÃO NÃO ESTABELECIDA. CLIQUE EM CONECTAR.</v>
      </c>
      <c r="I355" s="583" t="e">
        <f>TRUNC(G355*H355,2)</f>
        <v>#VALUE!</v>
      </c>
      <c r="K355" s="529" t="str">
        <f>IF(A355=B355,IFERROR(VLOOKUP(B355,#REF!,1,0),"-"),"-")</f>
        <v>-</v>
      </c>
      <c r="L355" s="304">
        <f t="shared" si="29"/>
        <v>1</v>
      </c>
      <c r="M355" s="304" t="str">
        <f t="shared" si="30"/>
        <v>-</v>
      </c>
    </row>
    <row r="356" spans="2:13" ht="63.75" x14ac:dyDescent="0.3">
      <c r="B356" s="516">
        <v>92769</v>
      </c>
      <c r="C356" s="573" t="s">
        <v>309</v>
      </c>
      <c r="D356" s="516" t="s">
        <v>861</v>
      </c>
      <c r="E356" s="593" t="str" cm="1">
        <f t="array" ref="E356">UPPER(IF(C356="COMPOSIÇÃO",_xlfn.XLOOKUP($B356,A:A,E:E,),IF(C356="COTAÇÃO",VLOOKUP($B356,COTAÇÕES!$A$11:$E$37,2,0),BuscarCampoAccess("Descricao",B356,B.A_SINAPI,B.M_SINAPI,C356))))</f>
        <v>ERRO: CONEXÃO NÃO ESTABELECIDA. CLIQUE EM CONECTAR.</v>
      </c>
      <c r="F356" s="594" t="str" cm="1">
        <f t="array" ref="F356">UPPER(IF(C356="COMPOSIÇÃO",_xlfn.XLOOKUP($B356,A:A,F:F,),IF(C356="COTAÇÃO",VLOOKUP($B356,COTAÇÕES!$A$11:$E$37,3,0),BuscarCampoAccess("Unidade",B356,B.A_SINAPI,B.M_SINAPI,C356))))</f>
        <v>ERRO: CONEXÃO NÃO ESTABELECIDA. CLIQUE EM CONECTAR.</v>
      </c>
      <c r="G356" s="517">
        <v>10.7</v>
      </c>
      <c r="H356" s="582" t="str" cm="1">
        <f t="array" ref="H356">UPPER(IF(C356="COMPOSIÇÃO",_xlfn.XLOOKUP($B356,A:A,I:I,),IF(C356="COTAÇÃO",VLOOKUP($B356,COTAÇÕES!$A$11:$E$37,5,0),BuscarCampoAccess("Custo",B356,B.A_SINAPI,B.M_SINAPI,C356))))</f>
        <v>ERRO: CONEXÃO NÃO ESTABELECIDA. CLIQUE EM CONECTAR.</v>
      </c>
      <c r="I356" s="583" t="e">
        <f>TRUNC(G356*H356,2)</f>
        <v>#VALUE!</v>
      </c>
      <c r="K356" s="529" t="str">
        <f>IF(A356=B356,IFERROR(VLOOKUP(B356,#REF!,1,0),"-"),"-")</f>
        <v>-</v>
      </c>
      <c r="L356" s="304">
        <f t="shared" si="29"/>
        <v>1</v>
      </c>
      <c r="M356" s="304" t="str">
        <f t="shared" si="30"/>
        <v>-</v>
      </c>
    </row>
    <row r="357" spans="2:13" ht="63.75" x14ac:dyDescent="0.3">
      <c r="B357" s="516">
        <v>92770</v>
      </c>
      <c r="C357" s="573" t="s">
        <v>309</v>
      </c>
      <c r="D357" s="516" t="s">
        <v>861</v>
      </c>
      <c r="E357" s="593" t="str" cm="1">
        <f t="array" ref="E357">UPPER(IF(C357="COMPOSIÇÃO",_xlfn.XLOOKUP($B357,A:A,E:E,),IF(C357="COTAÇÃO",VLOOKUP($B357,COTAÇÕES!$A$11:$E$37,2,0),BuscarCampoAccess("Descricao",B357,B.A_SINAPI,B.M_SINAPI,C357))))</f>
        <v>ERRO: CONEXÃO NÃO ESTABELECIDA. CLIQUE EM CONECTAR.</v>
      </c>
      <c r="F357" s="594" t="str" cm="1">
        <f t="array" ref="F357">UPPER(IF(C357="COMPOSIÇÃO",_xlfn.XLOOKUP($B357,A:A,F:F,),IF(C357="COTAÇÃO",VLOOKUP($B357,COTAÇÕES!$A$11:$E$37,3,0),BuscarCampoAccess("Unidade",B357,B.A_SINAPI,B.M_SINAPI,C357))))</f>
        <v>ERRO: CONEXÃO NÃO ESTABELECIDA. CLIQUE EM CONECTAR.</v>
      </c>
      <c r="G357" s="517">
        <v>29.3</v>
      </c>
      <c r="H357" s="582" t="str" cm="1">
        <f t="array" ref="H357">UPPER(IF(C357="COMPOSIÇÃO",_xlfn.XLOOKUP($B357,A:A,I:I,),IF(C357="COTAÇÃO",VLOOKUP($B357,COTAÇÕES!$A$11:$E$37,5,0),BuscarCampoAccess("Custo",B357,B.A_SINAPI,B.M_SINAPI,C357))))</f>
        <v>ERRO: CONEXÃO NÃO ESTABELECIDA. CLIQUE EM CONECTAR.</v>
      </c>
      <c r="I357" s="583" t="e">
        <f>TRUNC(G357*H357,2)</f>
        <v>#VALUE!</v>
      </c>
      <c r="K357" s="529" t="str">
        <f>IF(A357=B357,IFERROR(VLOOKUP(B357,#REF!,1,0),"-"),"-")</f>
        <v>-</v>
      </c>
      <c r="L357" s="304">
        <f t="shared" si="29"/>
        <v>1</v>
      </c>
      <c r="M357" s="304" t="str">
        <f t="shared" si="30"/>
        <v>-</v>
      </c>
    </row>
    <row r="358" spans="2:13" ht="63.75" x14ac:dyDescent="0.3">
      <c r="B358" s="516">
        <v>94965</v>
      </c>
      <c r="C358" s="573" t="s">
        <v>309</v>
      </c>
      <c r="D358" s="516" t="s">
        <v>861</v>
      </c>
      <c r="E358" s="593" t="str" cm="1">
        <f t="array" ref="E358">UPPER(IF(C358="COMPOSIÇÃO",_xlfn.XLOOKUP($B358,A:A,E:E,),IF(C358="COTAÇÃO",VLOOKUP($B358,COTAÇÕES!$A$11:$E$37,2,0),BuscarCampoAccess("Descricao",B358,B.A_SINAPI,B.M_SINAPI,C358))))</f>
        <v>ERRO: CONEXÃO NÃO ESTABELECIDA. CLIQUE EM CONECTAR.</v>
      </c>
      <c r="F358" s="594" t="str" cm="1">
        <f t="array" ref="F358">UPPER(IF(C358="COMPOSIÇÃO",_xlfn.XLOOKUP($B358,A:A,F:F,),IF(C358="COTAÇÃO",VLOOKUP($B358,COTAÇÕES!$A$11:$E$37,3,0),BuscarCampoAccess("Unidade",B358,B.A_SINAPI,B.M_SINAPI,C358))))</f>
        <v>ERRO: CONEXÃO NÃO ESTABELECIDA. CLIQUE EM CONECTAR.</v>
      </c>
      <c r="G358" s="517">
        <v>0.38</v>
      </c>
      <c r="H358" s="582" t="str" cm="1">
        <f t="array" ref="H358">UPPER(IF(C358="COMPOSIÇÃO",_xlfn.XLOOKUP($B358,A:A,I:I,),IF(C358="COTAÇÃO",VLOOKUP($B358,COTAÇÕES!$A$11:$E$37,5,0),BuscarCampoAccess("Custo",B358,B.A_SINAPI,B.M_SINAPI,C358))))</f>
        <v>ERRO: CONEXÃO NÃO ESTABELECIDA. CLIQUE EM CONECTAR.</v>
      </c>
      <c r="I358" s="583" t="e">
        <f>TRUNC(G358*H358,2)</f>
        <v>#VALUE!</v>
      </c>
      <c r="K358" s="529" t="str">
        <f>IF(A358=B358,IFERROR(VLOOKUP(B358,#REF!,1,0),"-"),"-")</f>
        <v>-</v>
      </c>
      <c r="L358" s="304">
        <f t="shared" si="29"/>
        <v>1</v>
      </c>
      <c r="M358" s="304" t="str">
        <f t="shared" si="30"/>
        <v>-</v>
      </c>
    </row>
    <row r="359" spans="2:13" ht="63.75" x14ac:dyDescent="0.3">
      <c r="B359" s="516">
        <v>103673</v>
      </c>
      <c r="C359" s="573" t="s">
        <v>309</v>
      </c>
      <c r="D359" s="516" t="s">
        <v>861</v>
      </c>
      <c r="E359" s="593" t="str" cm="1">
        <f t="array" ref="E359">UPPER(IF(C359="COMPOSIÇÃO",_xlfn.XLOOKUP($B359,A:A,E:E,),IF(C359="COTAÇÃO",VLOOKUP($B359,COTAÇÕES!$A$11:$E$37,2,0),BuscarCampoAccess("Descricao",B359,B.A_SINAPI,B.M_SINAPI,C359))))</f>
        <v>ERRO: CONEXÃO NÃO ESTABELECIDA. CLIQUE EM CONECTAR.</v>
      </c>
      <c r="F359" s="594" t="str" cm="1">
        <f t="array" ref="F359">UPPER(IF(C359="COMPOSIÇÃO",_xlfn.XLOOKUP($B359,A:A,F:F,),IF(C359="COTAÇÃO",VLOOKUP($B359,COTAÇÕES!$A$11:$E$37,3,0),BuscarCampoAccess("Unidade",B359,B.A_SINAPI,B.M_SINAPI,C359))))</f>
        <v>ERRO: CONEXÃO NÃO ESTABELECIDA. CLIQUE EM CONECTAR.</v>
      </c>
      <c r="G359" s="517">
        <v>0.38</v>
      </c>
      <c r="H359" s="582" t="str" cm="1">
        <f t="array" ref="H359">UPPER(IF(C359="COMPOSIÇÃO",_xlfn.XLOOKUP($B359,A:A,I:I,),IF(C359="COTAÇÃO",VLOOKUP($B359,COTAÇÕES!$A$11:$E$37,5,0),BuscarCampoAccess("Custo",B359,B.A_SINAPI,B.M_SINAPI,C359))))</f>
        <v>ERRO: CONEXÃO NÃO ESTABELECIDA. CLIQUE EM CONECTAR.</v>
      </c>
      <c r="I359" s="583" t="e">
        <f>TRUNC(G359*H359,2)</f>
        <v>#VALUE!</v>
      </c>
      <c r="K359" s="529" t="str">
        <f>IF(A359=B359,IFERROR(VLOOKUP(B359,#REF!,1,0),"-"),"-")</f>
        <v>-</v>
      </c>
      <c r="L359" s="304">
        <f t="shared" si="29"/>
        <v>1</v>
      </c>
      <c r="M359" s="304" t="str">
        <f t="shared" si="30"/>
        <v>-</v>
      </c>
    </row>
    <row r="360" spans="2:13" x14ac:dyDescent="0.3">
      <c r="B360" s="574" t="s">
        <v>1275</v>
      </c>
      <c r="C360" s="575"/>
      <c r="D360" s="576"/>
      <c r="E360" s="577"/>
      <c r="F360" s="578"/>
      <c r="G360" s="517"/>
      <c r="H360" s="580"/>
      <c r="I360" s="581"/>
      <c r="K360" s="529" t="str">
        <f>IF(A360=B360,IFERROR(VLOOKUP(B360,#REF!,1,0),"-"),"-")</f>
        <v>-</v>
      </c>
      <c r="L360" s="304">
        <f t="shared" si="29"/>
        <v>1</v>
      </c>
      <c r="M360" s="304" t="str">
        <f t="shared" si="30"/>
        <v>-</v>
      </c>
    </row>
    <row r="361" spans="2:13" ht="63.75" x14ac:dyDescent="0.3">
      <c r="B361" s="516">
        <v>34573</v>
      </c>
      <c r="C361" s="573" t="s">
        <v>309</v>
      </c>
      <c r="D361" s="516" t="s">
        <v>861</v>
      </c>
      <c r="E361" s="593" t="str" cm="1">
        <f t="array" ref="E361">UPPER(IF(C361="COMPOSIÇÃO",_xlfn.XLOOKUP($B361,A:A,E:E,),IF(C361="COTAÇÃO",VLOOKUP($B361,COTAÇÕES!$A$11:$E$37,2,0),BuscarCampoAccess("Descricao",B361,B.A_SINAPI,B.M_SINAPI,C361))))</f>
        <v>ERRO: CONEXÃO NÃO ESTABELECIDA. CLIQUE EM CONECTAR.</v>
      </c>
      <c r="F361" s="594" t="str" cm="1">
        <f t="array" ref="F361">UPPER(IF(C361="COMPOSIÇÃO",_xlfn.XLOOKUP($B361,A:A,F:F,),IF(C361="COTAÇÃO",VLOOKUP($B361,COTAÇÕES!$A$11:$E$37,3,0),BuscarCampoAccess("Unidade",B361,B.A_SINAPI,B.M_SINAPI,C361))))</f>
        <v>ERRO: CONEXÃO NÃO ESTABELECIDA. CLIQUE EM CONECTAR.</v>
      </c>
      <c r="G361" s="517">
        <v>319.68</v>
      </c>
      <c r="H361" s="582" t="str" cm="1">
        <f t="array" ref="H361">UPPER(IF(C361="COMPOSIÇÃO",_xlfn.XLOOKUP($B361,A:A,I:I,),IF(C361="COTAÇÃO",VLOOKUP($B361,COTAÇÕES!$A$11:$E$37,5,0),BuscarCampoAccess("Custo",B361,B.A_SINAPI,B.M_SINAPI,C361))))</f>
        <v>ERRO: CONEXÃO NÃO ESTABELECIDA. CLIQUE EM CONECTAR.</v>
      </c>
      <c r="I361" s="583" t="e">
        <f t="shared" ref="I361:I367" si="31">TRUNC(G361*H361,2)</f>
        <v>#VALUE!</v>
      </c>
      <c r="K361" s="529" t="str">
        <f>IF(A361=B361,IFERROR(VLOOKUP(B361,#REF!,1,0),"-"),"-")</f>
        <v>-</v>
      </c>
      <c r="L361" s="304">
        <f t="shared" si="29"/>
        <v>1</v>
      </c>
      <c r="M361" s="304" t="str">
        <f t="shared" si="30"/>
        <v>-</v>
      </c>
    </row>
    <row r="362" spans="2:13" ht="63.75" x14ac:dyDescent="0.3">
      <c r="B362" s="516">
        <v>88626</v>
      </c>
      <c r="C362" s="573" t="s">
        <v>309</v>
      </c>
      <c r="D362" s="516" t="s">
        <v>861</v>
      </c>
      <c r="E362" s="593" t="str" cm="1">
        <f t="array" ref="E362">UPPER(IF(C362="COMPOSIÇÃO",_xlfn.XLOOKUP($B362,A:A,E:E,),IF(C362="COTAÇÃO",VLOOKUP($B362,COTAÇÕES!$A$11:$E$37,2,0),BuscarCampoAccess("Descricao",B362,B.A_SINAPI,B.M_SINAPI,C362))))</f>
        <v>ERRO: CONEXÃO NÃO ESTABELECIDA. CLIQUE EM CONECTAR.</v>
      </c>
      <c r="F362" s="594" t="str" cm="1">
        <f t="array" ref="F362">UPPER(IF(C362="COMPOSIÇÃO",_xlfn.XLOOKUP($B362,A:A,F:F,),IF(C362="COTAÇÃO",VLOOKUP($B362,COTAÇÕES!$A$11:$E$37,3,0),BuscarCampoAccess("Unidade",B362,B.A_SINAPI,B.M_SINAPI,C362))))</f>
        <v>ERRO: CONEXÃO NÃO ESTABELECIDA. CLIQUE EM CONECTAR.</v>
      </c>
      <c r="G362" s="517">
        <v>0.53759999999999997</v>
      </c>
      <c r="H362" s="582" t="str" cm="1">
        <f t="array" ref="H362">UPPER(IF(C362="COMPOSIÇÃO",_xlfn.XLOOKUP($B362,A:A,I:I,),IF(C362="COTAÇÃO",VLOOKUP($B362,COTAÇÕES!$A$11:$E$37,5,0),BuscarCampoAccess("Custo",B362,B.A_SINAPI,B.M_SINAPI,C362))))</f>
        <v>ERRO: CONEXÃO NÃO ESTABELECIDA. CLIQUE EM CONECTAR.</v>
      </c>
      <c r="I362" s="583" t="e">
        <f t="shared" si="31"/>
        <v>#VALUE!</v>
      </c>
      <c r="K362" s="529" t="str">
        <f>IF(A362=B362,IFERROR(VLOOKUP(B362,#REF!,1,0),"-"),"-")</f>
        <v>-</v>
      </c>
      <c r="L362" s="304">
        <f t="shared" si="29"/>
        <v>1</v>
      </c>
      <c r="M362" s="304" t="str">
        <f t="shared" si="30"/>
        <v>-</v>
      </c>
    </row>
    <row r="363" spans="2:13" ht="63.75" x14ac:dyDescent="0.3">
      <c r="B363" s="516">
        <v>87879</v>
      </c>
      <c r="C363" s="573" t="s">
        <v>309</v>
      </c>
      <c r="D363" s="516" t="s">
        <v>861</v>
      </c>
      <c r="E363" s="593" t="str" cm="1">
        <f t="array" ref="E363">UPPER(IF(C363="COMPOSIÇÃO",_xlfn.XLOOKUP($B363,A:A,E:E,),IF(C363="COTAÇÃO",VLOOKUP($B363,COTAÇÕES!$A$11:$E$37,2,0),BuscarCampoAccess("Descricao",B363,B.A_SINAPI,B.M_SINAPI,C363))))</f>
        <v>ERRO: CONEXÃO NÃO ESTABELECIDA. CLIQUE EM CONECTAR.</v>
      </c>
      <c r="F363" s="594" t="str" cm="1">
        <f t="array" ref="F363">UPPER(IF(C363="COMPOSIÇÃO",_xlfn.XLOOKUP($B363,A:A,F:F,),IF(C363="COTAÇÃO",VLOOKUP($B363,COTAÇÕES!$A$11:$E$37,3,0),BuscarCampoAccess("Unidade",B363,B.A_SINAPI,B.M_SINAPI,C363))))</f>
        <v>ERRO: CONEXÃO NÃO ESTABELECIDA. CLIQUE EM CONECTAR.</v>
      </c>
      <c r="G363" s="517">
        <v>16</v>
      </c>
      <c r="H363" s="582" t="str" cm="1">
        <f t="array" ref="H363">UPPER(IF(C363="COMPOSIÇÃO",_xlfn.XLOOKUP($B363,A:A,I:I,),IF(C363="COTAÇÃO",VLOOKUP($B363,COTAÇÕES!$A$11:$E$37,5,0),BuscarCampoAccess("Custo",B363,B.A_SINAPI,B.M_SINAPI,C363))))</f>
        <v>ERRO: CONEXÃO NÃO ESTABELECIDA. CLIQUE EM CONECTAR.</v>
      </c>
      <c r="I363" s="583" t="e">
        <f t="shared" si="31"/>
        <v>#VALUE!</v>
      </c>
      <c r="K363" s="529" t="str">
        <f>IF(A363=B363,IFERROR(VLOOKUP(B363,#REF!,1,0),"-"),"-")</f>
        <v>-</v>
      </c>
      <c r="L363" s="304">
        <f t="shared" si="29"/>
        <v>1</v>
      </c>
      <c r="M363" s="304" t="str">
        <f t="shared" si="30"/>
        <v>-</v>
      </c>
    </row>
    <row r="364" spans="2:13" ht="63.75" x14ac:dyDescent="0.3">
      <c r="B364" s="516">
        <v>87529</v>
      </c>
      <c r="C364" s="573" t="s">
        <v>309</v>
      </c>
      <c r="D364" s="516" t="s">
        <v>861</v>
      </c>
      <c r="E364" s="593" t="str" cm="1">
        <f t="array" ref="E364">UPPER(IF(C364="COMPOSIÇÃO",_xlfn.XLOOKUP($B364,A:A,E:E,),IF(C364="COTAÇÃO",VLOOKUP($B364,COTAÇÕES!$A$11:$E$37,2,0),BuscarCampoAccess("Descricao",B364,B.A_SINAPI,B.M_SINAPI,C364))))</f>
        <v>ERRO: CONEXÃO NÃO ESTABELECIDA. CLIQUE EM CONECTAR.</v>
      </c>
      <c r="F364" s="594" t="str" cm="1">
        <f t="array" ref="F364">UPPER(IF(C364="COMPOSIÇÃO",_xlfn.XLOOKUP($B364,A:A,F:F,),IF(C364="COTAÇÃO",VLOOKUP($B364,COTAÇÕES!$A$11:$E$37,3,0),BuscarCampoAccess("Unidade",B364,B.A_SINAPI,B.M_SINAPI,C364))))</f>
        <v>ERRO: CONEXÃO NÃO ESTABELECIDA. CLIQUE EM CONECTAR.</v>
      </c>
      <c r="G364" s="517">
        <v>16</v>
      </c>
      <c r="H364" s="582" t="str" cm="1">
        <f t="array" ref="H364">UPPER(IF(C364="COMPOSIÇÃO",_xlfn.XLOOKUP($B364,A:A,I:I,),IF(C364="COTAÇÃO",VLOOKUP($B364,COTAÇÕES!$A$11:$E$37,5,0),BuscarCampoAccess("Custo",B364,B.A_SINAPI,B.M_SINAPI,C364))))</f>
        <v>ERRO: CONEXÃO NÃO ESTABELECIDA. CLIQUE EM CONECTAR.</v>
      </c>
      <c r="I364" s="583" t="e">
        <f t="shared" si="31"/>
        <v>#VALUE!</v>
      </c>
      <c r="K364" s="529" t="str">
        <f>IF(A364=B364,IFERROR(VLOOKUP(B364,#REF!,1,0),"-"),"-")</f>
        <v>-</v>
      </c>
      <c r="L364" s="304">
        <f t="shared" si="29"/>
        <v>1</v>
      </c>
      <c r="M364" s="304" t="str">
        <f t="shared" si="30"/>
        <v>-</v>
      </c>
    </row>
    <row r="365" spans="2:13" ht="63.75" x14ac:dyDescent="0.3">
      <c r="B365" s="516">
        <v>94965</v>
      </c>
      <c r="C365" s="573" t="s">
        <v>309</v>
      </c>
      <c r="D365" s="516" t="s">
        <v>861</v>
      </c>
      <c r="E365" s="593" t="str" cm="1">
        <f t="array" ref="E365">UPPER(IF(C365="COMPOSIÇÃO",_xlfn.XLOOKUP($B365,A:A,E:E,),IF(C365="COTAÇÃO",VLOOKUP($B365,COTAÇÕES!$A$11:$E$37,2,0),BuscarCampoAccess("Descricao",B365,B.A_SINAPI,B.M_SINAPI,C365))))</f>
        <v>ERRO: CONEXÃO NÃO ESTABELECIDA. CLIQUE EM CONECTAR.</v>
      </c>
      <c r="F365" s="594" t="str" cm="1">
        <f t="array" ref="F365">UPPER(IF(C365="COMPOSIÇÃO",_xlfn.XLOOKUP($B365,A:A,F:F,),IF(C365="COTAÇÃO",VLOOKUP($B365,COTAÇÕES!$A$11:$E$37,3,0),BuscarCampoAccess("Unidade",B365,B.A_SINAPI,B.M_SINAPI,C365))))</f>
        <v>ERRO: CONEXÃO NÃO ESTABELECIDA. CLIQUE EM CONECTAR.</v>
      </c>
      <c r="G365" s="517">
        <v>1.2349999999999999</v>
      </c>
      <c r="H365" s="582" t="str" cm="1">
        <f t="array" ref="H365">UPPER(IF(C365="COMPOSIÇÃO",_xlfn.XLOOKUP($B365,A:A,I:I,),IF(C365="COTAÇÃO",VLOOKUP($B365,COTAÇÕES!$A$11:$E$37,5,0),BuscarCampoAccess("Custo",B365,B.A_SINAPI,B.M_SINAPI,C365))))</f>
        <v>ERRO: CONEXÃO NÃO ESTABELECIDA. CLIQUE EM CONECTAR.</v>
      </c>
      <c r="I365" s="583" t="e">
        <f t="shared" si="31"/>
        <v>#VALUE!</v>
      </c>
      <c r="K365" s="529" t="str">
        <f>IF(A365=B365,IFERROR(VLOOKUP(B365,#REF!,1,0),"-"),"-")</f>
        <v>-</v>
      </c>
      <c r="L365" s="304">
        <f t="shared" si="29"/>
        <v>1</v>
      </c>
      <c r="M365" s="304" t="str">
        <f t="shared" si="30"/>
        <v>-</v>
      </c>
    </row>
    <row r="366" spans="2:13" ht="63.75" x14ac:dyDescent="0.3">
      <c r="B366" s="516">
        <v>88309</v>
      </c>
      <c r="C366" s="573" t="s">
        <v>309</v>
      </c>
      <c r="D366" s="516" t="s">
        <v>861</v>
      </c>
      <c r="E366" s="593" t="str" cm="1">
        <f t="array" ref="E366">UPPER(IF(C366="COMPOSIÇÃO",_xlfn.XLOOKUP($B366,A:A,E:E,),IF(C366="COTAÇÃO",VLOOKUP($B366,COTAÇÕES!$A$11:$E$37,2,0),BuscarCampoAccess("Descricao",B366,B.A_SINAPI,B.M_SINAPI,C366))))</f>
        <v>ERRO: CONEXÃO NÃO ESTABELECIDA. CLIQUE EM CONECTAR.</v>
      </c>
      <c r="F366" s="594" t="str" cm="1">
        <f t="array" ref="F366">UPPER(IF(C366="COMPOSIÇÃO",_xlfn.XLOOKUP($B366,A:A,F:F,),IF(C366="COTAÇÃO",VLOOKUP($B366,COTAÇÕES!$A$11:$E$37,3,0),BuscarCampoAccess("Unidade",B366,B.A_SINAPI,B.M_SINAPI,C366))))</f>
        <v>ERRO: CONEXÃO NÃO ESTABELECIDA. CLIQUE EM CONECTAR.</v>
      </c>
      <c r="G366" s="517">
        <v>21.44</v>
      </c>
      <c r="H366" s="582" t="str" cm="1">
        <f t="array" ref="H366">UPPER(IF(C366="COMPOSIÇÃO",_xlfn.XLOOKUP($B366,A:A,I:I,),IF(C366="COTAÇÃO",VLOOKUP($B366,COTAÇÕES!$A$11:$E$37,5,0),BuscarCampoAccess("Custo",B366,B.A_SINAPI,B.M_SINAPI,C366))))</f>
        <v>ERRO: CONEXÃO NÃO ESTABELECIDA. CLIQUE EM CONECTAR.</v>
      </c>
      <c r="I366" s="583" t="e">
        <f t="shared" si="31"/>
        <v>#VALUE!</v>
      </c>
      <c r="K366" s="529" t="str">
        <f>IF(A366=B366,IFERROR(VLOOKUP(B366,#REF!,1,0),"-"),"-")</f>
        <v>-</v>
      </c>
      <c r="L366" s="304">
        <f t="shared" si="29"/>
        <v>1</v>
      </c>
      <c r="M366" s="304" t="str">
        <f t="shared" si="30"/>
        <v>-</v>
      </c>
    </row>
    <row r="367" spans="2:13" ht="63.75" x14ac:dyDescent="0.3">
      <c r="B367" s="516">
        <v>88316</v>
      </c>
      <c r="C367" s="573" t="s">
        <v>309</v>
      </c>
      <c r="D367" s="516" t="s">
        <v>861</v>
      </c>
      <c r="E367" s="593" t="str" cm="1">
        <f t="array" ref="E367">UPPER(IF(C367="COMPOSIÇÃO",_xlfn.XLOOKUP($B367,A:A,E:E,),IF(C367="COTAÇÃO",VLOOKUP($B367,COTAÇÕES!$A$11:$E$37,2,0),BuscarCampoAccess("Descricao",B367,B.A_SINAPI,B.M_SINAPI,C367))))</f>
        <v>ERRO: CONEXÃO NÃO ESTABELECIDA. CLIQUE EM CONECTAR.</v>
      </c>
      <c r="F367" s="594" t="str" cm="1">
        <f t="array" ref="F367">UPPER(IF(C367="COMPOSIÇÃO",_xlfn.XLOOKUP($B367,A:A,F:F,),IF(C367="COTAÇÃO",VLOOKUP($B367,COTAÇÕES!$A$11:$E$37,3,0),BuscarCampoAccess("Unidade",B367,B.A_SINAPI,B.M_SINAPI,C367))))</f>
        <v>ERRO: CONEXÃO NÃO ESTABELECIDA. CLIQUE EM CONECTAR.</v>
      </c>
      <c r="G367" s="517">
        <v>21.44</v>
      </c>
      <c r="H367" s="582" t="str" cm="1">
        <f t="array" ref="H367">UPPER(IF(C367="COMPOSIÇÃO",_xlfn.XLOOKUP($B367,A:A,I:I,),IF(C367="COTAÇÃO",VLOOKUP($B367,COTAÇÕES!$A$11:$E$37,5,0),BuscarCampoAccess("Custo",B367,B.A_SINAPI,B.M_SINAPI,C367))))</f>
        <v>ERRO: CONEXÃO NÃO ESTABELECIDA. CLIQUE EM CONECTAR.</v>
      </c>
      <c r="I367" s="583" t="e">
        <f t="shared" si="31"/>
        <v>#VALUE!</v>
      </c>
      <c r="K367" s="529" t="str">
        <f>IF(A367=B367,IFERROR(VLOOKUP(B367,#REF!,1,0),"-"),"-")</f>
        <v>-</v>
      </c>
      <c r="L367" s="304">
        <f t="shared" si="29"/>
        <v>1</v>
      </c>
      <c r="M367" s="304" t="str">
        <f t="shared" si="30"/>
        <v>-</v>
      </c>
    </row>
    <row r="368" spans="2:13" x14ac:dyDescent="0.3">
      <c r="K368" s="529" t="str">
        <f>IF(A368=B368,IFERROR(VLOOKUP(B368,#REF!,1,0),"-"),"-")</f>
        <v>-</v>
      </c>
      <c r="L368" s="304">
        <f t="shared" si="29"/>
        <v>0</v>
      </c>
      <c r="M368" s="304" t="b">
        <f t="shared" si="30"/>
        <v>0</v>
      </c>
    </row>
    <row r="369" spans="1:13" ht="24.75" customHeight="1" x14ac:dyDescent="0.3">
      <c r="A369" s="192" t="str">
        <f>IF(AND(D369="",E369&lt;&gt;""),B369,"")</f>
        <v>CPU-DRED 31</v>
      </c>
      <c r="B369" s="589" t="s">
        <v>1277</v>
      </c>
      <c r="C369" s="187"/>
      <c r="D369" s="188"/>
      <c r="E369" s="189" t="s">
        <v>1519</v>
      </c>
      <c r="F369" s="188" t="s">
        <v>256</v>
      </c>
      <c r="G369" s="188"/>
      <c r="H369" s="191"/>
      <c r="I369" s="590" t="e">
        <f>SUM(I370:I411)</f>
        <v>#VALUE!</v>
      </c>
      <c r="K369" s="529" t="str">
        <f>IF(A369=B369,IFERROR(VLOOKUP(B369,#REF!,1,0),"-"),"-")</f>
        <v>-</v>
      </c>
      <c r="L369" s="304">
        <f t="shared" si="29"/>
        <v>1</v>
      </c>
      <c r="M369" s="304" t="str">
        <f t="shared" si="30"/>
        <v>-</v>
      </c>
    </row>
    <row r="370" spans="1:13" ht="63.75" x14ac:dyDescent="0.3">
      <c r="B370" s="516">
        <v>100324</v>
      </c>
      <c r="C370" s="573" t="s">
        <v>309</v>
      </c>
      <c r="D370" s="516" t="s">
        <v>861</v>
      </c>
      <c r="E370" s="593" t="str" cm="1">
        <f t="array" ref="E370">UPPER(IF(C370="COMPOSIÇÃO",_xlfn.XLOOKUP($B370,A:A,E:E,),IF(C370="COTAÇÃO",VLOOKUP($B370,COTAÇÕES!$A$11:$E$37,2,0),BuscarCampoAccess("Descricao",B370,B.A_SINAPI,B.M_SINAPI,C370))))</f>
        <v>ERRO: CONEXÃO NÃO ESTABELECIDA. CLIQUE EM CONECTAR.</v>
      </c>
      <c r="F370" s="594" t="str" cm="1">
        <f t="array" ref="F370">UPPER(IF(C370="COMPOSIÇÃO",_xlfn.XLOOKUP($B370,A:A,F:F,),IF(C370="COTAÇÃO",VLOOKUP($B370,COTAÇÕES!$A$11:$E$37,3,0),BuscarCampoAccess("Unidade",B370,B.A_SINAPI,B.M_SINAPI,C370))))</f>
        <v>ERRO: CONEXÃO NÃO ESTABELECIDA. CLIQUE EM CONECTAR.</v>
      </c>
      <c r="G370" s="517">
        <v>0.54755999999999994</v>
      </c>
      <c r="H370" s="582" t="str" cm="1">
        <f t="array" ref="H370">UPPER(IF(C370="COMPOSIÇÃO",_xlfn.XLOOKUP($B370,A:A,I:I,),IF(C370="COTAÇÃO",VLOOKUP($B370,COTAÇÕES!$A$11:$E$37,5,0),BuscarCampoAccess("Custo",B370,B.A_SINAPI,B.M_SINAPI,C370))))</f>
        <v>ERRO: CONEXÃO NÃO ESTABELECIDA. CLIQUE EM CONECTAR.</v>
      </c>
      <c r="I370" s="583" t="e">
        <f>TRUNC(G370*H370,2)</f>
        <v>#VALUE!</v>
      </c>
      <c r="K370" s="529" t="str">
        <f>IF(A370=B370,IFERROR(VLOOKUP(B370,#REF!,1,0),"-"),"-")</f>
        <v>-</v>
      </c>
      <c r="L370" s="304">
        <f t="shared" si="29"/>
        <v>1</v>
      </c>
      <c r="M370" s="304" t="str">
        <f t="shared" si="30"/>
        <v>-</v>
      </c>
    </row>
    <row r="371" spans="1:13" x14ac:dyDescent="0.3">
      <c r="B371" s="574" t="s">
        <v>1270</v>
      </c>
      <c r="C371" s="575"/>
      <c r="D371" s="576"/>
      <c r="E371" s="577"/>
      <c r="F371" s="578"/>
      <c r="G371" s="517"/>
      <c r="H371" s="580"/>
      <c r="I371" s="581"/>
      <c r="K371" s="529" t="str">
        <f>IF(A371=B371,IFERROR(VLOOKUP(B371,#REF!,1,0),"-"),"-")</f>
        <v>-</v>
      </c>
      <c r="L371" s="304">
        <f t="shared" si="29"/>
        <v>1</v>
      </c>
      <c r="M371" s="304" t="str">
        <f t="shared" si="30"/>
        <v>-</v>
      </c>
    </row>
    <row r="372" spans="1:13" ht="63.75" x14ac:dyDescent="0.3">
      <c r="B372" s="516">
        <v>96527</v>
      </c>
      <c r="C372" s="573" t="s">
        <v>309</v>
      </c>
      <c r="D372" s="516" t="s">
        <v>861</v>
      </c>
      <c r="E372" s="593" t="str" cm="1">
        <f t="array" ref="E372">UPPER(IF(C372="COMPOSIÇÃO",_xlfn.XLOOKUP($B372,A:A,E:E,),IF(C372="COTAÇÃO",VLOOKUP($B372,COTAÇÕES!$A$11:$E$37,2,0),BuscarCampoAccess("Descricao",B372,B.A_SINAPI,B.M_SINAPI,C372))))</f>
        <v>ERRO: CONEXÃO NÃO ESTABELECIDA. CLIQUE EM CONECTAR.</v>
      </c>
      <c r="F372" s="594" t="str" cm="1">
        <f t="array" ref="F372">UPPER(IF(C372="COMPOSIÇÃO",_xlfn.XLOOKUP($B372,A:A,F:F,),IF(C372="COTAÇÃO",VLOOKUP($B372,COTAÇÕES!$A$11:$E$37,3,0),BuscarCampoAccess("Unidade",B372,B.A_SINAPI,B.M_SINAPI,C372))))</f>
        <v>ERRO: CONEXÃO NÃO ESTABELECIDA. CLIQUE EM CONECTAR.</v>
      </c>
      <c r="G372" s="517">
        <v>0.72000000000000008</v>
      </c>
      <c r="H372" s="582" t="str" cm="1">
        <f t="array" ref="H372">UPPER(IF(C372="COMPOSIÇÃO",_xlfn.XLOOKUP($B372,A:A,I:I,),IF(C372="COTAÇÃO",VLOOKUP($B372,COTAÇÕES!$A$11:$E$37,5,0),BuscarCampoAccess("Custo",B372,B.A_SINAPI,B.M_SINAPI,C372))))</f>
        <v>ERRO: CONEXÃO NÃO ESTABELECIDA. CLIQUE EM CONECTAR.</v>
      </c>
      <c r="I372" s="583" t="e">
        <f>TRUNC(G372*H372,2)</f>
        <v>#VALUE!</v>
      </c>
      <c r="K372" s="529" t="str">
        <f>IF(A372=B372,IFERROR(VLOOKUP(B372,#REF!,1,0),"-"),"-")</f>
        <v>-</v>
      </c>
      <c r="L372" s="304">
        <f t="shared" si="29"/>
        <v>1</v>
      </c>
      <c r="M372" s="304" t="str">
        <f t="shared" si="30"/>
        <v>-</v>
      </c>
    </row>
    <row r="373" spans="1:13" ht="63.75" x14ac:dyDescent="0.3">
      <c r="B373" s="516">
        <v>96536</v>
      </c>
      <c r="C373" s="573" t="s">
        <v>309</v>
      </c>
      <c r="D373" s="516" t="s">
        <v>861</v>
      </c>
      <c r="E373" s="593" t="str" cm="1">
        <f t="array" ref="E373">UPPER(IF(C373="COMPOSIÇÃO",_xlfn.XLOOKUP($B373,A:A,E:E,),IF(C373="COTAÇÃO",VLOOKUP($B373,COTAÇÕES!$A$11:$E$37,2,0),BuscarCampoAccess("Descricao",B373,B.A_SINAPI,B.M_SINAPI,C373))))</f>
        <v>ERRO: CONEXÃO NÃO ESTABELECIDA. CLIQUE EM CONECTAR.</v>
      </c>
      <c r="F373" s="594" t="str" cm="1">
        <f t="array" ref="F373">UPPER(IF(C373="COMPOSIÇÃO",_xlfn.XLOOKUP($B373,A:A,F:F,),IF(C373="COTAÇÃO",VLOOKUP($B373,COTAÇÕES!$A$11:$E$37,3,0),BuscarCampoAccess("Unidade",B373,B.A_SINAPI,B.M_SINAPI,C373))))</f>
        <v>ERRO: CONEXÃO NÃO ESTABELECIDA. CLIQUE EM CONECTAR.</v>
      </c>
      <c r="G373" s="517">
        <v>5.95</v>
      </c>
      <c r="H373" s="582" t="str" cm="1">
        <f t="array" ref="H373">UPPER(IF(C373="COMPOSIÇÃO",_xlfn.XLOOKUP($B373,A:A,I:I,),IF(C373="COTAÇÃO",VLOOKUP($B373,COTAÇÕES!$A$11:$E$37,5,0),BuscarCampoAccess("Custo",B373,B.A_SINAPI,B.M_SINAPI,C373))))</f>
        <v>ERRO: CONEXÃO NÃO ESTABELECIDA. CLIQUE EM CONECTAR.</v>
      </c>
      <c r="I373" s="583" t="e">
        <f t="shared" ref="I373:I381" si="32">TRUNC(G373*H373,2)</f>
        <v>#VALUE!</v>
      </c>
      <c r="K373" s="529" t="str">
        <f>IF(A373=B373,IFERROR(VLOOKUP(B373,#REF!,1,0),"-"),"-")</f>
        <v>-</v>
      </c>
      <c r="L373" s="304">
        <f t="shared" si="29"/>
        <v>1</v>
      </c>
      <c r="M373" s="304" t="str">
        <f t="shared" si="30"/>
        <v>-</v>
      </c>
    </row>
    <row r="374" spans="1:13" ht="63.75" x14ac:dyDescent="0.3">
      <c r="B374" s="516">
        <v>95241</v>
      </c>
      <c r="C374" s="573" t="s">
        <v>309</v>
      </c>
      <c r="D374" s="516" t="s">
        <v>861</v>
      </c>
      <c r="E374" s="593" t="str" cm="1">
        <f t="array" ref="E374">UPPER(IF(C374="COMPOSIÇÃO",_xlfn.XLOOKUP($B374,A:A,E:E,),IF(C374="COTAÇÃO",VLOOKUP($B374,COTAÇÕES!$A$11:$E$37,2,0),BuscarCampoAccess("Descricao",B374,B.A_SINAPI,B.M_SINAPI,C374))))</f>
        <v>ERRO: CONEXÃO NÃO ESTABELECIDA. CLIQUE EM CONECTAR.</v>
      </c>
      <c r="F374" s="594" t="str" cm="1">
        <f t="array" ref="F374">UPPER(IF(C374="COMPOSIÇÃO",_xlfn.XLOOKUP($B374,A:A,F:F,),IF(C374="COTAÇÃO",VLOOKUP($B374,COTAÇÕES!$A$11:$E$37,3,0),BuscarCampoAccess("Unidade",B374,B.A_SINAPI,B.M_SINAPI,C374))))</f>
        <v>ERRO: CONEXÃO NÃO ESTABELECIDA. CLIQUE EM CONECTAR.</v>
      </c>
      <c r="G374" s="517">
        <v>5.4755999999999991</v>
      </c>
      <c r="H374" s="582" t="str" cm="1">
        <f t="array" ref="H374">UPPER(IF(C374="COMPOSIÇÃO",_xlfn.XLOOKUP($B374,A:A,I:I,),IF(C374="COTAÇÃO",VLOOKUP($B374,COTAÇÕES!$A$11:$E$37,5,0),BuscarCampoAccess("Custo",B374,B.A_SINAPI,B.M_SINAPI,C374))))</f>
        <v>ERRO: CONEXÃO NÃO ESTABELECIDA. CLIQUE EM CONECTAR.</v>
      </c>
      <c r="I374" s="583" t="e">
        <f t="shared" si="32"/>
        <v>#VALUE!</v>
      </c>
      <c r="K374" s="529" t="str">
        <f>IF(A374=B374,IFERROR(VLOOKUP(B374,#REF!,1,0),"-"),"-")</f>
        <v>-</v>
      </c>
      <c r="L374" s="304">
        <f t="shared" si="29"/>
        <v>1</v>
      </c>
      <c r="M374" s="304" t="str">
        <f t="shared" si="30"/>
        <v>-</v>
      </c>
    </row>
    <row r="375" spans="1:13" ht="63.75" x14ac:dyDescent="0.3">
      <c r="B375" s="516">
        <v>92759</v>
      </c>
      <c r="C375" s="573" t="s">
        <v>309</v>
      </c>
      <c r="D375" s="516" t="s">
        <v>861</v>
      </c>
      <c r="E375" s="593" t="str" cm="1">
        <f t="array" ref="E375">UPPER(IF(C375="COMPOSIÇÃO",_xlfn.XLOOKUP($B375,A:A,E:E,),IF(C375="COTAÇÃO",VLOOKUP($B375,COTAÇÕES!$A$11:$E$37,2,0),BuscarCampoAccess("Descricao",B375,B.A_SINAPI,B.M_SINAPI,C375))))</f>
        <v>ERRO: CONEXÃO NÃO ESTABELECIDA. CLIQUE EM CONECTAR.</v>
      </c>
      <c r="F375" s="594" t="str" cm="1">
        <f t="array" ref="F375">UPPER(IF(C375="COMPOSIÇÃO",_xlfn.XLOOKUP($B375,A:A,F:F,),IF(C375="COTAÇÃO",VLOOKUP($B375,COTAÇÕES!$A$11:$E$37,3,0),BuscarCampoAccess("Unidade",B375,B.A_SINAPI,B.M_SINAPI,C375))))</f>
        <v>ERRO: CONEXÃO NÃO ESTABELECIDA. CLIQUE EM CONECTAR.</v>
      </c>
      <c r="G375" s="517">
        <v>8.1</v>
      </c>
      <c r="H375" s="582" t="str" cm="1">
        <f t="array" ref="H375">UPPER(IF(C375="COMPOSIÇÃO",_xlfn.XLOOKUP($B375,A:A,I:I,),IF(C375="COTAÇÃO",VLOOKUP($B375,COTAÇÕES!$A$11:$E$37,5,0),BuscarCampoAccess("Custo",B375,B.A_SINAPI,B.M_SINAPI,C375))))</f>
        <v>ERRO: CONEXÃO NÃO ESTABELECIDA. CLIQUE EM CONECTAR.</v>
      </c>
      <c r="I375" s="583" t="e">
        <f t="shared" si="32"/>
        <v>#VALUE!</v>
      </c>
      <c r="K375" s="529" t="str">
        <f>IF(A375=B375,IFERROR(VLOOKUP(B375,#REF!,1,0),"-"),"-")</f>
        <v>-</v>
      </c>
      <c r="L375" s="304">
        <f t="shared" si="29"/>
        <v>1</v>
      </c>
      <c r="M375" s="304" t="str">
        <f t="shared" si="30"/>
        <v>-</v>
      </c>
    </row>
    <row r="376" spans="1:13" ht="63.75" x14ac:dyDescent="0.3">
      <c r="B376" s="516">
        <v>92761</v>
      </c>
      <c r="C376" s="573" t="s">
        <v>309</v>
      </c>
      <c r="D376" s="516" t="s">
        <v>861</v>
      </c>
      <c r="E376" s="593" t="str" cm="1">
        <f t="array" ref="E376">UPPER(IF(C376="COMPOSIÇÃO",_xlfn.XLOOKUP($B376,A:A,E:E,),IF(C376="COTAÇÃO",VLOOKUP($B376,COTAÇÕES!$A$11:$E$37,2,0),BuscarCampoAccess("Descricao",B376,B.A_SINAPI,B.M_SINAPI,C376))))</f>
        <v>ERRO: CONEXÃO NÃO ESTABELECIDA. CLIQUE EM CONECTAR.</v>
      </c>
      <c r="F376" s="594" t="str" cm="1">
        <f t="array" ref="F376">UPPER(IF(C376="COMPOSIÇÃO",_xlfn.XLOOKUP($B376,A:A,F:F,),IF(C376="COTAÇÃO",VLOOKUP($B376,COTAÇÕES!$A$11:$E$37,3,0),BuscarCampoAccess("Unidade",B376,B.A_SINAPI,B.M_SINAPI,C376))))</f>
        <v>ERRO: CONEXÃO NÃO ESTABELECIDA. CLIQUE EM CONECTAR.</v>
      </c>
      <c r="G376" s="517">
        <v>14.9</v>
      </c>
      <c r="H376" s="582" t="str" cm="1">
        <f t="array" ref="H376">UPPER(IF(C376="COMPOSIÇÃO",_xlfn.XLOOKUP($B376,A:A,I:I,),IF(C376="COTAÇÃO",VLOOKUP($B376,COTAÇÕES!$A$11:$E$37,5,0),BuscarCampoAccess("Custo",B376,B.A_SINAPI,B.M_SINAPI,C376))))</f>
        <v>ERRO: CONEXÃO NÃO ESTABELECIDA. CLIQUE EM CONECTAR.</v>
      </c>
      <c r="I376" s="583" t="e">
        <f t="shared" si="32"/>
        <v>#VALUE!</v>
      </c>
      <c r="K376" s="529" t="str">
        <f>IF(A376=B376,IFERROR(VLOOKUP(B376,#REF!,1,0),"-"),"-")</f>
        <v>-</v>
      </c>
      <c r="L376" s="304">
        <f t="shared" si="29"/>
        <v>1</v>
      </c>
      <c r="M376" s="304" t="str">
        <f t="shared" si="30"/>
        <v>-</v>
      </c>
    </row>
    <row r="377" spans="1:13" ht="63.75" x14ac:dyDescent="0.3">
      <c r="B377" s="516">
        <v>92762</v>
      </c>
      <c r="C377" s="573" t="s">
        <v>309</v>
      </c>
      <c r="D377" s="516" t="s">
        <v>861</v>
      </c>
      <c r="E377" s="593" t="str" cm="1">
        <f t="array" ref="E377">UPPER(IF(C377="COMPOSIÇÃO",_xlfn.XLOOKUP($B377,A:A,E:E,),IF(C377="COTAÇÃO",VLOOKUP($B377,COTAÇÕES!$A$11:$E$37,2,0),BuscarCampoAccess("Descricao",B377,B.A_SINAPI,B.M_SINAPI,C377))))</f>
        <v>ERRO: CONEXÃO NÃO ESTABELECIDA. CLIQUE EM CONECTAR.</v>
      </c>
      <c r="F377" s="594" t="str" cm="1">
        <f t="array" ref="F377">UPPER(IF(C377="COMPOSIÇÃO",_xlfn.XLOOKUP($B377,A:A,F:F,),IF(C377="COTAÇÃO",VLOOKUP($B377,COTAÇÕES!$A$11:$E$37,3,0),BuscarCampoAccess("Unidade",B377,B.A_SINAPI,B.M_SINAPI,C377))))</f>
        <v>ERRO: CONEXÃO NÃO ESTABELECIDA. CLIQUE EM CONECTAR.</v>
      </c>
      <c r="G377" s="517">
        <v>8.5</v>
      </c>
      <c r="H377" s="582" t="str" cm="1">
        <f t="array" ref="H377">UPPER(IF(C377="COMPOSIÇÃO",_xlfn.XLOOKUP($B377,A:A,I:I,),IF(C377="COTAÇÃO",VLOOKUP($B377,COTAÇÕES!$A$11:$E$37,5,0),BuscarCampoAccess("Custo",B377,B.A_SINAPI,B.M_SINAPI,C377))))</f>
        <v>ERRO: CONEXÃO NÃO ESTABELECIDA. CLIQUE EM CONECTAR.</v>
      </c>
      <c r="I377" s="583" t="e">
        <f t="shared" si="32"/>
        <v>#VALUE!</v>
      </c>
      <c r="K377" s="529" t="str">
        <f>IF(A377=B377,IFERROR(VLOOKUP(B377,#REF!,1,0),"-"),"-")</f>
        <v>-</v>
      </c>
      <c r="L377" s="304">
        <f t="shared" si="29"/>
        <v>1</v>
      </c>
      <c r="M377" s="304" t="str">
        <f t="shared" si="30"/>
        <v>-</v>
      </c>
    </row>
    <row r="378" spans="1:13" ht="63.75" x14ac:dyDescent="0.3">
      <c r="B378" s="516">
        <v>94965</v>
      </c>
      <c r="C378" s="573" t="s">
        <v>309</v>
      </c>
      <c r="D378" s="516" t="s">
        <v>861</v>
      </c>
      <c r="E378" s="593" t="str" cm="1">
        <f t="array" ref="E378">UPPER(IF(C378="COMPOSIÇÃO",_xlfn.XLOOKUP($B378,A:A,E:E,),IF(C378="COTAÇÃO",VLOOKUP($B378,COTAÇÕES!$A$11:$E$37,2,0),BuscarCampoAccess("Descricao",B378,B.A_SINAPI,B.M_SINAPI,C378))))</f>
        <v>ERRO: CONEXÃO NÃO ESTABELECIDA. CLIQUE EM CONECTAR.</v>
      </c>
      <c r="F378" s="594" t="str" cm="1">
        <f t="array" ref="F378">UPPER(IF(C378="COMPOSIÇÃO",_xlfn.XLOOKUP($B378,A:A,F:F,),IF(C378="COTAÇÃO",VLOOKUP($B378,COTAÇÕES!$A$11:$E$37,3,0),BuscarCampoAccess("Unidade",B378,B.A_SINAPI,B.M_SINAPI,C378))))</f>
        <v>ERRO: CONEXÃO NÃO ESTABELECIDA. CLIQUE EM CONECTAR.</v>
      </c>
      <c r="G378" s="517">
        <v>0.55000000000000004</v>
      </c>
      <c r="H378" s="582" t="str" cm="1">
        <f t="array" ref="H378">UPPER(IF(C378="COMPOSIÇÃO",_xlfn.XLOOKUP($B378,A:A,I:I,),IF(C378="COTAÇÃO",VLOOKUP($B378,COTAÇÕES!$A$11:$E$37,5,0),BuscarCampoAccess("Custo",B378,B.A_SINAPI,B.M_SINAPI,C378))))</f>
        <v>ERRO: CONEXÃO NÃO ESTABELECIDA. CLIQUE EM CONECTAR.</v>
      </c>
      <c r="I378" s="583" t="e">
        <f t="shared" si="32"/>
        <v>#VALUE!</v>
      </c>
      <c r="K378" s="529" t="str">
        <f>IF(A378=B378,IFERROR(VLOOKUP(B378,#REF!,1,0),"-"),"-")</f>
        <v>-</v>
      </c>
      <c r="L378" s="304">
        <f t="shared" si="29"/>
        <v>1</v>
      </c>
      <c r="M378" s="304" t="str">
        <f t="shared" si="30"/>
        <v>-</v>
      </c>
    </row>
    <row r="379" spans="1:13" ht="63.75" x14ac:dyDescent="0.3">
      <c r="B379" s="516">
        <v>103670</v>
      </c>
      <c r="C379" s="573" t="s">
        <v>309</v>
      </c>
      <c r="D379" s="516" t="s">
        <v>861</v>
      </c>
      <c r="E379" s="593" t="str" cm="1">
        <f t="array" ref="E379">UPPER(IF(C379="COMPOSIÇÃO",_xlfn.XLOOKUP($B379,A:A,E:E,),IF(C379="COTAÇÃO",VLOOKUP($B379,COTAÇÕES!$A$11:$E$37,2,0),BuscarCampoAccess("Descricao",B379,B.A_SINAPI,B.M_SINAPI,C379))))</f>
        <v>ERRO: CONEXÃO NÃO ESTABELECIDA. CLIQUE EM CONECTAR.</v>
      </c>
      <c r="F379" s="594" t="str" cm="1">
        <f t="array" ref="F379">UPPER(IF(C379="COMPOSIÇÃO",_xlfn.XLOOKUP($B379,A:A,F:F,),IF(C379="COTAÇÃO",VLOOKUP($B379,COTAÇÕES!$A$11:$E$37,3,0),BuscarCampoAccess("Unidade",B379,B.A_SINAPI,B.M_SINAPI,C379))))</f>
        <v>ERRO: CONEXÃO NÃO ESTABELECIDA. CLIQUE EM CONECTAR.</v>
      </c>
      <c r="G379" s="517">
        <v>0.55000000000000004</v>
      </c>
      <c r="H379" s="582" t="str" cm="1">
        <f t="array" ref="H379">UPPER(IF(C379="COMPOSIÇÃO",_xlfn.XLOOKUP($B379,A:A,I:I,),IF(C379="COTAÇÃO",VLOOKUP($B379,COTAÇÕES!$A$11:$E$37,5,0),BuscarCampoAccess("Custo",B379,B.A_SINAPI,B.M_SINAPI,C379))))</f>
        <v>ERRO: CONEXÃO NÃO ESTABELECIDA. CLIQUE EM CONECTAR.</v>
      </c>
      <c r="I379" s="583" t="e">
        <f t="shared" si="32"/>
        <v>#VALUE!</v>
      </c>
      <c r="K379" s="529" t="str">
        <f>IF(A379=B379,IFERROR(VLOOKUP(B379,#REF!,1,0),"-"),"-")</f>
        <v>-</v>
      </c>
      <c r="L379" s="304">
        <f t="shared" si="29"/>
        <v>1</v>
      </c>
      <c r="M379" s="304" t="str">
        <f t="shared" si="30"/>
        <v>-</v>
      </c>
    </row>
    <row r="380" spans="1:13" ht="63.75" x14ac:dyDescent="0.3">
      <c r="B380" s="516">
        <v>98557</v>
      </c>
      <c r="C380" s="573" t="s">
        <v>309</v>
      </c>
      <c r="D380" s="516" t="s">
        <v>861</v>
      </c>
      <c r="E380" s="593" t="str" cm="1">
        <f t="array" ref="E380">UPPER(IF(C380="COMPOSIÇÃO",_xlfn.XLOOKUP($B380,A:A,E:E,),IF(C380="COTAÇÃO",VLOOKUP($B380,COTAÇÕES!$A$11:$E$37,2,0),BuscarCampoAccess("Descricao",B380,B.A_SINAPI,B.M_SINAPI,C380))))</f>
        <v>ERRO: CONEXÃO NÃO ESTABELECIDA. CLIQUE EM CONECTAR.</v>
      </c>
      <c r="F380" s="594" t="str" cm="1">
        <f t="array" ref="F380">UPPER(IF(C380="COMPOSIÇÃO",_xlfn.XLOOKUP($B380,A:A,F:F,),IF(C380="COTAÇÃO",VLOOKUP($B380,COTAÇÕES!$A$11:$E$37,3,0),BuscarCampoAccess("Unidade",B380,B.A_SINAPI,B.M_SINAPI,C380))))</f>
        <v>ERRO: CONEXÃO NÃO ESTABELECIDA. CLIQUE EM CONECTAR.</v>
      </c>
      <c r="G380" s="517">
        <v>5.95</v>
      </c>
      <c r="H380" s="582" t="str" cm="1">
        <f t="array" ref="H380">UPPER(IF(C380="COMPOSIÇÃO",_xlfn.XLOOKUP($B380,A:A,I:I,),IF(C380="COTAÇÃO",VLOOKUP($B380,COTAÇÕES!$A$11:$E$37,5,0),BuscarCampoAccess("Custo",B380,B.A_SINAPI,B.M_SINAPI,C380))))</f>
        <v>ERRO: CONEXÃO NÃO ESTABELECIDA. CLIQUE EM CONECTAR.</v>
      </c>
      <c r="I380" s="583" t="e">
        <f t="shared" si="32"/>
        <v>#VALUE!</v>
      </c>
      <c r="K380" s="529" t="str">
        <f>IF(A380=B380,IFERROR(VLOOKUP(B380,#REF!,1,0),"-"),"-")</f>
        <v>-</v>
      </c>
      <c r="L380" s="304">
        <f t="shared" si="29"/>
        <v>1</v>
      </c>
      <c r="M380" s="304" t="str">
        <f t="shared" si="30"/>
        <v>-</v>
      </c>
    </row>
    <row r="381" spans="1:13" ht="63.75" x14ac:dyDescent="0.3">
      <c r="B381" s="516">
        <v>93382</v>
      </c>
      <c r="C381" s="573" t="s">
        <v>309</v>
      </c>
      <c r="D381" s="516" t="s">
        <v>861</v>
      </c>
      <c r="E381" s="593" t="str" cm="1">
        <f t="array" ref="E381">UPPER(IF(C381="COMPOSIÇÃO",_xlfn.XLOOKUP($B381,A:A,E:E,),IF(C381="COTAÇÃO",VLOOKUP($B381,COTAÇÕES!$A$11:$E$37,2,0),BuscarCampoAccess("Descricao",B381,B.A_SINAPI,B.M_SINAPI,C381))))</f>
        <v>ERRO: CONEXÃO NÃO ESTABELECIDA. CLIQUE EM CONECTAR.</v>
      </c>
      <c r="F381" s="594" t="str" cm="1">
        <f t="array" ref="F381">UPPER(IF(C381="COMPOSIÇÃO",_xlfn.XLOOKUP($B381,A:A,F:F,),IF(C381="COTAÇÃO",VLOOKUP($B381,COTAÇÕES!$A$11:$E$37,3,0),BuscarCampoAccess("Unidade",B381,B.A_SINAPI,B.M_SINAPI,C381))))</f>
        <v>ERRO: CONEXÃO NÃO ESTABELECIDA. CLIQUE EM CONECTAR.</v>
      </c>
      <c r="G381" s="517">
        <v>0.24</v>
      </c>
      <c r="H381" s="582" t="str" cm="1">
        <f t="array" ref="H381">UPPER(IF(C381="COMPOSIÇÃO",_xlfn.XLOOKUP($B381,A:A,I:I,),IF(C381="COTAÇÃO",VLOOKUP($B381,COTAÇÕES!$A$11:$E$37,5,0),BuscarCampoAccess("Custo",B381,B.A_SINAPI,B.M_SINAPI,C381))))</f>
        <v>ERRO: CONEXÃO NÃO ESTABELECIDA. CLIQUE EM CONECTAR.</v>
      </c>
      <c r="I381" s="583" t="e">
        <f t="shared" si="32"/>
        <v>#VALUE!</v>
      </c>
      <c r="K381" s="529" t="str">
        <f>IF(A381=B381,IFERROR(VLOOKUP(B381,#REF!,1,0),"-"),"-")</f>
        <v>-</v>
      </c>
      <c r="L381" s="304">
        <f t="shared" si="29"/>
        <v>1</v>
      </c>
      <c r="M381" s="304" t="str">
        <f t="shared" si="30"/>
        <v>-</v>
      </c>
    </row>
    <row r="382" spans="1:13" x14ac:dyDescent="0.3">
      <c r="B382" s="574" t="s">
        <v>1271</v>
      </c>
      <c r="C382" s="575"/>
      <c r="D382" s="576"/>
      <c r="E382" s="577"/>
      <c r="F382" s="578"/>
      <c r="G382" s="517"/>
      <c r="H382" s="580"/>
      <c r="I382" s="581"/>
      <c r="K382" s="529" t="str">
        <f>IF(A382=B382,IFERROR(VLOOKUP(B382,#REF!,1,0),"-"),"-")</f>
        <v>-</v>
      </c>
      <c r="L382" s="304">
        <f t="shared" si="29"/>
        <v>1</v>
      </c>
      <c r="M382" s="304" t="str">
        <f t="shared" si="30"/>
        <v>-</v>
      </c>
    </row>
    <row r="383" spans="1:13" ht="63.75" x14ac:dyDescent="0.3">
      <c r="B383" s="516">
        <v>92770</v>
      </c>
      <c r="C383" s="573" t="s">
        <v>309</v>
      </c>
      <c r="D383" s="516" t="s">
        <v>861</v>
      </c>
      <c r="E383" s="593" t="str" cm="1">
        <f t="array" ref="E383">UPPER(IF(C383="COMPOSIÇÃO",_xlfn.XLOOKUP($B383,A:A,E:E,),IF(C383="COTAÇÃO",VLOOKUP($B383,COTAÇÕES!$A$11:$E$37,2,0),BuscarCampoAccess("Descricao",B383,B.A_SINAPI,B.M_SINAPI,C383))))</f>
        <v>ERRO: CONEXÃO NÃO ESTABELECIDA. CLIQUE EM CONECTAR.</v>
      </c>
      <c r="F383" s="594" t="str" cm="1">
        <f t="array" ref="F383">UPPER(IF(C383="COMPOSIÇÃO",_xlfn.XLOOKUP($B383,A:A,F:F,),IF(C383="COTAÇÃO",VLOOKUP($B383,COTAÇÕES!$A$11:$E$37,3,0),BuscarCampoAccess("Unidade",B383,B.A_SINAPI,B.M_SINAPI,C383))))</f>
        <v>ERRO: CONEXÃO NÃO ESTABELECIDA. CLIQUE EM CONECTAR.</v>
      </c>
      <c r="G383" s="517">
        <v>68.400000000000006</v>
      </c>
      <c r="H383" s="582" t="str" cm="1">
        <f t="array" ref="H383">UPPER(IF(C383="COMPOSIÇÃO",_xlfn.XLOOKUP($B383,A:A,I:I,),IF(C383="COTAÇÃO",VLOOKUP($B383,COTAÇÕES!$A$11:$E$37,5,0),BuscarCampoAccess("Custo",B383,B.A_SINAPI,B.M_SINAPI,C383))))</f>
        <v>ERRO: CONEXÃO NÃO ESTABELECIDA. CLIQUE EM CONECTAR.</v>
      </c>
      <c r="I383" s="583" t="e">
        <f>TRUNC(G383*H383,2)</f>
        <v>#VALUE!</v>
      </c>
      <c r="K383" s="529" t="str">
        <f>IF(A383=B383,IFERROR(VLOOKUP(B383,#REF!,1,0),"-"),"-")</f>
        <v>-</v>
      </c>
      <c r="L383" s="304">
        <f t="shared" si="29"/>
        <v>1</v>
      </c>
      <c r="M383" s="304" t="str">
        <f t="shared" si="30"/>
        <v>-</v>
      </c>
    </row>
    <row r="384" spans="1:13" ht="63.75" x14ac:dyDescent="0.3">
      <c r="B384" s="516">
        <v>94965</v>
      </c>
      <c r="C384" s="573" t="s">
        <v>309</v>
      </c>
      <c r="D384" s="516" t="s">
        <v>861</v>
      </c>
      <c r="E384" s="593" t="str" cm="1">
        <f t="array" ref="E384">UPPER(IF(C384="COMPOSIÇÃO",_xlfn.XLOOKUP($B384,A:A,E:E,),IF(C384="COTAÇÃO",VLOOKUP($B384,COTAÇÕES!$A$11:$E$37,2,0),BuscarCampoAccess("Descricao",B384,B.A_SINAPI,B.M_SINAPI,C384))))</f>
        <v>ERRO: CONEXÃO NÃO ESTABELECIDA. CLIQUE EM CONECTAR.</v>
      </c>
      <c r="F384" s="594" t="str" cm="1">
        <f t="array" ref="F384">UPPER(IF(C384="COMPOSIÇÃO",_xlfn.XLOOKUP($B384,A:A,F:F,),IF(C384="COTAÇÃO",VLOOKUP($B384,COTAÇÕES!$A$11:$E$37,3,0),BuscarCampoAccess("Unidade",B384,B.A_SINAPI,B.M_SINAPI,C384))))</f>
        <v>ERRO: CONEXÃO NÃO ESTABELECIDA. CLIQUE EM CONECTAR.</v>
      </c>
      <c r="G384" s="517">
        <v>0.56000000000000005</v>
      </c>
      <c r="H384" s="582" t="str" cm="1">
        <f t="array" ref="H384">UPPER(IF(C384="COMPOSIÇÃO",_xlfn.XLOOKUP($B384,A:A,I:I,),IF(C384="COTAÇÃO",VLOOKUP($B384,COTAÇÕES!$A$11:$E$37,5,0),BuscarCampoAccess("Custo",B384,B.A_SINAPI,B.M_SINAPI,C384))))</f>
        <v>ERRO: CONEXÃO NÃO ESTABELECIDA. CLIQUE EM CONECTAR.</v>
      </c>
      <c r="I384" s="583" t="e">
        <f>TRUNC(G384*H384,2)</f>
        <v>#VALUE!</v>
      </c>
      <c r="K384" s="529" t="str">
        <f>IF(A384=B384,IFERROR(VLOOKUP(B384,#REF!,1,0),"-"),"-")</f>
        <v>-</v>
      </c>
      <c r="L384" s="304">
        <f t="shared" si="29"/>
        <v>1</v>
      </c>
      <c r="M384" s="304" t="str">
        <f t="shared" si="30"/>
        <v>-</v>
      </c>
    </row>
    <row r="385" spans="2:13" ht="63.75" x14ac:dyDescent="0.3">
      <c r="B385" s="516">
        <v>103673</v>
      </c>
      <c r="C385" s="573" t="s">
        <v>309</v>
      </c>
      <c r="D385" s="516" t="s">
        <v>861</v>
      </c>
      <c r="E385" s="593" t="str" cm="1">
        <f t="array" ref="E385">UPPER(IF(C385="COMPOSIÇÃO",_xlfn.XLOOKUP($B385,A:A,E:E,),IF(C385="COTAÇÃO",VLOOKUP($B385,COTAÇÕES!$A$11:$E$37,2,0),BuscarCampoAccess("Descricao",B385,B.A_SINAPI,B.M_SINAPI,C385))))</f>
        <v>ERRO: CONEXÃO NÃO ESTABELECIDA. CLIQUE EM CONECTAR.</v>
      </c>
      <c r="F385" s="594" t="str" cm="1">
        <f t="array" ref="F385">UPPER(IF(C385="COMPOSIÇÃO",_xlfn.XLOOKUP($B385,A:A,F:F,),IF(C385="COTAÇÃO",VLOOKUP($B385,COTAÇÕES!$A$11:$E$37,3,0),BuscarCampoAccess("Unidade",B385,B.A_SINAPI,B.M_SINAPI,C385))))</f>
        <v>ERRO: CONEXÃO NÃO ESTABELECIDA. CLIQUE EM CONECTAR.</v>
      </c>
      <c r="G385" s="517">
        <v>0.56000000000000005</v>
      </c>
      <c r="H385" s="582" t="str" cm="1">
        <f t="array" ref="H385">UPPER(IF(C385="COMPOSIÇÃO",_xlfn.XLOOKUP($B385,A:A,I:I,),IF(C385="COTAÇÃO",VLOOKUP($B385,COTAÇÕES!$A$11:$E$37,5,0),BuscarCampoAccess("Custo",B385,B.A_SINAPI,B.M_SINAPI,C385))))</f>
        <v>ERRO: CONEXÃO NÃO ESTABELECIDA. CLIQUE EM CONECTAR.</v>
      </c>
      <c r="I385" s="583" t="e">
        <f>TRUNC(G385*H385,2)</f>
        <v>#VALUE!</v>
      </c>
      <c r="K385" s="529" t="str">
        <f>IF(A385=B385,IFERROR(VLOOKUP(B385,#REF!,1,0),"-"),"-")</f>
        <v>-</v>
      </c>
      <c r="L385" s="304">
        <f t="shared" si="29"/>
        <v>1</v>
      </c>
      <c r="M385" s="304" t="str">
        <f t="shared" si="30"/>
        <v>-</v>
      </c>
    </row>
    <row r="386" spans="2:13" x14ac:dyDescent="0.3">
      <c r="B386" s="574" t="s">
        <v>1272</v>
      </c>
      <c r="C386" s="575"/>
      <c r="D386" s="576"/>
      <c r="E386" s="577"/>
      <c r="F386" s="578"/>
      <c r="G386" s="517"/>
      <c r="H386" s="580"/>
      <c r="I386" s="581"/>
      <c r="K386" s="529" t="str">
        <f>IF(A386=B386,IFERROR(VLOOKUP(B386,#REF!,1,0),"-"),"-")</f>
        <v>-</v>
      </c>
      <c r="L386" s="304">
        <f t="shared" si="29"/>
        <v>1</v>
      </c>
      <c r="M386" s="304" t="str">
        <f t="shared" si="30"/>
        <v>-</v>
      </c>
    </row>
    <row r="387" spans="2:13" ht="63.75" x14ac:dyDescent="0.3">
      <c r="B387" s="516">
        <v>92443</v>
      </c>
      <c r="C387" s="573" t="s">
        <v>309</v>
      </c>
      <c r="D387" s="516" t="s">
        <v>861</v>
      </c>
      <c r="E387" s="593" t="str" cm="1">
        <f t="array" ref="E387">UPPER(IF(C387="COMPOSIÇÃO",_xlfn.XLOOKUP($B387,A:A,E:E,),IF(C387="COTAÇÃO",VLOOKUP($B387,COTAÇÕES!$A$11:$E$37,2,0),BuscarCampoAccess("Descricao",B387,B.A_SINAPI,B.M_SINAPI,C387))))</f>
        <v>ERRO: CONEXÃO NÃO ESTABELECIDA. CLIQUE EM CONECTAR.</v>
      </c>
      <c r="F387" s="594" t="str" cm="1">
        <f t="array" ref="F387">UPPER(IF(C387="COMPOSIÇÃO",_xlfn.XLOOKUP($B387,A:A,F:F,),IF(C387="COTAÇÃO",VLOOKUP($B387,COTAÇÕES!$A$11:$E$37,3,0),BuscarCampoAccess("Unidade",B387,B.A_SINAPI,B.M_SINAPI,C387))))</f>
        <v>ERRO: CONEXÃO NÃO ESTABELECIDA. CLIQUE EM CONECTAR.</v>
      </c>
      <c r="G387" s="517">
        <v>8.3800000000000008</v>
      </c>
      <c r="H387" s="582" t="str" cm="1">
        <f t="array" ref="H387">UPPER(IF(C387="COMPOSIÇÃO",_xlfn.XLOOKUP($B387,A:A,I:I,),IF(C387="COTAÇÃO",VLOOKUP($B387,COTAÇÕES!$A$11:$E$37,5,0),BuscarCampoAccess("Custo",B387,B.A_SINAPI,B.M_SINAPI,C387))))</f>
        <v>ERRO: CONEXÃO NÃO ESTABELECIDA. CLIQUE EM CONECTAR.</v>
      </c>
      <c r="I387" s="583" t="e">
        <f>TRUNC(G387*H387,2)</f>
        <v>#VALUE!</v>
      </c>
      <c r="K387" s="529" t="str">
        <f>IF(A387=B387,IFERROR(VLOOKUP(B387,#REF!,1,0),"-"),"-")</f>
        <v>-</v>
      </c>
      <c r="L387" s="304">
        <f t="shared" si="29"/>
        <v>1</v>
      </c>
      <c r="M387" s="304" t="str">
        <f t="shared" si="30"/>
        <v>-</v>
      </c>
    </row>
    <row r="388" spans="2:13" ht="63.75" x14ac:dyDescent="0.3">
      <c r="B388" s="516">
        <v>92759</v>
      </c>
      <c r="C388" s="573" t="s">
        <v>309</v>
      </c>
      <c r="D388" s="516" t="s">
        <v>861</v>
      </c>
      <c r="E388" s="593" t="str" cm="1">
        <f t="array" ref="E388">UPPER(IF(C388="COMPOSIÇÃO",_xlfn.XLOOKUP($B388,A:A,E:E,),IF(C388="COTAÇÃO",VLOOKUP($B388,COTAÇÕES!$A$11:$E$37,2,0),BuscarCampoAccess("Descricao",B388,B.A_SINAPI,B.M_SINAPI,C388))))</f>
        <v>ERRO: CONEXÃO NÃO ESTABELECIDA. CLIQUE EM CONECTAR.</v>
      </c>
      <c r="F388" s="594" t="str" cm="1">
        <f t="array" ref="F388">UPPER(IF(C388="COMPOSIÇÃO",_xlfn.XLOOKUP($B388,A:A,F:F,),IF(C388="COTAÇÃO",VLOOKUP($B388,COTAÇÕES!$A$11:$E$37,3,0),BuscarCampoAccess("Unidade",B388,B.A_SINAPI,B.M_SINAPI,C388))))</f>
        <v>ERRO: CONEXÃO NÃO ESTABELECIDA. CLIQUE EM CONECTAR.</v>
      </c>
      <c r="G388" s="517">
        <v>10.5</v>
      </c>
      <c r="H388" s="582" t="str" cm="1">
        <f t="array" ref="H388">UPPER(IF(C388="COMPOSIÇÃO",_xlfn.XLOOKUP($B388,A:A,I:I,),IF(C388="COTAÇÃO",VLOOKUP($B388,COTAÇÕES!$A$11:$E$37,5,0),BuscarCampoAccess("Custo",B388,B.A_SINAPI,B.M_SINAPI,C388))))</f>
        <v>ERRO: CONEXÃO NÃO ESTABELECIDA. CLIQUE EM CONECTAR.</v>
      </c>
      <c r="I388" s="583" t="e">
        <f>TRUNC(G388*H388,2)</f>
        <v>#VALUE!</v>
      </c>
      <c r="K388" s="529" t="str">
        <f>IF(A388=B388,IFERROR(VLOOKUP(B388,#REF!,1,0),"-"),"-")</f>
        <v>-</v>
      </c>
      <c r="L388" s="304">
        <f t="shared" si="29"/>
        <v>1</v>
      </c>
      <c r="M388" s="304" t="str">
        <f t="shared" si="30"/>
        <v>-</v>
      </c>
    </row>
    <row r="389" spans="2:13" ht="63.75" x14ac:dyDescent="0.3">
      <c r="B389" s="516">
        <v>92762</v>
      </c>
      <c r="C389" s="573" t="s">
        <v>309</v>
      </c>
      <c r="D389" s="516" t="s">
        <v>861</v>
      </c>
      <c r="E389" s="593" t="str" cm="1">
        <f t="array" ref="E389">UPPER(IF(C389="COMPOSIÇÃO",_xlfn.XLOOKUP($B389,A:A,E:E,),IF(C389="COTAÇÃO",VLOOKUP($B389,COTAÇÕES!$A$11:$E$37,2,0),BuscarCampoAccess("Descricao",B389,B.A_SINAPI,B.M_SINAPI,C389))))</f>
        <v>ERRO: CONEXÃO NÃO ESTABELECIDA. CLIQUE EM CONECTAR.</v>
      </c>
      <c r="F389" s="594" t="str" cm="1">
        <f t="array" ref="F389">UPPER(IF(C389="COMPOSIÇÃO",_xlfn.XLOOKUP($B389,A:A,F:F,),IF(C389="COTAÇÃO",VLOOKUP($B389,COTAÇÕES!$A$11:$E$37,3,0),BuscarCampoAccess("Unidade",B389,B.A_SINAPI,B.M_SINAPI,C389))))</f>
        <v>ERRO: CONEXÃO NÃO ESTABELECIDA. CLIQUE EM CONECTAR.</v>
      </c>
      <c r="G389" s="517">
        <v>25.5</v>
      </c>
      <c r="H389" s="582" t="str" cm="1">
        <f t="array" ref="H389">UPPER(IF(C389="COMPOSIÇÃO",_xlfn.XLOOKUP($B389,A:A,I:I,),IF(C389="COTAÇÃO",VLOOKUP($B389,COTAÇÕES!$A$11:$E$37,5,0),BuscarCampoAccess("Custo",B389,B.A_SINAPI,B.M_SINAPI,C389))))</f>
        <v>ERRO: CONEXÃO NÃO ESTABELECIDA. CLIQUE EM CONECTAR.</v>
      </c>
      <c r="I389" s="583" t="e">
        <f>TRUNC(G389*H389,2)</f>
        <v>#VALUE!</v>
      </c>
      <c r="K389" s="529" t="str">
        <f>IF(A389=B389,IFERROR(VLOOKUP(B389,#REF!,1,0),"-"),"-")</f>
        <v>-</v>
      </c>
      <c r="L389" s="304">
        <f t="shared" si="29"/>
        <v>1</v>
      </c>
      <c r="M389" s="304" t="str">
        <f t="shared" si="30"/>
        <v>-</v>
      </c>
    </row>
    <row r="390" spans="2:13" ht="63.75" x14ac:dyDescent="0.3">
      <c r="B390" s="516">
        <v>94965</v>
      </c>
      <c r="C390" s="573" t="s">
        <v>309</v>
      </c>
      <c r="D390" s="516" t="s">
        <v>861</v>
      </c>
      <c r="E390" s="593" t="str" cm="1">
        <f t="array" ref="E390">UPPER(IF(C390="COMPOSIÇÃO",_xlfn.XLOOKUP($B390,A:A,E:E,),IF(C390="COTAÇÃO",VLOOKUP($B390,COTAÇÕES!$A$11:$E$37,2,0),BuscarCampoAccess("Descricao",B390,B.A_SINAPI,B.M_SINAPI,C390))))</f>
        <v>ERRO: CONEXÃO NÃO ESTABELECIDA. CLIQUE EM CONECTAR.</v>
      </c>
      <c r="F390" s="594" t="str" cm="1">
        <f t="array" ref="F390">UPPER(IF(C390="COMPOSIÇÃO",_xlfn.XLOOKUP($B390,A:A,F:F,),IF(C390="COTAÇÃO",VLOOKUP($B390,COTAÇÕES!$A$11:$E$37,3,0),BuscarCampoAccess("Unidade",B390,B.A_SINAPI,B.M_SINAPI,C390))))</f>
        <v>ERRO: CONEXÃO NÃO ESTABELECIDA. CLIQUE EM CONECTAR.</v>
      </c>
      <c r="G390" s="517">
        <v>0.42</v>
      </c>
      <c r="H390" s="582" t="str" cm="1">
        <f t="array" ref="H390">UPPER(IF(C390="COMPOSIÇÃO",_xlfn.XLOOKUP($B390,A:A,I:I,),IF(C390="COTAÇÃO",VLOOKUP($B390,COTAÇÕES!$A$11:$E$37,5,0),BuscarCampoAccess("Custo",B390,B.A_SINAPI,B.M_SINAPI,C390))))</f>
        <v>ERRO: CONEXÃO NÃO ESTABELECIDA. CLIQUE EM CONECTAR.</v>
      </c>
      <c r="I390" s="583" t="e">
        <f>TRUNC(G390*H390,2)</f>
        <v>#VALUE!</v>
      </c>
      <c r="K390" s="529" t="str">
        <f>IF(A390=B390,IFERROR(VLOOKUP(B390,#REF!,1,0),"-"),"-")</f>
        <v>-</v>
      </c>
      <c r="L390" s="304">
        <f t="shared" si="29"/>
        <v>1</v>
      </c>
      <c r="M390" s="304" t="str">
        <f t="shared" si="30"/>
        <v>-</v>
      </c>
    </row>
    <row r="391" spans="2:13" ht="63.75" x14ac:dyDescent="0.3">
      <c r="B391" s="516">
        <v>103670</v>
      </c>
      <c r="C391" s="573" t="s">
        <v>309</v>
      </c>
      <c r="D391" s="516" t="s">
        <v>861</v>
      </c>
      <c r="E391" s="593" t="str" cm="1">
        <f t="array" ref="E391">UPPER(IF(C391="COMPOSIÇÃO",_xlfn.XLOOKUP($B391,A:A,E:E,),IF(C391="COTAÇÃO",VLOOKUP($B391,COTAÇÕES!$A$11:$E$37,2,0),BuscarCampoAccess("Descricao",B391,B.A_SINAPI,B.M_SINAPI,C391))))</f>
        <v>ERRO: CONEXÃO NÃO ESTABELECIDA. CLIQUE EM CONECTAR.</v>
      </c>
      <c r="F391" s="594" t="str" cm="1">
        <f t="array" ref="F391">UPPER(IF(C391="COMPOSIÇÃO",_xlfn.XLOOKUP($B391,A:A,F:F,),IF(C391="COTAÇÃO",VLOOKUP($B391,COTAÇÕES!$A$11:$E$37,3,0),BuscarCampoAccess("Unidade",B391,B.A_SINAPI,B.M_SINAPI,C391))))</f>
        <v>ERRO: CONEXÃO NÃO ESTABELECIDA. CLIQUE EM CONECTAR.</v>
      </c>
      <c r="G391" s="517">
        <v>0.42</v>
      </c>
      <c r="H391" s="582" t="str" cm="1">
        <f t="array" ref="H391">UPPER(IF(C391="COMPOSIÇÃO",_xlfn.XLOOKUP($B391,A:A,I:I,),IF(C391="COTAÇÃO",VLOOKUP($B391,COTAÇÕES!$A$11:$E$37,5,0),BuscarCampoAccess("Custo",B391,B.A_SINAPI,B.M_SINAPI,C391))))</f>
        <v>ERRO: CONEXÃO NÃO ESTABELECIDA. CLIQUE EM CONECTAR.</v>
      </c>
      <c r="I391" s="583" t="e">
        <f>TRUNC(G391*H391,2)</f>
        <v>#VALUE!</v>
      </c>
      <c r="K391" s="529" t="str">
        <f>IF(A391=B391,IFERROR(VLOOKUP(B391,#REF!,1,0),"-"),"-")</f>
        <v>-</v>
      </c>
      <c r="L391" s="304">
        <f t="shared" si="29"/>
        <v>1</v>
      </c>
      <c r="M391" s="304" t="str">
        <f t="shared" si="30"/>
        <v>-</v>
      </c>
    </row>
    <row r="392" spans="2:13" x14ac:dyDescent="0.3">
      <c r="B392" s="574" t="s">
        <v>1273</v>
      </c>
      <c r="C392" s="575"/>
      <c r="D392" s="576"/>
      <c r="E392" s="577"/>
      <c r="F392" s="578"/>
      <c r="G392" s="517"/>
      <c r="H392" s="580"/>
      <c r="I392" s="581"/>
      <c r="K392" s="529" t="str">
        <f>IF(A392=B392,IFERROR(VLOOKUP(B392,#REF!,1,0),"-"),"-")</f>
        <v>-</v>
      </c>
      <c r="L392" s="304">
        <f t="shared" si="29"/>
        <v>1</v>
      </c>
      <c r="M392" s="304" t="str">
        <f t="shared" si="30"/>
        <v>-</v>
      </c>
    </row>
    <row r="393" spans="2:13" ht="63.75" x14ac:dyDescent="0.3">
      <c r="B393" s="516">
        <v>92479</v>
      </c>
      <c r="C393" s="573" t="s">
        <v>309</v>
      </c>
      <c r="D393" s="516" t="s">
        <v>861</v>
      </c>
      <c r="E393" s="593" t="str" cm="1">
        <f t="array" ref="E393">UPPER(IF(C393="COMPOSIÇÃO",_xlfn.XLOOKUP($B393,A:A,E:E,),IF(C393="COTAÇÃO",VLOOKUP($B393,COTAÇÕES!$A$11:$E$37,2,0),BuscarCampoAccess("Descricao",B393,B.A_SINAPI,B.M_SINAPI,C393))))</f>
        <v>ERRO: CONEXÃO NÃO ESTABELECIDA. CLIQUE EM CONECTAR.</v>
      </c>
      <c r="F393" s="594" t="str" cm="1">
        <f t="array" ref="F393">UPPER(IF(C393="COMPOSIÇÃO",_xlfn.XLOOKUP($B393,A:A,F:F,),IF(C393="COTAÇÃO",VLOOKUP($B393,COTAÇÕES!$A$11:$E$37,3,0),BuscarCampoAccess("Unidade",B393,B.A_SINAPI,B.M_SINAPI,C393))))</f>
        <v>ERRO: CONEXÃO NÃO ESTABELECIDA. CLIQUE EM CONECTAR.</v>
      </c>
      <c r="G393" s="517">
        <v>6.21</v>
      </c>
      <c r="H393" s="582" t="str" cm="1">
        <f t="array" ref="H393">UPPER(IF(C393="COMPOSIÇÃO",_xlfn.XLOOKUP($B393,A:A,I:I,),IF(C393="COTAÇÃO",VLOOKUP($B393,COTAÇÕES!$A$11:$E$37,5,0),BuscarCampoAccess("Custo",B393,B.A_SINAPI,B.M_SINAPI,C393))))</f>
        <v>ERRO: CONEXÃO NÃO ESTABELECIDA. CLIQUE EM CONECTAR.</v>
      </c>
      <c r="I393" s="583" t="e">
        <f>TRUNC(G393*H393,2)</f>
        <v>#VALUE!</v>
      </c>
      <c r="K393" s="529" t="str">
        <f>IF(A393=B393,IFERROR(VLOOKUP(B393,#REF!,1,0),"-"),"-")</f>
        <v>-</v>
      </c>
      <c r="L393" s="304">
        <f t="shared" si="29"/>
        <v>1</v>
      </c>
      <c r="M393" s="304" t="str">
        <f t="shared" si="30"/>
        <v>-</v>
      </c>
    </row>
    <row r="394" spans="2:13" ht="63.75" x14ac:dyDescent="0.3">
      <c r="B394" s="516">
        <v>92759</v>
      </c>
      <c r="C394" s="573" t="s">
        <v>309</v>
      </c>
      <c r="D394" s="516" t="s">
        <v>861</v>
      </c>
      <c r="E394" s="593" t="str" cm="1">
        <f t="array" ref="E394">UPPER(IF(C394="COMPOSIÇÃO",_xlfn.XLOOKUP($B394,A:A,E:E,),IF(C394="COTAÇÃO",VLOOKUP($B394,COTAÇÕES!$A$11:$E$37,2,0),BuscarCampoAccess("Descricao",B394,B.A_SINAPI,B.M_SINAPI,C394))))</f>
        <v>ERRO: CONEXÃO NÃO ESTABELECIDA. CLIQUE EM CONECTAR.</v>
      </c>
      <c r="F394" s="594" t="str" cm="1">
        <f t="array" ref="F394">UPPER(IF(C394="COMPOSIÇÃO",_xlfn.XLOOKUP($B394,A:A,F:F,),IF(C394="COTAÇÃO",VLOOKUP($B394,COTAÇÕES!$A$11:$E$37,3,0),BuscarCampoAccess("Unidade",B394,B.A_SINAPI,B.M_SINAPI,C394))))</f>
        <v>ERRO: CONEXÃO NÃO ESTABELECIDA. CLIQUE EM CONECTAR.</v>
      </c>
      <c r="G394" s="517">
        <v>7</v>
      </c>
      <c r="H394" s="582" t="str" cm="1">
        <f t="array" ref="H394">UPPER(IF(C394="COMPOSIÇÃO",_xlfn.XLOOKUP($B394,A:A,I:I,),IF(C394="COTAÇÃO",VLOOKUP($B394,COTAÇÕES!$A$11:$E$37,5,0),BuscarCampoAccess("Custo",B394,B.A_SINAPI,B.M_SINAPI,C394))))</f>
        <v>ERRO: CONEXÃO NÃO ESTABELECIDA. CLIQUE EM CONECTAR.</v>
      </c>
      <c r="I394" s="583" t="e">
        <f>TRUNC(G394*H394,2)</f>
        <v>#VALUE!</v>
      </c>
      <c r="K394" s="529" t="str">
        <f>IF(A394=B394,IFERROR(VLOOKUP(B394,#REF!,1,0),"-"),"-")</f>
        <v>-</v>
      </c>
      <c r="L394" s="304">
        <f t="shared" si="29"/>
        <v>1</v>
      </c>
      <c r="M394" s="304" t="str">
        <f t="shared" si="30"/>
        <v>-</v>
      </c>
    </row>
    <row r="395" spans="2:13" ht="63.75" x14ac:dyDescent="0.3">
      <c r="B395" s="516">
        <v>92761</v>
      </c>
      <c r="C395" s="573" t="s">
        <v>309</v>
      </c>
      <c r="D395" s="516" t="s">
        <v>861</v>
      </c>
      <c r="E395" s="593" t="str" cm="1">
        <f t="array" ref="E395">UPPER(IF(C395="COMPOSIÇÃO",_xlfn.XLOOKUP($B395,A:A,E:E,),IF(C395="COTAÇÃO",VLOOKUP($B395,COTAÇÕES!$A$11:$E$37,2,0),BuscarCampoAccess("Descricao",B395,B.A_SINAPI,B.M_SINAPI,C395))))</f>
        <v>ERRO: CONEXÃO NÃO ESTABELECIDA. CLIQUE EM CONECTAR.</v>
      </c>
      <c r="F395" s="594" t="str" cm="1">
        <f t="array" ref="F395">UPPER(IF(C395="COMPOSIÇÃO",_xlfn.XLOOKUP($B395,A:A,F:F,),IF(C395="COTAÇÃO",VLOOKUP($B395,COTAÇÕES!$A$11:$E$37,3,0),BuscarCampoAccess("Unidade",B395,B.A_SINAPI,B.M_SINAPI,C395))))</f>
        <v>ERRO: CONEXÃO NÃO ESTABELECIDA. CLIQUE EM CONECTAR.</v>
      </c>
      <c r="G395" s="517">
        <v>16</v>
      </c>
      <c r="H395" s="582" t="str" cm="1">
        <f t="array" ref="H395">UPPER(IF(C395="COMPOSIÇÃO",_xlfn.XLOOKUP($B395,A:A,I:I,),IF(C395="COTAÇÃO",VLOOKUP($B395,COTAÇÕES!$A$11:$E$37,5,0),BuscarCampoAccess("Custo",B395,B.A_SINAPI,B.M_SINAPI,C395))))</f>
        <v>ERRO: CONEXÃO NÃO ESTABELECIDA. CLIQUE EM CONECTAR.</v>
      </c>
      <c r="I395" s="583" t="e">
        <f>TRUNC(G395*H395,2)</f>
        <v>#VALUE!</v>
      </c>
      <c r="K395" s="529" t="str">
        <f>IF(A395=B395,IFERROR(VLOOKUP(B395,#REF!,1,0),"-"),"-")</f>
        <v>-</v>
      </c>
      <c r="L395" s="304">
        <f t="shared" si="29"/>
        <v>1</v>
      </c>
      <c r="M395" s="304" t="str">
        <f t="shared" si="30"/>
        <v>-</v>
      </c>
    </row>
    <row r="396" spans="2:13" ht="63.75" x14ac:dyDescent="0.3">
      <c r="B396" s="516">
        <v>94965</v>
      </c>
      <c r="C396" s="573" t="s">
        <v>309</v>
      </c>
      <c r="D396" s="516" t="s">
        <v>861</v>
      </c>
      <c r="E396" s="593" t="str" cm="1">
        <f t="array" ref="E396">UPPER(IF(C396="COMPOSIÇÃO",_xlfn.XLOOKUP($B396,A:A,E:E,),IF(C396="COTAÇÃO",VLOOKUP($B396,COTAÇÕES!$A$11:$E$37,2,0),BuscarCampoAccess("Descricao",B396,B.A_SINAPI,B.M_SINAPI,C396))))</f>
        <v>ERRO: CONEXÃO NÃO ESTABELECIDA. CLIQUE EM CONECTAR.</v>
      </c>
      <c r="F396" s="594" t="str" cm="1">
        <f t="array" ref="F396">UPPER(IF(C396="COMPOSIÇÃO",_xlfn.XLOOKUP($B396,A:A,F:F,),IF(C396="COTAÇÃO",VLOOKUP($B396,COTAÇÕES!$A$11:$E$37,3,0),BuscarCampoAccess("Unidade",B396,B.A_SINAPI,B.M_SINAPI,C396))))</f>
        <v>ERRO: CONEXÃO NÃO ESTABELECIDA. CLIQUE EM CONECTAR.</v>
      </c>
      <c r="G396" s="517">
        <v>0.47</v>
      </c>
      <c r="H396" s="582" t="str" cm="1">
        <f t="array" ref="H396">UPPER(IF(C396="COMPOSIÇÃO",_xlfn.XLOOKUP($B396,A:A,I:I,),IF(C396="COTAÇÃO",VLOOKUP($B396,COTAÇÕES!$A$11:$E$37,5,0),BuscarCampoAccess("Custo",B396,B.A_SINAPI,B.M_SINAPI,C396))))</f>
        <v>ERRO: CONEXÃO NÃO ESTABELECIDA. CLIQUE EM CONECTAR.</v>
      </c>
      <c r="I396" s="583" t="e">
        <f>TRUNC(G396*H396,2)</f>
        <v>#VALUE!</v>
      </c>
      <c r="K396" s="529" t="str">
        <f>IF(A396=B396,IFERROR(VLOOKUP(B396,#REF!,1,0),"-"),"-")</f>
        <v>-</v>
      </c>
      <c r="L396" s="304">
        <f t="shared" ref="L396:L459" si="33">IF(ISBLANK(B396)=FALSE,1,0)</f>
        <v>1</v>
      </c>
      <c r="M396" s="304" t="str">
        <f t="shared" ref="M396:M459" si="34">IF(M395=FALSE,K396,IF(L396=1,M395))</f>
        <v>-</v>
      </c>
    </row>
    <row r="397" spans="2:13" ht="63.75" x14ac:dyDescent="0.3">
      <c r="B397" s="516">
        <v>103670</v>
      </c>
      <c r="C397" s="573" t="s">
        <v>309</v>
      </c>
      <c r="D397" s="516" t="s">
        <v>861</v>
      </c>
      <c r="E397" s="593" t="str" cm="1">
        <f t="array" ref="E397">UPPER(IF(C397="COMPOSIÇÃO",_xlfn.XLOOKUP($B397,A:A,E:E,),IF(C397="COTAÇÃO",VLOOKUP($B397,COTAÇÕES!$A$11:$E$37,2,0),BuscarCampoAccess("Descricao",B397,B.A_SINAPI,B.M_SINAPI,C397))))</f>
        <v>ERRO: CONEXÃO NÃO ESTABELECIDA. CLIQUE EM CONECTAR.</v>
      </c>
      <c r="F397" s="594" t="str" cm="1">
        <f t="array" ref="F397">UPPER(IF(C397="COMPOSIÇÃO",_xlfn.XLOOKUP($B397,A:A,F:F,),IF(C397="COTAÇÃO",VLOOKUP($B397,COTAÇÕES!$A$11:$E$37,3,0),BuscarCampoAccess("Unidade",B397,B.A_SINAPI,B.M_SINAPI,C397))))</f>
        <v>ERRO: CONEXÃO NÃO ESTABELECIDA. CLIQUE EM CONECTAR.</v>
      </c>
      <c r="G397" s="517">
        <v>0.47</v>
      </c>
      <c r="H397" s="582" t="str" cm="1">
        <f t="array" ref="H397">UPPER(IF(C397="COMPOSIÇÃO",_xlfn.XLOOKUP($B397,A:A,I:I,),IF(C397="COTAÇÃO",VLOOKUP($B397,COTAÇÕES!$A$11:$E$37,5,0),BuscarCampoAccess("Custo",B397,B.A_SINAPI,B.M_SINAPI,C397))))</f>
        <v>ERRO: CONEXÃO NÃO ESTABELECIDA. CLIQUE EM CONECTAR.</v>
      </c>
      <c r="I397" s="583" t="e">
        <f>TRUNC(G397*H397,2)</f>
        <v>#VALUE!</v>
      </c>
      <c r="K397" s="529" t="str">
        <f>IF(A397=B397,IFERROR(VLOOKUP(B397,#REF!,1,0),"-"),"-")</f>
        <v>-</v>
      </c>
      <c r="L397" s="304">
        <f t="shared" si="33"/>
        <v>1</v>
      </c>
      <c r="M397" s="304" t="str">
        <f t="shared" si="34"/>
        <v>-</v>
      </c>
    </row>
    <row r="398" spans="2:13" x14ac:dyDescent="0.3">
      <c r="B398" s="574" t="s">
        <v>1274</v>
      </c>
      <c r="C398" s="575"/>
      <c r="D398" s="576"/>
      <c r="E398" s="577"/>
      <c r="F398" s="578"/>
      <c r="G398" s="517"/>
      <c r="H398" s="580"/>
      <c r="I398" s="581"/>
      <c r="K398" s="529" t="str">
        <f>IF(A398=B398,IFERROR(VLOOKUP(B398,#REF!,1,0),"-"),"-")</f>
        <v>-</v>
      </c>
      <c r="L398" s="304">
        <f t="shared" si="33"/>
        <v>1</v>
      </c>
      <c r="M398" s="304" t="str">
        <f t="shared" si="34"/>
        <v>-</v>
      </c>
    </row>
    <row r="399" spans="2:13" ht="63.75" x14ac:dyDescent="0.3">
      <c r="B399" s="516">
        <v>92267</v>
      </c>
      <c r="C399" s="573" t="s">
        <v>309</v>
      </c>
      <c r="D399" s="516" t="s">
        <v>861</v>
      </c>
      <c r="E399" s="593" t="str" cm="1">
        <f t="array" ref="E399">UPPER(IF(C399="COMPOSIÇÃO",_xlfn.XLOOKUP($B399,A:A,E:E,),IF(C399="COTAÇÃO",VLOOKUP($B399,COTAÇÕES!$A$11:$E$37,2,0),BuscarCampoAccess("Descricao",B399,B.A_SINAPI,B.M_SINAPI,C399))))</f>
        <v>ERRO: CONEXÃO NÃO ESTABELECIDA. CLIQUE EM CONECTAR.</v>
      </c>
      <c r="F399" s="594" t="str" cm="1">
        <f t="array" ref="F399">UPPER(IF(C399="COMPOSIÇÃO",_xlfn.XLOOKUP($B399,A:A,F:F,),IF(C399="COTAÇÃO",VLOOKUP($B399,COTAÇÕES!$A$11:$E$37,3,0),BuscarCampoAccess("Unidade",B399,B.A_SINAPI,B.M_SINAPI,C399))))</f>
        <v>ERRO: CONEXÃO NÃO ESTABELECIDA. CLIQUE EM CONECTAR.</v>
      </c>
      <c r="G399" s="517">
        <v>3.53</v>
      </c>
      <c r="H399" s="582" t="str" cm="1">
        <f t="array" ref="H399">UPPER(IF(C399="COMPOSIÇÃO",_xlfn.XLOOKUP($B399,A:A,I:I,),IF(C399="COTAÇÃO",VLOOKUP($B399,COTAÇÕES!$A$11:$E$37,5,0),BuscarCampoAccess("Custo",B399,B.A_SINAPI,B.M_SINAPI,C399))))</f>
        <v>ERRO: CONEXÃO NÃO ESTABELECIDA. CLIQUE EM CONECTAR.</v>
      </c>
      <c r="I399" s="583" t="e">
        <f>TRUNC(G399*H399,2)</f>
        <v>#VALUE!</v>
      </c>
      <c r="K399" s="529" t="str">
        <f>IF(A399=B399,IFERROR(VLOOKUP(B399,#REF!,1,0),"-"),"-")</f>
        <v>-</v>
      </c>
      <c r="L399" s="304">
        <f t="shared" si="33"/>
        <v>1</v>
      </c>
      <c r="M399" s="304" t="str">
        <f t="shared" si="34"/>
        <v>-</v>
      </c>
    </row>
    <row r="400" spans="2:13" ht="63.75" x14ac:dyDescent="0.3">
      <c r="B400" s="516">
        <v>92769</v>
      </c>
      <c r="C400" s="573" t="s">
        <v>309</v>
      </c>
      <c r="D400" s="516" t="s">
        <v>861</v>
      </c>
      <c r="E400" s="593" t="str" cm="1">
        <f t="array" ref="E400">UPPER(IF(C400="COMPOSIÇÃO",_xlfn.XLOOKUP($B400,A:A,E:E,),IF(C400="COTAÇÃO",VLOOKUP($B400,COTAÇÕES!$A$11:$E$37,2,0),BuscarCampoAccess("Descricao",B400,B.A_SINAPI,B.M_SINAPI,C400))))</f>
        <v>ERRO: CONEXÃO NÃO ESTABELECIDA. CLIQUE EM CONECTAR.</v>
      </c>
      <c r="F400" s="594" t="str" cm="1">
        <f t="array" ref="F400">UPPER(IF(C400="COMPOSIÇÃO",_xlfn.XLOOKUP($B400,A:A,F:F,),IF(C400="COTAÇÃO",VLOOKUP($B400,COTAÇÕES!$A$11:$E$37,3,0),BuscarCampoAccess("Unidade",B400,B.A_SINAPI,B.M_SINAPI,C400))))</f>
        <v>ERRO: CONEXÃO NÃO ESTABELECIDA. CLIQUE EM CONECTAR.</v>
      </c>
      <c r="G400" s="517">
        <v>10.7</v>
      </c>
      <c r="H400" s="582" t="str" cm="1">
        <f t="array" ref="H400">UPPER(IF(C400="COMPOSIÇÃO",_xlfn.XLOOKUP($B400,A:A,I:I,),IF(C400="COTAÇÃO",VLOOKUP($B400,COTAÇÕES!$A$11:$E$37,5,0),BuscarCampoAccess("Custo",B400,B.A_SINAPI,B.M_SINAPI,C400))))</f>
        <v>ERRO: CONEXÃO NÃO ESTABELECIDA. CLIQUE EM CONECTAR.</v>
      </c>
      <c r="I400" s="583" t="e">
        <f>TRUNC(G400*H400,2)</f>
        <v>#VALUE!</v>
      </c>
      <c r="K400" s="529" t="str">
        <f>IF(A400=B400,IFERROR(VLOOKUP(B400,#REF!,1,0),"-"),"-")</f>
        <v>-</v>
      </c>
      <c r="L400" s="304">
        <f t="shared" si="33"/>
        <v>1</v>
      </c>
      <c r="M400" s="304" t="str">
        <f t="shared" si="34"/>
        <v>-</v>
      </c>
    </row>
    <row r="401" spans="1:13" ht="63.75" x14ac:dyDescent="0.3">
      <c r="B401" s="516">
        <v>92770</v>
      </c>
      <c r="C401" s="573" t="s">
        <v>309</v>
      </c>
      <c r="D401" s="516" t="s">
        <v>861</v>
      </c>
      <c r="E401" s="593" t="str" cm="1">
        <f t="array" ref="E401">UPPER(IF(C401="COMPOSIÇÃO",_xlfn.XLOOKUP($B401,A:A,E:E,),IF(C401="COTAÇÃO",VLOOKUP($B401,COTAÇÕES!$A$11:$E$37,2,0),BuscarCampoAccess("Descricao",B401,B.A_SINAPI,B.M_SINAPI,C401))))</f>
        <v>ERRO: CONEXÃO NÃO ESTABELECIDA. CLIQUE EM CONECTAR.</v>
      </c>
      <c r="F401" s="594" t="str" cm="1">
        <f t="array" ref="F401">UPPER(IF(C401="COMPOSIÇÃO",_xlfn.XLOOKUP($B401,A:A,F:F,),IF(C401="COTAÇÃO",VLOOKUP($B401,COTAÇÕES!$A$11:$E$37,3,0),BuscarCampoAccess("Unidade",B401,B.A_SINAPI,B.M_SINAPI,C401))))</f>
        <v>ERRO: CONEXÃO NÃO ESTABELECIDA. CLIQUE EM CONECTAR.</v>
      </c>
      <c r="G401" s="517">
        <v>29.3</v>
      </c>
      <c r="H401" s="582" t="str" cm="1">
        <f t="array" ref="H401">UPPER(IF(C401="COMPOSIÇÃO",_xlfn.XLOOKUP($B401,A:A,I:I,),IF(C401="COTAÇÃO",VLOOKUP($B401,COTAÇÕES!$A$11:$E$37,5,0),BuscarCampoAccess("Custo",B401,B.A_SINAPI,B.M_SINAPI,C401))))</f>
        <v>ERRO: CONEXÃO NÃO ESTABELECIDA. CLIQUE EM CONECTAR.</v>
      </c>
      <c r="I401" s="583" t="e">
        <f>TRUNC(G401*H401,2)</f>
        <v>#VALUE!</v>
      </c>
      <c r="K401" s="529" t="str">
        <f>IF(A401=B401,IFERROR(VLOOKUP(B401,#REF!,1,0),"-"),"-")</f>
        <v>-</v>
      </c>
      <c r="L401" s="304">
        <f t="shared" si="33"/>
        <v>1</v>
      </c>
      <c r="M401" s="304" t="str">
        <f t="shared" si="34"/>
        <v>-</v>
      </c>
    </row>
    <row r="402" spans="1:13" ht="63.75" x14ac:dyDescent="0.3">
      <c r="B402" s="516">
        <v>94965</v>
      </c>
      <c r="C402" s="573" t="s">
        <v>309</v>
      </c>
      <c r="D402" s="516" t="s">
        <v>861</v>
      </c>
      <c r="E402" s="593" t="str" cm="1">
        <f t="array" ref="E402">UPPER(IF(C402="COMPOSIÇÃO",_xlfn.XLOOKUP($B402,A:A,E:E,),IF(C402="COTAÇÃO",VLOOKUP($B402,COTAÇÕES!$A$11:$E$37,2,0),BuscarCampoAccess("Descricao",B402,B.A_SINAPI,B.M_SINAPI,C402))))</f>
        <v>ERRO: CONEXÃO NÃO ESTABELECIDA. CLIQUE EM CONECTAR.</v>
      </c>
      <c r="F402" s="594" t="str" cm="1">
        <f t="array" ref="F402">UPPER(IF(C402="COMPOSIÇÃO",_xlfn.XLOOKUP($B402,A:A,F:F,),IF(C402="COTAÇÃO",VLOOKUP($B402,COTAÇÕES!$A$11:$E$37,3,0),BuscarCampoAccess("Unidade",B402,B.A_SINAPI,B.M_SINAPI,C402))))</f>
        <v>ERRO: CONEXÃO NÃO ESTABELECIDA. CLIQUE EM CONECTAR.</v>
      </c>
      <c r="G402" s="517">
        <v>0.38</v>
      </c>
      <c r="H402" s="582" t="str" cm="1">
        <f t="array" ref="H402">UPPER(IF(C402="COMPOSIÇÃO",_xlfn.XLOOKUP($B402,A:A,I:I,),IF(C402="COTAÇÃO",VLOOKUP($B402,COTAÇÕES!$A$11:$E$37,5,0),BuscarCampoAccess("Custo",B402,B.A_SINAPI,B.M_SINAPI,C402))))</f>
        <v>ERRO: CONEXÃO NÃO ESTABELECIDA. CLIQUE EM CONECTAR.</v>
      </c>
      <c r="I402" s="583" t="e">
        <f>TRUNC(G402*H402,2)</f>
        <v>#VALUE!</v>
      </c>
      <c r="K402" s="529" t="str">
        <f>IF(A402=B402,IFERROR(VLOOKUP(B402,#REF!,1,0),"-"),"-")</f>
        <v>-</v>
      </c>
      <c r="L402" s="304">
        <f t="shared" si="33"/>
        <v>1</v>
      </c>
      <c r="M402" s="304" t="str">
        <f t="shared" si="34"/>
        <v>-</v>
      </c>
    </row>
    <row r="403" spans="1:13" ht="63.75" x14ac:dyDescent="0.3">
      <c r="B403" s="516">
        <v>103673</v>
      </c>
      <c r="C403" s="573" t="s">
        <v>309</v>
      </c>
      <c r="D403" s="516" t="s">
        <v>861</v>
      </c>
      <c r="E403" s="593" t="str" cm="1">
        <f t="array" ref="E403">UPPER(IF(C403="COMPOSIÇÃO",_xlfn.XLOOKUP($B403,A:A,E:E,),IF(C403="COTAÇÃO",VLOOKUP($B403,COTAÇÕES!$A$11:$E$37,2,0),BuscarCampoAccess("Descricao",B403,B.A_SINAPI,B.M_SINAPI,C403))))</f>
        <v>ERRO: CONEXÃO NÃO ESTABELECIDA. CLIQUE EM CONECTAR.</v>
      </c>
      <c r="F403" s="594" t="str" cm="1">
        <f t="array" ref="F403">UPPER(IF(C403="COMPOSIÇÃO",_xlfn.XLOOKUP($B403,A:A,F:F,),IF(C403="COTAÇÃO",VLOOKUP($B403,COTAÇÕES!$A$11:$E$37,3,0),BuscarCampoAccess("Unidade",B403,B.A_SINAPI,B.M_SINAPI,C403))))</f>
        <v>ERRO: CONEXÃO NÃO ESTABELECIDA. CLIQUE EM CONECTAR.</v>
      </c>
      <c r="G403" s="517">
        <v>0.38</v>
      </c>
      <c r="H403" s="582" t="str" cm="1">
        <f t="array" ref="H403">UPPER(IF(C403="COMPOSIÇÃO",_xlfn.XLOOKUP($B403,A:A,I:I,),IF(C403="COTAÇÃO",VLOOKUP($B403,COTAÇÕES!$A$11:$E$37,5,0),BuscarCampoAccess("Custo",B403,B.A_SINAPI,B.M_SINAPI,C403))))</f>
        <v>ERRO: CONEXÃO NÃO ESTABELECIDA. CLIQUE EM CONECTAR.</v>
      </c>
      <c r="I403" s="583" t="e">
        <f>TRUNC(G403*H403,2)</f>
        <v>#VALUE!</v>
      </c>
      <c r="K403" s="529" t="str">
        <f>IF(A403=B403,IFERROR(VLOOKUP(B403,#REF!,1,0),"-"),"-")</f>
        <v>-</v>
      </c>
      <c r="L403" s="304">
        <f t="shared" si="33"/>
        <v>1</v>
      </c>
      <c r="M403" s="304" t="str">
        <f t="shared" si="34"/>
        <v>-</v>
      </c>
    </row>
    <row r="404" spans="1:13" x14ac:dyDescent="0.3">
      <c r="B404" s="574" t="s">
        <v>1275</v>
      </c>
      <c r="C404" s="575"/>
      <c r="D404" s="576"/>
      <c r="E404" s="577"/>
      <c r="F404" s="578"/>
      <c r="G404" s="517"/>
      <c r="H404" s="580"/>
      <c r="I404" s="581"/>
      <c r="K404" s="529" t="str">
        <f>IF(A404=B404,IFERROR(VLOOKUP(B404,#REF!,1,0),"-"),"-")</f>
        <v>-</v>
      </c>
      <c r="L404" s="304">
        <f t="shared" si="33"/>
        <v>1</v>
      </c>
      <c r="M404" s="304" t="str">
        <f t="shared" si="34"/>
        <v>-</v>
      </c>
    </row>
    <row r="405" spans="1:13" ht="63.75" x14ac:dyDescent="0.3">
      <c r="B405" s="516">
        <v>34573</v>
      </c>
      <c r="C405" s="573" t="s">
        <v>309</v>
      </c>
      <c r="D405" s="516" t="s">
        <v>861</v>
      </c>
      <c r="E405" s="593" t="str" cm="1">
        <f t="array" ref="E405">UPPER(IF(C405="COMPOSIÇÃO",_xlfn.XLOOKUP($B405,A:A,E:E,),IF(C405="COTAÇÃO",VLOOKUP($B405,COTAÇÕES!$A$11:$E$37,2,0),BuscarCampoAccess("Descricao",B405,B.A_SINAPI,B.M_SINAPI,C405))))</f>
        <v>ERRO: CONEXÃO NÃO ESTABELECIDA. CLIQUE EM CONECTAR.</v>
      </c>
      <c r="F405" s="594" t="str" cm="1">
        <f t="array" ref="F405">UPPER(IF(C405="COMPOSIÇÃO",_xlfn.XLOOKUP($B405,A:A,F:F,),IF(C405="COTAÇÃO",VLOOKUP($B405,COTAÇÕES!$A$11:$E$37,3,0),BuscarCampoAccess("Unidade",B405,B.A_SINAPI,B.M_SINAPI,C405))))</f>
        <v>ERRO: CONEXÃO NÃO ESTABELECIDA. CLIQUE EM CONECTAR.</v>
      </c>
      <c r="G405" s="517">
        <v>399.6</v>
      </c>
      <c r="H405" s="582" t="str" cm="1">
        <f t="array" ref="H405">UPPER(IF(C405="COMPOSIÇÃO",_xlfn.XLOOKUP($B405,A:A,I:I,),IF(C405="COTAÇÃO",VLOOKUP($B405,COTAÇÕES!$A$11:$E$37,5,0),BuscarCampoAccess("Custo",B405,B.A_SINAPI,B.M_SINAPI,C405))))</f>
        <v>ERRO: CONEXÃO NÃO ESTABELECIDA. CLIQUE EM CONECTAR.</v>
      </c>
      <c r="I405" s="583" t="e">
        <f t="shared" ref="I405:I411" si="35">TRUNC(G405*H405,2)</f>
        <v>#VALUE!</v>
      </c>
      <c r="K405" s="529" t="str">
        <f>IF(A405=B405,IFERROR(VLOOKUP(B405,#REF!,1,0),"-"),"-")</f>
        <v>-</v>
      </c>
      <c r="L405" s="304">
        <f t="shared" si="33"/>
        <v>1</v>
      </c>
      <c r="M405" s="304" t="str">
        <f t="shared" si="34"/>
        <v>-</v>
      </c>
    </row>
    <row r="406" spans="1:13" ht="63.75" x14ac:dyDescent="0.3">
      <c r="B406" s="516">
        <v>88626</v>
      </c>
      <c r="C406" s="573" t="s">
        <v>309</v>
      </c>
      <c r="D406" s="516" t="s">
        <v>861</v>
      </c>
      <c r="E406" s="593" t="str" cm="1">
        <f t="array" ref="E406">UPPER(IF(C406="COMPOSIÇÃO",_xlfn.XLOOKUP($B406,A:A,E:E,),IF(C406="COTAÇÃO",VLOOKUP($B406,COTAÇÕES!$A$11:$E$37,2,0),BuscarCampoAccess("Descricao",B406,B.A_SINAPI,B.M_SINAPI,C406))))</f>
        <v>ERRO: CONEXÃO NÃO ESTABELECIDA. CLIQUE EM CONECTAR.</v>
      </c>
      <c r="F406" s="594" t="str" cm="1">
        <f t="array" ref="F406">UPPER(IF(C406="COMPOSIÇÃO",_xlfn.XLOOKUP($B406,A:A,F:F,),IF(C406="COTAÇÃO",VLOOKUP($B406,COTAÇÕES!$A$11:$E$37,3,0),BuscarCampoAccess("Unidade",B406,B.A_SINAPI,B.M_SINAPI,C406))))</f>
        <v>ERRO: CONEXÃO NÃO ESTABELECIDA. CLIQUE EM CONECTAR.</v>
      </c>
      <c r="G406" s="517">
        <v>0.67199999999999993</v>
      </c>
      <c r="H406" s="582" t="str" cm="1">
        <f t="array" ref="H406">UPPER(IF(C406="COMPOSIÇÃO",_xlfn.XLOOKUP($B406,A:A,I:I,),IF(C406="COTAÇÃO",VLOOKUP($B406,COTAÇÕES!$A$11:$E$37,5,0),BuscarCampoAccess("Custo",B406,B.A_SINAPI,B.M_SINAPI,C406))))</f>
        <v>ERRO: CONEXÃO NÃO ESTABELECIDA. CLIQUE EM CONECTAR.</v>
      </c>
      <c r="I406" s="583" t="e">
        <f t="shared" si="35"/>
        <v>#VALUE!</v>
      </c>
      <c r="K406" s="529" t="str">
        <f>IF(A406=B406,IFERROR(VLOOKUP(B406,#REF!,1,0),"-"),"-")</f>
        <v>-</v>
      </c>
      <c r="L406" s="304">
        <f t="shared" si="33"/>
        <v>1</v>
      </c>
      <c r="M406" s="304" t="str">
        <f t="shared" si="34"/>
        <v>-</v>
      </c>
    </row>
    <row r="407" spans="1:13" ht="63.75" x14ac:dyDescent="0.3">
      <c r="B407" s="516">
        <v>87879</v>
      </c>
      <c r="C407" s="573" t="s">
        <v>309</v>
      </c>
      <c r="D407" s="516" t="s">
        <v>861</v>
      </c>
      <c r="E407" s="593" t="str" cm="1">
        <f t="array" ref="E407">UPPER(IF(C407="COMPOSIÇÃO",_xlfn.XLOOKUP($B407,A:A,E:E,),IF(C407="COTAÇÃO",VLOOKUP($B407,COTAÇÕES!$A$11:$E$37,2,0),BuscarCampoAccess("Descricao",B407,B.A_SINAPI,B.M_SINAPI,C407))))</f>
        <v>ERRO: CONEXÃO NÃO ESTABELECIDA. CLIQUE EM CONECTAR.</v>
      </c>
      <c r="F407" s="594" t="str" cm="1">
        <f t="array" ref="F407">UPPER(IF(C407="COMPOSIÇÃO",_xlfn.XLOOKUP($B407,A:A,F:F,),IF(C407="COTAÇÃO",VLOOKUP($B407,COTAÇÕES!$A$11:$E$37,3,0),BuscarCampoAccess("Unidade",B407,B.A_SINAPI,B.M_SINAPI,C407))))</f>
        <v>ERRO: CONEXÃO NÃO ESTABELECIDA. CLIQUE EM CONECTAR.</v>
      </c>
      <c r="G407" s="517">
        <v>20</v>
      </c>
      <c r="H407" s="582" t="str" cm="1">
        <f t="array" ref="H407">UPPER(IF(C407="COMPOSIÇÃO",_xlfn.XLOOKUP($B407,A:A,I:I,),IF(C407="COTAÇÃO",VLOOKUP($B407,COTAÇÕES!$A$11:$E$37,5,0),BuscarCampoAccess("Custo",B407,B.A_SINAPI,B.M_SINAPI,C407))))</f>
        <v>ERRO: CONEXÃO NÃO ESTABELECIDA. CLIQUE EM CONECTAR.</v>
      </c>
      <c r="I407" s="583" t="e">
        <f t="shared" si="35"/>
        <v>#VALUE!</v>
      </c>
      <c r="K407" s="529" t="str">
        <f>IF(A407=B407,IFERROR(VLOOKUP(B407,#REF!,1,0),"-"),"-")</f>
        <v>-</v>
      </c>
      <c r="L407" s="304">
        <f t="shared" si="33"/>
        <v>1</v>
      </c>
      <c r="M407" s="304" t="str">
        <f t="shared" si="34"/>
        <v>-</v>
      </c>
    </row>
    <row r="408" spans="1:13" ht="63.75" x14ac:dyDescent="0.3">
      <c r="B408" s="516">
        <v>87529</v>
      </c>
      <c r="C408" s="573" t="s">
        <v>309</v>
      </c>
      <c r="D408" s="516" t="s">
        <v>861</v>
      </c>
      <c r="E408" s="593" t="str" cm="1">
        <f t="array" ref="E408">UPPER(IF(C408="COMPOSIÇÃO",_xlfn.XLOOKUP($B408,A:A,E:E,),IF(C408="COTAÇÃO",VLOOKUP($B408,COTAÇÕES!$A$11:$E$37,2,0),BuscarCampoAccess("Descricao",B408,B.A_SINAPI,B.M_SINAPI,C408))))</f>
        <v>ERRO: CONEXÃO NÃO ESTABELECIDA. CLIQUE EM CONECTAR.</v>
      </c>
      <c r="F408" s="594" t="str" cm="1">
        <f t="array" ref="F408">UPPER(IF(C408="COMPOSIÇÃO",_xlfn.XLOOKUP($B408,A:A,F:F,),IF(C408="COTAÇÃO",VLOOKUP($B408,COTAÇÕES!$A$11:$E$37,3,0),BuscarCampoAccess("Unidade",B408,B.A_SINAPI,B.M_SINAPI,C408))))</f>
        <v>ERRO: CONEXÃO NÃO ESTABELECIDA. CLIQUE EM CONECTAR.</v>
      </c>
      <c r="G408" s="517">
        <v>20</v>
      </c>
      <c r="H408" s="582" t="str" cm="1">
        <f t="array" ref="H408">UPPER(IF(C408="COMPOSIÇÃO",_xlfn.XLOOKUP($B408,A:A,I:I,),IF(C408="COTAÇÃO",VLOOKUP($B408,COTAÇÕES!$A$11:$E$37,5,0),BuscarCampoAccess("Custo",B408,B.A_SINAPI,B.M_SINAPI,C408))))</f>
        <v>ERRO: CONEXÃO NÃO ESTABELECIDA. CLIQUE EM CONECTAR.</v>
      </c>
      <c r="I408" s="583" t="e">
        <f t="shared" si="35"/>
        <v>#VALUE!</v>
      </c>
      <c r="K408" s="529" t="str">
        <f>IF(A408=B408,IFERROR(VLOOKUP(B408,#REF!,1,0),"-"),"-")</f>
        <v>-</v>
      </c>
      <c r="L408" s="304">
        <f t="shared" si="33"/>
        <v>1</v>
      </c>
      <c r="M408" s="304" t="str">
        <f t="shared" si="34"/>
        <v>-</v>
      </c>
    </row>
    <row r="409" spans="1:13" ht="63.75" x14ac:dyDescent="0.3">
      <c r="B409" s="516">
        <v>94965</v>
      </c>
      <c r="C409" s="573" t="s">
        <v>309</v>
      </c>
      <c r="D409" s="516" t="s">
        <v>861</v>
      </c>
      <c r="E409" s="593" t="str" cm="1">
        <f t="array" ref="E409">UPPER(IF(C409="COMPOSIÇÃO",_xlfn.XLOOKUP($B409,A:A,E:E,),IF(C409="COTAÇÃO",VLOOKUP($B409,COTAÇÕES!$A$11:$E$37,2,0),BuscarCampoAccess("Descricao",B409,B.A_SINAPI,B.M_SINAPI,C409))))</f>
        <v>ERRO: CONEXÃO NÃO ESTABELECIDA. CLIQUE EM CONECTAR.</v>
      </c>
      <c r="F409" s="594" t="str" cm="1">
        <f t="array" ref="F409">UPPER(IF(C409="COMPOSIÇÃO",_xlfn.XLOOKUP($B409,A:A,F:F,),IF(C409="COTAÇÃO",VLOOKUP($B409,COTAÇÕES!$A$11:$E$37,3,0),BuscarCampoAccess("Unidade",B409,B.A_SINAPI,B.M_SINAPI,C409))))</f>
        <v>ERRO: CONEXÃO NÃO ESTABELECIDA. CLIQUE EM CONECTAR.</v>
      </c>
      <c r="G409" s="517">
        <v>1.2349999999999999</v>
      </c>
      <c r="H409" s="582" t="str" cm="1">
        <f t="array" ref="H409">UPPER(IF(C409="COMPOSIÇÃO",_xlfn.XLOOKUP($B409,A:A,I:I,),IF(C409="COTAÇÃO",VLOOKUP($B409,COTAÇÕES!$A$11:$E$37,5,0),BuscarCampoAccess("Custo",B409,B.A_SINAPI,B.M_SINAPI,C409))))</f>
        <v>ERRO: CONEXÃO NÃO ESTABELECIDA. CLIQUE EM CONECTAR.</v>
      </c>
      <c r="I409" s="583" t="e">
        <f t="shared" si="35"/>
        <v>#VALUE!</v>
      </c>
      <c r="K409" s="529" t="str">
        <f>IF(A409=B409,IFERROR(VLOOKUP(B409,#REF!,1,0),"-"),"-")</f>
        <v>-</v>
      </c>
      <c r="L409" s="304">
        <f t="shared" si="33"/>
        <v>1</v>
      </c>
      <c r="M409" s="304" t="str">
        <f t="shared" si="34"/>
        <v>-</v>
      </c>
    </row>
    <row r="410" spans="1:13" ht="63.75" x14ac:dyDescent="0.3">
      <c r="B410" s="516">
        <v>88309</v>
      </c>
      <c r="C410" s="573" t="s">
        <v>309</v>
      </c>
      <c r="D410" s="516" t="s">
        <v>861</v>
      </c>
      <c r="E410" s="593" t="str" cm="1">
        <f t="array" ref="E410">UPPER(IF(C410="COMPOSIÇÃO",_xlfn.XLOOKUP($B410,A:A,E:E,),IF(C410="COTAÇÃO",VLOOKUP($B410,COTAÇÕES!$A$11:$E$37,2,0),BuscarCampoAccess("Descricao",B410,B.A_SINAPI,B.M_SINAPI,C410))))</f>
        <v>ERRO: CONEXÃO NÃO ESTABELECIDA. CLIQUE EM CONECTAR.</v>
      </c>
      <c r="F410" s="594" t="str" cm="1">
        <f t="array" ref="F410">UPPER(IF(C410="COMPOSIÇÃO",_xlfn.XLOOKUP($B410,A:A,F:F,),IF(C410="COTAÇÃO",VLOOKUP($B410,COTAÇÕES!$A$11:$E$37,3,0),BuscarCampoAccess("Unidade",B410,B.A_SINAPI,B.M_SINAPI,C410))))</f>
        <v>ERRO: CONEXÃO NÃO ESTABELECIDA. CLIQUE EM CONECTAR.</v>
      </c>
      <c r="G410" s="517">
        <v>26.8</v>
      </c>
      <c r="H410" s="582" t="str" cm="1">
        <f t="array" ref="H410">UPPER(IF(C410="COMPOSIÇÃO",_xlfn.XLOOKUP($B410,A:A,I:I,),IF(C410="COTAÇÃO",VLOOKUP($B410,COTAÇÕES!$A$11:$E$37,5,0),BuscarCampoAccess("Custo",B410,B.A_SINAPI,B.M_SINAPI,C410))))</f>
        <v>ERRO: CONEXÃO NÃO ESTABELECIDA. CLIQUE EM CONECTAR.</v>
      </c>
      <c r="I410" s="583" t="e">
        <f t="shared" si="35"/>
        <v>#VALUE!</v>
      </c>
      <c r="K410" s="529" t="str">
        <f>IF(A410=B410,IFERROR(VLOOKUP(B410,#REF!,1,0),"-"),"-")</f>
        <v>-</v>
      </c>
      <c r="L410" s="304">
        <f t="shared" si="33"/>
        <v>1</v>
      </c>
      <c r="M410" s="304" t="str">
        <f t="shared" si="34"/>
        <v>-</v>
      </c>
    </row>
    <row r="411" spans="1:13" ht="63.75" x14ac:dyDescent="0.3">
      <c r="B411" s="516">
        <v>88316</v>
      </c>
      <c r="C411" s="573" t="s">
        <v>309</v>
      </c>
      <c r="D411" s="516" t="s">
        <v>861</v>
      </c>
      <c r="E411" s="593" t="str" cm="1">
        <f t="array" ref="E411">UPPER(IF(C411="COMPOSIÇÃO",_xlfn.XLOOKUP($B411,A:A,E:E,),IF(C411="COTAÇÃO",VLOOKUP($B411,COTAÇÕES!$A$11:$E$37,2,0),BuscarCampoAccess("Descricao",B411,B.A_SINAPI,B.M_SINAPI,C411))))</f>
        <v>ERRO: CONEXÃO NÃO ESTABELECIDA. CLIQUE EM CONECTAR.</v>
      </c>
      <c r="F411" s="594" t="str" cm="1">
        <f t="array" ref="F411">UPPER(IF(C411="COMPOSIÇÃO",_xlfn.XLOOKUP($B411,A:A,F:F,),IF(C411="COTAÇÃO",VLOOKUP($B411,COTAÇÕES!$A$11:$E$37,3,0),BuscarCampoAccess("Unidade",B411,B.A_SINAPI,B.M_SINAPI,C411))))</f>
        <v>ERRO: CONEXÃO NÃO ESTABELECIDA. CLIQUE EM CONECTAR.</v>
      </c>
      <c r="G411" s="517">
        <v>26.8</v>
      </c>
      <c r="H411" s="582" t="str" cm="1">
        <f t="array" ref="H411">UPPER(IF(C411="COMPOSIÇÃO",_xlfn.XLOOKUP($B411,A:A,I:I,),IF(C411="COTAÇÃO",VLOOKUP($B411,COTAÇÕES!$A$11:$E$37,5,0),BuscarCampoAccess("Custo",B411,B.A_SINAPI,B.M_SINAPI,C411))))</f>
        <v>ERRO: CONEXÃO NÃO ESTABELECIDA. CLIQUE EM CONECTAR.</v>
      </c>
      <c r="I411" s="583" t="e">
        <f t="shared" si="35"/>
        <v>#VALUE!</v>
      </c>
      <c r="K411" s="529" t="str">
        <f>IF(A411=B411,IFERROR(VLOOKUP(B411,#REF!,1,0),"-"),"-")</f>
        <v>-</v>
      </c>
      <c r="L411" s="304">
        <f t="shared" si="33"/>
        <v>1</v>
      </c>
      <c r="M411" s="304" t="str">
        <f t="shared" si="34"/>
        <v>-</v>
      </c>
    </row>
    <row r="412" spans="1:13" x14ac:dyDescent="0.3">
      <c r="K412" s="529" t="str">
        <f>IF(A412=B412,IFERROR(VLOOKUP(B412,#REF!,1,0),"-"),"-")</f>
        <v>-</v>
      </c>
      <c r="L412" s="304">
        <f t="shared" si="33"/>
        <v>0</v>
      </c>
      <c r="M412" s="304" t="b">
        <f t="shared" si="34"/>
        <v>0</v>
      </c>
    </row>
    <row r="413" spans="1:13" ht="24.75" customHeight="1" x14ac:dyDescent="0.3">
      <c r="A413" s="192" t="str">
        <f>IF(AND(D413="",E413&lt;&gt;""),B413,"")</f>
        <v>CPU-DRED 32</v>
      </c>
      <c r="B413" s="589" t="s">
        <v>1278</v>
      </c>
      <c r="C413" s="187"/>
      <c r="D413" s="188"/>
      <c r="E413" s="189" t="s">
        <v>1520</v>
      </c>
      <c r="F413" s="188" t="s">
        <v>256</v>
      </c>
      <c r="G413" s="188"/>
      <c r="H413" s="191"/>
      <c r="I413" s="590" t="e">
        <f>SUM(I414:I461)</f>
        <v>#VALUE!</v>
      </c>
      <c r="K413" s="529" t="str">
        <f>IF(A413=B413,IFERROR(VLOOKUP(B413,#REF!,1,0),"-"),"-")</f>
        <v>-</v>
      </c>
      <c r="L413" s="304">
        <f t="shared" si="33"/>
        <v>1</v>
      </c>
      <c r="M413" s="304" t="str">
        <f t="shared" si="34"/>
        <v>-</v>
      </c>
    </row>
    <row r="414" spans="1:13" ht="63.75" x14ac:dyDescent="0.3">
      <c r="B414" s="516">
        <v>100324</v>
      </c>
      <c r="C414" s="573" t="s">
        <v>309</v>
      </c>
      <c r="D414" s="516" t="s">
        <v>861</v>
      </c>
      <c r="E414" s="593" t="str" cm="1">
        <f t="array" ref="E414">UPPER(IF(C414="COMPOSIÇÃO",_xlfn.XLOOKUP($B414,A:A,E:E,),IF(C414="COTAÇÃO",VLOOKUP($B414,COTAÇÕES!$A$11:$E$37,2,0),BuscarCampoAccess("Descricao",B414,B.A_SINAPI,B.M_SINAPI,C414))))</f>
        <v>ERRO: CONEXÃO NÃO ESTABELECIDA. CLIQUE EM CONECTAR.</v>
      </c>
      <c r="F414" s="594" t="str" cm="1">
        <f t="array" ref="F414">UPPER(IF(C414="COMPOSIÇÃO",_xlfn.XLOOKUP($B414,A:A,F:F,),IF(C414="COTAÇÃO",VLOOKUP($B414,COTAÇÕES!$A$11:$E$37,3,0),BuscarCampoAccess("Unidade",B414,B.A_SINAPI,B.M_SINAPI,C414))))</f>
        <v>ERRO: CONEXÃO NÃO ESTABELECIDA. CLIQUE EM CONECTAR.</v>
      </c>
      <c r="G414" s="517">
        <v>0.54755999999999994</v>
      </c>
      <c r="H414" s="582" t="str" cm="1">
        <f t="array" ref="H414">UPPER(IF(C414="COMPOSIÇÃO",_xlfn.XLOOKUP($B414,A:A,I:I,),IF(C414="COTAÇÃO",VLOOKUP($B414,COTAÇÕES!$A$11:$E$37,5,0),BuscarCampoAccess("Custo",B414,B.A_SINAPI,B.M_SINAPI,C414))))</f>
        <v>ERRO: CONEXÃO NÃO ESTABELECIDA. CLIQUE EM CONECTAR.</v>
      </c>
      <c r="I414" s="583" t="e">
        <f>TRUNC(G414*H414,2)</f>
        <v>#VALUE!</v>
      </c>
      <c r="K414" s="529" t="str">
        <f>IF(A414=B414,IFERROR(VLOOKUP(B414,#REF!,1,0),"-"),"-")</f>
        <v>-</v>
      </c>
      <c r="L414" s="304">
        <f t="shared" si="33"/>
        <v>1</v>
      </c>
      <c r="M414" s="304" t="str">
        <f t="shared" si="34"/>
        <v>-</v>
      </c>
    </row>
    <row r="415" spans="1:13" x14ac:dyDescent="0.3">
      <c r="B415" s="574" t="s">
        <v>1270</v>
      </c>
      <c r="C415" s="575"/>
      <c r="D415" s="576"/>
      <c r="E415" s="577"/>
      <c r="F415" s="578"/>
      <c r="G415" s="517"/>
      <c r="H415" s="580"/>
      <c r="I415" s="581"/>
      <c r="K415" s="529" t="str">
        <f>IF(A415=B415,IFERROR(VLOOKUP(B415,#REF!,1,0),"-"),"-")</f>
        <v>-</v>
      </c>
      <c r="L415" s="304">
        <f t="shared" si="33"/>
        <v>1</v>
      </c>
      <c r="M415" s="304" t="str">
        <f t="shared" si="34"/>
        <v>-</v>
      </c>
    </row>
    <row r="416" spans="1:13" ht="63.75" x14ac:dyDescent="0.3">
      <c r="B416" s="516">
        <v>96527</v>
      </c>
      <c r="C416" s="573" t="s">
        <v>309</v>
      </c>
      <c r="D416" s="516" t="s">
        <v>861</v>
      </c>
      <c r="E416" s="593" t="str" cm="1">
        <f t="array" ref="E416">UPPER(IF(C416="COMPOSIÇÃO",_xlfn.XLOOKUP($B416,A:A,E:E,),IF(C416="COTAÇÃO",VLOOKUP($B416,COTAÇÕES!$A$11:$E$37,2,0),BuscarCampoAccess("Descricao",B416,B.A_SINAPI,B.M_SINAPI,C416))))</f>
        <v>ERRO: CONEXÃO NÃO ESTABELECIDA. CLIQUE EM CONECTAR.</v>
      </c>
      <c r="F416" s="594" t="str" cm="1">
        <f t="array" ref="F416">UPPER(IF(C416="COMPOSIÇÃO",_xlfn.XLOOKUP($B416,A:A,F:F,),IF(C416="COTAÇÃO",VLOOKUP($B416,COTAÇÕES!$A$11:$E$37,3,0),BuscarCampoAccess("Unidade",B416,B.A_SINAPI,B.M_SINAPI,C416))))</f>
        <v>ERRO: CONEXÃO NÃO ESTABELECIDA. CLIQUE EM CONECTAR.</v>
      </c>
      <c r="G416" s="517">
        <v>0.64800000000000002</v>
      </c>
      <c r="H416" s="582" t="str" cm="1">
        <f t="array" ref="H416">UPPER(IF(C416="COMPOSIÇÃO",_xlfn.XLOOKUP($B416,A:A,I:I,),IF(C416="COTAÇÃO",VLOOKUP($B416,COTAÇÕES!$A$11:$E$37,5,0),BuscarCampoAccess("Custo",B416,B.A_SINAPI,B.M_SINAPI,C416))))</f>
        <v>ERRO: CONEXÃO NÃO ESTABELECIDA. CLIQUE EM CONECTAR.</v>
      </c>
      <c r="I416" s="583" t="e">
        <f>TRUNC(G416*H416,2)</f>
        <v>#VALUE!</v>
      </c>
      <c r="K416" s="529" t="str">
        <f>IF(A416=B416,IFERROR(VLOOKUP(B416,#REF!,1,0),"-"),"-")</f>
        <v>-</v>
      </c>
      <c r="L416" s="304">
        <f t="shared" si="33"/>
        <v>1</v>
      </c>
      <c r="M416" s="304" t="str">
        <f t="shared" si="34"/>
        <v>-</v>
      </c>
    </row>
    <row r="417" spans="2:13" ht="63.75" x14ac:dyDescent="0.3">
      <c r="B417" s="516">
        <v>96536</v>
      </c>
      <c r="C417" s="573" t="s">
        <v>309</v>
      </c>
      <c r="D417" s="516" t="s">
        <v>861</v>
      </c>
      <c r="E417" s="593" t="str" cm="1">
        <f t="array" ref="E417">UPPER(IF(C417="COMPOSIÇÃO",_xlfn.XLOOKUP($B417,A:A,E:E,),IF(C417="COTAÇÃO",VLOOKUP($B417,COTAÇÕES!$A$11:$E$37,2,0),BuscarCampoAccess("Descricao",B417,B.A_SINAPI,B.M_SINAPI,C417))))</f>
        <v>ERRO: CONEXÃO NÃO ESTABELECIDA. CLIQUE EM CONECTAR.</v>
      </c>
      <c r="F417" s="594" t="str" cm="1">
        <f t="array" ref="F417">UPPER(IF(C417="COMPOSIÇÃO",_xlfn.XLOOKUP($B417,A:A,F:F,),IF(C417="COTAÇÃO",VLOOKUP($B417,COTAÇÕES!$A$11:$E$37,3,0),BuscarCampoAccess("Unidade",B417,B.A_SINAPI,B.M_SINAPI,C417))))</f>
        <v>ERRO: CONEXÃO NÃO ESTABELECIDA. CLIQUE EM CONECTAR.</v>
      </c>
      <c r="G417" s="517">
        <v>5.97</v>
      </c>
      <c r="H417" s="582" t="str" cm="1">
        <f t="array" ref="H417">UPPER(IF(C417="COMPOSIÇÃO",_xlfn.XLOOKUP($B417,A:A,I:I,),IF(C417="COTAÇÃO",VLOOKUP($B417,COTAÇÕES!$A$11:$E$37,5,0),BuscarCampoAccess("Custo",B417,B.A_SINAPI,B.M_SINAPI,C417))))</f>
        <v>ERRO: CONEXÃO NÃO ESTABELECIDA. CLIQUE EM CONECTAR.</v>
      </c>
      <c r="I417" s="583" t="e">
        <f t="shared" ref="I417:I461" si="36">TRUNC(G417*H417,2)</f>
        <v>#VALUE!</v>
      </c>
      <c r="K417" s="529" t="str">
        <f>IF(A417=B417,IFERROR(VLOOKUP(B417,#REF!,1,0),"-"),"-")</f>
        <v>-</v>
      </c>
      <c r="L417" s="304">
        <f t="shared" si="33"/>
        <v>1</v>
      </c>
      <c r="M417" s="304" t="str">
        <f t="shared" si="34"/>
        <v>-</v>
      </c>
    </row>
    <row r="418" spans="2:13" ht="63.75" x14ac:dyDescent="0.3">
      <c r="B418" s="516">
        <v>95241</v>
      </c>
      <c r="C418" s="573" t="s">
        <v>309</v>
      </c>
      <c r="D418" s="516" t="s">
        <v>861</v>
      </c>
      <c r="E418" s="593" t="str" cm="1">
        <f t="array" ref="E418">UPPER(IF(C418="COMPOSIÇÃO",_xlfn.XLOOKUP($B418,A:A,E:E,),IF(C418="COTAÇÃO",VLOOKUP($B418,COTAÇÕES!$A$11:$E$37,2,0),BuscarCampoAccess("Descricao",B418,B.A_SINAPI,B.M_SINAPI,C418))))</f>
        <v>ERRO: CONEXÃO NÃO ESTABELECIDA. CLIQUE EM CONECTAR.</v>
      </c>
      <c r="F418" s="594" t="str" cm="1">
        <f t="array" ref="F418">UPPER(IF(C418="COMPOSIÇÃO",_xlfn.XLOOKUP($B418,A:A,F:F,),IF(C418="COTAÇÃO",VLOOKUP($B418,COTAÇÕES!$A$11:$E$37,3,0),BuscarCampoAccess("Unidade",B418,B.A_SINAPI,B.M_SINAPI,C418))))</f>
        <v>ERRO: CONEXÃO NÃO ESTABELECIDA. CLIQUE EM CONECTAR.</v>
      </c>
      <c r="G418" s="517">
        <v>5.4755999999999991</v>
      </c>
      <c r="H418" s="582" t="str" cm="1">
        <f t="array" ref="H418">UPPER(IF(C418="COMPOSIÇÃO",_xlfn.XLOOKUP($B418,A:A,I:I,),IF(C418="COTAÇÃO",VLOOKUP($B418,COTAÇÕES!$A$11:$E$37,5,0),BuscarCampoAccess("Custo",B418,B.A_SINAPI,B.M_SINAPI,C418))))</f>
        <v>ERRO: CONEXÃO NÃO ESTABELECIDA. CLIQUE EM CONECTAR.</v>
      </c>
      <c r="I418" s="583" t="e">
        <f t="shared" si="36"/>
        <v>#VALUE!</v>
      </c>
      <c r="K418" s="529" t="str">
        <f>IF(A418=B418,IFERROR(VLOOKUP(B418,#REF!,1,0),"-"),"-")</f>
        <v>-</v>
      </c>
      <c r="L418" s="304">
        <f t="shared" si="33"/>
        <v>1</v>
      </c>
      <c r="M418" s="304" t="str">
        <f t="shared" si="34"/>
        <v>-</v>
      </c>
    </row>
    <row r="419" spans="2:13" ht="63.75" x14ac:dyDescent="0.3">
      <c r="B419" s="516">
        <v>92759</v>
      </c>
      <c r="C419" s="573" t="s">
        <v>309</v>
      </c>
      <c r="D419" s="516" t="s">
        <v>861</v>
      </c>
      <c r="E419" s="593" t="str" cm="1">
        <f t="array" ref="E419">UPPER(IF(C419="COMPOSIÇÃO",_xlfn.XLOOKUP($B419,A:A,E:E,),IF(C419="COTAÇÃO",VLOOKUP($B419,COTAÇÕES!$A$11:$E$37,2,0),BuscarCampoAccess("Descricao",B419,B.A_SINAPI,B.M_SINAPI,C419))))</f>
        <v>ERRO: CONEXÃO NÃO ESTABELECIDA. CLIQUE EM CONECTAR.</v>
      </c>
      <c r="F419" s="594" t="str" cm="1">
        <f t="array" ref="F419">UPPER(IF(C419="COMPOSIÇÃO",_xlfn.XLOOKUP($B419,A:A,F:F,),IF(C419="COTAÇÃO",VLOOKUP($B419,COTAÇÕES!$A$11:$E$37,3,0),BuscarCampoAccess("Unidade",B419,B.A_SINAPI,B.M_SINAPI,C419))))</f>
        <v>ERRO: CONEXÃO NÃO ESTABELECIDA. CLIQUE EM CONECTAR.</v>
      </c>
      <c r="G419" s="517">
        <v>8.1999999999999993</v>
      </c>
      <c r="H419" s="582" t="str" cm="1">
        <f t="array" ref="H419">UPPER(IF(C419="COMPOSIÇÃO",_xlfn.XLOOKUP($B419,A:A,I:I,),IF(C419="COTAÇÃO",VLOOKUP($B419,COTAÇÕES!$A$11:$E$37,5,0),BuscarCampoAccess("Custo",B419,B.A_SINAPI,B.M_SINAPI,C419))))</f>
        <v>ERRO: CONEXÃO NÃO ESTABELECIDA. CLIQUE EM CONECTAR.</v>
      </c>
      <c r="I419" s="583" t="e">
        <f t="shared" si="36"/>
        <v>#VALUE!</v>
      </c>
      <c r="K419" s="529" t="str">
        <f>IF(A419=B419,IFERROR(VLOOKUP(B419,#REF!,1,0),"-"),"-")</f>
        <v>-</v>
      </c>
      <c r="L419" s="304">
        <f t="shared" si="33"/>
        <v>1</v>
      </c>
      <c r="M419" s="304" t="str">
        <f t="shared" si="34"/>
        <v>-</v>
      </c>
    </row>
    <row r="420" spans="2:13" ht="63.75" x14ac:dyDescent="0.3">
      <c r="B420" s="516">
        <v>92761</v>
      </c>
      <c r="C420" s="573" t="s">
        <v>309</v>
      </c>
      <c r="D420" s="516" t="s">
        <v>861</v>
      </c>
      <c r="E420" s="593" t="str" cm="1">
        <f t="array" ref="E420">UPPER(IF(C420="COMPOSIÇÃO",_xlfn.XLOOKUP($B420,A:A,E:E,),IF(C420="COTAÇÃO",VLOOKUP($B420,COTAÇÕES!$A$11:$E$37,2,0),BuscarCampoAccess("Descricao",B420,B.A_SINAPI,B.M_SINAPI,C420))))</f>
        <v>ERRO: CONEXÃO NÃO ESTABELECIDA. CLIQUE EM CONECTAR.</v>
      </c>
      <c r="F420" s="594" t="str" cm="1">
        <f t="array" ref="F420">UPPER(IF(C420="COMPOSIÇÃO",_xlfn.XLOOKUP($B420,A:A,F:F,),IF(C420="COTAÇÃO",VLOOKUP($B420,COTAÇÕES!$A$11:$E$37,3,0),BuscarCampoAccess("Unidade",B420,B.A_SINAPI,B.M_SINAPI,C420))))</f>
        <v>ERRO: CONEXÃO NÃO ESTABELECIDA. CLIQUE EM CONECTAR.</v>
      </c>
      <c r="G420" s="517">
        <v>14.9</v>
      </c>
      <c r="H420" s="582" t="str" cm="1">
        <f t="array" ref="H420">UPPER(IF(C420="COMPOSIÇÃO",_xlfn.XLOOKUP($B420,A:A,I:I,),IF(C420="COTAÇÃO",VLOOKUP($B420,COTAÇÕES!$A$11:$E$37,5,0),BuscarCampoAccess("Custo",B420,B.A_SINAPI,B.M_SINAPI,C420))))</f>
        <v>ERRO: CONEXÃO NÃO ESTABELECIDA. CLIQUE EM CONECTAR.</v>
      </c>
      <c r="I420" s="583" t="e">
        <f t="shared" si="36"/>
        <v>#VALUE!</v>
      </c>
      <c r="K420" s="529" t="str">
        <f>IF(A420=B420,IFERROR(VLOOKUP(B420,#REF!,1,0),"-"),"-")</f>
        <v>-</v>
      </c>
      <c r="L420" s="304">
        <f t="shared" si="33"/>
        <v>1</v>
      </c>
      <c r="M420" s="304" t="str">
        <f t="shared" si="34"/>
        <v>-</v>
      </c>
    </row>
    <row r="421" spans="2:13" ht="63.75" x14ac:dyDescent="0.3">
      <c r="B421" s="516">
        <v>92762</v>
      </c>
      <c r="C421" s="573" t="s">
        <v>309</v>
      </c>
      <c r="D421" s="516" t="s">
        <v>861</v>
      </c>
      <c r="E421" s="593" t="str" cm="1">
        <f t="array" ref="E421">UPPER(IF(C421="COMPOSIÇÃO",_xlfn.XLOOKUP($B421,A:A,E:E,),IF(C421="COTAÇÃO",VLOOKUP($B421,COTAÇÕES!$A$11:$E$37,2,0),BuscarCampoAccess("Descricao",B421,B.A_SINAPI,B.M_SINAPI,C421))))</f>
        <v>ERRO: CONEXÃO NÃO ESTABELECIDA. CLIQUE EM CONECTAR.</v>
      </c>
      <c r="F421" s="594" t="str" cm="1">
        <f t="array" ref="F421">UPPER(IF(C421="COMPOSIÇÃO",_xlfn.XLOOKUP($B421,A:A,F:F,),IF(C421="COTAÇÃO",VLOOKUP($B421,COTAÇÕES!$A$11:$E$37,3,0),BuscarCampoAccess("Unidade",B421,B.A_SINAPI,B.M_SINAPI,C421))))</f>
        <v>ERRO: CONEXÃO NÃO ESTABELECIDA. CLIQUE EM CONECTAR.</v>
      </c>
      <c r="G421" s="517">
        <v>8.5</v>
      </c>
      <c r="H421" s="582" t="str" cm="1">
        <f t="array" ref="H421">UPPER(IF(C421="COMPOSIÇÃO",_xlfn.XLOOKUP($B421,A:A,I:I,),IF(C421="COTAÇÃO",VLOOKUP($B421,COTAÇÕES!$A$11:$E$37,5,0),BuscarCampoAccess("Custo",B421,B.A_SINAPI,B.M_SINAPI,C421))))</f>
        <v>ERRO: CONEXÃO NÃO ESTABELECIDA. CLIQUE EM CONECTAR.</v>
      </c>
      <c r="I421" s="583" t="e">
        <f t="shared" si="36"/>
        <v>#VALUE!</v>
      </c>
      <c r="K421" s="529" t="str">
        <f>IF(A421=B421,IFERROR(VLOOKUP(B421,#REF!,1,0),"-"),"-")</f>
        <v>-</v>
      </c>
      <c r="L421" s="304">
        <f t="shared" si="33"/>
        <v>1</v>
      </c>
      <c r="M421" s="304" t="str">
        <f t="shared" si="34"/>
        <v>-</v>
      </c>
    </row>
    <row r="422" spans="2:13" ht="63.75" x14ac:dyDescent="0.3">
      <c r="B422" s="516">
        <v>94965</v>
      </c>
      <c r="C422" s="573" t="s">
        <v>309</v>
      </c>
      <c r="D422" s="516" t="s">
        <v>861</v>
      </c>
      <c r="E422" s="593" t="str" cm="1">
        <f t="array" ref="E422">UPPER(IF(C422="COMPOSIÇÃO",_xlfn.XLOOKUP($B422,A:A,E:E,),IF(C422="COTAÇÃO",VLOOKUP($B422,COTAÇÕES!$A$11:$E$37,2,0),BuscarCampoAccess("Descricao",B422,B.A_SINAPI,B.M_SINAPI,C422))))</f>
        <v>ERRO: CONEXÃO NÃO ESTABELECIDA. CLIQUE EM CONECTAR.</v>
      </c>
      <c r="F422" s="594" t="str" cm="1">
        <f t="array" ref="F422">UPPER(IF(C422="COMPOSIÇÃO",_xlfn.XLOOKUP($B422,A:A,F:F,),IF(C422="COTAÇÃO",VLOOKUP($B422,COTAÇÕES!$A$11:$E$37,3,0),BuscarCampoAccess("Unidade",B422,B.A_SINAPI,B.M_SINAPI,C422))))</f>
        <v>ERRO: CONEXÃO NÃO ESTABELECIDA. CLIQUE EM CONECTAR.</v>
      </c>
      <c r="G422" s="517">
        <v>0.47</v>
      </c>
      <c r="H422" s="582" t="str" cm="1">
        <f t="array" ref="H422">UPPER(IF(C422="COMPOSIÇÃO",_xlfn.XLOOKUP($B422,A:A,I:I,),IF(C422="COTAÇÃO",VLOOKUP($B422,COTAÇÕES!$A$11:$E$37,5,0),BuscarCampoAccess("Custo",B422,B.A_SINAPI,B.M_SINAPI,C422))))</f>
        <v>ERRO: CONEXÃO NÃO ESTABELECIDA. CLIQUE EM CONECTAR.</v>
      </c>
      <c r="I422" s="583" t="e">
        <f t="shared" si="36"/>
        <v>#VALUE!</v>
      </c>
      <c r="K422" s="529" t="str">
        <f>IF(A422=B422,IFERROR(VLOOKUP(B422,#REF!,1,0),"-"),"-")</f>
        <v>-</v>
      </c>
      <c r="L422" s="304">
        <f t="shared" si="33"/>
        <v>1</v>
      </c>
      <c r="M422" s="304" t="str">
        <f t="shared" si="34"/>
        <v>-</v>
      </c>
    </row>
    <row r="423" spans="2:13" ht="63.75" x14ac:dyDescent="0.3">
      <c r="B423" s="516">
        <v>103670</v>
      </c>
      <c r="C423" s="573" t="s">
        <v>309</v>
      </c>
      <c r="D423" s="516" t="s">
        <v>861</v>
      </c>
      <c r="E423" s="593" t="str" cm="1">
        <f t="array" ref="E423">UPPER(IF(C423="COMPOSIÇÃO",_xlfn.XLOOKUP($B423,A:A,E:E,),IF(C423="COTAÇÃO",VLOOKUP($B423,COTAÇÕES!$A$11:$E$37,2,0),BuscarCampoAccess("Descricao",B423,B.A_SINAPI,B.M_SINAPI,C423))))</f>
        <v>ERRO: CONEXÃO NÃO ESTABELECIDA. CLIQUE EM CONECTAR.</v>
      </c>
      <c r="F423" s="594" t="str" cm="1">
        <f t="array" ref="F423">UPPER(IF(C423="COMPOSIÇÃO",_xlfn.XLOOKUP($B423,A:A,F:F,),IF(C423="COTAÇÃO",VLOOKUP($B423,COTAÇÕES!$A$11:$E$37,3,0),BuscarCampoAccess("Unidade",B423,B.A_SINAPI,B.M_SINAPI,C423))))</f>
        <v>ERRO: CONEXÃO NÃO ESTABELECIDA. CLIQUE EM CONECTAR.</v>
      </c>
      <c r="G423" s="517">
        <v>0.47</v>
      </c>
      <c r="H423" s="582" t="str" cm="1">
        <f t="array" ref="H423">UPPER(IF(C423="COMPOSIÇÃO",_xlfn.XLOOKUP($B423,A:A,I:I,),IF(C423="COTAÇÃO",VLOOKUP($B423,COTAÇÕES!$A$11:$E$37,5,0),BuscarCampoAccess("Custo",B423,B.A_SINAPI,B.M_SINAPI,C423))))</f>
        <v>ERRO: CONEXÃO NÃO ESTABELECIDA. CLIQUE EM CONECTAR.</v>
      </c>
      <c r="I423" s="583" t="e">
        <f t="shared" si="36"/>
        <v>#VALUE!</v>
      </c>
      <c r="K423" s="529" t="str">
        <f>IF(A423=B423,IFERROR(VLOOKUP(B423,#REF!,1,0),"-"),"-")</f>
        <v>-</v>
      </c>
      <c r="L423" s="304">
        <f t="shared" si="33"/>
        <v>1</v>
      </c>
      <c r="M423" s="304" t="str">
        <f t="shared" si="34"/>
        <v>-</v>
      </c>
    </row>
    <row r="424" spans="2:13" ht="63.75" x14ac:dyDescent="0.3">
      <c r="B424" s="516">
        <v>98557</v>
      </c>
      <c r="C424" s="573" t="s">
        <v>309</v>
      </c>
      <c r="D424" s="516" t="s">
        <v>861</v>
      </c>
      <c r="E424" s="593" t="str" cm="1">
        <f t="array" ref="E424">UPPER(IF(C424="COMPOSIÇÃO",_xlfn.XLOOKUP($B424,A:A,E:E,),IF(C424="COTAÇÃO",VLOOKUP($B424,COTAÇÕES!$A$11:$E$37,2,0),BuscarCampoAccess("Descricao",B424,B.A_SINAPI,B.M_SINAPI,C424))))</f>
        <v>ERRO: CONEXÃO NÃO ESTABELECIDA. CLIQUE EM CONECTAR.</v>
      </c>
      <c r="F424" s="594" t="str" cm="1">
        <f t="array" ref="F424">UPPER(IF(C424="COMPOSIÇÃO",_xlfn.XLOOKUP($B424,A:A,F:F,),IF(C424="COTAÇÃO",VLOOKUP($B424,COTAÇÕES!$A$11:$E$37,3,0),BuscarCampoAccess("Unidade",B424,B.A_SINAPI,B.M_SINAPI,C424))))</f>
        <v>ERRO: CONEXÃO NÃO ESTABELECIDA. CLIQUE EM CONECTAR.</v>
      </c>
      <c r="G424" s="517">
        <v>5.97</v>
      </c>
      <c r="H424" s="582" t="str" cm="1">
        <f t="array" ref="H424">UPPER(IF(C424="COMPOSIÇÃO",_xlfn.XLOOKUP($B424,A:A,I:I,),IF(C424="COTAÇÃO",VLOOKUP($B424,COTAÇÕES!$A$11:$E$37,5,0),BuscarCampoAccess("Custo",B424,B.A_SINAPI,B.M_SINAPI,C424))))</f>
        <v>ERRO: CONEXÃO NÃO ESTABELECIDA. CLIQUE EM CONECTAR.</v>
      </c>
      <c r="I424" s="583" t="e">
        <f t="shared" si="36"/>
        <v>#VALUE!</v>
      </c>
      <c r="K424" s="529" t="str">
        <f>IF(A424=B424,IFERROR(VLOOKUP(B424,#REF!,1,0),"-"),"-")</f>
        <v>-</v>
      </c>
      <c r="L424" s="304">
        <f t="shared" si="33"/>
        <v>1</v>
      </c>
      <c r="M424" s="304" t="str">
        <f t="shared" si="34"/>
        <v>-</v>
      </c>
    </row>
    <row r="425" spans="2:13" ht="63.75" x14ac:dyDescent="0.3">
      <c r="B425" s="516">
        <v>93382</v>
      </c>
      <c r="C425" s="573" t="s">
        <v>309</v>
      </c>
      <c r="D425" s="516" t="s">
        <v>861</v>
      </c>
      <c r="E425" s="593" t="str" cm="1">
        <f t="array" ref="E425">UPPER(IF(C425="COMPOSIÇÃO",_xlfn.XLOOKUP($B425,A:A,E:E,),IF(C425="COTAÇÃO",VLOOKUP($B425,COTAÇÕES!$A$11:$E$37,2,0),BuscarCampoAccess("Descricao",B425,B.A_SINAPI,B.M_SINAPI,C425))))</f>
        <v>ERRO: CONEXÃO NÃO ESTABELECIDA. CLIQUE EM CONECTAR.</v>
      </c>
      <c r="F425" s="594" t="str" cm="1">
        <f t="array" ref="F425">UPPER(IF(C425="COMPOSIÇÃO",_xlfn.XLOOKUP($B425,A:A,F:F,),IF(C425="COTAÇÃO",VLOOKUP($B425,COTAÇÕES!$A$11:$E$37,3,0),BuscarCampoAccess("Unidade",B425,B.A_SINAPI,B.M_SINAPI,C425))))</f>
        <v>ERRO: CONEXÃO NÃO ESTABELECIDA. CLIQUE EM CONECTAR.</v>
      </c>
      <c r="G425" s="517">
        <v>0.24</v>
      </c>
      <c r="H425" s="582" t="str" cm="1">
        <f t="array" ref="H425">UPPER(IF(C425="COMPOSIÇÃO",_xlfn.XLOOKUP($B425,A:A,I:I,),IF(C425="COTAÇÃO",VLOOKUP($B425,COTAÇÕES!$A$11:$E$37,5,0),BuscarCampoAccess("Custo",B425,B.A_SINAPI,B.M_SINAPI,C425))))</f>
        <v>ERRO: CONEXÃO NÃO ESTABELECIDA. CLIQUE EM CONECTAR.</v>
      </c>
      <c r="I425" s="583" t="e">
        <f t="shared" si="36"/>
        <v>#VALUE!</v>
      </c>
      <c r="K425" s="529" t="str">
        <f>IF(A425=B425,IFERROR(VLOOKUP(B425,#REF!,1,0),"-"),"-")</f>
        <v>-</v>
      </c>
      <c r="L425" s="304">
        <f t="shared" si="33"/>
        <v>1</v>
      </c>
      <c r="M425" s="304" t="str">
        <f t="shared" si="34"/>
        <v>-</v>
      </c>
    </row>
    <row r="426" spans="2:13" x14ac:dyDescent="0.3">
      <c r="B426" s="574" t="s">
        <v>1271</v>
      </c>
      <c r="C426" s="575"/>
      <c r="D426" s="576"/>
      <c r="E426" s="577"/>
      <c r="F426" s="578"/>
      <c r="G426" s="517"/>
      <c r="H426" s="580"/>
      <c r="I426" s="581"/>
      <c r="K426" s="529" t="str">
        <f>IF(A426=B426,IFERROR(VLOOKUP(B426,#REF!,1,0),"-"),"-")</f>
        <v>-</v>
      </c>
      <c r="L426" s="304">
        <f t="shared" si="33"/>
        <v>1</v>
      </c>
      <c r="M426" s="304" t="str">
        <f t="shared" si="34"/>
        <v>-</v>
      </c>
    </row>
    <row r="427" spans="2:13" ht="63.75" x14ac:dyDescent="0.3">
      <c r="B427" s="516">
        <v>92770</v>
      </c>
      <c r="C427" s="573" t="s">
        <v>309</v>
      </c>
      <c r="D427" s="516" t="s">
        <v>861</v>
      </c>
      <c r="E427" s="593" t="str" cm="1">
        <f t="array" ref="E427">UPPER(IF(C427="COMPOSIÇÃO",_xlfn.XLOOKUP($B427,A:A,E:E,),IF(C427="COTAÇÃO",VLOOKUP($B427,COTAÇÕES!$A$11:$E$37,2,0),BuscarCampoAccess("Descricao",B427,B.A_SINAPI,B.M_SINAPI,C427))))</f>
        <v>ERRO: CONEXÃO NÃO ESTABELECIDA. CLIQUE EM CONECTAR.</v>
      </c>
      <c r="F427" s="594" t="str" cm="1">
        <f t="array" ref="F427">UPPER(IF(C427="COMPOSIÇÃO",_xlfn.XLOOKUP($B427,A:A,F:F,),IF(C427="COTAÇÃO",VLOOKUP($B427,COTAÇÕES!$A$11:$E$37,3,0),BuscarCampoAccess("Unidade",B427,B.A_SINAPI,B.M_SINAPI,C427))))</f>
        <v>ERRO: CONEXÃO NÃO ESTABELECIDA. CLIQUE EM CONECTAR.</v>
      </c>
      <c r="G427" s="517">
        <v>72.599999999999994</v>
      </c>
      <c r="H427" s="582" t="str" cm="1">
        <f t="array" ref="H427">UPPER(IF(C427="COMPOSIÇÃO",_xlfn.XLOOKUP($B427,A:A,I:I,),IF(C427="COTAÇÃO",VLOOKUP($B427,COTAÇÕES!$A$11:$E$37,5,0),BuscarCampoAccess("Custo",B427,B.A_SINAPI,B.M_SINAPI,C427))))</f>
        <v>ERRO: CONEXÃO NÃO ESTABELECIDA. CLIQUE EM CONECTAR.</v>
      </c>
      <c r="I427" s="583" t="e">
        <f t="shared" si="36"/>
        <v>#VALUE!</v>
      </c>
      <c r="K427" s="529" t="str">
        <f>IF(A427=B427,IFERROR(VLOOKUP(B427,#REF!,1,0),"-"),"-")</f>
        <v>-</v>
      </c>
      <c r="L427" s="304">
        <f t="shared" si="33"/>
        <v>1</v>
      </c>
      <c r="M427" s="304" t="str">
        <f t="shared" si="34"/>
        <v>-</v>
      </c>
    </row>
    <row r="428" spans="2:13" ht="63.75" x14ac:dyDescent="0.3">
      <c r="B428" s="516">
        <v>94965</v>
      </c>
      <c r="C428" s="573" t="s">
        <v>309</v>
      </c>
      <c r="D428" s="516" t="s">
        <v>861</v>
      </c>
      <c r="E428" s="593" t="str" cm="1">
        <f t="array" ref="E428">UPPER(IF(C428="COMPOSIÇÃO",_xlfn.XLOOKUP($B428,A:A,E:E,),IF(C428="COTAÇÃO",VLOOKUP($B428,COTAÇÕES!$A$11:$E$37,2,0),BuscarCampoAccess("Descricao",B428,B.A_SINAPI,B.M_SINAPI,C428))))</f>
        <v>ERRO: CONEXÃO NÃO ESTABELECIDA. CLIQUE EM CONECTAR.</v>
      </c>
      <c r="F428" s="594" t="str" cm="1">
        <f t="array" ref="F428">UPPER(IF(C428="COMPOSIÇÃO",_xlfn.XLOOKUP($B428,A:A,F:F,),IF(C428="COTAÇÃO",VLOOKUP($B428,COTAÇÕES!$A$11:$E$37,3,0),BuscarCampoAccess("Unidade",B428,B.A_SINAPI,B.M_SINAPI,C428))))</f>
        <v>ERRO: CONEXÃO NÃO ESTABELECIDA. CLIQUE EM CONECTAR.</v>
      </c>
      <c r="G428" s="517">
        <v>0.6</v>
      </c>
      <c r="H428" s="582" t="str" cm="1">
        <f t="array" ref="H428">UPPER(IF(C428="COMPOSIÇÃO",_xlfn.XLOOKUP($B428,A:A,I:I,),IF(C428="COTAÇÃO",VLOOKUP($B428,COTAÇÕES!$A$11:$E$37,5,0),BuscarCampoAccess("Custo",B428,B.A_SINAPI,B.M_SINAPI,C428))))</f>
        <v>ERRO: CONEXÃO NÃO ESTABELECIDA. CLIQUE EM CONECTAR.</v>
      </c>
      <c r="I428" s="583" t="e">
        <f t="shared" si="36"/>
        <v>#VALUE!</v>
      </c>
      <c r="K428" s="529" t="str">
        <f>IF(A428=B428,IFERROR(VLOOKUP(B428,#REF!,1,0),"-"),"-")</f>
        <v>-</v>
      </c>
      <c r="L428" s="304">
        <f t="shared" si="33"/>
        <v>1</v>
      </c>
      <c r="M428" s="304" t="str">
        <f t="shared" si="34"/>
        <v>-</v>
      </c>
    </row>
    <row r="429" spans="2:13" ht="63.75" x14ac:dyDescent="0.3">
      <c r="B429" s="516">
        <v>103673</v>
      </c>
      <c r="C429" s="573" t="s">
        <v>309</v>
      </c>
      <c r="D429" s="516" t="s">
        <v>861</v>
      </c>
      <c r="E429" s="593" t="str" cm="1">
        <f t="array" ref="E429">UPPER(IF(C429="COMPOSIÇÃO",_xlfn.XLOOKUP($B429,A:A,E:E,),IF(C429="COTAÇÃO",VLOOKUP($B429,COTAÇÕES!$A$11:$E$37,2,0),BuscarCampoAccess("Descricao",B429,B.A_SINAPI,B.M_SINAPI,C429))))</f>
        <v>ERRO: CONEXÃO NÃO ESTABELECIDA. CLIQUE EM CONECTAR.</v>
      </c>
      <c r="F429" s="594" t="str" cm="1">
        <f t="array" ref="F429">UPPER(IF(C429="COMPOSIÇÃO",_xlfn.XLOOKUP($B429,A:A,F:F,),IF(C429="COTAÇÃO",VLOOKUP($B429,COTAÇÕES!$A$11:$E$37,3,0),BuscarCampoAccess("Unidade",B429,B.A_SINAPI,B.M_SINAPI,C429))))</f>
        <v>ERRO: CONEXÃO NÃO ESTABELECIDA. CLIQUE EM CONECTAR.</v>
      </c>
      <c r="G429" s="517">
        <v>0.6</v>
      </c>
      <c r="H429" s="582" t="str" cm="1">
        <f t="array" ref="H429">UPPER(IF(C429="COMPOSIÇÃO",_xlfn.XLOOKUP($B429,A:A,I:I,),IF(C429="COTAÇÃO",VLOOKUP($B429,COTAÇÕES!$A$11:$E$37,5,0),BuscarCampoAccess("Custo",B429,B.A_SINAPI,B.M_SINAPI,C429))))</f>
        <v>ERRO: CONEXÃO NÃO ESTABELECIDA. CLIQUE EM CONECTAR.</v>
      </c>
      <c r="I429" s="583" t="e">
        <f t="shared" si="36"/>
        <v>#VALUE!</v>
      </c>
      <c r="K429" s="529" t="str">
        <f>IF(A429=B429,IFERROR(VLOOKUP(B429,#REF!,1,0),"-"),"-")</f>
        <v>-</v>
      </c>
      <c r="L429" s="304">
        <f t="shared" si="33"/>
        <v>1</v>
      </c>
      <c r="M429" s="304" t="str">
        <f t="shared" si="34"/>
        <v>-</v>
      </c>
    </row>
    <row r="430" spans="2:13" x14ac:dyDescent="0.3">
      <c r="B430" s="574" t="s">
        <v>1272</v>
      </c>
      <c r="C430" s="575"/>
      <c r="D430" s="576"/>
      <c r="E430" s="577"/>
      <c r="F430" s="578"/>
      <c r="G430" s="517"/>
      <c r="H430" s="580"/>
      <c r="I430" s="581"/>
      <c r="K430" s="529" t="str">
        <f>IF(A430=B430,IFERROR(VLOOKUP(B430,#REF!,1,0),"-"),"-")</f>
        <v>-</v>
      </c>
      <c r="L430" s="304">
        <f t="shared" si="33"/>
        <v>1</v>
      </c>
      <c r="M430" s="304" t="str">
        <f t="shared" si="34"/>
        <v>-</v>
      </c>
    </row>
    <row r="431" spans="2:13" ht="63.75" x14ac:dyDescent="0.3">
      <c r="B431" s="516">
        <v>92443</v>
      </c>
      <c r="C431" s="573" t="s">
        <v>309</v>
      </c>
      <c r="D431" s="516" t="s">
        <v>861</v>
      </c>
      <c r="E431" s="593" t="str" cm="1">
        <f t="array" ref="E431">UPPER(IF(C431="COMPOSIÇÃO",_xlfn.XLOOKUP($B431,A:A,E:E,),IF(C431="COTAÇÃO",VLOOKUP($B431,COTAÇÕES!$A$11:$E$37,2,0),BuscarCampoAccess("Descricao",B431,B.A_SINAPI,B.M_SINAPI,C431))))</f>
        <v>ERRO: CONEXÃO NÃO ESTABELECIDA. CLIQUE EM CONECTAR.</v>
      </c>
      <c r="F431" s="594" t="str" cm="1">
        <f t="array" ref="F431">UPPER(IF(C431="COMPOSIÇÃO",_xlfn.XLOOKUP($B431,A:A,F:F,),IF(C431="COTAÇÃO",VLOOKUP($B431,COTAÇÕES!$A$11:$E$37,3,0),BuscarCampoAccess("Unidade",B431,B.A_SINAPI,B.M_SINAPI,C431))))</f>
        <v>ERRO: CONEXÃO NÃO ESTABELECIDA. CLIQUE EM CONECTAR.</v>
      </c>
      <c r="G431" s="517">
        <v>4.08</v>
      </c>
      <c r="H431" s="582" t="str" cm="1">
        <f t="array" ref="H431">UPPER(IF(C431="COMPOSIÇÃO",_xlfn.XLOOKUP($B431,A:A,I:I,),IF(C431="COTAÇÃO",VLOOKUP($B431,COTAÇÕES!$A$11:$E$37,5,0),BuscarCampoAccess("Custo",B431,B.A_SINAPI,B.M_SINAPI,C431))))</f>
        <v>ERRO: CONEXÃO NÃO ESTABELECIDA. CLIQUE EM CONECTAR.</v>
      </c>
      <c r="I431" s="583" t="e">
        <f t="shared" si="36"/>
        <v>#VALUE!</v>
      </c>
      <c r="K431" s="529" t="str">
        <f>IF(A431=B431,IFERROR(VLOOKUP(B431,#REF!,1,0),"-"),"-")</f>
        <v>-</v>
      </c>
      <c r="L431" s="304">
        <f t="shared" si="33"/>
        <v>1</v>
      </c>
      <c r="M431" s="304" t="str">
        <f t="shared" si="34"/>
        <v>-</v>
      </c>
    </row>
    <row r="432" spans="2:13" ht="63.75" x14ac:dyDescent="0.3">
      <c r="B432" s="516">
        <v>92759</v>
      </c>
      <c r="C432" s="573" t="s">
        <v>309</v>
      </c>
      <c r="D432" s="516" t="s">
        <v>861</v>
      </c>
      <c r="E432" s="593" t="str" cm="1">
        <f t="array" ref="E432">UPPER(IF(C432="COMPOSIÇÃO",_xlfn.XLOOKUP($B432,A:A,E:E,),IF(C432="COTAÇÃO",VLOOKUP($B432,COTAÇÕES!$A$11:$E$37,2,0),BuscarCampoAccess("Descricao",B432,B.A_SINAPI,B.M_SINAPI,C432))))</f>
        <v>ERRO: CONEXÃO NÃO ESTABELECIDA. CLIQUE EM CONECTAR.</v>
      </c>
      <c r="F432" s="594" t="str" cm="1">
        <f t="array" ref="F432">UPPER(IF(C432="COMPOSIÇÃO",_xlfn.XLOOKUP($B432,A:A,F:F,),IF(C432="COTAÇÃO",VLOOKUP($B432,COTAÇÕES!$A$11:$E$37,3,0),BuscarCampoAccess("Unidade",B432,B.A_SINAPI,B.M_SINAPI,C432))))</f>
        <v>ERRO: CONEXÃO NÃO ESTABELECIDA. CLIQUE EM CONECTAR.</v>
      </c>
      <c r="G432" s="517">
        <v>5.8</v>
      </c>
      <c r="H432" s="582" t="str" cm="1">
        <f t="array" ref="H432">UPPER(IF(C432="COMPOSIÇÃO",_xlfn.XLOOKUP($B432,A:A,I:I,),IF(C432="COTAÇÃO",VLOOKUP($B432,COTAÇÕES!$A$11:$E$37,5,0),BuscarCampoAccess("Custo",B432,B.A_SINAPI,B.M_SINAPI,C432))))</f>
        <v>ERRO: CONEXÃO NÃO ESTABELECIDA. CLIQUE EM CONECTAR.</v>
      </c>
      <c r="I432" s="583" t="e">
        <f t="shared" si="36"/>
        <v>#VALUE!</v>
      </c>
      <c r="K432" s="529" t="str">
        <f>IF(A432=B432,IFERROR(VLOOKUP(B432,#REF!,1,0),"-"),"-")</f>
        <v>-</v>
      </c>
      <c r="L432" s="304">
        <f t="shared" si="33"/>
        <v>1</v>
      </c>
      <c r="M432" s="304" t="str">
        <f t="shared" si="34"/>
        <v>-</v>
      </c>
    </row>
    <row r="433" spans="2:13" ht="63.75" x14ac:dyDescent="0.3">
      <c r="B433" s="516">
        <v>92762</v>
      </c>
      <c r="C433" s="573" t="s">
        <v>309</v>
      </c>
      <c r="D433" s="516" t="s">
        <v>861</v>
      </c>
      <c r="E433" s="593" t="str" cm="1">
        <f t="array" ref="E433">UPPER(IF(C433="COMPOSIÇÃO",_xlfn.XLOOKUP($B433,A:A,E:E,),IF(C433="COTAÇÃO",VLOOKUP($B433,COTAÇÕES!$A$11:$E$37,2,0),BuscarCampoAccess("Descricao",B433,B.A_SINAPI,B.M_SINAPI,C433))))</f>
        <v>ERRO: CONEXÃO NÃO ESTABELECIDA. CLIQUE EM CONECTAR.</v>
      </c>
      <c r="F433" s="594" t="str" cm="1">
        <f t="array" ref="F433">UPPER(IF(C433="COMPOSIÇÃO",_xlfn.XLOOKUP($B433,A:A,F:F,),IF(C433="COTAÇÃO",VLOOKUP($B433,COTAÇÕES!$A$11:$E$37,3,0),BuscarCampoAccess("Unidade",B433,B.A_SINAPI,B.M_SINAPI,C433))))</f>
        <v>ERRO: CONEXÃO NÃO ESTABELECIDA. CLIQUE EM CONECTAR.</v>
      </c>
      <c r="G433" s="517">
        <v>14.6</v>
      </c>
      <c r="H433" s="582" t="str" cm="1">
        <f t="array" ref="H433">UPPER(IF(C433="COMPOSIÇÃO",_xlfn.XLOOKUP($B433,A:A,I:I,),IF(C433="COTAÇÃO",VLOOKUP($B433,COTAÇÕES!$A$11:$E$37,5,0),BuscarCampoAccess("Custo",B433,B.A_SINAPI,B.M_SINAPI,C433))))</f>
        <v>ERRO: CONEXÃO NÃO ESTABELECIDA. CLIQUE EM CONECTAR.</v>
      </c>
      <c r="I433" s="583" t="e">
        <f t="shared" si="36"/>
        <v>#VALUE!</v>
      </c>
      <c r="K433" s="529" t="str">
        <f>IF(A433=B433,IFERROR(VLOOKUP(B433,#REF!,1,0),"-"),"-")</f>
        <v>-</v>
      </c>
      <c r="L433" s="304">
        <f t="shared" si="33"/>
        <v>1</v>
      </c>
      <c r="M433" s="304" t="str">
        <f t="shared" si="34"/>
        <v>-</v>
      </c>
    </row>
    <row r="434" spans="2:13" ht="63.75" x14ac:dyDescent="0.3">
      <c r="B434" s="516">
        <v>94965</v>
      </c>
      <c r="C434" s="573" t="s">
        <v>309</v>
      </c>
      <c r="D434" s="516" t="s">
        <v>861</v>
      </c>
      <c r="E434" s="593" t="str" cm="1">
        <f t="array" ref="E434">UPPER(IF(C434="COMPOSIÇÃO",_xlfn.XLOOKUP($B434,A:A,E:E,),IF(C434="COTAÇÃO",VLOOKUP($B434,COTAÇÕES!$A$11:$E$37,2,0),BuscarCampoAccess("Descricao",B434,B.A_SINAPI,B.M_SINAPI,C434))))</f>
        <v>ERRO: CONEXÃO NÃO ESTABELECIDA. CLIQUE EM CONECTAR.</v>
      </c>
      <c r="F434" s="594" t="str" cm="1">
        <f t="array" ref="F434">UPPER(IF(C434="COMPOSIÇÃO",_xlfn.XLOOKUP($B434,A:A,F:F,),IF(C434="COTAÇÃO",VLOOKUP($B434,COTAÇÕES!$A$11:$E$37,3,0),BuscarCampoAccess("Unidade",B434,B.A_SINAPI,B.M_SINAPI,C434))))</f>
        <v>ERRO: CONEXÃO NÃO ESTABELECIDA. CLIQUE EM CONECTAR.</v>
      </c>
      <c r="G434" s="517">
        <v>0.17</v>
      </c>
      <c r="H434" s="582" t="str" cm="1">
        <f t="array" ref="H434">UPPER(IF(C434="COMPOSIÇÃO",_xlfn.XLOOKUP($B434,A:A,I:I,),IF(C434="COTAÇÃO",VLOOKUP($B434,COTAÇÕES!$A$11:$E$37,5,0),BuscarCampoAccess("Custo",B434,B.A_SINAPI,B.M_SINAPI,C434))))</f>
        <v>ERRO: CONEXÃO NÃO ESTABELECIDA. CLIQUE EM CONECTAR.</v>
      </c>
      <c r="I434" s="583" t="e">
        <f t="shared" si="36"/>
        <v>#VALUE!</v>
      </c>
      <c r="K434" s="529" t="str">
        <f>IF(A434=B434,IFERROR(VLOOKUP(B434,#REF!,1,0),"-"),"-")</f>
        <v>-</v>
      </c>
      <c r="L434" s="304">
        <f t="shared" si="33"/>
        <v>1</v>
      </c>
      <c r="M434" s="304" t="str">
        <f t="shared" si="34"/>
        <v>-</v>
      </c>
    </row>
    <row r="435" spans="2:13" ht="63.75" x14ac:dyDescent="0.3">
      <c r="B435" s="516">
        <v>103670</v>
      </c>
      <c r="C435" s="573" t="s">
        <v>309</v>
      </c>
      <c r="D435" s="516" t="s">
        <v>861</v>
      </c>
      <c r="E435" s="593" t="str" cm="1">
        <f t="array" ref="E435">UPPER(IF(C435="COMPOSIÇÃO",_xlfn.XLOOKUP($B435,A:A,E:E,),IF(C435="COTAÇÃO",VLOOKUP($B435,COTAÇÕES!$A$11:$E$37,2,0),BuscarCampoAccess("Descricao",B435,B.A_SINAPI,B.M_SINAPI,C435))))</f>
        <v>ERRO: CONEXÃO NÃO ESTABELECIDA. CLIQUE EM CONECTAR.</v>
      </c>
      <c r="F435" s="594" t="str" cm="1">
        <f t="array" ref="F435">UPPER(IF(C435="COMPOSIÇÃO",_xlfn.XLOOKUP($B435,A:A,F:F,),IF(C435="COTAÇÃO",VLOOKUP($B435,COTAÇÕES!$A$11:$E$37,3,0),BuscarCampoAccess("Unidade",B435,B.A_SINAPI,B.M_SINAPI,C435))))</f>
        <v>ERRO: CONEXÃO NÃO ESTABELECIDA. CLIQUE EM CONECTAR.</v>
      </c>
      <c r="G435" s="517">
        <v>0.17</v>
      </c>
      <c r="H435" s="582" t="str" cm="1">
        <f t="array" ref="H435">UPPER(IF(C435="COMPOSIÇÃO",_xlfn.XLOOKUP($B435,A:A,I:I,),IF(C435="COTAÇÃO",VLOOKUP($B435,COTAÇÕES!$A$11:$E$37,5,0),BuscarCampoAccess("Custo",B435,B.A_SINAPI,B.M_SINAPI,C435))))</f>
        <v>ERRO: CONEXÃO NÃO ESTABELECIDA. CLIQUE EM CONECTAR.</v>
      </c>
      <c r="I435" s="583" t="e">
        <f t="shared" si="36"/>
        <v>#VALUE!</v>
      </c>
      <c r="K435" s="529" t="str">
        <f>IF(A435=B435,IFERROR(VLOOKUP(B435,#REF!,1,0),"-"),"-")</f>
        <v>-</v>
      </c>
      <c r="L435" s="304">
        <f t="shared" si="33"/>
        <v>1</v>
      </c>
      <c r="M435" s="304" t="str">
        <f t="shared" si="34"/>
        <v>-</v>
      </c>
    </row>
    <row r="436" spans="2:13" x14ac:dyDescent="0.3">
      <c r="B436" s="574" t="s">
        <v>1279</v>
      </c>
      <c r="C436" s="575"/>
      <c r="D436" s="576"/>
      <c r="E436" s="577"/>
      <c r="F436" s="578"/>
      <c r="G436" s="517"/>
      <c r="H436" s="580"/>
      <c r="I436" s="581"/>
      <c r="K436" s="529" t="str">
        <f>IF(A436=B436,IFERROR(VLOOKUP(B436,#REF!,1,0),"-"),"-")</f>
        <v>-</v>
      </c>
      <c r="L436" s="304">
        <f t="shared" si="33"/>
        <v>1</v>
      </c>
      <c r="M436" s="304" t="str">
        <f t="shared" si="34"/>
        <v>-</v>
      </c>
    </row>
    <row r="437" spans="2:13" ht="63.75" x14ac:dyDescent="0.3">
      <c r="B437" s="516">
        <v>92479</v>
      </c>
      <c r="C437" s="573" t="s">
        <v>309</v>
      </c>
      <c r="D437" s="516" t="s">
        <v>861</v>
      </c>
      <c r="E437" s="593" t="str" cm="1">
        <f t="array" ref="E437">UPPER(IF(C437="COMPOSIÇÃO",_xlfn.XLOOKUP($B437,A:A,E:E,),IF(C437="COTAÇÃO",VLOOKUP($B437,COTAÇÕES!$A$11:$E$37,2,0),BuscarCampoAccess("Descricao",B437,B.A_SINAPI,B.M_SINAPI,C437))))</f>
        <v>ERRO: CONEXÃO NÃO ESTABELECIDA. CLIQUE EM CONECTAR.</v>
      </c>
      <c r="F437" s="594" t="str" cm="1">
        <f t="array" ref="F437">UPPER(IF(C437="COMPOSIÇÃO",_xlfn.XLOOKUP($B437,A:A,F:F,),IF(C437="COTAÇÃO",VLOOKUP($B437,COTAÇÕES!$A$11:$E$37,3,0),BuscarCampoAccess("Unidade",B437,B.A_SINAPI,B.M_SINAPI,C437))))</f>
        <v>ERRO: CONEXÃO NÃO ESTABELECIDA. CLIQUE EM CONECTAR.</v>
      </c>
      <c r="G437" s="517">
        <v>5.2</v>
      </c>
      <c r="H437" s="582" t="str" cm="1">
        <f t="array" ref="H437">UPPER(IF(C437="COMPOSIÇÃO",_xlfn.XLOOKUP($B437,A:A,I:I,),IF(C437="COTAÇÃO",VLOOKUP($B437,COTAÇÕES!$A$11:$E$37,5,0),BuscarCampoAccess("Custo",B437,B.A_SINAPI,B.M_SINAPI,C437))))</f>
        <v>ERRO: CONEXÃO NÃO ESTABELECIDA. CLIQUE EM CONECTAR.</v>
      </c>
      <c r="I437" s="583" t="e">
        <f t="shared" si="36"/>
        <v>#VALUE!</v>
      </c>
      <c r="K437" s="529" t="str">
        <f>IF(A437=B437,IFERROR(VLOOKUP(B437,#REF!,1,0),"-"),"-")</f>
        <v>-</v>
      </c>
      <c r="L437" s="304">
        <f t="shared" si="33"/>
        <v>1</v>
      </c>
      <c r="M437" s="304" t="str">
        <f t="shared" si="34"/>
        <v>-</v>
      </c>
    </row>
    <row r="438" spans="2:13" ht="63.75" x14ac:dyDescent="0.3">
      <c r="B438" s="516">
        <v>92759</v>
      </c>
      <c r="C438" s="573" t="s">
        <v>309</v>
      </c>
      <c r="D438" s="516" t="s">
        <v>861</v>
      </c>
      <c r="E438" s="593" t="str" cm="1">
        <f t="array" ref="E438">UPPER(IF(C438="COMPOSIÇÃO",_xlfn.XLOOKUP($B438,A:A,E:E,),IF(C438="COTAÇÃO",VLOOKUP($B438,COTAÇÕES!$A$11:$E$37,2,0),BuscarCampoAccess("Descricao",B438,B.A_SINAPI,B.M_SINAPI,C438))))</f>
        <v>ERRO: CONEXÃO NÃO ESTABELECIDA. CLIQUE EM CONECTAR.</v>
      </c>
      <c r="F438" s="594" t="str" cm="1">
        <f t="array" ref="F438">UPPER(IF(C438="COMPOSIÇÃO",_xlfn.XLOOKUP($B438,A:A,F:F,),IF(C438="COTAÇÃO",VLOOKUP($B438,COTAÇÕES!$A$11:$E$37,3,0),BuscarCampoAccess("Unidade",B438,B.A_SINAPI,B.M_SINAPI,C438))))</f>
        <v>ERRO: CONEXÃO NÃO ESTABELECIDA. CLIQUE EM CONECTAR.</v>
      </c>
      <c r="G438" s="517">
        <v>7</v>
      </c>
      <c r="H438" s="582" t="str" cm="1">
        <f t="array" ref="H438">UPPER(IF(C438="COMPOSIÇÃO",_xlfn.XLOOKUP($B438,A:A,I:I,),IF(C438="COTAÇÃO",VLOOKUP($B438,COTAÇÕES!$A$11:$E$37,5,0),BuscarCampoAccess("Custo",B438,B.A_SINAPI,B.M_SINAPI,C438))))</f>
        <v>ERRO: CONEXÃO NÃO ESTABELECIDA. CLIQUE EM CONECTAR.</v>
      </c>
      <c r="I438" s="583" t="e">
        <f t="shared" si="36"/>
        <v>#VALUE!</v>
      </c>
      <c r="K438" s="529" t="str">
        <f>IF(A438=B438,IFERROR(VLOOKUP(B438,#REF!,1,0),"-"),"-")</f>
        <v>-</v>
      </c>
      <c r="L438" s="304">
        <f t="shared" si="33"/>
        <v>1</v>
      </c>
      <c r="M438" s="304" t="str">
        <f t="shared" si="34"/>
        <v>-</v>
      </c>
    </row>
    <row r="439" spans="2:13" ht="63.75" x14ac:dyDescent="0.3">
      <c r="B439" s="516">
        <v>92761</v>
      </c>
      <c r="C439" s="573" t="s">
        <v>309</v>
      </c>
      <c r="D439" s="516" t="s">
        <v>861</v>
      </c>
      <c r="E439" s="593" t="str" cm="1">
        <f t="array" ref="E439">UPPER(IF(C439="COMPOSIÇÃO",_xlfn.XLOOKUP($B439,A:A,E:E,),IF(C439="COTAÇÃO",VLOOKUP($B439,COTAÇÕES!$A$11:$E$37,2,0),BuscarCampoAccess("Descricao",B439,B.A_SINAPI,B.M_SINAPI,C439))))</f>
        <v>ERRO: CONEXÃO NÃO ESTABELECIDA. CLIQUE EM CONECTAR.</v>
      </c>
      <c r="F439" s="594" t="str" cm="1">
        <f t="array" ref="F439">UPPER(IF(C439="COMPOSIÇÃO",_xlfn.XLOOKUP($B439,A:A,F:F,),IF(C439="COTAÇÃO",VLOOKUP($B439,COTAÇÕES!$A$11:$E$37,3,0),BuscarCampoAccess("Unidade",B439,B.A_SINAPI,B.M_SINAPI,C439))))</f>
        <v>ERRO: CONEXÃO NÃO ESTABELECIDA. CLIQUE EM CONECTAR.</v>
      </c>
      <c r="G439" s="517">
        <v>15.7</v>
      </c>
      <c r="H439" s="582" t="str" cm="1">
        <f t="array" ref="H439">UPPER(IF(C439="COMPOSIÇÃO",_xlfn.XLOOKUP($B439,A:A,I:I,),IF(C439="COTAÇÃO",VLOOKUP($B439,COTAÇÕES!$A$11:$E$37,5,0),BuscarCampoAccess("Custo",B439,B.A_SINAPI,B.M_SINAPI,C439))))</f>
        <v>ERRO: CONEXÃO NÃO ESTABELECIDA. CLIQUE EM CONECTAR.</v>
      </c>
      <c r="I439" s="583" t="e">
        <f t="shared" si="36"/>
        <v>#VALUE!</v>
      </c>
      <c r="K439" s="529" t="str">
        <f>IF(A439=B439,IFERROR(VLOOKUP(B439,#REF!,1,0),"-"),"-")</f>
        <v>-</v>
      </c>
      <c r="L439" s="304">
        <f t="shared" si="33"/>
        <v>1</v>
      </c>
      <c r="M439" s="304" t="str">
        <f t="shared" si="34"/>
        <v>-</v>
      </c>
    </row>
    <row r="440" spans="2:13" ht="63.75" x14ac:dyDescent="0.3">
      <c r="B440" s="516">
        <v>94965</v>
      </c>
      <c r="C440" s="573" t="s">
        <v>309</v>
      </c>
      <c r="D440" s="516" t="s">
        <v>861</v>
      </c>
      <c r="E440" s="593" t="str" cm="1">
        <f t="array" ref="E440">UPPER(IF(C440="COMPOSIÇÃO",_xlfn.XLOOKUP($B440,A:A,E:E,),IF(C440="COTAÇÃO",VLOOKUP($B440,COTAÇÕES!$A$11:$E$37,2,0),BuscarCampoAccess("Descricao",B440,B.A_SINAPI,B.M_SINAPI,C440))))</f>
        <v>ERRO: CONEXÃO NÃO ESTABELECIDA. CLIQUE EM CONECTAR.</v>
      </c>
      <c r="F440" s="594" t="str" cm="1">
        <f t="array" ref="F440">UPPER(IF(C440="COMPOSIÇÃO",_xlfn.XLOOKUP($B440,A:A,F:F,),IF(C440="COTAÇÃO",VLOOKUP($B440,COTAÇÕES!$A$11:$E$37,3,0),BuscarCampoAccess("Unidade",B440,B.A_SINAPI,B.M_SINAPI,C440))))</f>
        <v>ERRO: CONEXÃO NÃO ESTABELECIDA. CLIQUE EM CONECTAR.</v>
      </c>
      <c r="G440" s="517">
        <v>0.41</v>
      </c>
      <c r="H440" s="582" t="str" cm="1">
        <f t="array" ref="H440">UPPER(IF(C440="COMPOSIÇÃO",_xlfn.XLOOKUP($B440,A:A,I:I,),IF(C440="COTAÇÃO",VLOOKUP($B440,COTAÇÕES!$A$11:$E$37,5,0),BuscarCampoAccess("Custo",B440,B.A_SINAPI,B.M_SINAPI,C440))))</f>
        <v>ERRO: CONEXÃO NÃO ESTABELECIDA. CLIQUE EM CONECTAR.</v>
      </c>
      <c r="I440" s="583" t="e">
        <f t="shared" si="36"/>
        <v>#VALUE!</v>
      </c>
      <c r="K440" s="529" t="str">
        <f>IF(A440=B440,IFERROR(VLOOKUP(B440,#REF!,1,0),"-"),"-")</f>
        <v>-</v>
      </c>
      <c r="L440" s="304">
        <f t="shared" si="33"/>
        <v>1</v>
      </c>
      <c r="M440" s="304" t="str">
        <f t="shared" si="34"/>
        <v>-</v>
      </c>
    </row>
    <row r="441" spans="2:13" ht="63.75" x14ac:dyDescent="0.3">
      <c r="B441" s="516">
        <v>103670</v>
      </c>
      <c r="C441" s="573" t="s">
        <v>309</v>
      </c>
      <c r="D441" s="516" t="s">
        <v>861</v>
      </c>
      <c r="E441" s="593" t="str" cm="1">
        <f t="array" ref="E441">UPPER(IF(C441="COMPOSIÇÃO",_xlfn.XLOOKUP($B441,A:A,E:E,),IF(C441="COTAÇÃO",VLOOKUP($B441,COTAÇÕES!$A$11:$E$37,2,0),BuscarCampoAccess("Descricao",B441,B.A_SINAPI,B.M_SINAPI,C441))))</f>
        <v>ERRO: CONEXÃO NÃO ESTABELECIDA. CLIQUE EM CONECTAR.</v>
      </c>
      <c r="F441" s="594" t="str" cm="1">
        <f t="array" ref="F441">UPPER(IF(C441="COMPOSIÇÃO",_xlfn.XLOOKUP($B441,A:A,F:F,),IF(C441="COTAÇÃO",VLOOKUP($B441,COTAÇÕES!$A$11:$E$37,3,0),BuscarCampoAccess("Unidade",B441,B.A_SINAPI,B.M_SINAPI,C441))))</f>
        <v>ERRO: CONEXÃO NÃO ESTABELECIDA. CLIQUE EM CONECTAR.</v>
      </c>
      <c r="G441" s="517">
        <v>0.41</v>
      </c>
      <c r="H441" s="582" t="str" cm="1">
        <f t="array" ref="H441">UPPER(IF(C441="COMPOSIÇÃO",_xlfn.XLOOKUP($B441,A:A,I:I,),IF(C441="COTAÇÃO",VLOOKUP($B441,COTAÇÕES!$A$11:$E$37,5,0),BuscarCampoAccess("Custo",B441,B.A_SINAPI,B.M_SINAPI,C441))))</f>
        <v>ERRO: CONEXÃO NÃO ESTABELECIDA. CLIQUE EM CONECTAR.</v>
      </c>
      <c r="I441" s="583" t="e">
        <f t="shared" si="36"/>
        <v>#VALUE!</v>
      </c>
      <c r="K441" s="529" t="str">
        <f>IF(A441=B441,IFERROR(VLOOKUP(B441,#REF!,1,0),"-"),"-")</f>
        <v>-</v>
      </c>
      <c r="L441" s="304">
        <f t="shared" si="33"/>
        <v>1</v>
      </c>
      <c r="M441" s="304" t="str">
        <f t="shared" si="34"/>
        <v>-</v>
      </c>
    </row>
    <row r="442" spans="2:13" x14ac:dyDescent="0.3">
      <c r="B442" s="574" t="s">
        <v>1273</v>
      </c>
      <c r="C442" s="575"/>
      <c r="D442" s="576"/>
      <c r="E442" s="577"/>
      <c r="F442" s="578"/>
      <c r="G442" s="517"/>
      <c r="H442" s="580"/>
      <c r="I442" s="581"/>
      <c r="K442" s="529" t="str">
        <f>IF(A442=B442,IFERROR(VLOOKUP(B442,#REF!,1,0),"-"),"-")</f>
        <v>-</v>
      </c>
      <c r="L442" s="304">
        <f t="shared" si="33"/>
        <v>1</v>
      </c>
      <c r="M442" s="304" t="str">
        <f t="shared" si="34"/>
        <v>-</v>
      </c>
    </row>
    <row r="443" spans="2:13" ht="63.75" x14ac:dyDescent="0.3">
      <c r="B443" s="516">
        <v>92479</v>
      </c>
      <c r="C443" s="573" t="s">
        <v>309</v>
      </c>
      <c r="D443" s="516" t="s">
        <v>861</v>
      </c>
      <c r="E443" s="593" t="str" cm="1">
        <f t="array" ref="E443">UPPER(IF(C443="COMPOSIÇÃO",_xlfn.XLOOKUP($B443,A:A,E:E,),IF(C443="COTAÇÃO",VLOOKUP($B443,COTAÇÕES!$A$11:$E$37,2,0),BuscarCampoAccess("Descricao",B443,B.A_SINAPI,B.M_SINAPI,C443))))</f>
        <v>ERRO: CONEXÃO NÃO ESTABELECIDA. CLIQUE EM CONECTAR.</v>
      </c>
      <c r="F443" s="594" t="str" cm="1">
        <f t="array" ref="F443">UPPER(IF(C443="COMPOSIÇÃO",_xlfn.XLOOKUP($B443,A:A,F:F,),IF(C443="COTAÇÃO",VLOOKUP($B443,COTAÇÕES!$A$11:$E$37,3,0),BuscarCampoAccess("Unidade",B443,B.A_SINAPI,B.M_SINAPI,C443))))</f>
        <v>ERRO: CONEXÃO NÃO ESTABELECIDA. CLIQUE EM CONECTAR.</v>
      </c>
      <c r="G443" s="517">
        <v>5.2</v>
      </c>
      <c r="H443" s="582" t="str" cm="1">
        <f t="array" ref="H443">UPPER(IF(C443="COMPOSIÇÃO",_xlfn.XLOOKUP($B443,A:A,I:I,),IF(C443="COTAÇÃO",VLOOKUP($B443,COTAÇÕES!$A$11:$E$37,5,0),BuscarCampoAccess("Custo",B443,B.A_SINAPI,B.M_SINAPI,C443))))</f>
        <v>ERRO: CONEXÃO NÃO ESTABELECIDA. CLIQUE EM CONECTAR.</v>
      </c>
      <c r="I443" s="583" t="e">
        <f t="shared" si="36"/>
        <v>#VALUE!</v>
      </c>
      <c r="K443" s="529" t="str">
        <f>IF(A443=B443,IFERROR(VLOOKUP(B443,#REF!,1,0),"-"),"-")</f>
        <v>-</v>
      </c>
      <c r="L443" s="304">
        <f t="shared" si="33"/>
        <v>1</v>
      </c>
      <c r="M443" s="304" t="str">
        <f t="shared" si="34"/>
        <v>-</v>
      </c>
    </row>
    <row r="444" spans="2:13" ht="63.75" x14ac:dyDescent="0.3">
      <c r="B444" s="516">
        <v>92759</v>
      </c>
      <c r="C444" s="573" t="s">
        <v>309</v>
      </c>
      <c r="D444" s="516" t="s">
        <v>861</v>
      </c>
      <c r="E444" s="593" t="str" cm="1">
        <f t="array" ref="E444">UPPER(IF(C444="COMPOSIÇÃO",_xlfn.XLOOKUP($B444,A:A,E:E,),IF(C444="COTAÇÃO",VLOOKUP($B444,COTAÇÕES!$A$11:$E$37,2,0),BuscarCampoAccess("Descricao",B444,B.A_SINAPI,B.M_SINAPI,C444))))</f>
        <v>ERRO: CONEXÃO NÃO ESTABELECIDA. CLIQUE EM CONECTAR.</v>
      </c>
      <c r="F444" s="594" t="str" cm="1">
        <f t="array" ref="F444">UPPER(IF(C444="COMPOSIÇÃO",_xlfn.XLOOKUP($B444,A:A,F:F,),IF(C444="COTAÇÃO",VLOOKUP($B444,COTAÇÕES!$A$11:$E$37,3,0),BuscarCampoAccess("Unidade",B444,B.A_SINAPI,B.M_SINAPI,C444))))</f>
        <v>ERRO: CONEXÃO NÃO ESTABELECIDA. CLIQUE EM CONECTAR.</v>
      </c>
      <c r="G444" s="517">
        <v>7</v>
      </c>
      <c r="H444" s="582" t="str" cm="1">
        <f t="array" ref="H444">UPPER(IF(C444="COMPOSIÇÃO",_xlfn.XLOOKUP($B444,A:A,I:I,),IF(C444="COTAÇÃO",VLOOKUP($B444,COTAÇÕES!$A$11:$E$37,5,0),BuscarCampoAccess("Custo",B444,B.A_SINAPI,B.M_SINAPI,C444))))</f>
        <v>ERRO: CONEXÃO NÃO ESTABELECIDA. CLIQUE EM CONECTAR.</v>
      </c>
      <c r="I444" s="583" t="e">
        <f t="shared" si="36"/>
        <v>#VALUE!</v>
      </c>
      <c r="K444" s="529" t="str">
        <f>IF(A444=B444,IFERROR(VLOOKUP(B444,#REF!,1,0),"-"),"-")</f>
        <v>-</v>
      </c>
      <c r="L444" s="304">
        <f t="shared" si="33"/>
        <v>1</v>
      </c>
      <c r="M444" s="304" t="str">
        <f t="shared" si="34"/>
        <v>-</v>
      </c>
    </row>
    <row r="445" spans="2:13" ht="63.75" x14ac:dyDescent="0.3">
      <c r="B445" s="516">
        <v>92761</v>
      </c>
      <c r="C445" s="573" t="s">
        <v>309</v>
      </c>
      <c r="D445" s="516" t="s">
        <v>861</v>
      </c>
      <c r="E445" s="593" t="str" cm="1">
        <f t="array" ref="E445">UPPER(IF(C445="COMPOSIÇÃO",_xlfn.XLOOKUP($B445,A:A,E:E,),IF(C445="COTAÇÃO",VLOOKUP($B445,COTAÇÕES!$A$11:$E$37,2,0),BuscarCampoAccess("Descricao",B445,B.A_SINAPI,B.M_SINAPI,C445))))</f>
        <v>ERRO: CONEXÃO NÃO ESTABELECIDA. CLIQUE EM CONECTAR.</v>
      </c>
      <c r="F445" s="594" t="str" cm="1">
        <f t="array" ref="F445">UPPER(IF(C445="COMPOSIÇÃO",_xlfn.XLOOKUP($B445,A:A,F:F,),IF(C445="COTAÇÃO",VLOOKUP($B445,COTAÇÕES!$A$11:$E$37,3,0),BuscarCampoAccess("Unidade",B445,B.A_SINAPI,B.M_SINAPI,C445))))</f>
        <v>ERRO: CONEXÃO NÃO ESTABELECIDA. CLIQUE EM CONECTAR.</v>
      </c>
      <c r="G445" s="517">
        <v>15.7</v>
      </c>
      <c r="H445" s="582" t="str" cm="1">
        <f t="array" ref="H445">UPPER(IF(C445="COMPOSIÇÃO",_xlfn.XLOOKUP($B445,A:A,I:I,),IF(C445="COTAÇÃO",VLOOKUP($B445,COTAÇÕES!$A$11:$E$37,5,0),BuscarCampoAccess("Custo",B445,B.A_SINAPI,B.M_SINAPI,C445))))</f>
        <v>ERRO: CONEXÃO NÃO ESTABELECIDA. CLIQUE EM CONECTAR.</v>
      </c>
      <c r="I445" s="583" t="e">
        <f t="shared" si="36"/>
        <v>#VALUE!</v>
      </c>
      <c r="K445" s="529" t="str">
        <f>IF(A445=B445,IFERROR(VLOOKUP(B445,#REF!,1,0),"-"),"-")</f>
        <v>-</v>
      </c>
      <c r="L445" s="304">
        <f t="shared" si="33"/>
        <v>1</v>
      </c>
      <c r="M445" s="304" t="str">
        <f t="shared" si="34"/>
        <v>-</v>
      </c>
    </row>
    <row r="446" spans="2:13" ht="63.75" x14ac:dyDescent="0.3">
      <c r="B446" s="516">
        <v>94965</v>
      </c>
      <c r="C446" s="573" t="s">
        <v>309</v>
      </c>
      <c r="D446" s="516" t="s">
        <v>861</v>
      </c>
      <c r="E446" s="593" t="str" cm="1">
        <f t="array" ref="E446">UPPER(IF(C446="COMPOSIÇÃO",_xlfn.XLOOKUP($B446,A:A,E:E,),IF(C446="COTAÇÃO",VLOOKUP($B446,COTAÇÕES!$A$11:$E$37,2,0),BuscarCampoAccess("Descricao",B446,B.A_SINAPI,B.M_SINAPI,C446))))</f>
        <v>ERRO: CONEXÃO NÃO ESTABELECIDA. CLIQUE EM CONECTAR.</v>
      </c>
      <c r="F446" s="594" t="str" cm="1">
        <f t="array" ref="F446">UPPER(IF(C446="COMPOSIÇÃO",_xlfn.XLOOKUP($B446,A:A,F:F,),IF(C446="COTAÇÃO",VLOOKUP($B446,COTAÇÕES!$A$11:$E$37,3,0),BuscarCampoAccess("Unidade",B446,B.A_SINAPI,B.M_SINAPI,C446))))</f>
        <v>ERRO: CONEXÃO NÃO ESTABELECIDA. CLIQUE EM CONECTAR.</v>
      </c>
      <c r="G446" s="517">
        <v>0.41</v>
      </c>
      <c r="H446" s="582" t="str" cm="1">
        <f t="array" ref="H446">UPPER(IF(C446="COMPOSIÇÃO",_xlfn.XLOOKUP($B446,A:A,I:I,),IF(C446="COTAÇÃO",VLOOKUP($B446,COTAÇÕES!$A$11:$E$37,5,0),BuscarCampoAccess("Custo",B446,B.A_SINAPI,B.M_SINAPI,C446))))</f>
        <v>ERRO: CONEXÃO NÃO ESTABELECIDA. CLIQUE EM CONECTAR.</v>
      </c>
      <c r="I446" s="583" t="e">
        <f t="shared" si="36"/>
        <v>#VALUE!</v>
      </c>
      <c r="K446" s="529" t="str">
        <f>IF(A446=B446,IFERROR(VLOOKUP(B446,#REF!,1,0),"-"),"-")</f>
        <v>-</v>
      </c>
      <c r="L446" s="304">
        <f t="shared" si="33"/>
        <v>1</v>
      </c>
      <c r="M446" s="304" t="str">
        <f t="shared" si="34"/>
        <v>-</v>
      </c>
    </row>
    <row r="447" spans="2:13" ht="63.75" x14ac:dyDescent="0.3">
      <c r="B447" s="516">
        <v>103670</v>
      </c>
      <c r="C447" s="573" t="s">
        <v>309</v>
      </c>
      <c r="D447" s="516" t="s">
        <v>861</v>
      </c>
      <c r="E447" s="593" t="str" cm="1">
        <f t="array" ref="E447">UPPER(IF(C447="COMPOSIÇÃO",_xlfn.XLOOKUP($B447,A:A,E:E,),IF(C447="COTAÇÃO",VLOOKUP($B447,COTAÇÕES!$A$11:$E$37,2,0),BuscarCampoAccess("Descricao",B447,B.A_SINAPI,B.M_SINAPI,C447))))</f>
        <v>ERRO: CONEXÃO NÃO ESTABELECIDA. CLIQUE EM CONECTAR.</v>
      </c>
      <c r="F447" s="594" t="str" cm="1">
        <f t="array" ref="F447">UPPER(IF(C447="COMPOSIÇÃO",_xlfn.XLOOKUP($B447,A:A,F:F,),IF(C447="COTAÇÃO",VLOOKUP($B447,COTAÇÕES!$A$11:$E$37,3,0),BuscarCampoAccess("Unidade",B447,B.A_SINAPI,B.M_SINAPI,C447))))</f>
        <v>ERRO: CONEXÃO NÃO ESTABELECIDA. CLIQUE EM CONECTAR.</v>
      </c>
      <c r="G447" s="517">
        <v>0.41</v>
      </c>
      <c r="H447" s="582" t="str" cm="1">
        <f t="array" ref="H447">UPPER(IF(C447="COMPOSIÇÃO",_xlfn.XLOOKUP($B447,A:A,I:I,),IF(C447="COTAÇÃO",VLOOKUP($B447,COTAÇÕES!$A$11:$E$37,5,0),BuscarCampoAccess("Custo",B447,B.A_SINAPI,B.M_SINAPI,C447))))</f>
        <v>ERRO: CONEXÃO NÃO ESTABELECIDA. CLIQUE EM CONECTAR.</v>
      </c>
      <c r="I447" s="583" t="e">
        <f t="shared" si="36"/>
        <v>#VALUE!</v>
      </c>
      <c r="K447" s="529" t="str">
        <f>IF(A447=B447,IFERROR(VLOOKUP(B447,#REF!,1,0),"-"),"-")</f>
        <v>-</v>
      </c>
      <c r="L447" s="304">
        <f t="shared" si="33"/>
        <v>1</v>
      </c>
      <c r="M447" s="304" t="str">
        <f t="shared" si="34"/>
        <v>-</v>
      </c>
    </row>
    <row r="448" spans="2:13" x14ac:dyDescent="0.3">
      <c r="B448" s="574" t="s">
        <v>1274</v>
      </c>
      <c r="C448" s="575"/>
      <c r="D448" s="576"/>
      <c r="E448" s="577"/>
      <c r="F448" s="578"/>
      <c r="G448" s="517"/>
      <c r="H448" s="580"/>
      <c r="I448" s="581"/>
      <c r="K448" s="529" t="str">
        <f>IF(A448=B448,IFERROR(VLOOKUP(B448,#REF!,1,0),"-"),"-")</f>
        <v>-</v>
      </c>
      <c r="L448" s="304">
        <f t="shared" si="33"/>
        <v>1</v>
      </c>
      <c r="M448" s="304" t="str">
        <f t="shared" si="34"/>
        <v>-</v>
      </c>
    </row>
    <row r="449" spans="1:13" ht="63.75" x14ac:dyDescent="0.3">
      <c r="B449" s="516">
        <v>92267</v>
      </c>
      <c r="C449" s="573" t="s">
        <v>309</v>
      </c>
      <c r="D449" s="516" t="s">
        <v>861</v>
      </c>
      <c r="E449" s="593" t="str" cm="1">
        <f t="array" ref="E449">UPPER(IF(C449="COMPOSIÇÃO",_xlfn.XLOOKUP($B449,A:A,E:E,),IF(C449="COTAÇÃO",VLOOKUP($B449,COTAÇÕES!$A$11:$E$37,2,0),BuscarCampoAccess("Descricao",B449,B.A_SINAPI,B.M_SINAPI,C449))))</f>
        <v>ERRO: CONEXÃO NÃO ESTABELECIDA. CLIQUE EM CONECTAR.</v>
      </c>
      <c r="F449" s="594" t="str" cm="1">
        <f t="array" ref="F449">UPPER(IF(C449="COMPOSIÇÃO",_xlfn.XLOOKUP($B449,A:A,F:F,),IF(C449="COTAÇÃO",VLOOKUP($B449,COTAÇÕES!$A$11:$E$37,3,0),BuscarCampoAccess("Unidade",B449,B.A_SINAPI,B.M_SINAPI,C449))))</f>
        <v>ERRO: CONEXÃO NÃO ESTABELECIDA. CLIQUE EM CONECTAR.</v>
      </c>
      <c r="G449" s="517">
        <v>3.53</v>
      </c>
      <c r="H449" s="582" t="str" cm="1">
        <f t="array" ref="H449">UPPER(IF(C449="COMPOSIÇÃO",_xlfn.XLOOKUP($B449,A:A,I:I,),IF(C449="COTAÇÃO",VLOOKUP($B449,COTAÇÕES!$A$11:$E$37,5,0),BuscarCampoAccess("Custo",B449,B.A_SINAPI,B.M_SINAPI,C449))))</f>
        <v>ERRO: CONEXÃO NÃO ESTABELECIDA. CLIQUE EM CONECTAR.</v>
      </c>
      <c r="I449" s="583" t="e">
        <f t="shared" si="36"/>
        <v>#VALUE!</v>
      </c>
      <c r="K449" s="529" t="str">
        <f>IF(A449=B449,IFERROR(VLOOKUP(B449,#REF!,1,0),"-"),"-")</f>
        <v>-</v>
      </c>
      <c r="L449" s="304">
        <f t="shared" si="33"/>
        <v>1</v>
      </c>
      <c r="M449" s="304" t="str">
        <f t="shared" si="34"/>
        <v>-</v>
      </c>
    </row>
    <row r="450" spans="1:13" ht="63.75" x14ac:dyDescent="0.3">
      <c r="B450" s="516">
        <v>92769</v>
      </c>
      <c r="C450" s="573" t="s">
        <v>309</v>
      </c>
      <c r="D450" s="516" t="s">
        <v>861</v>
      </c>
      <c r="E450" s="593" t="str" cm="1">
        <f t="array" ref="E450">UPPER(IF(C450="COMPOSIÇÃO",_xlfn.XLOOKUP($B450,A:A,E:E,),IF(C450="COTAÇÃO",VLOOKUP($B450,COTAÇÕES!$A$11:$E$37,2,0),BuscarCampoAccess("Descricao",B450,B.A_SINAPI,B.M_SINAPI,C450))))</f>
        <v>ERRO: CONEXÃO NÃO ESTABELECIDA. CLIQUE EM CONECTAR.</v>
      </c>
      <c r="F450" s="594" t="str" cm="1">
        <f t="array" ref="F450">UPPER(IF(C450="COMPOSIÇÃO",_xlfn.XLOOKUP($B450,A:A,F:F,),IF(C450="COTAÇÃO",VLOOKUP($B450,COTAÇÕES!$A$11:$E$37,3,0),BuscarCampoAccess("Unidade",B450,B.A_SINAPI,B.M_SINAPI,C450))))</f>
        <v>ERRO: CONEXÃO NÃO ESTABELECIDA. CLIQUE EM CONECTAR.</v>
      </c>
      <c r="G450" s="517">
        <v>10.7</v>
      </c>
      <c r="H450" s="582" t="str" cm="1">
        <f t="array" ref="H450">UPPER(IF(C450="COMPOSIÇÃO",_xlfn.XLOOKUP($B450,A:A,I:I,),IF(C450="COTAÇÃO",VLOOKUP($B450,COTAÇÕES!$A$11:$E$37,5,0),BuscarCampoAccess("Custo",B450,B.A_SINAPI,B.M_SINAPI,C450))))</f>
        <v>ERRO: CONEXÃO NÃO ESTABELECIDA. CLIQUE EM CONECTAR.</v>
      </c>
      <c r="I450" s="583" t="e">
        <f t="shared" si="36"/>
        <v>#VALUE!</v>
      </c>
      <c r="K450" s="529" t="str">
        <f>IF(A450=B450,IFERROR(VLOOKUP(B450,#REF!,1,0),"-"),"-")</f>
        <v>-</v>
      </c>
      <c r="L450" s="304">
        <f t="shared" si="33"/>
        <v>1</v>
      </c>
      <c r="M450" s="304" t="str">
        <f t="shared" si="34"/>
        <v>-</v>
      </c>
    </row>
    <row r="451" spans="1:13" ht="63.75" x14ac:dyDescent="0.3">
      <c r="B451" s="516">
        <v>92770</v>
      </c>
      <c r="C451" s="573" t="s">
        <v>309</v>
      </c>
      <c r="D451" s="516" t="s">
        <v>861</v>
      </c>
      <c r="E451" s="593" t="str" cm="1">
        <f t="array" ref="E451">UPPER(IF(C451="COMPOSIÇÃO",_xlfn.XLOOKUP($B451,A:A,E:E,),IF(C451="COTAÇÃO",VLOOKUP($B451,COTAÇÕES!$A$11:$E$37,2,0),BuscarCampoAccess("Descricao",B451,B.A_SINAPI,B.M_SINAPI,C451))))</f>
        <v>ERRO: CONEXÃO NÃO ESTABELECIDA. CLIQUE EM CONECTAR.</v>
      </c>
      <c r="F451" s="594" t="str" cm="1">
        <f t="array" ref="F451">UPPER(IF(C451="COMPOSIÇÃO",_xlfn.XLOOKUP($B451,A:A,F:F,),IF(C451="COTAÇÃO",VLOOKUP($B451,COTAÇÕES!$A$11:$E$37,3,0),BuscarCampoAccess("Unidade",B451,B.A_SINAPI,B.M_SINAPI,C451))))</f>
        <v>ERRO: CONEXÃO NÃO ESTABELECIDA. CLIQUE EM CONECTAR.</v>
      </c>
      <c r="G451" s="517">
        <v>29.3</v>
      </c>
      <c r="H451" s="582" t="str" cm="1">
        <f t="array" ref="H451">UPPER(IF(C451="COMPOSIÇÃO",_xlfn.XLOOKUP($B451,A:A,I:I,),IF(C451="COTAÇÃO",VLOOKUP($B451,COTAÇÕES!$A$11:$E$37,5,0),BuscarCampoAccess("Custo",B451,B.A_SINAPI,B.M_SINAPI,C451))))</f>
        <v>ERRO: CONEXÃO NÃO ESTABELECIDA. CLIQUE EM CONECTAR.</v>
      </c>
      <c r="I451" s="583" t="e">
        <f t="shared" si="36"/>
        <v>#VALUE!</v>
      </c>
      <c r="K451" s="529" t="str">
        <f>IF(A451=B451,IFERROR(VLOOKUP(B451,#REF!,1,0),"-"),"-")</f>
        <v>-</v>
      </c>
      <c r="L451" s="304">
        <f t="shared" si="33"/>
        <v>1</v>
      </c>
      <c r="M451" s="304" t="str">
        <f t="shared" si="34"/>
        <v>-</v>
      </c>
    </row>
    <row r="452" spans="1:13" ht="63.75" x14ac:dyDescent="0.3">
      <c r="B452" s="516">
        <v>94965</v>
      </c>
      <c r="C452" s="573" t="s">
        <v>309</v>
      </c>
      <c r="D452" s="516" t="s">
        <v>861</v>
      </c>
      <c r="E452" s="593" t="str" cm="1">
        <f t="array" ref="E452">UPPER(IF(C452="COMPOSIÇÃO",_xlfn.XLOOKUP($B452,A:A,E:E,),IF(C452="COTAÇÃO",VLOOKUP($B452,COTAÇÕES!$A$11:$E$37,2,0),BuscarCampoAccess("Descricao",B452,B.A_SINAPI,B.M_SINAPI,C452))))</f>
        <v>ERRO: CONEXÃO NÃO ESTABELECIDA. CLIQUE EM CONECTAR.</v>
      </c>
      <c r="F452" s="594" t="str" cm="1">
        <f t="array" ref="F452">UPPER(IF(C452="COMPOSIÇÃO",_xlfn.XLOOKUP($B452,A:A,F:F,),IF(C452="COTAÇÃO",VLOOKUP($B452,COTAÇÕES!$A$11:$E$37,3,0),BuscarCampoAccess("Unidade",B452,B.A_SINAPI,B.M_SINAPI,C452))))</f>
        <v>ERRO: CONEXÃO NÃO ESTABELECIDA. CLIQUE EM CONECTAR.</v>
      </c>
      <c r="G452" s="517">
        <v>0.38</v>
      </c>
      <c r="H452" s="582" t="str" cm="1">
        <f t="array" ref="H452">UPPER(IF(C452="COMPOSIÇÃO",_xlfn.XLOOKUP($B452,A:A,I:I,),IF(C452="COTAÇÃO",VLOOKUP($B452,COTAÇÕES!$A$11:$E$37,5,0),BuscarCampoAccess("Custo",B452,B.A_SINAPI,B.M_SINAPI,C452))))</f>
        <v>ERRO: CONEXÃO NÃO ESTABELECIDA. CLIQUE EM CONECTAR.</v>
      </c>
      <c r="I452" s="583" t="e">
        <f t="shared" si="36"/>
        <v>#VALUE!</v>
      </c>
      <c r="K452" s="529" t="str">
        <f>IF(A452=B452,IFERROR(VLOOKUP(B452,#REF!,1,0),"-"),"-")</f>
        <v>-</v>
      </c>
      <c r="L452" s="304">
        <f t="shared" si="33"/>
        <v>1</v>
      </c>
      <c r="M452" s="304" t="str">
        <f t="shared" si="34"/>
        <v>-</v>
      </c>
    </row>
    <row r="453" spans="1:13" ht="63.75" x14ac:dyDescent="0.3">
      <c r="B453" s="516">
        <v>103673</v>
      </c>
      <c r="C453" s="573" t="s">
        <v>309</v>
      </c>
      <c r="D453" s="516" t="s">
        <v>861</v>
      </c>
      <c r="E453" s="593" t="str" cm="1">
        <f t="array" ref="E453">UPPER(IF(C453="COMPOSIÇÃO",_xlfn.XLOOKUP($B453,A:A,E:E,),IF(C453="COTAÇÃO",VLOOKUP($B453,COTAÇÕES!$A$11:$E$37,2,0),BuscarCampoAccess("Descricao",B453,B.A_SINAPI,B.M_SINAPI,C453))))</f>
        <v>ERRO: CONEXÃO NÃO ESTABELECIDA. CLIQUE EM CONECTAR.</v>
      </c>
      <c r="F453" s="594" t="str" cm="1">
        <f t="array" ref="F453">UPPER(IF(C453="COMPOSIÇÃO",_xlfn.XLOOKUP($B453,A:A,F:F,),IF(C453="COTAÇÃO",VLOOKUP($B453,COTAÇÕES!$A$11:$E$37,3,0),BuscarCampoAccess("Unidade",B453,B.A_SINAPI,B.M_SINAPI,C453))))</f>
        <v>ERRO: CONEXÃO NÃO ESTABELECIDA. CLIQUE EM CONECTAR.</v>
      </c>
      <c r="G453" s="517">
        <v>0.38</v>
      </c>
      <c r="H453" s="582" t="str" cm="1">
        <f t="array" ref="H453">UPPER(IF(C453="COMPOSIÇÃO",_xlfn.XLOOKUP($B453,A:A,I:I,),IF(C453="COTAÇÃO",VLOOKUP($B453,COTAÇÕES!$A$11:$E$37,5,0),BuscarCampoAccess("Custo",B453,B.A_SINAPI,B.M_SINAPI,C453))))</f>
        <v>ERRO: CONEXÃO NÃO ESTABELECIDA. CLIQUE EM CONECTAR.</v>
      </c>
      <c r="I453" s="583" t="e">
        <f t="shared" si="36"/>
        <v>#VALUE!</v>
      </c>
      <c r="K453" s="529" t="str">
        <f>IF(A453=B453,IFERROR(VLOOKUP(B453,#REF!,1,0),"-"),"-")</f>
        <v>-</v>
      </c>
      <c r="L453" s="304">
        <f t="shared" si="33"/>
        <v>1</v>
      </c>
      <c r="M453" s="304" t="str">
        <f t="shared" si="34"/>
        <v>-</v>
      </c>
    </row>
    <row r="454" spans="1:13" x14ac:dyDescent="0.3">
      <c r="B454" s="574" t="s">
        <v>1275</v>
      </c>
      <c r="C454" s="575"/>
      <c r="D454" s="576"/>
      <c r="E454" s="577"/>
      <c r="F454" s="578"/>
      <c r="G454" s="517"/>
      <c r="H454" s="580"/>
      <c r="I454" s="581"/>
      <c r="K454" s="529" t="str">
        <f>IF(A454=B454,IFERROR(VLOOKUP(B454,#REF!,1,0),"-"),"-")</f>
        <v>-</v>
      </c>
      <c r="L454" s="304">
        <f t="shared" si="33"/>
        <v>1</v>
      </c>
      <c r="M454" s="304" t="str">
        <f t="shared" si="34"/>
        <v>-</v>
      </c>
    </row>
    <row r="455" spans="1:13" ht="63.75" x14ac:dyDescent="0.3">
      <c r="B455" s="516">
        <v>34573</v>
      </c>
      <c r="C455" s="573" t="s">
        <v>309</v>
      </c>
      <c r="D455" s="516" t="s">
        <v>861</v>
      </c>
      <c r="E455" s="593" t="str" cm="1">
        <f t="array" ref="E455">UPPER(IF(C455="COMPOSIÇÃO",_xlfn.XLOOKUP($B455,A:A,E:E,),IF(C455="COTAÇÃO",VLOOKUP($B455,COTAÇÕES!$A$11:$E$37,2,0),BuscarCampoAccess("Descricao",B455,B.A_SINAPI,B.M_SINAPI,C455))))</f>
        <v>ERRO: CONEXÃO NÃO ESTABELECIDA. CLIQUE EM CONECTAR.</v>
      </c>
      <c r="F455" s="594" t="str" cm="1">
        <f t="array" ref="F455">UPPER(IF(C455="COMPOSIÇÃO",_xlfn.XLOOKUP($B455,A:A,F:F,),IF(C455="COTAÇÃO",VLOOKUP($B455,COTAÇÕES!$A$11:$E$37,3,0),BuscarCampoAccess("Unidade",B455,B.A_SINAPI,B.M_SINAPI,C455))))</f>
        <v>ERRO: CONEXÃO NÃO ESTABELECIDA. CLIQUE EM CONECTAR.</v>
      </c>
      <c r="G455" s="517">
        <v>671.32800000000009</v>
      </c>
      <c r="H455" s="582" t="str" cm="1">
        <f t="array" ref="H455">UPPER(IF(C455="COMPOSIÇÃO",_xlfn.XLOOKUP($B455,A:A,I:I,),IF(C455="COTAÇÃO",VLOOKUP($B455,COTAÇÕES!$A$11:$E$37,5,0),BuscarCampoAccess("Custo",B455,B.A_SINAPI,B.M_SINAPI,C455))))</f>
        <v>ERRO: CONEXÃO NÃO ESTABELECIDA. CLIQUE EM CONECTAR.</v>
      </c>
      <c r="I455" s="583" t="e">
        <f t="shared" si="36"/>
        <v>#VALUE!</v>
      </c>
      <c r="K455" s="529" t="str">
        <f>IF(A455=B455,IFERROR(VLOOKUP(B455,#REF!,1,0),"-"),"-")</f>
        <v>-</v>
      </c>
      <c r="L455" s="304">
        <f t="shared" si="33"/>
        <v>1</v>
      </c>
      <c r="M455" s="304" t="str">
        <f t="shared" si="34"/>
        <v>-</v>
      </c>
    </row>
    <row r="456" spans="1:13" ht="63.75" x14ac:dyDescent="0.3">
      <c r="B456" s="516">
        <v>88626</v>
      </c>
      <c r="C456" s="573" t="s">
        <v>309</v>
      </c>
      <c r="D456" s="516" t="s">
        <v>861</v>
      </c>
      <c r="E456" s="593" t="str" cm="1">
        <f t="array" ref="E456">UPPER(IF(C456="COMPOSIÇÃO",_xlfn.XLOOKUP($B456,A:A,E:E,),IF(C456="COTAÇÃO",VLOOKUP($B456,COTAÇÕES!$A$11:$E$37,2,0),BuscarCampoAccess("Descricao",B456,B.A_SINAPI,B.M_SINAPI,C456))))</f>
        <v>ERRO: CONEXÃO NÃO ESTABELECIDA. CLIQUE EM CONECTAR.</v>
      </c>
      <c r="F456" s="594" t="str" cm="1">
        <f t="array" ref="F456">UPPER(IF(C456="COMPOSIÇÃO",_xlfn.XLOOKUP($B456,A:A,F:F,),IF(C456="COTAÇÃO",VLOOKUP($B456,COTAÇÕES!$A$11:$E$37,3,0),BuscarCampoAccess("Unidade",B456,B.A_SINAPI,B.M_SINAPI,C456))))</f>
        <v>ERRO: CONEXÃO NÃO ESTABELECIDA. CLIQUE EM CONECTAR.</v>
      </c>
      <c r="G456" s="517">
        <v>1.12896</v>
      </c>
      <c r="H456" s="582" t="str" cm="1">
        <f t="array" ref="H456">UPPER(IF(C456="COMPOSIÇÃO",_xlfn.XLOOKUP($B456,A:A,I:I,),IF(C456="COTAÇÃO",VLOOKUP($B456,COTAÇÕES!$A$11:$E$37,5,0),BuscarCampoAccess("Custo",B456,B.A_SINAPI,B.M_SINAPI,C456))))</f>
        <v>ERRO: CONEXÃO NÃO ESTABELECIDA. CLIQUE EM CONECTAR.</v>
      </c>
      <c r="I456" s="583" t="e">
        <f t="shared" si="36"/>
        <v>#VALUE!</v>
      </c>
      <c r="K456" s="529" t="str">
        <f>IF(A456=B456,IFERROR(VLOOKUP(B456,#REF!,1,0),"-"),"-")</f>
        <v>-</v>
      </c>
      <c r="L456" s="304">
        <f t="shared" si="33"/>
        <v>1</v>
      </c>
      <c r="M456" s="304" t="str">
        <f t="shared" si="34"/>
        <v>-</v>
      </c>
    </row>
    <row r="457" spans="1:13" ht="63.75" x14ac:dyDescent="0.3">
      <c r="B457" s="516">
        <v>87879</v>
      </c>
      <c r="C457" s="573" t="s">
        <v>309</v>
      </c>
      <c r="D457" s="516" t="s">
        <v>861</v>
      </c>
      <c r="E457" s="593" t="str" cm="1">
        <f t="array" ref="E457">UPPER(IF(C457="COMPOSIÇÃO",_xlfn.XLOOKUP($B457,A:A,E:E,),IF(C457="COTAÇÃO",VLOOKUP($B457,COTAÇÕES!$A$11:$E$37,2,0),BuscarCampoAccess("Descricao",B457,B.A_SINAPI,B.M_SINAPI,C457))))</f>
        <v>ERRO: CONEXÃO NÃO ESTABELECIDA. CLIQUE EM CONECTAR.</v>
      </c>
      <c r="F457" s="594" t="str" cm="1">
        <f t="array" ref="F457">UPPER(IF(C457="COMPOSIÇÃO",_xlfn.XLOOKUP($B457,A:A,F:F,),IF(C457="COTAÇÃO",VLOOKUP($B457,COTAÇÕES!$A$11:$E$37,3,0),BuscarCampoAccess("Unidade",B457,B.A_SINAPI,B.M_SINAPI,C457))))</f>
        <v>ERRO: CONEXÃO NÃO ESTABELECIDA. CLIQUE EM CONECTAR.</v>
      </c>
      <c r="G457" s="517">
        <v>22.4</v>
      </c>
      <c r="H457" s="582" t="str" cm="1">
        <f t="array" ref="H457">UPPER(IF(C457="COMPOSIÇÃO",_xlfn.XLOOKUP($B457,A:A,I:I,),IF(C457="COTAÇÃO",VLOOKUP($B457,COTAÇÕES!$A$11:$E$37,5,0),BuscarCampoAccess("Custo",B457,B.A_SINAPI,B.M_SINAPI,C457))))</f>
        <v>ERRO: CONEXÃO NÃO ESTABELECIDA. CLIQUE EM CONECTAR.</v>
      </c>
      <c r="I457" s="583" t="e">
        <f t="shared" si="36"/>
        <v>#VALUE!</v>
      </c>
      <c r="K457" s="529" t="str">
        <f>IF(A457=B457,IFERROR(VLOOKUP(B457,#REF!,1,0),"-"),"-")</f>
        <v>-</v>
      </c>
      <c r="L457" s="304">
        <f t="shared" si="33"/>
        <v>1</v>
      </c>
      <c r="M457" s="304" t="str">
        <f t="shared" si="34"/>
        <v>-</v>
      </c>
    </row>
    <row r="458" spans="1:13" ht="63.75" x14ac:dyDescent="0.3">
      <c r="B458" s="516">
        <v>87529</v>
      </c>
      <c r="C458" s="573" t="s">
        <v>309</v>
      </c>
      <c r="D458" s="516" t="s">
        <v>861</v>
      </c>
      <c r="E458" s="593" t="str" cm="1">
        <f t="array" ref="E458">UPPER(IF(C458="COMPOSIÇÃO",_xlfn.XLOOKUP($B458,A:A,E:E,),IF(C458="COTAÇÃO",VLOOKUP($B458,COTAÇÕES!$A$11:$E$37,2,0),BuscarCampoAccess("Descricao",B458,B.A_SINAPI,B.M_SINAPI,C458))))</f>
        <v>ERRO: CONEXÃO NÃO ESTABELECIDA. CLIQUE EM CONECTAR.</v>
      </c>
      <c r="F458" s="594" t="str" cm="1">
        <f t="array" ref="F458">UPPER(IF(C458="COMPOSIÇÃO",_xlfn.XLOOKUP($B458,A:A,F:F,),IF(C458="COTAÇÃO",VLOOKUP($B458,COTAÇÕES!$A$11:$E$37,3,0),BuscarCampoAccess("Unidade",B458,B.A_SINAPI,B.M_SINAPI,C458))))</f>
        <v>ERRO: CONEXÃO NÃO ESTABELECIDA. CLIQUE EM CONECTAR.</v>
      </c>
      <c r="G458" s="517">
        <v>22.4</v>
      </c>
      <c r="H458" s="582" t="str" cm="1">
        <f t="array" ref="H458">UPPER(IF(C458="COMPOSIÇÃO",_xlfn.XLOOKUP($B458,A:A,I:I,),IF(C458="COTAÇÃO",VLOOKUP($B458,COTAÇÕES!$A$11:$E$37,5,0),BuscarCampoAccess("Custo",B458,B.A_SINAPI,B.M_SINAPI,C458))))</f>
        <v>ERRO: CONEXÃO NÃO ESTABELECIDA. CLIQUE EM CONECTAR.</v>
      </c>
      <c r="I458" s="583" t="e">
        <f t="shared" si="36"/>
        <v>#VALUE!</v>
      </c>
      <c r="K458" s="529" t="str">
        <f>IF(A458=B458,IFERROR(VLOOKUP(B458,#REF!,1,0),"-"),"-")</f>
        <v>-</v>
      </c>
      <c r="L458" s="304">
        <f t="shared" si="33"/>
        <v>1</v>
      </c>
      <c r="M458" s="304" t="str">
        <f t="shared" si="34"/>
        <v>-</v>
      </c>
    </row>
    <row r="459" spans="1:13" ht="63.75" x14ac:dyDescent="0.3">
      <c r="B459" s="516">
        <v>94965</v>
      </c>
      <c r="C459" s="573" t="s">
        <v>309</v>
      </c>
      <c r="D459" s="516" t="s">
        <v>861</v>
      </c>
      <c r="E459" s="593" t="str" cm="1">
        <f t="array" ref="E459">UPPER(IF(C459="COMPOSIÇÃO",_xlfn.XLOOKUP($B459,A:A,E:E,),IF(C459="COTAÇÃO",VLOOKUP($B459,COTAÇÕES!$A$11:$E$37,2,0),BuscarCampoAccess("Descricao",B459,B.A_SINAPI,B.M_SINAPI,C459))))</f>
        <v>ERRO: CONEXÃO NÃO ESTABELECIDA. CLIQUE EM CONECTAR.</v>
      </c>
      <c r="F459" s="594" t="str" cm="1">
        <f t="array" ref="F459">UPPER(IF(C459="COMPOSIÇÃO",_xlfn.XLOOKUP($B459,A:A,F:F,),IF(C459="COTAÇÃO",VLOOKUP($B459,COTAÇÕES!$A$11:$E$37,3,0),BuscarCampoAccess("Unidade",B459,B.A_SINAPI,B.M_SINAPI,C459))))</f>
        <v>ERRO: CONEXÃO NÃO ESTABELECIDA. CLIQUE EM CONECTAR.</v>
      </c>
      <c r="G459" s="517">
        <v>1.2349999999999999</v>
      </c>
      <c r="H459" s="582" t="str" cm="1">
        <f t="array" ref="H459">UPPER(IF(C459="COMPOSIÇÃO",_xlfn.XLOOKUP($B459,A:A,I:I,),IF(C459="COTAÇÃO",VLOOKUP($B459,COTAÇÕES!$A$11:$E$37,5,0),BuscarCampoAccess("Custo",B459,B.A_SINAPI,B.M_SINAPI,C459))))</f>
        <v>ERRO: CONEXÃO NÃO ESTABELECIDA. CLIQUE EM CONECTAR.</v>
      </c>
      <c r="I459" s="583" t="e">
        <f t="shared" si="36"/>
        <v>#VALUE!</v>
      </c>
      <c r="K459" s="529" t="str">
        <f>IF(A459=B459,IFERROR(VLOOKUP(B459,#REF!,1,0),"-"),"-")</f>
        <v>-</v>
      </c>
      <c r="L459" s="304">
        <f t="shared" si="33"/>
        <v>1</v>
      </c>
      <c r="M459" s="304" t="str">
        <f t="shared" si="34"/>
        <v>-</v>
      </c>
    </row>
    <row r="460" spans="1:13" ht="63.75" x14ac:dyDescent="0.3">
      <c r="B460" s="516">
        <v>88309</v>
      </c>
      <c r="C460" s="573" t="s">
        <v>309</v>
      </c>
      <c r="D460" s="516" t="s">
        <v>861</v>
      </c>
      <c r="E460" s="593" t="str" cm="1">
        <f t="array" ref="E460">UPPER(IF(C460="COMPOSIÇÃO",_xlfn.XLOOKUP($B460,A:A,E:E,),IF(C460="COTAÇÃO",VLOOKUP($B460,COTAÇÕES!$A$11:$E$37,2,0),BuscarCampoAccess("Descricao",B460,B.A_SINAPI,B.M_SINAPI,C460))))</f>
        <v>ERRO: CONEXÃO NÃO ESTABELECIDA. CLIQUE EM CONECTAR.</v>
      </c>
      <c r="F460" s="594" t="str" cm="1">
        <f t="array" ref="F460">UPPER(IF(C460="COMPOSIÇÃO",_xlfn.XLOOKUP($B460,A:A,F:F,),IF(C460="COTAÇÃO",VLOOKUP($B460,COTAÇÕES!$A$11:$E$37,3,0),BuscarCampoAccess("Unidade",B460,B.A_SINAPI,B.M_SINAPI,C460))))</f>
        <v>ERRO: CONEXÃO NÃO ESTABELECIDA. CLIQUE EM CONECTAR.</v>
      </c>
      <c r="G460" s="517">
        <v>45.024000000000008</v>
      </c>
      <c r="H460" s="582" t="str" cm="1">
        <f t="array" ref="H460">UPPER(IF(C460="COMPOSIÇÃO",_xlfn.XLOOKUP($B460,A:A,I:I,),IF(C460="COTAÇÃO",VLOOKUP($B460,COTAÇÕES!$A$11:$E$37,5,0),BuscarCampoAccess("Custo",B460,B.A_SINAPI,B.M_SINAPI,C460))))</f>
        <v>ERRO: CONEXÃO NÃO ESTABELECIDA. CLIQUE EM CONECTAR.</v>
      </c>
      <c r="I460" s="583" t="e">
        <f t="shared" si="36"/>
        <v>#VALUE!</v>
      </c>
      <c r="K460" s="529" t="str">
        <f>IF(A460=B460,IFERROR(VLOOKUP(B460,#REF!,1,0),"-"),"-")</f>
        <v>-</v>
      </c>
      <c r="L460" s="304">
        <f t="shared" ref="L460:L475" si="37">IF(ISBLANK(B460)=FALSE,1,0)</f>
        <v>1</v>
      </c>
      <c r="M460" s="304" t="str">
        <f t="shared" ref="M460:M475" si="38">IF(M459=FALSE,K460,IF(L460=1,M459))</f>
        <v>-</v>
      </c>
    </row>
    <row r="461" spans="1:13" ht="63.75" x14ac:dyDescent="0.3">
      <c r="B461" s="516">
        <v>88316</v>
      </c>
      <c r="C461" s="573" t="s">
        <v>309</v>
      </c>
      <c r="D461" s="516" t="s">
        <v>861</v>
      </c>
      <c r="E461" s="593" t="str" cm="1">
        <f t="array" ref="E461">UPPER(IF(C461="COMPOSIÇÃO",_xlfn.XLOOKUP($B461,A:A,E:E,),IF(C461="COTAÇÃO",VLOOKUP($B461,COTAÇÕES!$A$11:$E$37,2,0),BuscarCampoAccess("Descricao",B461,B.A_SINAPI,B.M_SINAPI,C461))))</f>
        <v>ERRO: CONEXÃO NÃO ESTABELECIDA. CLIQUE EM CONECTAR.</v>
      </c>
      <c r="F461" s="594" t="str" cm="1">
        <f t="array" ref="F461">UPPER(IF(C461="COMPOSIÇÃO",_xlfn.XLOOKUP($B461,A:A,F:F,),IF(C461="COTAÇÃO",VLOOKUP($B461,COTAÇÕES!$A$11:$E$37,3,0),BuscarCampoAccess("Unidade",B461,B.A_SINAPI,B.M_SINAPI,C461))))</f>
        <v>ERRO: CONEXÃO NÃO ESTABELECIDA. CLIQUE EM CONECTAR.</v>
      </c>
      <c r="G461" s="517">
        <v>45.024000000000008</v>
      </c>
      <c r="H461" s="582" t="str" cm="1">
        <f t="array" ref="H461">UPPER(IF(C461="COMPOSIÇÃO",_xlfn.XLOOKUP($B461,A:A,I:I,),IF(C461="COTAÇÃO",VLOOKUP($B461,COTAÇÕES!$A$11:$E$37,5,0),BuscarCampoAccess("Custo",B461,B.A_SINAPI,B.M_SINAPI,C461))))</f>
        <v>ERRO: CONEXÃO NÃO ESTABELECIDA. CLIQUE EM CONECTAR.</v>
      </c>
      <c r="I461" s="583" t="e">
        <f t="shared" si="36"/>
        <v>#VALUE!</v>
      </c>
      <c r="K461" s="529" t="str">
        <f>IF(A461=B461,IFERROR(VLOOKUP(B461,#REF!,1,0),"-"),"-")</f>
        <v>-</v>
      </c>
      <c r="L461" s="304">
        <f t="shared" si="37"/>
        <v>1</v>
      </c>
      <c r="M461" s="304" t="str">
        <f t="shared" si="38"/>
        <v>-</v>
      </c>
    </row>
    <row r="462" spans="1:13" x14ac:dyDescent="0.3">
      <c r="K462" s="529" t="str">
        <f>IF(A462=B462,IFERROR(VLOOKUP(B462,#REF!,1,0),"-"),"-")</f>
        <v>-</v>
      </c>
      <c r="L462" s="304">
        <f t="shared" si="37"/>
        <v>0</v>
      </c>
      <c r="M462" s="304" t="b">
        <f t="shared" si="38"/>
        <v>0</v>
      </c>
    </row>
    <row r="463" spans="1:13" ht="24.75" customHeight="1" x14ac:dyDescent="0.3">
      <c r="A463" s="192" t="str">
        <f>IF(AND(D463="",E463&lt;&gt;""),B463,"")</f>
        <v>CPU-SERC 04</v>
      </c>
      <c r="B463" s="589" t="s">
        <v>1300</v>
      </c>
      <c r="C463" s="187"/>
      <c r="D463" s="188"/>
      <c r="E463" s="189" t="s">
        <v>1299</v>
      </c>
      <c r="F463" s="188" t="s">
        <v>336</v>
      </c>
      <c r="G463" s="188"/>
      <c r="H463" s="191"/>
      <c r="I463" s="590" t="e">
        <f>SUM(I464:I471)</f>
        <v>#VALUE!</v>
      </c>
      <c r="K463" s="529" t="str">
        <f>IF(A463=B463,IFERROR(VLOOKUP(B463,#REF!,1,0),"-"),"-")</f>
        <v>-</v>
      </c>
      <c r="L463" s="304">
        <f t="shared" si="37"/>
        <v>1</v>
      </c>
      <c r="M463" s="304" t="str">
        <f t="shared" si="38"/>
        <v>-</v>
      </c>
    </row>
    <row r="464" spans="1:13" ht="63.75" x14ac:dyDescent="0.3">
      <c r="B464" s="516">
        <v>88243</v>
      </c>
      <c r="C464" s="573" t="s">
        <v>309</v>
      </c>
      <c r="D464" s="516" t="s">
        <v>861</v>
      </c>
      <c r="E464" s="593" t="str" cm="1">
        <f t="array" ref="E464">UPPER(IF(C464="COMPOSIÇÃO",_xlfn.XLOOKUP($B464,A:A,E:E,),IF(C464="COTAÇÃO",VLOOKUP($B464,COTAÇÕES!$A$11:$E$37,2,0),BuscarCampoAccess("Descricao",B464,B.A_SINAPI,B.M_SINAPI,C464))))</f>
        <v>ERRO: CONEXÃO NÃO ESTABELECIDA. CLIQUE EM CONECTAR.</v>
      </c>
      <c r="F464" s="594" t="str" cm="1">
        <f t="array" ref="F464">UPPER(IF(C464="COMPOSIÇÃO",_xlfn.XLOOKUP($B464,A:A,F:F,),IF(C464="COTAÇÃO",VLOOKUP($B464,COTAÇÕES!$A$11:$E$37,3,0),BuscarCampoAccess("Unidade",B464,B.A_SINAPI,B.M_SINAPI,C464))))</f>
        <v>ERRO: CONEXÃO NÃO ESTABELECIDA. CLIQUE EM CONECTAR.</v>
      </c>
      <c r="G464" s="517">
        <v>8.5199999999999998E-2</v>
      </c>
      <c r="H464" s="582" t="str" cm="1">
        <f t="array" ref="H464">UPPER(IF(C464="COMPOSIÇÃO",_xlfn.XLOOKUP($B464,A:A,I:I,),IF(C464="COTAÇÃO",VLOOKUP($B464,COTAÇÕES!$A$11:$E$37,5,0),BuscarCampoAccess("Custo",B464,B.A_SINAPI,B.M_SINAPI,C464))))</f>
        <v>ERRO: CONEXÃO NÃO ESTABELECIDA. CLIQUE EM CONECTAR.</v>
      </c>
      <c r="I464" s="583" t="e">
        <f t="shared" ref="I464:I471" si="39">TRUNC(G464*H464,2)</f>
        <v>#VALUE!</v>
      </c>
      <c r="K464" s="529" t="str">
        <f>IF(A464=B464,IFERROR(VLOOKUP(B464,#REF!,1,0),"-"),"-")</f>
        <v>-</v>
      </c>
      <c r="L464" s="304">
        <f t="shared" si="37"/>
        <v>1</v>
      </c>
      <c r="M464" s="304" t="str">
        <f t="shared" si="38"/>
        <v>-</v>
      </c>
    </row>
    <row r="465" spans="1:13" ht="63.75" x14ac:dyDescent="0.3">
      <c r="B465" s="516">
        <v>88631</v>
      </c>
      <c r="C465" s="573" t="s">
        <v>309</v>
      </c>
      <c r="D465" s="516" t="s">
        <v>861</v>
      </c>
      <c r="E465" s="593" t="str" cm="1">
        <f t="array" ref="E465">UPPER(IF(C465="COMPOSIÇÃO",_xlfn.XLOOKUP($B465,A:A,E:E,),IF(C465="COTAÇÃO",VLOOKUP($B465,COTAÇÕES!$A$11:$E$37,2,0),BuscarCampoAccess("Descricao",B465,B.A_SINAPI,B.M_SINAPI,C465))))</f>
        <v>ERRO: CONEXÃO NÃO ESTABELECIDA. CLIQUE EM CONECTAR.</v>
      </c>
      <c r="F465" s="594" t="str" cm="1">
        <f t="array" ref="F465">UPPER(IF(C465="COMPOSIÇÃO",_xlfn.XLOOKUP($B465,A:A,F:F,),IF(C465="COTAÇÃO",VLOOKUP($B465,COTAÇÕES!$A$11:$E$37,3,0),BuscarCampoAccess("Unidade",B465,B.A_SINAPI,B.M_SINAPI,C465))))</f>
        <v>ERRO: CONEXÃO NÃO ESTABELECIDA. CLIQUE EM CONECTAR.</v>
      </c>
      <c r="G465" s="517">
        <v>3.3E-3</v>
      </c>
      <c r="H465" s="582" t="str" cm="1">
        <f t="array" ref="H465">UPPER(IF(C465="COMPOSIÇÃO",_xlfn.XLOOKUP($B465,A:A,I:I,),IF(C465="COTAÇÃO",VLOOKUP($B465,COTAÇÕES!$A$11:$E$37,5,0),BuscarCampoAccess("Custo",B465,B.A_SINAPI,B.M_SINAPI,C465))))</f>
        <v>ERRO: CONEXÃO NÃO ESTABELECIDA. CLIQUE EM CONECTAR.</v>
      </c>
      <c r="I465" s="583" t="e">
        <f t="shared" si="39"/>
        <v>#VALUE!</v>
      </c>
      <c r="K465" s="529" t="str">
        <f>IF(A465=B465,IFERROR(VLOOKUP(B465,#REF!,1,0),"-"),"-")</f>
        <v>-</v>
      </c>
      <c r="L465" s="304">
        <f t="shared" si="37"/>
        <v>1</v>
      </c>
      <c r="M465" s="304" t="str">
        <f t="shared" si="38"/>
        <v>-</v>
      </c>
    </row>
    <row r="466" spans="1:13" ht="63.75" x14ac:dyDescent="0.3">
      <c r="B466" s="516">
        <v>92961</v>
      </c>
      <c r="C466" s="573" t="s">
        <v>309</v>
      </c>
      <c r="D466" s="516" t="s">
        <v>861</v>
      </c>
      <c r="E466" s="593" t="str" cm="1">
        <f t="array" ref="E466">UPPER(IF(C466="COMPOSIÇÃO",_xlfn.XLOOKUP($B466,A:A,E:E,),IF(C466="COTAÇÃO",VLOOKUP($B466,COTAÇÕES!$A$11:$E$37,2,0),BuscarCampoAccess("Descricao",B466,B.A_SINAPI,B.M_SINAPI,C466))))</f>
        <v>ERRO: CONEXÃO NÃO ESTABELECIDA. CLIQUE EM CONECTAR.</v>
      </c>
      <c r="F466" s="594" t="str" cm="1">
        <f t="array" ref="F466">UPPER(IF(C466="COMPOSIÇÃO",_xlfn.XLOOKUP($B466,A:A,F:F,),IF(C466="COTAÇÃO",VLOOKUP($B466,COTAÇÕES!$A$11:$E$37,3,0),BuscarCampoAccess("Unidade",B466,B.A_SINAPI,B.M_SINAPI,C466))))</f>
        <v>ERRO: CONEXÃO NÃO ESTABELECIDA. CLIQUE EM CONECTAR.</v>
      </c>
      <c r="G466" s="517">
        <v>7.0999999999999994E-2</v>
      </c>
      <c r="H466" s="582" t="str" cm="1">
        <f t="array" ref="H466">UPPER(IF(C466="COMPOSIÇÃO",_xlfn.XLOOKUP($B466,A:A,I:I,),IF(C466="COTAÇÃO",VLOOKUP($B466,COTAÇÕES!$A$11:$E$37,5,0),BuscarCampoAccess("Custo",B466,B.A_SINAPI,B.M_SINAPI,C466))))</f>
        <v>ERRO: CONEXÃO NÃO ESTABELECIDA. CLIQUE EM CONECTAR.</v>
      </c>
      <c r="I466" s="583" t="e">
        <f t="shared" si="39"/>
        <v>#VALUE!</v>
      </c>
      <c r="K466" s="529" t="str">
        <f>IF(A466=B466,IFERROR(VLOOKUP(B466,#REF!,1,0),"-"),"-")</f>
        <v>-</v>
      </c>
      <c r="L466" s="304">
        <f t="shared" si="37"/>
        <v>1</v>
      </c>
      <c r="M466" s="304" t="str">
        <f t="shared" si="38"/>
        <v>-</v>
      </c>
    </row>
    <row r="467" spans="1:13" ht="63.75" x14ac:dyDescent="0.3">
      <c r="B467" s="516">
        <v>92960</v>
      </c>
      <c r="C467" s="573" t="s">
        <v>309</v>
      </c>
      <c r="D467" s="516" t="s">
        <v>861</v>
      </c>
      <c r="E467" s="593" t="str" cm="1">
        <f t="array" ref="E467">UPPER(IF(C467="COMPOSIÇÃO",_xlfn.XLOOKUP($B467,A:A,E:E,),IF(C467="COTAÇÃO",VLOOKUP($B467,COTAÇÕES!$A$11:$E$37,2,0),BuscarCampoAccess("Descricao",B467,B.A_SINAPI,B.M_SINAPI,C467))))</f>
        <v>ERRO: CONEXÃO NÃO ESTABELECIDA. CLIQUE EM CONECTAR.</v>
      </c>
      <c r="F467" s="594" t="str" cm="1">
        <f t="array" ref="F467">UPPER(IF(C467="COMPOSIÇÃO",_xlfn.XLOOKUP($B467,A:A,F:F,),IF(C467="COTAÇÃO",VLOOKUP($B467,COTAÇÕES!$A$11:$E$37,3,0),BuscarCampoAccess("Unidade",B467,B.A_SINAPI,B.M_SINAPI,C467))))</f>
        <v>ERRO: CONEXÃO NÃO ESTABELECIDA. CLIQUE EM CONECTAR.</v>
      </c>
      <c r="G467" s="517">
        <v>1.4200000000000001E-2</v>
      </c>
      <c r="H467" s="582" t="str" cm="1">
        <f t="array" ref="H467">UPPER(IF(C467="COMPOSIÇÃO",_xlfn.XLOOKUP($B467,A:A,I:I,),IF(C467="COTAÇÃO",VLOOKUP($B467,COTAÇÕES!$A$11:$E$37,5,0),BuscarCampoAccess("Custo",B467,B.A_SINAPI,B.M_SINAPI,C467))))</f>
        <v>ERRO: CONEXÃO NÃO ESTABELECIDA. CLIQUE EM CONECTAR.</v>
      </c>
      <c r="I467" s="583" t="e">
        <f t="shared" si="39"/>
        <v>#VALUE!</v>
      </c>
      <c r="K467" s="529" t="str">
        <f>IF(A467=B467,IFERROR(VLOOKUP(B467,#REF!,1,0),"-"),"-")</f>
        <v>-</v>
      </c>
      <c r="L467" s="304">
        <f t="shared" si="37"/>
        <v>1</v>
      </c>
      <c r="M467" s="304" t="str">
        <f t="shared" si="38"/>
        <v>-</v>
      </c>
    </row>
    <row r="468" spans="1:13" ht="63.75" x14ac:dyDescent="0.3">
      <c r="B468" s="516">
        <v>88309</v>
      </c>
      <c r="C468" s="573" t="s">
        <v>309</v>
      </c>
      <c r="D468" s="516" t="s">
        <v>861</v>
      </c>
      <c r="E468" s="593" t="str" cm="1">
        <f t="array" ref="E468">UPPER(IF(C468="COMPOSIÇÃO",_xlfn.XLOOKUP($B468,A:A,E:E,),IF(C468="COTAÇÃO",VLOOKUP($B468,COTAÇÕES!$A$11:$E$37,2,0),BuscarCampoAccess("Descricao",B468,B.A_SINAPI,B.M_SINAPI,C468))))</f>
        <v>ERRO: CONEXÃO NÃO ESTABELECIDA. CLIQUE EM CONECTAR.</v>
      </c>
      <c r="F468" s="594" t="str" cm="1">
        <f t="array" ref="F468">UPPER(IF(C468="COMPOSIÇÃO",_xlfn.XLOOKUP($B468,A:A,F:F,),IF(C468="COTAÇÃO",VLOOKUP($B468,COTAÇÕES!$A$11:$E$37,3,0),BuscarCampoAccess("Unidade",B468,B.A_SINAPI,B.M_SINAPI,C468))))</f>
        <v>ERRO: CONEXÃO NÃO ESTABELECIDA. CLIQUE EM CONECTAR.</v>
      </c>
      <c r="G468" s="517">
        <v>0.17660000000000001</v>
      </c>
      <c r="H468" s="582" t="str" cm="1">
        <f t="array" ref="H468">UPPER(IF(C468="COMPOSIÇÃO",_xlfn.XLOOKUP($B468,A:A,I:I,),IF(C468="COTAÇÃO",VLOOKUP($B468,COTAÇÕES!$A$11:$E$37,5,0),BuscarCampoAccess("Custo",B468,B.A_SINAPI,B.M_SINAPI,C468))))</f>
        <v>ERRO: CONEXÃO NÃO ESTABELECIDA. CLIQUE EM CONECTAR.</v>
      </c>
      <c r="I468" s="583" t="e">
        <f t="shared" si="39"/>
        <v>#VALUE!</v>
      </c>
      <c r="K468" s="529" t="str">
        <f>IF(A468=B468,IFERROR(VLOOKUP(B468,#REF!,1,0),"-"),"-")</f>
        <v>-</v>
      </c>
      <c r="L468" s="304">
        <f t="shared" si="37"/>
        <v>1</v>
      </c>
      <c r="M468" s="304" t="str">
        <f t="shared" si="38"/>
        <v>-</v>
      </c>
    </row>
    <row r="469" spans="1:13" ht="63.75" x14ac:dyDescent="0.3">
      <c r="B469" s="516">
        <v>88316</v>
      </c>
      <c r="C469" s="573" t="s">
        <v>309</v>
      </c>
      <c r="D469" s="516" t="s">
        <v>861</v>
      </c>
      <c r="E469" s="593" t="str" cm="1">
        <f t="array" ref="E469">UPPER(IF(C469="COMPOSIÇÃO",_xlfn.XLOOKUP($B469,A:A,E:E,),IF(C469="COTAÇÃO",VLOOKUP($B469,COTAÇÕES!$A$11:$E$37,2,0),BuscarCampoAccess("Descricao",B469,B.A_SINAPI,B.M_SINAPI,C469))))</f>
        <v>ERRO: CONEXÃO NÃO ESTABELECIDA. CLIQUE EM CONECTAR.</v>
      </c>
      <c r="F469" s="594" t="str" cm="1">
        <f t="array" ref="F469">UPPER(IF(C469="COMPOSIÇÃO",_xlfn.XLOOKUP($B469,A:A,F:F,),IF(C469="COTAÇÃO",VLOOKUP($B469,COTAÇÕES!$A$11:$E$37,3,0),BuscarCampoAccess("Unidade",B469,B.A_SINAPI,B.M_SINAPI,C469))))</f>
        <v>ERRO: CONEXÃO NÃO ESTABELECIDA. CLIQUE EM CONECTAR.</v>
      </c>
      <c r="G469" s="517">
        <v>0.35320000000000001</v>
      </c>
      <c r="H469" s="582" t="str" cm="1">
        <f t="array" ref="H469">UPPER(IF(C469="COMPOSIÇÃO",_xlfn.XLOOKUP($B469,A:A,I:I,),IF(C469="COTAÇÃO",VLOOKUP($B469,COTAÇÕES!$A$11:$E$37,5,0),BuscarCampoAccess("Custo",B469,B.A_SINAPI,B.M_SINAPI,C469))))</f>
        <v>ERRO: CONEXÃO NÃO ESTABELECIDA. CLIQUE EM CONECTAR.</v>
      </c>
      <c r="I469" s="583" t="e">
        <f t="shared" si="39"/>
        <v>#VALUE!</v>
      </c>
      <c r="K469" s="529" t="str">
        <f>IF(A469=B469,IFERROR(VLOOKUP(B469,#REF!,1,0),"-"),"-")</f>
        <v>-</v>
      </c>
      <c r="L469" s="304">
        <f t="shared" si="37"/>
        <v>1</v>
      </c>
      <c r="M469" s="304" t="str">
        <f t="shared" si="38"/>
        <v>-</v>
      </c>
    </row>
    <row r="470" spans="1:13" ht="63.75" x14ac:dyDescent="0.3">
      <c r="B470" s="516">
        <v>370</v>
      </c>
      <c r="C470" s="573" t="s">
        <v>309</v>
      </c>
      <c r="D470" s="516" t="s">
        <v>861</v>
      </c>
      <c r="E470" s="593" t="str" cm="1">
        <f t="array" ref="E470">UPPER(IF(C470="COMPOSIÇÃO",_xlfn.XLOOKUP($B470,A:A,E:E,),IF(C470="COTAÇÃO",VLOOKUP($B470,COTAÇÕES!$A$11:$E$37,2,0),BuscarCampoAccess("Descricao",B470,B.A_SINAPI,B.M_SINAPI,C470))))</f>
        <v>ERRO: CONEXÃO NÃO ESTABELECIDA. CLIQUE EM CONECTAR.</v>
      </c>
      <c r="F470" s="594" t="str" cm="1">
        <f t="array" ref="F470">UPPER(IF(C470="COMPOSIÇÃO",_xlfn.XLOOKUP($B470,A:A,F:F,),IF(C470="COTAÇÃO",VLOOKUP($B470,COTAÇÕES!$A$11:$E$37,3,0),BuscarCampoAccess("Unidade",B470,B.A_SINAPI,B.M_SINAPI,C470))))</f>
        <v>ERRO: CONEXÃO NÃO ESTABELECIDA. CLIQUE EM CONECTAR.</v>
      </c>
      <c r="G470" s="517">
        <v>1.49E-2</v>
      </c>
      <c r="H470" s="582" t="str" cm="1">
        <f t="array" ref="H470">UPPER(IF(C470="COMPOSIÇÃO",_xlfn.XLOOKUP($B470,A:A,I:I,),IF(C470="COTAÇÃO",VLOOKUP($B470,COTAÇÕES!$A$11:$E$37,5,0),BuscarCampoAccess("Custo",B470,B.A_SINAPI,B.M_SINAPI,C470))))</f>
        <v>ERRO: CONEXÃO NÃO ESTABELECIDA. CLIQUE EM CONECTAR.</v>
      </c>
      <c r="I470" s="583" t="e">
        <f t="shared" si="39"/>
        <v>#VALUE!</v>
      </c>
      <c r="K470" s="529" t="str">
        <f>IF(A470=B470,IFERROR(VLOOKUP(B470,#REF!,1,0),"-"),"-")</f>
        <v>-</v>
      </c>
      <c r="L470" s="304">
        <f t="shared" si="37"/>
        <v>1</v>
      </c>
      <c r="M470" s="304" t="str">
        <f t="shared" si="38"/>
        <v>-</v>
      </c>
    </row>
    <row r="471" spans="1:13" ht="63.75" x14ac:dyDescent="0.3">
      <c r="B471" s="516">
        <v>34492</v>
      </c>
      <c r="C471" s="573" t="s">
        <v>309</v>
      </c>
      <c r="D471" s="516" t="s">
        <v>861</v>
      </c>
      <c r="E471" s="593" t="str" cm="1">
        <f t="array" ref="E471">UPPER(IF(C471="COMPOSIÇÃO",_xlfn.XLOOKUP($B471,A:A,E:E,),IF(C471="COTAÇÃO",VLOOKUP($B471,COTAÇÕES!$A$11:$E$37,2,0),BuscarCampoAccess("Descricao",B471,B.A_SINAPI,B.M_SINAPI,C471))))</f>
        <v>ERRO: CONEXÃO NÃO ESTABELECIDA. CLIQUE EM CONECTAR.</v>
      </c>
      <c r="F471" s="594" t="str" cm="1">
        <f t="array" ref="F471">UPPER(IF(C471="COMPOSIÇÃO",_xlfn.XLOOKUP($B471,A:A,F:F,),IF(C471="COTAÇÃO",VLOOKUP($B471,COTAÇÕES!$A$11:$E$37,3,0),BuscarCampoAccess("Unidade",B471,B.A_SINAPI,B.M_SINAPI,C471))))</f>
        <v>ERRO: CONEXÃO NÃO ESTABELECIDA. CLIQUE EM CONECTAR.</v>
      </c>
      <c r="G471" s="517">
        <v>5.2499999999999998E-2</v>
      </c>
      <c r="H471" s="582" t="str" cm="1">
        <f t="array" ref="H471">UPPER(IF(C471="COMPOSIÇÃO",_xlfn.XLOOKUP($B471,A:A,I:I,),IF(C471="COTAÇÃO",VLOOKUP($B471,COTAÇÕES!$A$11:$E$37,5,0),BuscarCampoAccess("Custo",B471,B.A_SINAPI,B.M_SINAPI,C471))))</f>
        <v>ERRO: CONEXÃO NÃO ESTABELECIDA. CLIQUE EM CONECTAR.</v>
      </c>
      <c r="I471" s="583" t="e">
        <f t="shared" si="39"/>
        <v>#VALUE!</v>
      </c>
      <c r="K471" s="529" t="str">
        <f>IF(A471=B471,IFERROR(VLOOKUP(B471,#REF!,1,0),"-"),"-")</f>
        <v>-</v>
      </c>
      <c r="L471" s="304">
        <f t="shared" si="37"/>
        <v>1</v>
      </c>
      <c r="M471" s="304" t="str">
        <f t="shared" si="38"/>
        <v>-</v>
      </c>
    </row>
    <row r="472" spans="1:13" x14ac:dyDescent="0.3">
      <c r="K472" s="529" t="str">
        <f>IF(A472=B472,IFERROR(VLOOKUP(B472,#REF!,1,0),"-"),"-")</f>
        <v>-</v>
      </c>
      <c r="L472" s="304">
        <f t="shared" si="37"/>
        <v>0</v>
      </c>
      <c r="M472" s="304" t="b">
        <f t="shared" si="38"/>
        <v>0</v>
      </c>
    </row>
    <row r="473" spans="1:13" ht="24.75" customHeight="1" x14ac:dyDescent="0.3">
      <c r="A473" s="192" t="str">
        <f>IF(AND(D473="",E473&lt;&gt;""),B473,"")</f>
        <v>CPU-DRED 35</v>
      </c>
      <c r="B473" s="589" t="s">
        <v>1356</v>
      </c>
      <c r="C473" s="187"/>
      <c r="D473" s="188"/>
      <c r="E473" s="189" t="str">
        <f>UPPER("Apiloamento manual de superfície com espessura de 15 cm")</f>
        <v>APILOAMENTO MANUAL DE SUPERFÍCIE COM ESPESSURA DE 15 CM</v>
      </c>
      <c r="F473" s="188" t="s">
        <v>307</v>
      </c>
      <c r="G473" s="188"/>
      <c r="H473" s="191"/>
      <c r="I473" s="590" t="e">
        <f>SUM(I474:I474)</f>
        <v>#VALUE!</v>
      </c>
      <c r="K473" s="529" t="str">
        <f>IF(A473=B473,IFERROR(VLOOKUP(B473,#REF!,1,0),"-"),"-")</f>
        <v>-</v>
      </c>
      <c r="L473" s="304">
        <f t="shared" si="37"/>
        <v>1</v>
      </c>
      <c r="M473" s="304" t="str">
        <f t="shared" si="38"/>
        <v>-</v>
      </c>
    </row>
    <row r="474" spans="1:13" ht="63.75" x14ac:dyDescent="0.3">
      <c r="B474" s="516">
        <v>88316</v>
      </c>
      <c r="C474" s="573" t="s">
        <v>309</v>
      </c>
      <c r="D474" s="516" t="s">
        <v>861</v>
      </c>
      <c r="E474" s="593" t="str" cm="1">
        <f t="array" ref="E474">UPPER(IF(C474="COMPOSIÇÃO",_xlfn.XLOOKUP($B474,A:A,E:E,),IF(C474="COTAÇÃO",VLOOKUP($B474,COTAÇÕES!$A$11:$E$37,2,0),BuscarCampoAccess("Descricao",B474,B.A_SINAPI,B.M_SINAPI,C474))))</f>
        <v>ERRO: CONEXÃO NÃO ESTABELECIDA. CLIQUE EM CONECTAR.</v>
      </c>
      <c r="F474" s="594" t="str" cm="1">
        <f t="array" ref="F474">UPPER(IF(C474="COMPOSIÇÃO",_xlfn.XLOOKUP($B474,A:A,F:F,),IF(C474="COTAÇÃO",VLOOKUP($B474,COTAÇÕES!$A$11:$E$37,3,0),BuscarCampoAccess("Unidade",B474,B.A_SINAPI,B.M_SINAPI,C474))))</f>
        <v>ERRO: CONEXÃO NÃO ESTABELECIDA. CLIQUE EM CONECTAR.</v>
      </c>
      <c r="G474" s="517">
        <v>1</v>
      </c>
      <c r="H474" s="582" t="str" cm="1">
        <f t="array" ref="H474">UPPER(IF(C474="COMPOSIÇÃO",_xlfn.XLOOKUP($B474,A:A,I:I,),IF(C474="COTAÇÃO",VLOOKUP($B474,COTAÇÕES!$A$11:$E$37,5,0),BuscarCampoAccess("Custo",B474,B.A_SINAPI,B.M_SINAPI,C474))))</f>
        <v>ERRO: CONEXÃO NÃO ESTABELECIDA. CLIQUE EM CONECTAR.</v>
      </c>
      <c r="I474" s="583" t="e">
        <f>TRUNC(G474*H474,2)</f>
        <v>#VALUE!</v>
      </c>
      <c r="K474" s="529" t="str">
        <f>IF(A474=B474,IFERROR(VLOOKUP(B474,#REF!,1,0),"-"),"-")</f>
        <v>-</v>
      </c>
      <c r="L474" s="304">
        <f t="shared" si="37"/>
        <v>1</v>
      </c>
      <c r="M474" s="304" t="str">
        <f t="shared" si="38"/>
        <v>-</v>
      </c>
    </row>
    <row r="475" spans="1:13" x14ac:dyDescent="0.3">
      <c r="K475" s="529" t="str">
        <f>IF(A475=B475,IFERROR(VLOOKUP(B475,#REF!,1,0),"-"),"-")</f>
        <v>-</v>
      </c>
      <c r="L475" s="304">
        <f t="shared" si="37"/>
        <v>0</v>
      </c>
      <c r="M475" s="304" t="b">
        <f t="shared" si="38"/>
        <v>0</v>
      </c>
    </row>
  </sheetData>
  <sheetProtection sort="0" autoFilter="0"/>
  <mergeCells count="6">
    <mergeCell ref="B4:I4"/>
    <mergeCell ref="G5:I5"/>
    <mergeCell ref="G7:I7"/>
    <mergeCell ref="G8:I8"/>
    <mergeCell ref="G6:I6"/>
    <mergeCell ref="C5:F5"/>
  </mergeCells>
  <conditionalFormatting sqref="B196:D199 G196:G199 E196:F200 I196:I199 H196:H200 B201:I204 E207:F209 H207:I209 C235:D235 B238:D238 E236:E237 C251:D251 B257:B259 E257:I259 C224:D224 B225:I233 B252:I254 B241:I249 E272:I272 C271:D272 B272:B279 C273:I279 B4:I195 G387:G391 H393:I397 H405:I411 H399:I403 B265:I265 C256:D264 E261:F264 H261:I264 B270:I270 C266:D269 E267:F269 H267:I269">
    <cfRule type="expression" dxfId="317" priority="237">
      <formula>$E4="NAO ENCONTRADO"</formula>
    </cfRule>
  </conditionalFormatting>
  <conditionalFormatting sqref="D1:D3 F1:I3">
    <cfRule type="expression" dxfId="316" priority="238">
      <formula>$D1="NAO ENCONTRADO"</formula>
    </cfRule>
  </conditionalFormatting>
  <conditionalFormatting sqref="B205:I205 G206:I206 C206:D209">
    <cfRule type="expression" dxfId="315" priority="236">
      <formula>$E205="NAO ENCONTRADO"</formula>
    </cfRule>
  </conditionalFormatting>
  <conditionalFormatting sqref="B206">
    <cfRule type="expression" dxfId="314" priority="235">
      <formula>$E206="NAO ENCONTRADO"</formula>
    </cfRule>
  </conditionalFormatting>
  <conditionalFormatting sqref="E206">
    <cfRule type="expression" dxfId="313" priority="234">
      <formula>$E206="NAO ENCONTRADO"</formula>
    </cfRule>
  </conditionalFormatting>
  <conditionalFormatting sqref="F206">
    <cfRule type="expression" dxfId="312" priority="233">
      <formula>$E206="NAO ENCONTRADO"</formula>
    </cfRule>
  </conditionalFormatting>
  <conditionalFormatting sqref="B207:B209">
    <cfRule type="expression" dxfId="311" priority="232">
      <formula>$E207="NAO ENCONTRADO"</formula>
    </cfRule>
  </conditionalFormatting>
  <conditionalFormatting sqref="G207:G209">
    <cfRule type="expression" dxfId="310" priority="231">
      <formula>$E207="NAO ENCONTRADO"</formula>
    </cfRule>
  </conditionalFormatting>
  <conditionalFormatting sqref="B210:I210 C211:D211 G211:I211 C212:C222 B212:B221 D212:D221 G212:G221 E212:F222 I212:I221 H212:H222">
    <cfRule type="expression" dxfId="309" priority="230">
      <formula>$E210="NAO ENCONTRADO"</formula>
    </cfRule>
  </conditionalFormatting>
  <conditionalFormatting sqref="B223:I223 G224:I224">
    <cfRule type="expression" dxfId="308" priority="229">
      <formula>$E223="NAO ENCONTRADO"</formula>
    </cfRule>
  </conditionalFormatting>
  <conditionalFormatting sqref="B224">
    <cfRule type="expression" dxfId="307" priority="228">
      <formula>$E224="NAO ENCONTRADO"</formula>
    </cfRule>
  </conditionalFormatting>
  <conditionalFormatting sqref="E224">
    <cfRule type="expression" dxfId="306" priority="227">
      <formula>$E224="NAO ENCONTRADO"</formula>
    </cfRule>
  </conditionalFormatting>
  <conditionalFormatting sqref="F224">
    <cfRule type="expression" dxfId="305" priority="226">
      <formula>$E224="NAO ENCONTRADO"</formula>
    </cfRule>
  </conditionalFormatting>
  <conditionalFormatting sqref="B234:I234">
    <cfRule type="expression" dxfId="304" priority="225">
      <formula>$E234="NAO ENCONTRADO"</formula>
    </cfRule>
  </conditionalFormatting>
  <conditionalFormatting sqref="B234:I234 G235:I235">
    <cfRule type="expression" dxfId="303" priority="224">
      <formula>$E234="NAO ENCONTRADO"</formula>
    </cfRule>
  </conditionalFormatting>
  <conditionalFormatting sqref="B235">
    <cfRule type="expression" dxfId="302" priority="223">
      <formula>$E235="NAO ENCONTRADO"</formula>
    </cfRule>
  </conditionalFormatting>
  <conditionalFormatting sqref="E235">
    <cfRule type="expression" dxfId="301" priority="222">
      <formula>$E235="NAO ENCONTRADO"</formula>
    </cfRule>
  </conditionalFormatting>
  <conditionalFormatting sqref="F235">
    <cfRule type="expression" dxfId="300" priority="221">
      <formula>$E235="NAO ENCONTRADO"</formula>
    </cfRule>
  </conditionalFormatting>
  <conditionalFormatting sqref="B239:I239 G240:I240 C240:D240">
    <cfRule type="expression" dxfId="299" priority="220">
      <formula>$E239="NAO ENCONTRADO"</formula>
    </cfRule>
  </conditionalFormatting>
  <conditionalFormatting sqref="B240">
    <cfRule type="expression" dxfId="298" priority="219">
      <formula>$E240="NAO ENCONTRADO"</formula>
    </cfRule>
  </conditionalFormatting>
  <conditionalFormatting sqref="E240">
    <cfRule type="expression" dxfId="297" priority="218">
      <formula>$E240="NAO ENCONTRADO"</formula>
    </cfRule>
  </conditionalFormatting>
  <conditionalFormatting sqref="F240">
    <cfRule type="expression" dxfId="296" priority="217">
      <formula>$E240="NAO ENCONTRADO"</formula>
    </cfRule>
  </conditionalFormatting>
  <conditionalFormatting sqref="B250:I250">
    <cfRule type="expression" dxfId="295" priority="216">
      <formula>$E250="NAO ENCONTRADO"</formula>
    </cfRule>
  </conditionalFormatting>
  <conditionalFormatting sqref="B250:I250">
    <cfRule type="expression" dxfId="294" priority="215">
      <formula>$E250="NAO ENCONTRADO"</formula>
    </cfRule>
  </conditionalFormatting>
  <conditionalFormatting sqref="B237:D237 F237:I237 E238:I238">
    <cfRule type="expression" dxfId="293" priority="239">
      <formula>$E236="NAO ENCONTRADO"</formula>
    </cfRule>
  </conditionalFormatting>
  <conditionalFormatting sqref="B236:D236 F236:I236">
    <cfRule type="expression" dxfId="292" priority="240">
      <formula>#REF!="NAO ENCONTRADO"</formula>
    </cfRule>
  </conditionalFormatting>
  <conditionalFormatting sqref="B250:I250 G251:I251">
    <cfRule type="expression" dxfId="291" priority="214">
      <formula>$E250="NAO ENCONTRADO"</formula>
    </cfRule>
  </conditionalFormatting>
  <conditionalFormatting sqref="B251">
    <cfRule type="expression" dxfId="290" priority="213">
      <formula>$E251="NAO ENCONTRADO"</formula>
    </cfRule>
  </conditionalFormatting>
  <conditionalFormatting sqref="E251">
    <cfRule type="expression" dxfId="289" priority="212">
      <formula>$E251="NAO ENCONTRADO"</formula>
    </cfRule>
  </conditionalFormatting>
  <conditionalFormatting sqref="F251">
    <cfRule type="expression" dxfId="288" priority="211">
      <formula>$E251="NAO ENCONTRADO"</formula>
    </cfRule>
  </conditionalFormatting>
  <conditionalFormatting sqref="B255:I255">
    <cfRule type="expression" dxfId="287" priority="210">
      <formula>$E255="NAO ENCONTRADO"</formula>
    </cfRule>
  </conditionalFormatting>
  <conditionalFormatting sqref="B255:I255">
    <cfRule type="expression" dxfId="286" priority="209">
      <formula>$E255="NAO ENCONTRADO"</formula>
    </cfRule>
  </conditionalFormatting>
  <conditionalFormatting sqref="E211">
    <cfRule type="expression" dxfId="285" priority="208">
      <formula>$E211="NAO ENCONTRADO"</formula>
    </cfRule>
  </conditionalFormatting>
  <conditionalFormatting sqref="F211">
    <cfRule type="expression" dxfId="284" priority="207">
      <formula>$E211="NAO ENCONTRADO"</formula>
    </cfRule>
  </conditionalFormatting>
  <conditionalFormatting sqref="G256:I256">
    <cfRule type="expression" dxfId="283" priority="206">
      <formula>$E256="NAO ENCONTRADO"</formula>
    </cfRule>
  </conditionalFormatting>
  <conditionalFormatting sqref="B256">
    <cfRule type="expression" dxfId="282" priority="205">
      <formula>$E256="NAO ENCONTRADO"</formula>
    </cfRule>
  </conditionalFormatting>
  <conditionalFormatting sqref="E256">
    <cfRule type="expression" dxfId="281" priority="204">
      <formula>$E256="NAO ENCONTRADO"</formula>
    </cfRule>
  </conditionalFormatting>
  <conditionalFormatting sqref="F256">
    <cfRule type="expression" dxfId="280" priority="203">
      <formula>$E256="NAO ENCONTRADO"</formula>
    </cfRule>
  </conditionalFormatting>
  <conditionalFormatting sqref="B211">
    <cfRule type="expression" dxfId="279" priority="202">
      <formula>$E211="NAO ENCONTRADO"</formula>
    </cfRule>
  </conditionalFormatting>
  <conditionalFormatting sqref="G271:I271">
    <cfRule type="expression" dxfId="278" priority="201">
      <formula>$E271="NAO ENCONTRADO"</formula>
    </cfRule>
  </conditionalFormatting>
  <conditionalFormatting sqref="B271">
    <cfRule type="expression" dxfId="277" priority="200">
      <formula>$E271="NAO ENCONTRADO"</formula>
    </cfRule>
  </conditionalFormatting>
  <conditionalFormatting sqref="E271">
    <cfRule type="expression" dxfId="276" priority="199">
      <formula>$E271="NAO ENCONTRADO"</formula>
    </cfRule>
  </conditionalFormatting>
  <conditionalFormatting sqref="F271">
    <cfRule type="expression" dxfId="275" priority="198">
      <formula>$E271="NAO ENCONTRADO"</formula>
    </cfRule>
  </conditionalFormatting>
  <conditionalFormatting sqref="E282:I282">
    <cfRule type="expression" dxfId="274" priority="197">
      <formula>$E282="NAO ENCONTRADO"</formula>
    </cfRule>
  </conditionalFormatting>
  <conditionalFormatting sqref="G281:I281">
    <cfRule type="expression" dxfId="273" priority="196">
      <formula>$E281="NAO ENCONTRADO"</formula>
    </cfRule>
  </conditionalFormatting>
  <conditionalFormatting sqref="C281:D281">
    <cfRule type="expression" dxfId="272" priority="195">
      <formula>$E281="NAO ENCONTRADO"</formula>
    </cfRule>
  </conditionalFormatting>
  <conditionalFormatting sqref="F281">
    <cfRule type="expression" dxfId="271" priority="194">
      <formula>$E281="NAO ENCONTRADO"</formula>
    </cfRule>
  </conditionalFormatting>
  <conditionalFormatting sqref="B281">
    <cfRule type="expression" dxfId="270" priority="193">
      <formula>$E281="NAO ENCONTRADO"</formula>
    </cfRule>
  </conditionalFormatting>
  <conditionalFormatting sqref="E281">
    <cfRule type="expression" dxfId="269" priority="192">
      <formula>$E281="NAO ENCONTRADO"</formula>
    </cfRule>
  </conditionalFormatting>
  <conditionalFormatting sqref="C316:D316">
    <cfRule type="expression" dxfId="268" priority="191">
      <formula>$E316="NAO ENCONTRADO"</formula>
    </cfRule>
  </conditionalFormatting>
  <conditionalFormatting sqref="D282">
    <cfRule type="expression" dxfId="267" priority="190">
      <formula>$E282="NAO ENCONTRADO"</formula>
    </cfRule>
  </conditionalFormatting>
  <conditionalFormatting sqref="C282">
    <cfRule type="expression" dxfId="266" priority="189">
      <formula>$E282="NAO ENCONTRADO"</formula>
    </cfRule>
  </conditionalFormatting>
  <conditionalFormatting sqref="D284:D293 D299:D303 D295:D297">
    <cfRule type="expression" dxfId="265" priority="188">
      <formula>$E284="NAO ENCONTRADO"</formula>
    </cfRule>
  </conditionalFormatting>
  <conditionalFormatting sqref="C284:C293 C299:C303 C295:C297">
    <cfRule type="expression" dxfId="264" priority="187">
      <formula>$E284="NAO ENCONTRADO"</formula>
    </cfRule>
  </conditionalFormatting>
  <conditionalFormatting sqref="D305:D309 D311:D315">
    <cfRule type="expression" dxfId="263" priority="186">
      <formula>$E305="NAO ENCONTRADO"</formula>
    </cfRule>
  </conditionalFormatting>
  <conditionalFormatting sqref="C305:C309 C311:C315">
    <cfRule type="expression" dxfId="262" priority="185">
      <formula>$E305="NAO ENCONTRADO"</formula>
    </cfRule>
  </conditionalFormatting>
  <conditionalFormatting sqref="D317:D323">
    <cfRule type="expression" dxfId="261" priority="184">
      <formula>$E317="NAO ENCONTRADO"</formula>
    </cfRule>
  </conditionalFormatting>
  <conditionalFormatting sqref="C317:C323">
    <cfRule type="expression" dxfId="260" priority="183">
      <formula>$E317="NAO ENCONTRADO"</formula>
    </cfRule>
  </conditionalFormatting>
  <conditionalFormatting sqref="B282:B323">
    <cfRule type="expression" dxfId="259" priority="182">
      <formula>$E282="NAO ENCONTRADO"</formula>
    </cfRule>
  </conditionalFormatting>
  <conditionalFormatting sqref="E284:I293">
    <cfRule type="expression" dxfId="258" priority="181">
      <formula>$E284="NAO ENCONTRADO"</formula>
    </cfRule>
  </conditionalFormatting>
  <conditionalFormatting sqref="E295:I297">
    <cfRule type="expression" dxfId="257" priority="180">
      <formula>$E295="NAO ENCONTRADO"</formula>
    </cfRule>
  </conditionalFormatting>
  <conditionalFormatting sqref="E299:I303">
    <cfRule type="expression" dxfId="256" priority="179">
      <formula>$E299="NAO ENCONTRADO"</formula>
    </cfRule>
  </conditionalFormatting>
  <conditionalFormatting sqref="E305:I309">
    <cfRule type="expression" dxfId="255" priority="178">
      <formula>$E305="NAO ENCONTRADO"</formula>
    </cfRule>
  </conditionalFormatting>
  <conditionalFormatting sqref="E311:I316">
    <cfRule type="expression" dxfId="254" priority="177">
      <formula>$E311="NAO ENCONTRADO"</formula>
    </cfRule>
  </conditionalFormatting>
  <conditionalFormatting sqref="E317:I323">
    <cfRule type="expression" dxfId="253" priority="176">
      <formula>$E317="NAO ENCONTRADO"</formula>
    </cfRule>
  </conditionalFormatting>
  <conditionalFormatting sqref="C310:D310">
    <cfRule type="expression" dxfId="252" priority="175">
      <formula>$E310="NAO ENCONTRADO"</formula>
    </cfRule>
  </conditionalFormatting>
  <conditionalFormatting sqref="E310:I310">
    <cfRule type="expression" dxfId="251" priority="174">
      <formula>$E310="NAO ENCONTRADO"</formula>
    </cfRule>
  </conditionalFormatting>
  <conditionalFormatting sqref="C304:D304">
    <cfRule type="expression" dxfId="250" priority="173">
      <formula>$E304="NAO ENCONTRADO"</formula>
    </cfRule>
  </conditionalFormatting>
  <conditionalFormatting sqref="E304:I304">
    <cfRule type="expression" dxfId="249" priority="172">
      <formula>$E304="NAO ENCONTRADO"</formula>
    </cfRule>
  </conditionalFormatting>
  <conditionalFormatting sqref="C298:D298">
    <cfRule type="expression" dxfId="248" priority="171">
      <formula>$E298="NAO ENCONTRADO"</formula>
    </cfRule>
  </conditionalFormatting>
  <conditionalFormatting sqref="E298:I298">
    <cfRule type="expression" dxfId="247" priority="170">
      <formula>$E298="NAO ENCONTRADO"</formula>
    </cfRule>
  </conditionalFormatting>
  <conditionalFormatting sqref="C294:D294">
    <cfRule type="expression" dxfId="246" priority="169">
      <formula>$E294="NAO ENCONTRADO"</formula>
    </cfRule>
  </conditionalFormatting>
  <conditionalFormatting sqref="E294:I294">
    <cfRule type="expression" dxfId="245" priority="168">
      <formula>$E294="NAO ENCONTRADO"</formula>
    </cfRule>
  </conditionalFormatting>
  <conditionalFormatting sqref="C283:D283">
    <cfRule type="expression" dxfId="244" priority="167">
      <formula>$E283="NAO ENCONTRADO"</formula>
    </cfRule>
  </conditionalFormatting>
  <conditionalFormatting sqref="E283:I283">
    <cfRule type="expression" dxfId="243" priority="166">
      <formula>$E283="NAO ENCONTRADO"</formula>
    </cfRule>
  </conditionalFormatting>
  <conditionalFormatting sqref="E326:F326 H326:I326">
    <cfRule type="expression" dxfId="242" priority="165">
      <formula>$E326="NAO ENCONTRADO"</formula>
    </cfRule>
  </conditionalFormatting>
  <conditionalFormatting sqref="G325:I325">
    <cfRule type="expression" dxfId="241" priority="164">
      <formula>$E325="NAO ENCONTRADO"</formula>
    </cfRule>
  </conditionalFormatting>
  <conditionalFormatting sqref="C360:D360">
    <cfRule type="expression" dxfId="240" priority="163">
      <formula>$E360="NAO ENCONTRADO"</formula>
    </cfRule>
  </conditionalFormatting>
  <conditionalFormatting sqref="D326">
    <cfRule type="expression" dxfId="239" priority="162">
      <formula>$E326="NAO ENCONTRADO"</formula>
    </cfRule>
  </conditionalFormatting>
  <conditionalFormatting sqref="C326">
    <cfRule type="expression" dxfId="238" priority="161">
      <formula>$E326="NAO ENCONTRADO"</formula>
    </cfRule>
  </conditionalFormatting>
  <conditionalFormatting sqref="D328:D337 D343:D347 D339:D341">
    <cfRule type="expression" dxfId="237" priority="160">
      <formula>$E328="NAO ENCONTRADO"</formula>
    </cfRule>
  </conditionalFormatting>
  <conditionalFormatting sqref="C328:C337 C343:C347 C339:C341">
    <cfRule type="expression" dxfId="236" priority="159">
      <formula>$E328="NAO ENCONTRADO"</formula>
    </cfRule>
  </conditionalFormatting>
  <conditionalFormatting sqref="D349:D353 D355:D359">
    <cfRule type="expression" dxfId="235" priority="158">
      <formula>$E349="NAO ENCONTRADO"</formula>
    </cfRule>
  </conditionalFormatting>
  <conditionalFormatting sqref="C349:C353 C355:C359">
    <cfRule type="expression" dxfId="234" priority="157">
      <formula>$E349="NAO ENCONTRADO"</formula>
    </cfRule>
  </conditionalFormatting>
  <conditionalFormatting sqref="D361:D367">
    <cfRule type="expression" dxfId="233" priority="156">
      <formula>$E361="NAO ENCONTRADO"</formula>
    </cfRule>
  </conditionalFormatting>
  <conditionalFormatting sqref="C361:C367">
    <cfRule type="expression" dxfId="232" priority="155">
      <formula>$E361="NAO ENCONTRADO"</formula>
    </cfRule>
  </conditionalFormatting>
  <conditionalFormatting sqref="B326:B367">
    <cfRule type="expression" dxfId="231" priority="154">
      <formula>$E326="NAO ENCONTRADO"</formula>
    </cfRule>
  </conditionalFormatting>
  <conditionalFormatting sqref="E328:F337 H328:I337">
    <cfRule type="expression" dxfId="230" priority="153">
      <formula>$E328="NAO ENCONTRADO"</formula>
    </cfRule>
  </conditionalFormatting>
  <conditionalFormatting sqref="E339:F341 H339:I341">
    <cfRule type="expression" dxfId="229" priority="152">
      <formula>$E339="NAO ENCONTRADO"</formula>
    </cfRule>
  </conditionalFormatting>
  <conditionalFormatting sqref="E343:F347 H343:I347">
    <cfRule type="expression" dxfId="228" priority="151">
      <formula>$E343="NAO ENCONTRADO"</formula>
    </cfRule>
  </conditionalFormatting>
  <conditionalFormatting sqref="E349:F353 H349:I353">
    <cfRule type="expression" dxfId="227" priority="150">
      <formula>$E349="NAO ENCONTRADO"</formula>
    </cfRule>
  </conditionalFormatting>
  <conditionalFormatting sqref="E355:F360 H355:I360">
    <cfRule type="expression" dxfId="226" priority="149">
      <formula>$E355="NAO ENCONTRADO"</formula>
    </cfRule>
  </conditionalFormatting>
  <conditionalFormatting sqref="E361:F367 H361:I367">
    <cfRule type="expression" dxfId="225" priority="148">
      <formula>$E361="NAO ENCONTRADO"</formula>
    </cfRule>
  </conditionalFormatting>
  <conditionalFormatting sqref="C354:D354">
    <cfRule type="expression" dxfId="224" priority="147">
      <formula>$E354="NAO ENCONTRADO"</formula>
    </cfRule>
  </conditionalFormatting>
  <conditionalFormatting sqref="E354:F354 H354:I354">
    <cfRule type="expression" dxfId="223" priority="146">
      <formula>$E354="NAO ENCONTRADO"</formula>
    </cfRule>
  </conditionalFormatting>
  <conditionalFormatting sqref="C348:D348">
    <cfRule type="expression" dxfId="222" priority="145">
      <formula>$E348="NAO ENCONTRADO"</formula>
    </cfRule>
  </conditionalFormatting>
  <conditionalFormatting sqref="E348:F348 H348:I348">
    <cfRule type="expression" dxfId="221" priority="144">
      <formula>$E348="NAO ENCONTRADO"</formula>
    </cfRule>
  </conditionalFormatting>
  <conditionalFormatting sqref="C342:D342">
    <cfRule type="expression" dxfId="220" priority="143">
      <formula>$E342="NAO ENCONTRADO"</formula>
    </cfRule>
  </conditionalFormatting>
  <conditionalFormatting sqref="E342:F342 H342:I342">
    <cfRule type="expression" dxfId="219" priority="142">
      <formula>$E342="NAO ENCONTRADO"</formula>
    </cfRule>
  </conditionalFormatting>
  <conditionalFormatting sqref="C338:D338">
    <cfRule type="expression" dxfId="218" priority="141">
      <formula>$E338="NAO ENCONTRADO"</formula>
    </cfRule>
  </conditionalFormatting>
  <conditionalFormatting sqref="E338:F338 H338:I338">
    <cfRule type="expression" dxfId="217" priority="140">
      <formula>$E338="NAO ENCONTRADO"</formula>
    </cfRule>
  </conditionalFormatting>
  <conditionalFormatting sqref="C327:D327">
    <cfRule type="expression" dxfId="216" priority="139">
      <formula>$E327="NAO ENCONTRADO"</formula>
    </cfRule>
  </conditionalFormatting>
  <conditionalFormatting sqref="E327:F327 H327:I327">
    <cfRule type="expression" dxfId="215" priority="138">
      <formula>$E327="NAO ENCONTRADO"</formula>
    </cfRule>
  </conditionalFormatting>
  <conditionalFormatting sqref="C325:D325">
    <cfRule type="expression" dxfId="214" priority="137">
      <formula>$E325="NAO ENCONTRADO"</formula>
    </cfRule>
  </conditionalFormatting>
  <conditionalFormatting sqref="F325">
    <cfRule type="expression" dxfId="213" priority="136">
      <formula>$E325="NAO ENCONTRADO"</formula>
    </cfRule>
  </conditionalFormatting>
  <conditionalFormatting sqref="B325">
    <cfRule type="expression" dxfId="212" priority="135">
      <formula>$E325="NAO ENCONTRADO"</formula>
    </cfRule>
  </conditionalFormatting>
  <conditionalFormatting sqref="E325">
    <cfRule type="expression" dxfId="211" priority="134">
      <formula>$E325="NAO ENCONTRADO"</formula>
    </cfRule>
  </conditionalFormatting>
  <conditionalFormatting sqref="G327:G367">
    <cfRule type="expression" dxfId="210" priority="133">
      <formula>$E327="NAO ENCONTRADO"</formula>
    </cfRule>
  </conditionalFormatting>
  <conditionalFormatting sqref="G326">
    <cfRule type="expression" dxfId="209" priority="132">
      <formula>$E326="NAO ENCONTRADO"</formula>
    </cfRule>
  </conditionalFormatting>
  <conditionalFormatting sqref="G369:I369">
    <cfRule type="expression" dxfId="208" priority="131">
      <formula>$E369="NAO ENCONTRADO"</formula>
    </cfRule>
  </conditionalFormatting>
  <conditionalFormatting sqref="C369:D369">
    <cfRule type="expression" dxfId="207" priority="130">
      <formula>$E369="NAO ENCONTRADO"</formula>
    </cfRule>
  </conditionalFormatting>
  <conditionalFormatting sqref="F369">
    <cfRule type="expression" dxfId="206" priority="129">
      <formula>$E369="NAO ENCONTRADO"</formula>
    </cfRule>
  </conditionalFormatting>
  <conditionalFormatting sqref="B369">
    <cfRule type="expression" dxfId="205" priority="128">
      <formula>$E369="NAO ENCONTRADO"</formula>
    </cfRule>
  </conditionalFormatting>
  <conditionalFormatting sqref="E369">
    <cfRule type="expression" dxfId="204" priority="127">
      <formula>$E369="NAO ENCONTRADO"</formula>
    </cfRule>
  </conditionalFormatting>
  <conditionalFormatting sqref="B372:B381 B383:B385 B387:B391 B393:B397 B405:B411 B399:B403">
    <cfRule type="expression" dxfId="203" priority="126">
      <formula>$E372="NAO ENCONTRADO"</formula>
    </cfRule>
  </conditionalFormatting>
  <conditionalFormatting sqref="G372:G381 G383:G385 G393:I397 G405:I411 G399:I403">
    <cfRule type="expression" dxfId="202" priority="125">
      <formula>$E372="NAO ENCONTRADO"</formula>
    </cfRule>
  </conditionalFormatting>
  <conditionalFormatting sqref="D370 G370">
    <cfRule type="expression" dxfId="201" priority="124">
      <formula>$E370="NAO ENCONTRADO"</formula>
    </cfRule>
  </conditionalFormatting>
  <conditionalFormatting sqref="B370">
    <cfRule type="expression" dxfId="200" priority="123">
      <formula>$E370="NAO ENCONTRADO"</formula>
    </cfRule>
  </conditionalFormatting>
  <conditionalFormatting sqref="C370">
    <cfRule type="expression" dxfId="199" priority="122">
      <formula>$E370="NAO ENCONTRADO"</formula>
    </cfRule>
  </conditionalFormatting>
  <conditionalFormatting sqref="D372:D381 D383:D385 D387:D391">
    <cfRule type="expression" dxfId="198" priority="121">
      <formula>$E372="NAO ENCONTRADO"</formula>
    </cfRule>
  </conditionalFormatting>
  <conditionalFormatting sqref="C372:C381 C383:C385 C387:C391">
    <cfRule type="expression" dxfId="197" priority="120">
      <formula>$E372="NAO ENCONTRADO"</formula>
    </cfRule>
  </conditionalFormatting>
  <conditionalFormatting sqref="D393:D397 D399:D403">
    <cfRule type="expression" dxfId="196" priority="119">
      <formula>$E393="NAO ENCONTRADO"</formula>
    </cfRule>
  </conditionalFormatting>
  <conditionalFormatting sqref="C393:C397 C399:C403">
    <cfRule type="expression" dxfId="195" priority="118">
      <formula>$E393="NAO ENCONTRADO"</formula>
    </cfRule>
  </conditionalFormatting>
  <conditionalFormatting sqref="D405:D411">
    <cfRule type="expression" dxfId="194" priority="117">
      <formula>$E405="NAO ENCONTRADO"</formula>
    </cfRule>
  </conditionalFormatting>
  <conditionalFormatting sqref="C405:C411">
    <cfRule type="expression" dxfId="193" priority="116">
      <formula>$E405="NAO ENCONTRADO"</formula>
    </cfRule>
  </conditionalFormatting>
  <conditionalFormatting sqref="H370:I370">
    <cfRule type="expression" dxfId="192" priority="115">
      <formula>$E370="NAO ENCONTRADO"</formula>
    </cfRule>
  </conditionalFormatting>
  <conditionalFormatting sqref="H372:I381">
    <cfRule type="expression" dxfId="191" priority="114">
      <formula>$E372="NAO ENCONTRADO"</formula>
    </cfRule>
  </conditionalFormatting>
  <conditionalFormatting sqref="E370:F370">
    <cfRule type="expression" dxfId="190" priority="113">
      <formula>$E370="NAO ENCONTRADO"</formula>
    </cfRule>
  </conditionalFormatting>
  <conditionalFormatting sqref="E372:F381">
    <cfRule type="expression" dxfId="189" priority="112">
      <formula>$E372="NAO ENCONTRADO"</formula>
    </cfRule>
  </conditionalFormatting>
  <conditionalFormatting sqref="H383:I385">
    <cfRule type="expression" dxfId="188" priority="111">
      <formula>$E383="NAO ENCONTRADO"</formula>
    </cfRule>
  </conditionalFormatting>
  <conditionalFormatting sqref="E383:F385">
    <cfRule type="expression" dxfId="187" priority="110">
      <formula>$E383="NAO ENCONTRADO"</formula>
    </cfRule>
  </conditionalFormatting>
  <conditionalFormatting sqref="E387:F391">
    <cfRule type="expression" dxfId="186" priority="109">
      <formula>$E387="NAO ENCONTRADO"</formula>
    </cfRule>
  </conditionalFormatting>
  <conditionalFormatting sqref="E393:F397">
    <cfRule type="expression" dxfId="185" priority="108">
      <formula>$E393="NAO ENCONTRADO"</formula>
    </cfRule>
  </conditionalFormatting>
  <conditionalFormatting sqref="E399:F403">
    <cfRule type="expression" dxfId="184" priority="107">
      <formula>$E399="NAO ENCONTRADO"</formula>
    </cfRule>
  </conditionalFormatting>
  <conditionalFormatting sqref="E405:F411">
    <cfRule type="expression" dxfId="183" priority="106">
      <formula>$E405="NAO ENCONTRADO"</formula>
    </cfRule>
  </conditionalFormatting>
  <conditionalFormatting sqref="H387:I391">
    <cfRule type="expression" dxfId="182" priority="105">
      <formula>$E387="NAO ENCONTRADO"</formula>
    </cfRule>
  </conditionalFormatting>
  <conditionalFormatting sqref="C371:D371">
    <cfRule type="expression" dxfId="181" priority="104">
      <formula>$E371="NAO ENCONTRADO"</formula>
    </cfRule>
  </conditionalFormatting>
  <conditionalFormatting sqref="B371">
    <cfRule type="expression" dxfId="180" priority="103">
      <formula>$E371="NAO ENCONTRADO"</formula>
    </cfRule>
  </conditionalFormatting>
  <conditionalFormatting sqref="E371:F371 H371:I371">
    <cfRule type="expression" dxfId="179" priority="102">
      <formula>$E371="NAO ENCONTRADO"</formula>
    </cfRule>
  </conditionalFormatting>
  <conditionalFormatting sqref="G371">
    <cfRule type="expression" dxfId="178" priority="101">
      <formula>$E371="NAO ENCONTRADO"</formula>
    </cfRule>
  </conditionalFormatting>
  <conditionalFormatting sqref="C382:D382">
    <cfRule type="expression" dxfId="177" priority="100">
      <formula>$E382="NAO ENCONTRADO"</formula>
    </cfRule>
  </conditionalFormatting>
  <conditionalFormatting sqref="B382">
    <cfRule type="expression" dxfId="176" priority="99">
      <formula>$E382="NAO ENCONTRADO"</formula>
    </cfRule>
  </conditionalFormatting>
  <conditionalFormatting sqref="E382:F382 H382:I382">
    <cfRule type="expression" dxfId="175" priority="98">
      <formula>$E382="NAO ENCONTRADO"</formula>
    </cfRule>
  </conditionalFormatting>
  <conditionalFormatting sqref="G382">
    <cfRule type="expression" dxfId="174" priority="97">
      <formula>$E382="NAO ENCONTRADO"</formula>
    </cfRule>
  </conditionalFormatting>
  <conditionalFormatting sqref="C386:D386">
    <cfRule type="expression" dxfId="173" priority="96">
      <formula>$E386="NAO ENCONTRADO"</formula>
    </cfRule>
  </conditionalFormatting>
  <conditionalFormatting sqref="B386">
    <cfRule type="expression" dxfId="172" priority="95">
      <formula>$E386="NAO ENCONTRADO"</formula>
    </cfRule>
  </conditionalFormatting>
  <conditionalFormatting sqref="E386:F386 H386:I386">
    <cfRule type="expression" dxfId="171" priority="94">
      <formula>$E386="NAO ENCONTRADO"</formula>
    </cfRule>
  </conditionalFormatting>
  <conditionalFormatting sqref="G386">
    <cfRule type="expression" dxfId="170" priority="93">
      <formula>$E386="NAO ENCONTRADO"</formula>
    </cfRule>
  </conditionalFormatting>
  <conditionalFormatting sqref="C392:D392">
    <cfRule type="expression" dxfId="169" priority="92">
      <formula>$E392="NAO ENCONTRADO"</formula>
    </cfRule>
  </conditionalFormatting>
  <conditionalFormatting sqref="B392">
    <cfRule type="expression" dxfId="168" priority="91">
      <formula>$E392="NAO ENCONTRADO"</formula>
    </cfRule>
  </conditionalFormatting>
  <conditionalFormatting sqref="E392:F392 H392:I392">
    <cfRule type="expression" dxfId="167" priority="90">
      <formula>$E392="NAO ENCONTRADO"</formula>
    </cfRule>
  </conditionalFormatting>
  <conditionalFormatting sqref="G392">
    <cfRule type="expression" dxfId="166" priority="89">
      <formula>$E392="NAO ENCONTRADO"</formula>
    </cfRule>
  </conditionalFormatting>
  <conditionalFormatting sqref="C404:D404">
    <cfRule type="expression" dxfId="165" priority="88">
      <formula>$E404="NAO ENCONTRADO"</formula>
    </cfRule>
  </conditionalFormatting>
  <conditionalFormatting sqref="B404">
    <cfRule type="expression" dxfId="164" priority="87">
      <formula>$E404="NAO ENCONTRADO"</formula>
    </cfRule>
  </conditionalFormatting>
  <conditionalFormatting sqref="E404:F404 H404:I404">
    <cfRule type="expression" dxfId="163" priority="86">
      <formula>$E404="NAO ENCONTRADO"</formula>
    </cfRule>
  </conditionalFormatting>
  <conditionalFormatting sqref="G404">
    <cfRule type="expression" dxfId="162" priority="85">
      <formula>$E404="NAO ENCONTRADO"</formula>
    </cfRule>
  </conditionalFormatting>
  <conditionalFormatting sqref="C398:D398">
    <cfRule type="expression" dxfId="161" priority="84">
      <formula>$E398="NAO ENCONTRADO"</formula>
    </cfRule>
  </conditionalFormatting>
  <conditionalFormatting sqref="B398">
    <cfRule type="expression" dxfId="160" priority="83">
      <formula>$E398="NAO ENCONTRADO"</formula>
    </cfRule>
  </conditionalFormatting>
  <conditionalFormatting sqref="E398:F398 H398:I398">
    <cfRule type="expression" dxfId="159" priority="82">
      <formula>$E398="NAO ENCONTRADO"</formula>
    </cfRule>
  </conditionalFormatting>
  <conditionalFormatting sqref="G398">
    <cfRule type="expression" dxfId="158" priority="81">
      <formula>$E398="NAO ENCONTRADO"</formula>
    </cfRule>
  </conditionalFormatting>
  <conditionalFormatting sqref="G413:I413">
    <cfRule type="expression" dxfId="157" priority="80">
      <formula>$E413="NAO ENCONTRADO"</formula>
    </cfRule>
  </conditionalFormatting>
  <conditionalFormatting sqref="C413:D413">
    <cfRule type="expression" dxfId="156" priority="79">
      <formula>$E413="NAO ENCONTRADO"</formula>
    </cfRule>
  </conditionalFormatting>
  <conditionalFormatting sqref="F413">
    <cfRule type="expression" dxfId="155" priority="78">
      <formula>$E413="NAO ENCONTRADO"</formula>
    </cfRule>
  </conditionalFormatting>
  <conditionalFormatting sqref="B413">
    <cfRule type="expression" dxfId="154" priority="77">
      <formula>$E413="NAO ENCONTRADO"</formula>
    </cfRule>
  </conditionalFormatting>
  <conditionalFormatting sqref="E413">
    <cfRule type="expression" dxfId="153" priority="76">
      <formula>$E413="NAO ENCONTRADO"</formula>
    </cfRule>
  </conditionalFormatting>
  <conditionalFormatting sqref="B416:B425 B427:B429 B431:B435 B437:B441 B443:B447 B455:B461 B449:B453">
    <cfRule type="expression" dxfId="152" priority="75">
      <formula>$E416="NAO ENCONTRADO"</formula>
    </cfRule>
  </conditionalFormatting>
  <conditionalFormatting sqref="G416:G425 G427:G429 G431:G435 G437:G441 G443:G447 G455:G461 G449:G453">
    <cfRule type="expression" dxfId="151" priority="74">
      <formula>$E416="NAO ENCONTRADO"</formula>
    </cfRule>
  </conditionalFormatting>
  <conditionalFormatting sqref="D414 G414">
    <cfRule type="expression" dxfId="150" priority="73">
      <formula>$E414="NAO ENCONTRADO"</formula>
    </cfRule>
  </conditionalFormatting>
  <conditionalFormatting sqref="B414">
    <cfRule type="expression" dxfId="149" priority="72">
      <formula>$E414="NAO ENCONTRADO"</formula>
    </cfRule>
  </conditionalFormatting>
  <conditionalFormatting sqref="C414">
    <cfRule type="expression" dxfId="148" priority="71">
      <formula>$E414="NAO ENCONTRADO"</formula>
    </cfRule>
  </conditionalFormatting>
  <conditionalFormatting sqref="D416:D425 D427:D429 D431:D435">
    <cfRule type="expression" dxfId="147" priority="70">
      <formula>$E416="NAO ENCONTRADO"</formula>
    </cfRule>
  </conditionalFormatting>
  <conditionalFormatting sqref="C416:C425 C427:C429 C431:C435">
    <cfRule type="expression" dxfId="146" priority="69">
      <formula>$E416="NAO ENCONTRADO"</formula>
    </cfRule>
  </conditionalFormatting>
  <conditionalFormatting sqref="D437:D441 D443:D447">
    <cfRule type="expression" dxfId="145" priority="68">
      <formula>$E437="NAO ENCONTRADO"</formula>
    </cfRule>
  </conditionalFormatting>
  <conditionalFormatting sqref="C437:C441 C443:C447">
    <cfRule type="expression" dxfId="144" priority="67">
      <formula>$E437="NAO ENCONTRADO"</formula>
    </cfRule>
  </conditionalFormatting>
  <conditionalFormatting sqref="D449:D453 D455:D461">
    <cfRule type="expression" dxfId="143" priority="66">
      <formula>$E449="NAO ENCONTRADO"</formula>
    </cfRule>
  </conditionalFormatting>
  <conditionalFormatting sqref="C449:C453 C455:C461">
    <cfRule type="expression" dxfId="142" priority="65">
      <formula>$E449="NAO ENCONTRADO"</formula>
    </cfRule>
  </conditionalFormatting>
  <conditionalFormatting sqref="E414:F414">
    <cfRule type="expression" dxfId="141" priority="64">
      <formula>$E414="NAO ENCONTRADO"</formula>
    </cfRule>
  </conditionalFormatting>
  <conditionalFormatting sqref="H414:I414">
    <cfRule type="expression" dxfId="140" priority="63">
      <formula>$E414="NAO ENCONTRADO"</formula>
    </cfRule>
  </conditionalFormatting>
  <conditionalFormatting sqref="H414:I414">
    <cfRule type="expression" dxfId="139" priority="62">
      <formula>$E414="NAO ENCONTRADO"</formula>
    </cfRule>
  </conditionalFormatting>
  <conditionalFormatting sqref="H416:I425 H427:I429 H431:I435 H437:I441 H443:I447 H455:I461 H449:I453">
    <cfRule type="expression" dxfId="138" priority="61">
      <formula>$E416="NAO ENCONTRADO"</formula>
    </cfRule>
  </conditionalFormatting>
  <conditionalFormatting sqref="H416:I425 H427:I429 H431:I435 H437:I441 H443:I447 H455:I461 H449:I453">
    <cfRule type="expression" dxfId="137" priority="60">
      <formula>$E416="NAO ENCONTRADO"</formula>
    </cfRule>
  </conditionalFormatting>
  <conditionalFormatting sqref="E416:F425 E427:F429 E431:F435 E437:F441 E443:F447 E455:F461 E449:F453">
    <cfRule type="expression" dxfId="136" priority="59">
      <formula>$E416="NAO ENCONTRADO"</formula>
    </cfRule>
  </conditionalFormatting>
  <conditionalFormatting sqref="C415:D415">
    <cfRule type="expression" dxfId="135" priority="58">
      <formula>$E415="NAO ENCONTRADO"</formula>
    </cfRule>
  </conditionalFormatting>
  <conditionalFormatting sqref="B415">
    <cfRule type="expression" dxfId="134" priority="57">
      <formula>$E415="NAO ENCONTRADO"</formula>
    </cfRule>
  </conditionalFormatting>
  <conditionalFormatting sqref="E415:F415 H415:I415">
    <cfRule type="expression" dxfId="133" priority="56">
      <formula>$E415="NAO ENCONTRADO"</formula>
    </cfRule>
  </conditionalFormatting>
  <conditionalFormatting sqref="G415">
    <cfRule type="expression" dxfId="132" priority="55">
      <formula>$E415="NAO ENCONTRADO"</formula>
    </cfRule>
  </conditionalFormatting>
  <conditionalFormatting sqref="C426:D426">
    <cfRule type="expression" dxfId="131" priority="54">
      <formula>$E426="NAO ENCONTRADO"</formula>
    </cfRule>
  </conditionalFormatting>
  <conditionalFormatting sqref="B426">
    <cfRule type="expression" dxfId="130" priority="53">
      <formula>$E426="NAO ENCONTRADO"</formula>
    </cfRule>
  </conditionalFormatting>
  <conditionalFormatting sqref="E426:F426 H426:I426">
    <cfRule type="expression" dxfId="129" priority="52">
      <formula>$E426="NAO ENCONTRADO"</formula>
    </cfRule>
  </conditionalFormatting>
  <conditionalFormatting sqref="G426">
    <cfRule type="expression" dxfId="128" priority="51">
      <formula>$E426="NAO ENCONTRADO"</formula>
    </cfRule>
  </conditionalFormatting>
  <conditionalFormatting sqref="C430:D430">
    <cfRule type="expression" dxfId="127" priority="50">
      <formula>$E430="NAO ENCONTRADO"</formula>
    </cfRule>
  </conditionalFormatting>
  <conditionalFormatting sqref="B430">
    <cfRule type="expression" dxfId="126" priority="49">
      <formula>$E430="NAO ENCONTRADO"</formula>
    </cfRule>
  </conditionalFormatting>
  <conditionalFormatting sqref="E430:F430 H430:I430">
    <cfRule type="expression" dxfId="125" priority="48">
      <formula>$E430="NAO ENCONTRADO"</formula>
    </cfRule>
  </conditionalFormatting>
  <conditionalFormatting sqref="G430">
    <cfRule type="expression" dxfId="124" priority="47">
      <formula>$E430="NAO ENCONTRADO"</formula>
    </cfRule>
  </conditionalFormatting>
  <conditionalFormatting sqref="C436:D436">
    <cfRule type="expression" dxfId="123" priority="46">
      <formula>$E436="NAO ENCONTRADO"</formula>
    </cfRule>
  </conditionalFormatting>
  <conditionalFormatting sqref="B436">
    <cfRule type="expression" dxfId="122" priority="45">
      <formula>$E436="NAO ENCONTRADO"</formula>
    </cfRule>
  </conditionalFormatting>
  <conditionalFormatting sqref="E436:F436 H436:I436">
    <cfRule type="expression" dxfId="121" priority="44">
      <formula>$E436="NAO ENCONTRADO"</formula>
    </cfRule>
  </conditionalFormatting>
  <conditionalFormatting sqref="G436">
    <cfRule type="expression" dxfId="120" priority="43">
      <formula>$E436="NAO ENCONTRADO"</formula>
    </cfRule>
  </conditionalFormatting>
  <conditionalFormatting sqref="C442:D442">
    <cfRule type="expression" dxfId="119" priority="42">
      <formula>$E442="NAO ENCONTRADO"</formula>
    </cfRule>
  </conditionalFormatting>
  <conditionalFormatting sqref="B442">
    <cfRule type="expression" dxfId="118" priority="41">
      <formula>$E442="NAO ENCONTRADO"</formula>
    </cfRule>
  </conditionalFormatting>
  <conditionalFormatting sqref="E442:F442 H442:I442">
    <cfRule type="expression" dxfId="117" priority="40">
      <formula>$E442="NAO ENCONTRADO"</formula>
    </cfRule>
  </conditionalFormatting>
  <conditionalFormatting sqref="G442">
    <cfRule type="expression" dxfId="116" priority="39">
      <formula>$E442="NAO ENCONTRADO"</formula>
    </cfRule>
  </conditionalFormatting>
  <conditionalFormatting sqref="C454:D454">
    <cfRule type="expression" dxfId="115" priority="38">
      <formula>$E454="NAO ENCONTRADO"</formula>
    </cfRule>
  </conditionalFormatting>
  <conditionalFormatting sqref="B454">
    <cfRule type="expression" dxfId="114" priority="37">
      <formula>$E454="NAO ENCONTRADO"</formula>
    </cfRule>
  </conditionalFormatting>
  <conditionalFormatting sqref="E454:F454 H454:I454">
    <cfRule type="expression" dxfId="113" priority="36">
      <formula>$E454="NAO ENCONTRADO"</formula>
    </cfRule>
  </conditionalFormatting>
  <conditionalFormatting sqref="G454">
    <cfRule type="expression" dxfId="112" priority="35">
      <formula>$E454="NAO ENCONTRADO"</formula>
    </cfRule>
  </conditionalFormatting>
  <conditionalFormatting sqref="C448:D448">
    <cfRule type="expression" dxfId="111" priority="34">
      <formula>$E448="NAO ENCONTRADO"</formula>
    </cfRule>
  </conditionalFormatting>
  <conditionalFormatting sqref="B448">
    <cfRule type="expression" dxfId="110" priority="33">
      <formula>$E448="NAO ENCONTRADO"</formula>
    </cfRule>
  </conditionalFormatting>
  <conditionalFormatting sqref="E448:F448 H448:I448">
    <cfRule type="expression" dxfId="109" priority="32">
      <formula>$E448="NAO ENCONTRADO"</formula>
    </cfRule>
  </conditionalFormatting>
  <conditionalFormatting sqref="G448">
    <cfRule type="expression" dxfId="108" priority="31">
      <formula>$E448="NAO ENCONTRADO"</formula>
    </cfRule>
  </conditionalFormatting>
  <conditionalFormatting sqref="E464:I464 B464:B471 C465:I471 C463:D464">
    <cfRule type="expression" dxfId="107" priority="30">
      <formula>$E463="NAO ENCONTRADO"</formula>
    </cfRule>
  </conditionalFormatting>
  <conditionalFormatting sqref="G463:I463">
    <cfRule type="expression" dxfId="106" priority="29">
      <formula>$E463="NAO ENCONTRADO"</formula>
    </cfRule>
  </conditionalFormatting>
  <conditionalFormatting sqref="B463">
    <cfRule type="expression" dxfId="105" priority="28">
      <formula>$E463="NAO ENCONTRADO"</formula>
    </cfRule>
  </conditionalFormatting>
  <conditionalFormatting sqref="E463">
    <cfRule type="expression" dxfId="104" priority="27">
      <formula>$E463="NAO ENCONTRADO"</formula>
    </cfRule>
  </conditionalFormatting>
  <conditionalFormatting sqref="F463">
    <cfRule type="expression" dxfId="103" priority="26">
      <formula>$E463="NAO ENCONTRADO"</formula>
    </cfRule>
  </conditionalFormatting>
  <conditionalFormatting sqref="G260:I260">
    <cfRule type="expression" dxfId="102" priority="25">
      <formula>$E260="NAO ENCONTRADO"</formula>
    </cfRule>
  </conditionalFormatting>
  <conditionalFormatting sqref="B260">
    <cfRule type="expression" dxfId="101" priority="24">
      <formula>$E260="NAO ENCONTRADO"</formula>
    </cfRule>
  </conditionalFormatting>
  <conditionalFormatting sqref="E260">
    <cfRule type="expression" dxfId="100" priority="23">
      <formula>$E260="NAO ENCONTRADO"</formula>
    </cfRule>
  </conditionalFormatting>
  <conditionalFormatting sqref="F260">
    <cfRule type="expression" dxfId="99" priority="22">
      <formula>$E260="NAO ENCONTRADO"</formula>
    </cfRule>
  </conditionalFormatting>
  <conditionalFormatting sqref="B261:B264">
    <cfRule type="expression" dxfId="98" priority="21">
      <formula>$E261="NAO ENCONTRADO"</formula>
    </cfRule>
  </conditionalFormatting>
  <conditionalFormatting sqref="G261:G264">
    <cfRule type="expression" dxfId="97" priority="20">
      <formula>$E261="NAO ENCONTRADO"</formula>
    </cfRule>
  </conditionalFormatting>
  <conditionalFormatting sqref="G266:I266">
    <cfRule type="expression" dxfId="96" priority="19">
      <formula>$E266="NAO ENCONTRADO"</formula>
    </cfRule>
  </conditionalFormatting>
  <conditionalFormatting sqref="B266">
    <cfRule type="expression" dxfId="95" priority="18">
      <formula>$E266="NAO ENCONTRADO"</formula>
    </cfRule>
  </conditionalFormatting>
  <conditionalFormatting sqref="E266">
    <cfRule type="expression" dxfId="94" priority="17">
      <formula>$E266="NAO ENCONTRADO"</formula>
    </cfRule>
  </conditionalFormatting>
  <conditionalFormatting sqref="F266">
    <cfRule type="expression" dxfId="93" priority="16">
      <formula>$E266="NAO ENCONTRADO"</formula>
    </cfRule>
  </conditionalFormatting>
  <conditionalFormatting sqref="B267:B269">
    <cfRule type="expression" dxfId="92" priority="13">
      <formula>$E267="NAO ENCONTRADO"</formula>
    </cfRule>
  </conditionalFormatting>
  <conditionalFormatting sqref="G267:G269">
    <cfRule type="expression" dxfId="91" priority="12">
      <formula>$E267="NAO ENCONTRADO"</formula>
    </cfRule>
  </conditionalFormatting>
  <conditionalFormatting sqref="E474:I474 C473:D474">
    <cfRule type="expression" dxfId="90" priority="11">
      <formula>$E473="NAO ENCONTRADO"</formula>
    </cfRule>
  </conditionalFormatting>
  <conditionalFormatting sqref="G473:I473">
    <cfRule type="expression" dxfId="89" priority="10">
      <formula>$E473="NAO ENCONTRADO"</formula>
    </cfRule>
  </conditionalFormatting>
  <conditionalFormatting sqref="B473">
    <cfRule type="expression" dxfId="88" priority="9">
      <formula>$E473="NAO ENCONTRADO"</formula>
    </cfRule>
  </conditionalFormatting>
  <conditionalFormatting sqref="E473">
    <cfRule type="expression" dxfId="87" priority="8">
      <formula>$E473="NAO ENCONTRADO"</formula>
    </cfRule>
  </conditionalFormatting>
  <conditionalFormatting sqref="F473">
    <cfRule type="expression" dxfId="86" priority="7">
      <formula>$E473="NAO ENCONTRADO"</formula>
    </cfRule>
  </conditionalFormatting>
  <conditionalFormatting sqref="B474">
    <cfRule type="expression" dxfId="85" priority="6">
      <formula>$E474="NAO ENCONTRADO"</formula>
    </cfRule>
  </conditionalFormatting>
  <dataValidations count="1">
    <dataValidation type="list" allowBlank="1" showInputMessage="1" showErrorMessage="1" sqref="D11:D17 D20:D25 D28:D31 D34 D37 D40:D42 D45:D47 D50 D53 D56:D58 D61:D67 D70:D72 D75:D84 D99:D108 D111:D113 D116:D118 D121:D124 D127:D134 D137:D144 D147:D152 D155:D161 D164:D169 D172:D179 D182:D186 D189:D193 D196:D200 D203:D204 D207:D209 D212:D222 D225:D233 D236:D238 D464:D471 D241:D249 D252:D254 D272:D279 D87:D96 D282:D323 D326:D367 D257:D259 D261:D265 D267:D270 D474">
      <formula1>"INSUMO,COMPOSIÇÃO AUXILIAR,COTAÇÃO"</formula1>
    </dataValidation>
  </dataValidations>
  <pageMargins left="0.51181102362204722" right="0.51181102362204722" top="0.78740157480314965" bottom="0.78740157480314965" header="0.31496062992125984" footer="0.31496062992125984"/>
  <pageSetup paperSize="9" scale="48" fitToWidth="0" fitToHeight="0" orientation="portrait" r:id="rId1"/>
  <rowBreaks count="2" manualBreakCount="2">
    <brk id="68" min="1" max="8" man="1"/>
    <brk id="407" min="1" max="8"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2">
    <tabColor rgb="FF006F71"/>
    <pageSetUpPr fitToPage="1"/>
  </sheetPr>
  <dimension ref="A1:L86"/>
  <sheetViews>
    <sheetView showGridLines="0" view="pageBreakPreview" topLeftCell="A21" zoomScale="85" zoomScaleNormal="100" zoomScaleSheetLayoutView="85" workbookViewId="0">
      <selection activeCell="F33" sqref="F33"/>
    </sheetView>
  </sheetViews>
  <sheetFormatPr defaultRowHeight="15" x14ac:dyDescent="0.25"/>
  <cols>
    <col min="2" max="2" width="12.7109375" style="747" bestFit="1" customWidth="1"/>
    <col min="3" max="3" width="18" style="747" customWidth="1"/>
    <col min="4" max="4" width="25.85546875" style="747" customWidth="1"/>
    <col min="5" max="5" width="65.28515625" style="747" customWidth="1"/>
    <col min="6" max="6" width="18" style="747" customWidth="1"/>
    <col min="7" max="7" width="13.7109375" style="747" bestFit="1" customWidth="1"/>
    <col min="8" max="8" width="17.28515625" style="747" bestFit="1" customWidth="1"/>
    <col min="9" max="9" width="14.42578125" style="747" bestFit="1" customWidth="1"/>
  </cols>
  <sheetData>
    <row r="1" spans="1:12" ht="16.5" x14ac:dyDescent="0.3">
      <c r="B1" s="751"/>
      <c r="C1" s="752"/>
      <c r="D1" s="753" t="s">
        <v>1357</v>
      </c>
      <c r="E1" s="752"/>
      <c r="F1" s="754"/>
      <c r="G1" s="752"/>
      <c r="H1" s="752"/>
      <c r="I1" s="755"/>
      <c r="J1" s="192"/>
    </row>
    <row r="2" spans="1:12" ht="16.5" x14ac:dyDescent="0.3">
      <c r="B2" s="756"/>
      <c r="C2" s="192"/>
      <c r="D2" s="273" t="s">
        <v>379</v>
      </c>
      <c r="E2" s="299"/>
      <c r="F2" s="223"/>
      <c r="G2" s="192"/>
      <c r="H2" s="192"/>
      <c r="I2" s="757"/>
      <c r="J2" s="192"/>
    </row>
    <row r="3" spans="1:12" ht="16.5" x14ac:dyDescent="0.3">
      <c r="B3" s="756"/>
      <c r="C3" s="192"/>
      <c r="D3" s="183" t="s">
        <v>255</v>
      </c>
      <c r="E3" s="192"/>
      <c r="F3" s="223"/>
      <c r="G3" s="192"/>
      <c r="H3" s="192"/>
      <c r="I3" s="757"/>
      <c r="J3" s="192"/>
    </row>
    <row r="4" spans="1:12" ht="16.5" x14ac:dyDescent="0.3">
      <c r="B4" s="853" t="s">
        <v>322</v>
      </c>
      <c r="C4" s="854"/>
      <c r="D4" s="854"/>
      <c r="E4" s="854"/>
      <c r="F4" s="854"/>
      <c r="G4" s="854"/>
      <c r="H4" s="854"/>
      <c r="I4" s="855"/>
      <c r="J4" s="192"/>
    </row>
    <row r="5" spans="1:12" ht="16.5" x14ac:dyDescent="0.3">
      <c r="B5" s="758" t="s">
        <v>76</v>
      </c>
      <c r="C5" s="848" t="s">
        <v>1354</v>
      </c>
      <c r="D5" s="848"/>
      <c r="E5" s="848"/>
      <c r="F5" s="849"/>
      <c r="G5" s="856" t="s">
        <v>305</v>
      </c>
      <c r="H5" s="857"/>
      <c r="I5" s="858"/>
      <c r="J5" s="192"/>
    </row>
    <row r="6" spans="1:12" ht="16.5" x14ac:dyDescent="0.3">
      <c r="B6" s="758" t="s">
        <v>77</v>
      </c>
      <c r="C6" s="213" t="s">
        <v>1062</v>
      </c>
      <c r="D6" s="214"/>
      <c r="E6" s="214"/>
      <c r="F6" s="215"/>
      <c r="G6" s="803" t="s">
        <v>855</v>
      </c>
      <c r="H6" s="804"/>
      <c r="I6" s="859"/>
      <c r="J6" s="192"/>
    </row>
    <row r="7" spans="1:12" ht="16.5" x14ac:dyDescent="0.3">
      <c r="B7" s="758" t="s">
        <v>78</v>
      </c>
      <c r="C7" s="213" t="s">
        <v>1304</v>
      </c>
      <c r="D7" s="214"/>
      <c r="E7" s="214"/>
      <c r="F7" s="215"/>
      <c r="G7" s="803" t="s">
        <v>816</v>
      </c>
      <c r="H7" s="804"/>
      <c r="I7" s="859"/>
      <c r="J7" s="192"/>
    </row>
    <row r="8" spans="1:12" ht="16.5" x14ac:dyDescent="0.3">
      <c r="B8" s="758" t="s">
        <v>813</v>
      </c>
      <c r="C8" s="305" t="s">
        <v>1406</v>
      </c>
      <c r="D8" s="214"/>
      <c r="E8" s="214"/>
      <c r="F8" s="215"/>
      <c r="G8" s="850" t="s">
        <v>1158</v>
      </c>
      <c r="H8" s="851"/>
      <c r="I8" s="852"/>
      <c r="J8" s="192"/>
    </row>
    <row r="9" spans="1:12" ht="21" customHeight="1" x14ac:dyDescent="0.25">
      <c r="B9" s="759" t="s">
        <v>857</v>
      </c>
      <c r="C9" s="760" t="s">
        <v>858</v>
      </c>
      <c r="D9" s="760" t="s">
        <v>264</v>
      </c>
      <c r="E9" s="760" t="s">
        <v>124</v>
      </c>
      <c r="F9" s="760" t="s">
        <v>308</v>
      </c>
      <c r="G9" s="760" t="s">
        <v>859</v>
      </c>
      <c r="H9" s="760" t="s">
        <v>860</v>
      </c>
      <c r="I9" s="761" t="s">
        <v>821</v>
      </c>
      <c r="J9" s="528"/>
    </row>
    <row r="10" spans="1:12" ht="16.5" x14ac:dyDescent="0.3">
      <c r="B10" s="778">
        <v>0.36</v>
      </c>
      <c r="C10" s="763"/>
      <c r="D10" s="764"/>
      <c r="E10" s="765"/>
      <c r="F10" s="766" t="e">
        <v>#N/A</v>
      </c>
      <c r="G10" s="764" t="e">
        <v>#N/A</v>
      </c>
      <c r="H10" s="767" t="e">
        <v>#N/A</v>
      </c>
      <c r="I10" s="768" t="e">
        <v>#N/A</v>
      </c>
      <c r="J10" s="192" t="e">
        <v>#N/A</v>
      </c>
      <c r="K10" t="e">
        <v>#N/A</v>
      </c>
      <c r="L10" t="e">
        <v>#N/A</v>
      </c>
    </row>
    <row r="11" spans="1:12" ht="16.5" x14ac:dyDescent="0.3">
      <c r="A11" t="s">
        <v>1407</v>
      </c>
      <c r="B11" s="769">
        <v>0.02</v>
      </c>
      <c r="C11" s="770"/>
      <c r="D11" s="770"/>
      <c r="E11" s="771"/>
      <c r="F11" s="769" t="e">
        <v>#N/A</v>
      </c>
      <c r="G11" s="772" t="e">
        <v>#N/A</v>
      </c>
      <c r="H11" s="773" t="e">
        <v>#N/A</v>
      </c>
      <c r="I11" s="774" t="e">
        <v>#N/A</v>
      </c>
      <c r="J11" s="192" t="e">
        <v>#N/A</v>
      </c>
      <c r="K11" t="e">
        <v>#N/A</v>
      </c>
      <c r="L11" t="e">
        <v>#N/A</v>
      </c>
    </row>
    <row r="12" spans="1:12" ht="16.5" x14ac:dyDescent="0.3">
      <c r="A12" t="s">
        <v>1408</v>
      </c>
      <c r="B12" s="769">
        <v>0.03</v>
      </c>
      <c r="C12" s="770"/>
      <c r="D12" s="770"/>
      <c r="E12" s="771"/>
      <c r="F12" s="769" t="e">
        <v>#N/A</v>
      </c>
      <c r="G12" s="772" t="e">
        <v>#N/A</v>
      </c>
      <c r="H12" s="773" t="e">
        <v>#N/A</v>
      </c>
      <c r="I12" s="774" t="e">
        <v>#N/A</v>
      </c>
      <c r="J12" s="192" t="e">
        <v>#N/A</v>
      </c>
      <c r="K12" t="e">
        <v>#N/A</v>
      </c>
      <c r="L12" t="e">
        <v>#N/A</v>
      </c>
    </row>
    <row r="13" spans="1:12" ht="16.5" x14ac:dyDescent="0.3">
      <c r="A13" t="s">
        <v>1409</v>
      </c>
      <c r="B13" s="769">
        <v>0.04</v>
      </c>
      <c r="C13" s="770"/>
      <c r="D13" s="770"/>
      <c r="E13" s="771"/>
      <c r="F13" s="769" t="e">
        <v>#N/A</v>
      </c>
      <c r="G13" s="772" t="e">
        <v>#N/A</v>
      </c>
      <c r="H13" s="773" t="e">
        <v>#N/A</v>
      </c>
      <c r="I13" s="774" t="e">
        <v>#N/A</v>
      </c>
      <c r="J13" s="192" t="e">
        <v>#N/A</v>
      </c>
      <c r="K13" t="e">
        <v>#N/A</v>
      </c>
      <c r="L13" t="e">
        <v>#N/A</v>
      </c>
    </row>
    <row r="14" spans="1:12" ht="16.5" x14ac:dyDescent="0.3">
      <c r="A14" t="s">
        <v>1410</v>
      </c>
      <c r="B14" s="769">
        <v>0.16</v>
      </c>
      <c r="C14" s="770"/>
      <c r="D14" s="770"/>
      <c r="E14" s="771"/>
      <c r="F14" s="769" t="e">
        <v>#N/A</v>
      </c>
      <c r="G14" s="772" t="e">
        <v>#N/A</v>
      </c>
      <c r="H14" s="773" t="e">
        <v>#N/A</v>
      </c>
      <c r="I14" s="774" t="e">
        <v>#N/A</v>
      </c>
      <c r="J14" s="192" t="e">
        <v>#N/A</v>
      </c>
      <c r="K14" t="e">
        <v>#N/A</v>
      </c>
      <c r="L14" t="e">
        <v>#N/A</v>
      </c>
    </row>
    <row r="15" spans="1:12" ht="16.5" x14ac:dyDescent="0.3">
      <c r="A15" t="s">
        <v>1411</v>
      </c>
      <c r="B15" s="769">
        <v>0.04</v>
      </c>
      <c r="C15" s="770"/>
      <c r="D15" s="770"/>
      <c r="E15" s="771"/>
      <c r="F15" s="769" t="e">
        <v>#N/A</v>
      </c>
      <c r="G15" s="772" t="e">
        <v>#N/A</v>
      </c>
      <c r="H15" s="773" t="e">
        <v>#N/A</v>
      </c>
      <c r="I15" s="774" t="e">
        <v>#N/A</v>
      </c>
      <c r="J15" s="192" t="e">
        <v>#N/A</v>
      </c>
      <c r="K15" t="e">
        <v>#N/A</v>
      </c>
      <c r="L15" t="e">
        <v>#N/A</v>
      </c>
    </row>
    <row r="16" spans="1:12" ht="16.5" x14ac:dyDescent="0.3">
      <c r="A16" t="s">
        <v>1412</v>
      </c>
      <c r="B16" s="769">
        <v>7.0000000000000007E-2</v>
      </c>
      <c r="C16" s="770"/>
      <c r="D16" s="770"/>
      <c r="E16" s="771"/>
      <c r="F16" s="769" t="e">
        <v>#N/A</v>
      </c>
      <c r="G16" s="772" t="e">
        <v>#N/A</v>
      </c>
      <c r="H16" s="773" t="e">
        <v>#N/A</v>
      </c>
      <c r="I16" s="774" t="e">
        <v>#N/A</v>
      </c>
      <c r="J16" s="192" t="e">
        <v>#N/A</v>
      </c>
      <c r="K16" t="e">
        <v>#N/A</v>
      </c>
      <c r="L16" t="e">
        <v>#N/A</v>
      </c>
    </row>
    <row r="17" spans="1:12" ht="16.5" x14ac:dyDescent="0.3">
      <c r="B17" s="775"/>
      <c r="C17" s="746"/>
      <c r="D17" s="746"/>
      <c r="E17" s="746"/>
      <c r="F17" s="350" t="e">
        <v>#N/A</v>
      </c>
      <c r="G17" s="746" t="e">
        <v>#N/A</v>
      </c>
      <c r="H17" s="746" t="e">
        <v>#N/A</v>
      </c>
      <c r="I17" s="776" t="e">
        <v>#N/A</v>
      </c>
      <c r="J17" s="192" t="e">
        <v>#N/A</v>
      </c>
      <c r="K17" t="e">
        <v>#N/A</v>
      </c>
      <c r="L17" t="e">
        <v>#N/A</v>
      </c>
    </row>
    <row r="18" spans="1:12" ht="16.5" x14ac:dyDescent="0.3">
      <c r="B18" s="778">
        <v>864.13</v>
      </c>
      <c r="C18" s="763"/>
      <c r="D18" s="764"/>
      <c r="E18" s="765"/>
      <c r="F18" s="764" t="e">
        <v>#N/A</v>
      </c>
      <c r="G18" s="764" t="e">
        <v>#N/A</v>
      </c>
      <c r="H18" s="767" t="e">
        <v>#N/A</v>
      </c>
      <c r="I18" s="768" t="e">
        <v>#N/A</v>
      </c>
      <c r="J18" s="192" t="e">
        <v>#N/A</v>
      </c>
      <c r="K18" t="e">
        <v>#N/A</v>
      </c>
      <c r="L18" t="e">
        <v>#N/A</v>
      </c>
    </row>
    <row r="19" spans="1:12" ht="16.5" x14ac:dyDescent="0.3">
      <c r="A19" t="s">
        <v>1413</v>
      </c>
      <c r="B19" s="769">
        <v>683.86</v>
      </c>
      <c r="C19" s="770"/>
      <c r="D19" s="770"/>
      <c r="E19" s="771"/>
      <c r="F19" s="769" t="e">
        <v>#N/A</v>
      </c>
      <c r="G19" s="772" t="e">
        <v>#N/A</v>
      </c>
      <c r="H19" s="773" t="e">
        <v>#N/A</v>
      </c>
      <c r="I19" s="774" t="e">
        <v>#N/A</v>
      </c>
      <c r="J19" s="192" t="e">
        <v>#N/A</v>
      </c>
      <c r="K19" t="e">
        <v>#N/A</v>
      </c>
      <c r="L19" t="e">
        <v>#N/A</v>
      </c>
    </row>
    <row r="20" spans="1:12" ht="25.5" x14ac:dyDescent="0.3">
      <c r="B20" s="769">
        <v>94964</v>
      </c>
      <c r="C20" s="770" t="s">
        <v>309</v>
      </c>
      <c r="D20" s="770" t="s">
        <v>861</v>
      </c>
      <c r="E20" s="771" t="s">
        <v>1360</v>
      </c>
      <c r="F20" s="769" t="s">
        <v>327</v>
      </c>
      <c r="G20" s="772">
        <v>0.26640000000000003</v>
      </c>
      <c r="H20" s="773" t="s">
        <v>1414</v>
      </c>
      <c r="I20" s="774">
        <v>131.44</v>
      </c>
      <c r="J20" s="192"/>
    </row>
    <row r="21" spans="1:12" ht="16.5" x14ac:dyDescent="0.3">
      <c r="B21" s="769">
        <v>88309</v>
      </c>
      <c r="C21" s="770" t="s">
        <v>309</v>
      </c>
      <c r="D21" s="770" t="s">
        <v>861</v>
      </c>
      <c r="E21" s="771" t="s">
        <v>1361</v>
      </c>
      <c r="F21" s="769" t="s">
        <v>197</v>
      </c>
      <c r="G21" s="772">
        <v>1</v>
      </c>
      <c r="H21" s="773" t="s">
        <v>1415</v>
      </c>
      <c r="I21" s="774">
        <v>27.11</v>
      </c>
      <c r="J21" s="192"/>
    </row>
    <row r="22" spans="1:12" ht="16.5" x14ac:dyDescent="0.3">
      <c r="B22" s="769">
        <v>88316</v>
      </c>
      <c r="C22" s="770" t="s">
        <v>309</v>
      </c>
      <c r="D22" s="770" t="s">
        <v>861</v>
      </c>
      <c r="E22" s="771" t="s">
        <v>1358</v>
      </c>
      <c r="F22" s="769" t="s">
        <v>197</v>
      </c>
      <c r="G22" s="772">
        <v>1</v>
      </c>
      <c r="H22" s="773" t="s">
        <v>1410</v>
      </c>
      <c r="I22" s="774">
        <v>21.72</v>
      </c>
      <c r="J22" s="192"/>
    </row>
    <row r="23" spans="1:12" ht="16.5" x14ac:dyDescent="0.3">
      <c r="B23" s="775"/>
      <c r="C23" s="746"/>
      <c r="D23" s="746"/>
      <c r="E23" s="746"/>
      <c r="F23" s="350"/>
      <c r="G23" s="746"/>
      <c r="H23" s="746"/>
      <c r="I23" s="776"/>
      <c r="J23" s="192"/>
    </row>
    <row r="24" spans="1:12" ht="38.25" x14ac:dyDescent="0.3">
      <c r="B24" s="762" t="s">
        <v>867</v>
      </c>
      <c r="C24" s="763"/>
      <c r="D24" s="764"/>
      <c r="E24" s="765" t="s">
        <v>326</v>
      </c>
      <c r="F24" s="764" t="s">
        <v>327</v>
      </c>
      <c r="G24" s="764"/>
      <c r="H24" s="767"/>
      <c r="I24" s="768">
        <v>3.79</v>
      </c>
      <c r="J24" s="192"/>
    </row>
    <row r="25" spans="1:12" ht="25.5" x14ac:dyDescent="0.3">
      <c r="B25" s="770">
        <v>5632</v>
      </c>
      <c r="C25" s="770" t="s">
        <v>980</v>
      </c>
      <c r="D25" s="770" t="s">
        <v>861</v>
      </c>
      <c r="E25" s="771" t="s">
        <v>1362</v>
      </c>
      <c r="F25" s="769" t="s">
        <v>1363</v>
      </c>
      <c r="G25" s="772">
        <v>5.7999999999999996E-3</v>
      </c>
      <c r="H25" s="773" t="s">
        <v>1416</v>
      </c>
      <c r="I25" s="774">
        <v>0.52</v>
      </c>
      <c r="J25" s="192"/>
    </row>
    <row r="26" spans="1:12" ht="16.5" x14ac:dyDescent="0.3">
      <c r="B26" s="770">
        <v>88316</v>
      </c>
      <c r="C26" s="770" t="s">
        <v>309</v>
      </c>
      <c r="D26" s="770" t="s">
        <v>861</v>
      </c>
      <c r="E26" s="771" t="s">
        <v>1358</v>
      </c>
      <c r="F26" s="769" t="s">
        <v>197</v>
      </c>
      <c r="G26" s="772">
        <v>1.9199999999999998E-2</v>
      </c>
      <c r="H26" s="773" t="s">
        <v>1410</v>
      </c>
      <c r="I26" s="774">
        <v>0.41</v>
      </c>
      <c r="J26" s="192"/>
    </row>
    <row r="27" spans="1:12" ht="25.5" x14ac:dyDescent="0.3">
      <c r="B27" s="770">
        <v>5631</v>
      </c>
      <c r="C27" s="770" t="s">
        <v>309</v>
      </c>
      <c r="D27" s="770" t="s">
        <v>861</v>
      </c>
      <c r="E27" s="771" t="s">
        <v>1364</v>
      </c>
      <c r="F27" s="769" t="s">
        <v>1359</v>
      </c>
      <c r="G27" s="772">
        <v>1.34E-2</v>
      </c>
      <c r="H27" s="773" t="s">
        <v>1417</v>
      </c>
      <c r="I27" s="774">
        <v>2.86</v>
      </c>
      <c r="J27" s="192"/>
    </row>
    <row r="28" spans="1:12" ht="16.5" x14ac:dyDescent="0.3">
      <c r="B28" s="775"/>
      <c r="C28" s="746"/>
      <c r="D28" s="746"/>
      <c r="E28" s="746"/>
      <c r="F28" s="350"/>
      <c r="G28" s="746"/>
      <c r="H28" s="746"/>
      <c r="I28" s="776"/>
      <c r="J28" s="192"/>
    </row>
    <row r="29" spans="1:12" ht="38.25" x14ac:dyDescent="0.3">
      <c r="B29" s="762" t="s">
        <v>875</v>
      </c>
      <c r="C29" s="763"/>
      <c r="D29" s="764"/>
      <c r="E29" s="765" t="s">
        <v>335</v>
      </c>
      <c r="F29" s="764" t="s">
        <v>256</v>
      </c>
      <c r="G29" s="764"/>
      <c r="H29" s="767"/>
      <c r="I29" s="768">
        <v>3287.06</v>
      </c>
      <c r="J29" s="192"/>
    </row>
    <row r="30" spans="1:12" ht="25.5" x14ac:dyDescent="0.3">
      <c r="B30" s="770">
        <v>97636</v>
      </c>
      <c r="C30" s="770" t="s">
        <v>309</v>
      </c>
      <c r="D30" s="770" t="s">
        <v>861</v>
      </c>
      <c r="E30" s="771" t="s">
        <v>1365</v>
      </c>
      <c r="F30" s="769" t="s">
        <v>307</v>
      </c>
      <c r="G30" s="772">
        <v>4.3869999999999996</v>
      </c>
      <c r="H30" s="773" t="s">
        <v>1418</v>
      </c>
      <c r="I30" s="774">
        <v>97.43</v>
      </c>
      <c r="J30" s="192"/>
    </row>
    <row r="31" spans="1:12" ht="16.5" x14ac:dyDescent="0.3">
      <c r="B31" s="770">
        <v>93358</v>
      </c>
      <c r="C31" s="770" t="s">
        <v>309</v>
      </c>
      <c r="D31" s="770" t="s">
        <v>861</v>
      </c>
      <c r="E31" s="771" t="s">
        <v>1366</v>
      </c>
      <c r="F31" s="769" t="s">
        <v>327</v>
      </c>
      <c r="G31" s="772">
        <v>2.0495999999999999</v>
      </c>
      <c r="H31" s="773" t="s">
        <v>1419</v>
      </c>
      <c r="I31" s="774">
        <v>176.08</v>
      </c>
      <c r="J31" s="192"/>
    </row>
    <row r="32" spans="1:12" ht="25.5" x14ac:dyDescent="0.3">
      <c r="B32" s="770">
        <v>101616</v>
      </c>
      <c r="C32" s="770" t="s">
        <v>309</v>
      </c>
      <c r="D32" s="770" t="s">
        <v>861</v>
      </c>
      <c r="E32" s="771" t="s">
        <v>1367</v>
      </c>
      <c r="F32" s="769" t="s">
        <v>307</v>
      </c>
      <c r="G32" s="772">
        <v>2.0495999999999999</v>
      </c>
      <c r="H32" s="773" t="s">
        <v>1420</v>
      </c>
      <c r="I32" s="774">
        <v>12.93</v>
      </c>
      <c r="J32" s="192"/>
    </row>
    <row r="33" spans="2:10" ht="38.25" x14ac:dyDescent="0.3">
      <c r="B33" s="770">
        <v>92475</v>
      </c>
      <c r="C33" s="770" t="s">
        <v>309</v>
      </c>
      <c r="D33" s="770" t="s">
        <v>861</v>
      </c>
      <c r="E33" s="771" t="s">
        <v>1368</v>
      </c>
      <c r="F33" s="769" t="s">
        <v>307</v>
      </c>
      <c r="G33" s="772">
        <v>6.4</v>
      </c>
      <c r="H33" s="773" t="s">
        <v>1421</v>
      </c>
      <c r="I33" s="774">
        <v>509.56</v>
      </c>
      <c r="J33" s="192"/>
    </row>
    <row r="34" spans="2:10" ht="38.25" x14ac:dyDescent="0.3">
      <c r="B34" s="770">
        <v>92917</v>
      </c>
      <c r="C34" s="770" t="s">
        <v>309</v>
      </c>
      <c r="D34" s="770" t="s">
        <v>861</v>
      </c>
      <c r="E34" s="771" t="s">
        <v>1369</v>
      </c>
      <c r="F34" s="769" t="s">
        <v>852</v>
      </c>
      <c r="G34" s="772">
        <v>7.05</v>
      </c>
      <c r="H34" s="773" t="s">
        <v>1422</v>
      </c>
      <c r="I34" s="774">
        <v>96.02</v>
      </c>
      <c r="J34" s="192"/>
    </row>
    <row r="35" spans="2:10" ht="38.25" x14ac:dyDescent="0.3">
      <c r="B35" s="770">
        <v>92915</v>
      </c>
      <c r="C35" s="770" t="s">
        <v>309</v>
      </c>
      <c r="D35" s="770" t="s">
        <v>861</v>
      </c>
      <c r="E35" s="771" t="s">
        <v>1370</v>
      </c>
      <c r="F35" s="769" t="s">
        <v>852</v>
      </c>
      <c r="G35" s="772">
        <v>1.85</v>
      </c>
      <c r="H35" s="773" t="s">
        <v>1423</v>
      </c>
      <c r="I35" s="774">
        <v>30.52</v>
      </c>
      <c r="J35" s="192"/>
    </row>
    <row r="36" spans="2:10" ht="25.5" x14ac:dyDescent="0.3">
      <c r="B36" s="770">
        <v>94964</v>
      </c>
      <c r="C36" s="770" t="s">
        <v>309</v>
      </c>
      <c r="D36" s="770" t="s">
        <v>861</v>
      </c>
      <c r="E36" s="771" t="s">
        <v>1360</v>
      </c>
      <c r="F36" s="769" t="s">
        <v>327</v>
      </c>
      <c r="G36" s="772">
        <v>1.1691</v>
      </c>
      <c r="H36" s="773" t="s">
        <v>1414</v>
      </c>
      <c r="I36" s="774">
        <v>576.85</v>
      </c>
      <c r="J36" s="192"/>
    </row>
    <row r="37" spans="2:10" ht="25.5" x14ac:dyDescent="0.3">
      <c r="B37" s="770">
        <v>103670</v>
      </c>
      <c r="C37" s="770" t="s">
        <v>309</v>
      </c>
      <c r="D37" s="770" t="s">
        <v>861</v>
      </c>
      <c r="E37" s="771" t="s">
        <v>1371</v>
      </c>
      <c r="F37" s="769" t="s">
        <v>327</v>
      </c>
      <c r="G37" s="772">
        <v>1.1691</v>
      </c>
      <c r="H37" s="773" t="s">
        <v>1424</v>
      </c>
      <c r="I37" s="774">
        <v>344.69</v>
      </c>
      <c r="J37" s="192"/>
    </row>
    <row r="38" spans="2:10" ht="38.25" x14ac:dyDescent="0.3">
      <c r="B38" s="770">
        <v>5928</v>
      </c>
      <c r="C38" s="770" t="s">
        <v>309</v>
      </c>
      <c r="D38" s="770" t="s">
        <v>861</v>
      </c>
      <c r="E38" s="771" t="s">
        <v>1372</v>
      </c>
      <c r="F38" s="769" t="s">
        <v>1359</v>
      </c>
      <c r="G38" s="772">
        <v>0.1</v>
      </c>
      <c r="H38" s="773" t="s">
        <v>1425</v>
      </c>
      <c r="I38" s="774">
        <v>27.48</v>
      </c>
      <c r="J38" s="192"/>
    </row>
    <row r="39" spans="2:10" ht="25.5" x14ac:dyDescent="0.3">
      <c r="B39" s="770" t="s">
        <v>1168</v>
      </c>
      <c r="C39" s="770" t="s">
        <v>341</v>
      </c>
      <c r="D39" s="770" t="s">
        <v>341</v>
      </c>
      <c r="E39" s="771" t="s">
        <v>1373</v>
      </c>
      <c r="F39" s="769" t="s">
        <v>256</v>
      </c>
      <c r="G39" s="772">
        <v>2</v>
      </c>
      <c r="H39" s="773" t="s">
        <v>1374</v>
      </c>
      <c r="I39" s="774">
        <v>1415.5</v>
      </c>
      <c r="J39" s="192"/>
    </row>
    <row r="40" spans="2:10" ht="16.5" x14ac:dyDescent="0.3">
      <c r="B40" s="775"/>
      <c r="C40" s="746"/>
      <c r="D40" s="746"/>
      <c r="E40" s="746"/>
      <c r="F40" s="350"/>
      <c r="G40" s="746"/>
      <c r="H40" s="746"/>
      <c r="I40" s="776"/>
      <c r="J40" s="192"/>
    </row>
    <row r="41" spans="2:10" ht="25.5" x14ac:dyDescent="0.3">
      <c r="B41" s="762" t="s">
        <v>881</v>
      </c>
      <c r="C41" s="763"/>
      <c r="D41" s="764"/>
      <c r="E41" s="765" t="s">
        <v>880</v>
      </c>
      <c r="F41" s="764" t="s">
        <v>336</v>
      </c>
      <c r="G41" s="764"/>
      <c r="H41" s="767"/>
      <c r="I41" s="768">
        <v>27.29</v>
      </c>
      <c r="J41" s="192"/>
    </row>
    <row r="42" spans="2:10" ht="16.5" x14ac:dyDescent="0.3">
      <c r="B42" s="770">
        <v>93358</v>
      </c>
      <c r="C42" s="770" t="s">
        <v>309</v>
      </c>
      <c r="D42" s="770" t="s">
        <v>861</v>
      </c>
      <c r="E42" s="771" t="s">
        <v>1366</v>
      </c>
      <c r="F42" s="769" t="s">
        <v>327</v>
      </c>
      <c r="G42" s="772">
        <v>3.3000000000000002E-2</v>
      </c>
      <c r="H42" s="773" t="s">
        <v>1419</v>
      </c>
      <c r="I42" s="774">
        <v>2.83</v>
      </c>
      <c r="J42" s="192"/>
    </row>
    <row r="43" spans="2:10" ht="25.5" x14ac:dyDescent="0.3">
      <c r="B43" s="770">
        <v>94963</v>
      </c>
      <c r="C43" s="770" t="s">
        <v>309</v>
      </c>
      <c r="D43" s="770" t="s">
        <v>861</v>
      </c>
      <c r="E43" s="771" t="s">
        <v>1375</v>
      </c>
      <c r="F43" s="769" t="s">
        <v>327</v>
      </c>
      <c r="G43" s="772">
        <v>3.3000000000000002E-2</v>
      </c>
      <c r="H43" s="773" t="s">
        <v>1426</v>
      </c>
      <c r="I43" s="774">
        <v>14.74</v>
      </c>
      <c r="J43" s="192"/>
    </row>
    <row r="44" spans="2:10" ht="25.5" x14ac:dyDescent="0.3">
      <c r="B44" s="770">
        <v>103670</v>
      </c>
      <c r="C44" s="770" t="s">
        <v>309</v>
      </c>
      <c r="D44" s="770" t="s">
        <v>861</v>
      </c>
      <c r="E44" s="771" t="s">
        <v>1371</v>
      </c>
      <c r="F44" s="769" t="s">
        <v>327</v>
      </c>
      <c r="G44" s="772">
        <v>3.3000000000000002E-2</v>
      </c>
      <c r="H44" s="773" t="s">
        <v>1424</v>
      </c>
      <c r="I44" s="774">
        <v>9.7200000000000006</v>
      </c>
      <c r="J44" s="192"/>
    </row>
    <row r="45" spans="2:10" ht="16.5" x14ac:dyDescent="0.3">
      <c r="B45" s="775"/>
      <c r="C45" s="746"/>
      <c r="D45" s="746"/>
      <c r="E45" s="746"/>
      <c r="F45" s="350"/>
      <c r="G45" s="746"/>
      <c r="H45" s="746"/>
      <c r="I45" s="776"/>
      <c r="J45" s="192"/>
    </row>
    <row r="46" spans="2:10" ht="63.75" x14ac:dyDescent="0.3">
      <c r="B46" s="762" t="s">
        <v>882</v>
      </c>
      <c r="C46" s="763"/>
      <c r="D46" s="764"/>
      <c r="E46" s="765" t="s">
        <v>1152</v>
      </c>
      <c r="F46" s="764" t="s">
        <v>336</v>
      </c>
      <c r="G46" s="764"/>
      <c r="H46" s="767"/>
      <c r="I46" s="768">
        <v>13.100000000000001</v>
      </c>
      <c r="J46" s="192"/>
    </row>
    <row r="47" spans="2:10" ht="16.5" x14ac:dyDescent="0.3">
      <c r="B47" s="770">
        <v>1381</v>
      </c>
      <c r="C47" s="770" t="s">
        <v>309</v>
      </c>
      <c r="D47" s="770" t="s">
        <v>861</v>
      </c>
      <c r="E47" s="771" t="s">
        <v>1439</v>
      </c>
      <c r="F47" s="769" t="s">
        <v>852</v>
      </c>
      <c r="G47" s="772">
        <v>1.125</v>
      </c>
      <c r="H47" s="773" t="s">
        <v>1440</v>
      </c>
      <c r="I47" s="774">
        <v>1.01</v>
      </c>
      <c r="J47" s="192"/>
    </row>
    <row r="48" spans="2:10" ht="25.5" x14ac:dyDescent="0.3">
      <c r="B48" s="770">
        <v>36178</v>
      </c>
      <c r="C48" s="770" t="s">
        <v>309</v>
      </c>
      <c r="D48" s="770" t="s">
        <v>861</v>
      </c>
      <c r="E48" s="771" t="s">
        <v>1441</v>
      </c>
      <c r="F48" s="769" t="s">
        <v>256</v>
      </c>
      <c r="G48" s="772">
        <v>0.2</v>
      </c>
      <c r="H48" s="773" t="s">
        <v>1442</v>
      </c>
      <c r="I48" s="774">
        <v>3.33</v>
      </c>
      <c r="J48" s="192"/>
    </row>
    <row r="49" spans="2:10" ht="16.5" x14ac:dyDescent="0.3">
      <c r="B49" s="770">
        <v>88309</v>
      </c>
      <c r="C49" s="770" t="s">
        <v>309</v>
      </c>
      <c r="D49" s="770" t="s">
        <v>861</v>
      </c>
      <c r="E49" s="771" t="s">
        <v>1361</v>
      </c>
      <c r="F49" s="769" t="s">
        <v>197</v>
      </c>
      <c r="G49" s="772">
        <v>0.152</v>
      </c>
      <c r="H49" s="773" t="s">
        <v>1415</v>
      </c>
      <c r="I49" s="774">
        <v>4.12</v>
      </c>
      <c r="J49" s="192"/>
    </row>
    <row r="50" spans="2:10" ht="16.5" x14ac:dyDescent="0.3">
      <c r="B50" s="770">
        <v>88316</v>
      </c>
      <c r="C50" s="770" t="s">
        <v>309</v>
      </c>
      <c r="D50" s="770" t="s">
        <v>861</v>
      </c>
      <c r="E50" s="771" t="s">
        <v>1358</v>
      </c>
      <c r="F50" s="769" t="s">
        <v>197</v>
      </c>
      <c r="G50" s="772">
        <v>0.214</v>
      </c>
      <c r="H50" s="773" t="s">
        <v>1410</v>
      </c>
      <c r="I50" s="774">
        <v>4.6399999999999997</v>
      </c>
      <c r="J50" s="192"/>
    </row>
    <row r="51" spans="2:10" ht="16.5" x14ac:dyDescent="0.3">
      <c r="B51" s="775"/>
      <c r="C51" s="746"/>
      <c r="D51" s="746"/>
      <c r="E51" s="746"/>
      <c r="F51" s="350"/>
      <c r="G51" s="746"/>
      <c r="H51" s="746"/>
      <c r="I51" s="776"/>
      <c r="J51" s="192"/>
    </row>
    <row r="52" spans="2:10" ht="38.25" x14ac:dyDescent="0.3">
      <c r="B52" s="762" t="s">
        <v>883</v>
      </c>
      <c r="C52" s="763"/>
      <c r="D52" s="764"/>
      <c r="E52" s="765" t="s">
        <v>1159</v>
      </c>
      <c r="F52" s="764" t="s">
        <v>256</v>
      </c>
      <c r="G52" s="764"/>
      <c r="H52" s="767"/>
      <c r="I52" s="768">
        <v>525.20999999999992</v>
      </c>
      <c r="J52" s="192"/>
    </row>
    <row r="53" spans="2:10" ht="16.5" x14ac:dyDescent="0.3">
      <c r="B53" s="770">
        <v>13521</v>
      </c>
      <c r="C53" s="770" t="s">
        <v>309</v>
      </c>
      <c r="D53" s="770" t="s">
        <v>861</v>
      </c>
      <c r="E53" s="771" t="s">
        <v>1427</v>
      </c>
      <c r="F53" s="769" t="s">
        <v>256</v>
      </c>
      <c r="G53" s="772">
        <v>2</v>
      </c>
      <c r="H53" s="773" t="s">
        <v>1428</v>
      </c>
      <c r="I53" s="774">
        <v>264</v>
      </c>
      <c r="J53" s="192"/>
    </row>
    <row r="54" spans="2:10" ht="16.5" x14ac:dyDescent="0.3">
      <c r="B54" s="770">
        <v>88309</v>
      </c>
      <c r="C54" s="770" t="s">
        <v>309</v>
      </c>
      <c r="D54" s="770" t="s">
        <v>861</v>
      </c>
      <c r="E54" s="771" t="s">
        <v>1361</v>
      </c>
      <c r="F54" s="769" t="s">
        <v>197</v>
      </c>
      <c r="G54" s="772">
        <v>0.4</v>
      </c>
      <c r="H54" s="773" t="s">
        <v>1415</v>
      </c>
      <c r="I54" s="774">
        <v>10.84</v>
      </c>
      <c r="J54" s="192"/>
    </row>
    <row r="55" spans="2:10" ht="25.5" x14ac:dyDescent="0.3">
      <c r="B55" s="770">
        <v>11950</v>
      </c>
      <c r="C55" s="770" t="s">
        <v>309</v>
      </c>
      <c r="D55" s="770" t="s">
        <v>861</v>
      </c>
      <c r="E55" s="771" t="s">
        <v>1429</v>
      </c>
      <c r="F55" s="769" t="s">
        <v>256</v>
      </c>
      <c r="G55" s="772">
        <v>8</v>
      </c>
      <c r="H55" s="773" t="s">
        <v>1430</v>
      </c>
      <c r="I55" s="774">
        <v>0.96</v>
      </c>
      <c r="J55" s="192"/>
    </row>
    <row r="56" spans="2:10" ht="25.5" x14ac:dyDescent="0.3">
      <c r="B56" s="770">
        <v>21013</v>
      </c>
      <c r="C56" s="770" t="s">
        <v>309</v>
      </c>
      <c r="D56" s="770" t="s">
        <v>861</v>
      </c>
      <c r="E56" s="771" t="s">
        <v>1381</v>
      </c>
      <c r="F56" s="769" t="s">
        <v>336</v>
      </c>
      <c r="G56" s="772">
        <v>2.8</v>
      </c>
      <c r="H56" s="773" t="s">
        <v>1382</v>
      </c>
      <c r="I56" s="774">
        <v>188.13</v>
      </c>
      <c r="J56" s="192"/>
    </row>
    <row r="57" spans="2:10" ht="25.5" x14ac:dyDescent="0.3">
      <c r="B57" s="770">
        <v>103670</v>
      </c>
      <c r="C57" s="770" t="s">
        <v>309</v>
      </c>
      <c r="D57" s="770" t="s">
        <v>861</v>
      </c>
      <c r="E57" s="771" t="s">
        <v>1371</v>
      </c>
      <c r="F57" s="769" t="s">
        <v>327</v>
      </c>
      <c r="G57" s="772">
        <v>4.4999999999999998E-2</v>
      </c>
      <c r="H57" s="773" t="s">
        <v>1424</v>
      </c>
      <c r="I57" s="774">
        <v>13.26</v>
      </c>
      <c r="J57" s="192"/>
    </row>
    <row r="58" spans="2:10" ht="16.5" x14ac:dyDescent="0.3">
      <c r="B58" s="770">
        <v>88316</v>
      </c>
      <c r="C58" s="770" t="s">
        <v>309</v>
      </c>
      <c r="D58" s="770" t="s">
        <v>861</v>
      </c>
      <c r="E58" s="771" t="s">
        <v>1358</v>
      </c>
      <c r="F58" s="769" t="s">
        <v>197</v>
      </c>
      <c r="G58" s="772">
        <v>0.2</v>
      </c>
      <c r="H58" s="773" t="s">
        <v>1410</v>
      </c>
      <c r="I58" s="774">
        <v>4.34</v>
      </c>
      <c r="J58" s="192"/>
    </row>
    <row r="59" spans="2:10" ht="38.25" x14ac:dyDescent="0.3">
      <c r="B59" s="770">
        <v>94962</v>
      </c>
      <c r="C59" s="770" t="s">
        <v>309</v>
      </c>
      <c r="D59" s="770" t="s">
        <v>861</v>
      </c>
      <c r="E59" s="771" t="s">
        <v>1376</v>
      </c>
      <c r="F59" s="769" t="s">
        <v>327</v>
      </c>
      <c r="G59" s="772">
        <v>4.4999999999999998E-2</v>
      </c>
      <c r="H59" s="773" t="s">
        <v>1431</v>
      </c>
      <c r="I59" s="774">
        <v>17.91</v>
      </c>
      <c r="J59" s="192"/>
    </row>
    <row r="60" spans="2:10" ht="16.5" x14ac:dyDescent="0.3">
      <c r="B60" s="770">
        <v>93358</v>
      </c>
      <c r="C60" s="770" t="s">
        <v>309</v>
      </c>
      <c r="D60" s="770" t="s">
        <v>861</v>
      </c>
      <c r="E60" s="771" t="s">
        <v>1366</v>
      </c>
      <c r="F60" s="769" t="s">
        <v>327</v>
      </c>
      <c r="G60" s="772">
        <v>0.3</v>
      </c>
      <c r="H60" s="773" t="s">
        <v>1419</v>
      </c>
      <c r="I60" s="774">
        <v>25.77</v>
      </c>
      <c r="J60" s="192"/>
    </row>
    <row r="61" spans="2:10" ht="16.5" x14ac:dyDescent="0.3">
      <c r="B61" s="775"/>
      <c r="C61" s="746"/>
      <c r="D61" s="746"/>
      <c r="E61" s="746"/>
      <c r="F61" s="350"/>
      <c r="G61" s="746"/>
      <c r="H61" s="746"/>
      <c r="I61" s="776"/>
      <c r="J61" s="192"/>
    </row>
    <row r="62" spans="2:10" ht="38.25" x14ac:dyDescent="0.3">
      <c r="B62" s="762" t="s">
        <v>884</v>
      </c>
      <c r="C62" s="763"/>
      <c r="D62" s="764"/>
      <c r="E62" s="765" t="s">
        <v>337</v>
      </c>
      <c r="F62" s="764" t="s">
        <v>256</v>
      </c>
      <c r="G62" s="764"/>
      <c r="H62" s="767"/>
      <c r="I62" s="768">
        <v>671.69999999999993</v>
      </c>
      <c r="J62" s="192"/>
    </row>
    <row r="63" spans="2:10" ht="25.5" x14ac:dyDescent="0.3">
      <c r="B63" s="770">
        <v>103670</v>
      </c>
      <c r="C63" s="770" t="s">
        <v>309</v>
      </c>
      <c r="D63" s="770" t="s">
        <v>861</v>
      </c>
      <c r="E63" s="771" t="s">
        <v>1371</v>
      </c>
      <c r="F63" s="769" t="s">
        <v>327</v>
      </c>
      <c r="G63" s="772">
        <v>4.4999999999999998E-2</v>
      </c>
      <c r="H63" s="773" t="s">
        <v>1424</v>
      </c>
      <c r="I63" s="774">
        <v>13.26</v>
      </c>
      <c r="J63" s="192"/>
    </row>
    <row r="64" spans="2:10" ht="16.5" x14ac:dyDescent="0.3">
      <c r="B64" s="770">
        <v>88309</v>
      </c>
      <c r="C64" s="770" t="s">
        <v>309</v>
      </c>
      <c r="D64" s="770" t="s">
        <v>861</v>
      </c>
      <c r="E64" s="771" t="s">
        <v>1361</v>
      </c>
      <c r="F64" s="769" t="s">
        <v>197</v>
      </c>
      <c r="G64" s="772">
        <v>0.2</v>
      </c>
      <c r="H64" s="773" t="s">
        <v>1415</v>
      </c>
      <c r="I64" s="774">
        <v>5.42</v>
      </c>
      <c r="J64" s="192"/>
    </row>
    <row r="65" spans="2:10" ht="16.5" x14ac:dyDescent="0.3">
      <c r="B65" s="770">
        <v>88316</v>
      </c>
      <c r="C65" s="770" t="s">
        <v>309</v>
      </c>
      <c r="D65" s="770" t="s">
        <v>861</v>
      </c>
      <c r="E65" s="771" t="s">
        <v>1358</v>
      </c>
      <c r="F65" s="769" t="s">
        <v>197</v>
      </c>
      <c r="G65" s="772">
        <v>0.2</v>
      </c>
      <c r="H65" s="773" t="s">
        <v>1410</v>
      </c>
      <c r="I65" s="774">
        <v>4.34</v>
      </c>
      <c r="J65" s="192"/>
    </row>
    <row r="66" spans="2:10" ht="38.25" x14ac:dyDescent="0.3">
      <c r="B66" s="770">
        <v>94962</v>
      </c>
      <c r="C66" s="770" t="s">
        <v>309</v>
      </c>
      <c r="D66" s="770" t="s">
        <v>861</v>
      </c>
      <c r="E66" s="771" t="s">
        <v>1376</v>
      </c>
      <c r="F66" s="769" t="s">
        <v>327</v>
      </c>
      <c r="G66" s="772">
        <v>4.4999999999999998E-2</v>
      </c>
      <c r="H66" s="773" t="s">
        <v>1431</v>
      </c>
      <c r="I66" s="774">
        <v>17.91</v>
      </c>
      <c r="J66" s="192"/>
    </row>
    <row r="67" spans="2:10" ht="16.5" x14ac:dyDescent="0.3">
      <c r="B67" s="770">
        <v>93358</v>
      </c>
      <c r="C67" s="770" t="s">
        <v>309</v>
      </c>
      <c r="D67" s="770" t="s">
        <v>861</v>
      </c>
      <c r="E67" s="771" t="s">
        <v>1366</v>
      </c>
      <c r="F67" s="769" t="s">
        <v>327</v>
      </c>
      <c r="G67" s="772">
        <v>0.3</v>
      </c>
      <c r="H67" s="773" t="s">
        <v>1419</v>
      </c>
      <c r="I67" s="774">
        <v>25.77</v>
      </c>
      <c r="J67" s="192"/>
    </row>
    <row r="68" spans="2:10" ht="16.5" x14ac:dyDescent="0.3">
      <c r="B68" s="770">
        <v>34723</v>
      </c>
      <c r="C68" s="770" t="s">
        <v>309</v>
      </c>
      <c r="D68" s="770" t="s">
        <v>861</v>
      </c>
      <c r="E68" s="771" t="s">
        <v>1377</v>
      </c>
      <c r="F68" s="769" t="s">
        <v>307</v>
      </c>
      <c r="G68" s="772">
        <v>0.36</v>
      </c>
      <c r="H68" s="773" t="s">
        <v>1378</v>
      </c>
      <c r="I68" s="774">
        <v>332.64</v>
      </c>
      <c r="J68" s="192"/>
    </row>
    <row r="69" spans="2:10" ht="16.5" x14ac:dyDescent="0.3">
      <c r="B69" s="770">
        <v>34744</v>
      </c>
      <c r="C69" s="770" t="s">
        <v>309</v>
      </c>
      <c r="D69" s="770" t="s">
        <v>861</v>
      </c>
      <c r="E69" s="771" t="s">
        <v>1379</v>
      </c>
      <c r="F69" s="769" t="s">
        <v>307</v>
      </c>
      <c r="G69" s="772">
        <v>1</v>
      </c>
      <c r="H69" s="773" t="s">
        <v>1380</v>
      </c>
      <c r="I69" s="774">
        <v>37.200000000000003</v>
      </c>
      <c r="J69" s="192"/>
    </row>
    <row r="70" spans="2:10" ht="25.5" x14ac:dyDescent="0.3">
      <c r="B70" s="770">
        <v>21013</v>
      </c>
      <c r="C70" s="770" t="s">
        <v>309</v>
      </c>
      <c r="D70" s="770" t="s">
        <v>861</v>
      </c>
      <c r="E70" s="771" t="s">
        <v>1381</v>
      </c>
      <c r="F70" s="769" t="s">
        <v>336</v>
      </c>
      <c r="G70" s="772">
        <v>3.5</v>
      </c>
      <c r="H70" s="773" t="s">
        <v>1382</v>
      </c>
      <c r="I70" s="774">
        <v>235.16</v>
      </c>
      <c r="J70" s="192"/>
    </row>
    <row r="71" spans="2:10" ht="16.5" x14ac:dyDescent="0.3">
      <c r="B71" s="775"/>
      <c r="C71" s="746"/>
      <c r="D71" s="746"/>
      <c r="E71" s="746"/>
      <c r="F71" s="350"/>
      <c r="G71" s="746"/>
      <c r="H71" s="746"/>
      <c r="I71" s="776"/>
      <c r="J71" s="192"/>
    </row>
    <row r="72" spans="2:10" ht="25.5" x14ac:dyDescent="0.3">
      <c r="B72" s="762" t="s">
        <v>886</v>
      </c>
      <c r="C72" s="763"/>
      <c r="D72" s="764"/>
      <c r="E72" s="765" t="s">
        <v>339</v>
      </c>
      <c r="F72" s="764" t="s">
        <v>307</v>
      </c>
      <c r="G72" s="764"/>
      <c r="H72" s="767"/>
      <c r="I72" s="768">
        <v>26.65</v>
      </c>
      <c r="J72" s="192"/>
    </row>
    <row r="73" spans="2:10" ht="16.5" x14ac:dyDescent="0.3">
      <c r="B73" s="770">
        <v>5318</v>
      </c>
      <c r="C73" s="770" t="s">
        <v>309</v>
      </c>
      <c r="D73" s="770" t="s">
        <v>861</v>
      </c>
      <c r="E73" s="771" t="s">
        <v>1383</v>
      </c>
      <c r="F73" s="769" t="s">
        <v>812</v>
      </c>
      <c r="G73" s="772">
        <v>0.13</v>
      </c>
      <c r="H73" s="773" t="s">
        <v>1432</v>
      </c>
      <c r="I73" s="774">
        <v>2.2599999999999998</v>
      </c>
      <c r="J73" s="192"/>
    </row>
    <row r="74" spans="2:10" ht="51" x14ac:dyDescent="0.3">
      <c r="B74" s="770">
        <v>5824</v>
      </c>
      <c r="C74" s="770" t="s">
        <v>309</v>
      </c>
      <c r="D74" s="770" t="s">
        <v>861</v>
      </c>
      <c r="E74" s="771" t="s">
        <v>1384</v>
      </c>
      <c r="F74" s="769" t="s">
        <v>1359</v>
      </c>
      <c r="G74" s="772">
        <v>3.333E-3</v>
      </c>
      <c r="H74" s="773" t="s">
        <v>1433</v>
      </c>
      <c r="I74" s="774">
        <v>0.71</v>
      </c>
      <c r="J74" s="192"/>
    </row>
    <row r="75" spans="2:10" ht="25.5" x14ac:dyDescent="0.3">
      <c r="B75" s="770">
        <v>7343</v>
      </c>
      <c r="C75" s="770" t="s">
        <v>309</v>
      </c>
      <c r="D75" s="770" t="s">
        <v>861</v>
      </c>
      <c r="E75" s="771" t="s">
        <v>1385</v>
      </c>
      <c r="F75" s="769" t="s">
        <v>812</v>
      </c>
      <c r="G75" s="772">
        <v>0.6</v>
      </c>
      <c r="H75" s="773" t="s">
        <v>1434</v>
      </c>
      <c r="I75" s="774">
        <v>16.37</v>
      </c>
      <c r="J75" s="192"/>
    </row>
    <row r="76" spans="2:10" ht="16.5" x14ac:dyDescent="0.3">
      <c r="B76" s="770">
        <v>7348</v>
      </c>
      <c r="C76" s="770" t="s">
        <v>309</v>
      </c>
      <c r="D76" s="770" t="s">
        <v>861</v>
      </c>
      <c r="E76" s="771" t="s">
        <v>1386</v>
      </c>
      <c r="F76" s="769" t="s">
        <v>812</v>
      </c>
      <c r="G76" s="772">
        <v>0.03</v>
      </c>
      <c r="H76" s="773" t="s">
        <v>1387</v>
      </c>
      <c r="I76" s="774">
        <v>0.56000000000000005</v>
      </c>
      <c r="J76" s="192"/>
    </row>
    <row r="77" spans="2:10" ht="25.5" x14ac:dyDescent="0.3">
      <c r="B77" s="770">
        <v>44478</v>
      </c>
      <c r="C77" s="770" t="s">
        <v>309</v>
      </c>
      <c r="D77" s="770" t="s">
        <v>861</v>
      </c>
      <c r="E77" s="771" t="s">
        <v>1388</v>
      </c>
      <c r="F77" s="769" t="s">
        <v>852</v>
      </c>
      <c r="G77" s="772">
        <v>0.4</v>
      </c>
      <c r="H77" s="773" t="s">
        <v>1389</v>
      </c>
      <c r="I77" s="774">
        <v>5.34</v>
      </c>
      <c r="J77" s="192"/>
    </row>
    <row r="78" spans="2:10" ht="16.5" x14ac:dyDescent="0.3">
      <c r="B78" s="770">
        <v>88316</v>
      </c>
      <c r="C78" s="770" t="s">
        <v>309</v>
      </c>
      <c r="D78" s="770" t="s">
        <v>861</v>
      </c>
      <c r="E78" s="771" t="s">
        <v>1358</v>
      </c>
      <c r="F78" s="769" t="s">
        <v>197</v>
      </c>
      <c r="G78" s="772">
        <v>3.3329999999999999E-2</v>
      </c>
      <c r="H78" s="773" t="s">
        <v>1410</v>
      </c>
      <c r="I78" s="774">
        <v>0.72</v>
      </c>
      <c r="J78" s="192"/>
    </row>
    <row r="79" spans="2:10" ht="25.5" x14ac:dyDescent="0.3">
      <c r="B79" s="770">
        <v>95133</v>
      </c>
      <c r="C79" s="770" t="s">
        <v>309</v>
      </c>
      <c r="D79" s="770" t="s">
        <v>861</v>
      </c>
      <c r="E79" s="771" t="s">
        <v>1390</v>
      </c>
      <c r="F79" s="769" t="s">
        <v>1359</v>
      </c>
      <c r="G79" s="772">
        <v>3.333E-3</v>
      </c>
      <c r="H79" s="773" t="s">
        <v>1435</v>
      </c>
      <c r="I79" s="774">
        <v>0.69</v>
      </c>
      <c r="J79" s="192"/>
    </row>
    <row r="80" spans="2:10" ht="16.5" x14ac:dyDescent="0.3">
      <c r="B80" s="775"/>
      <c r="C80" s="746"/>
      <c r="D80" s="746"/>
      <c r="E80" s="746"/>
      <c r="F80" s="350"/>
      <c r="G80" s="746"/>
      <c r="H80" s="746"/>
      <c r="I80" s="776"/>
      <c r="J80" s="192"/>
    </row>
    <row r="81" spans="2:10" ht="25.5" x14ac:dyDescent="0.3">
      <c r="B81" s="762" t="s">
        <v>890</v>
      </c>
      <c r="C81" s="763"/>
      <c r="D81" s="764"/>
      <c r="E81" s="765" t="s">
        <v>410</v>
      </c>
      <c r="F81" s="764" t="s">
        <v>307</v>
      </c>
      <c r="G81" s="764"/>
      <c r="H81" s="767"/>
      <c r="I81" s="768">
        <v>488.63</v>
      </c>
      <c r="J81" s="192"/>
    </row>
    <row r="82" spans="2:10" ht="25.5" x14ac:dyDescent="0.3">
      <c r="B82" s="770">
        <v>4433</v>
      </c>
      <c r="C82" s="770" t="s">
        <v>309</v>
      </c>
      <c r="D82" s="770" t="s">
        <v>861</v>
      </c>
      <c r="E82" s="771" t="s">
        <v>1391</v>
      </c>
      <c r="F82" s="769" t="s">
        <v>336</v>
      </c>
      <c r="G82" s="772">
        <v>1</v>
      </c>
      <c r="H82" s="773" t="s">
        <v>1436</v>
      </c>
      <c r="I82" s="774">
        <v>26.89</v>
      </c>
      <c r="J82" s="192"/>
    </row>
    <row r="83" spans="2:10" ht="25.5" x14ac:dyDescent="0.3">
      <c r="B83" s="770">
        <v>4813</v>
      </c>
      <c r="C83" s="770" t="s">
        <v>309</v>
      </c>
      <c r="D83" s="770" t="s">
        <v>861</v>
      </c>
      <c r="E83" s="771" t="s">
        <v>1392</v>
      </c>
      <c r="F83" s="769" t="s">
        <v>307</v>
      </c>
      <c r="G83" s="772">
        <v>1</v>
      </c>
      <c r="H83" s="773" t="s">
        <v>1393</v>
      </c>
      <c r="I83" s="774">
        <v>400</v>
      </c>
      <c r="J83" s="192"/>
    </row>
    <row r="84" spans="2:10" ht="51" x14ac:dyDescent="0.3">
      <c r="B84" s="770">
        <v>73467</v>
      </c>
      <c r="C84" s="770" t="s">
        <v>309</v>
      </c>
      <c r="D84" s="770" t="s">
        <v>861</v>
      </c>
      <c r="E84" s="771" t="s">
        <v>1394</v>
      </c>
      <c r="F84" s="769" t="s">
        <v>1359</v>
      </c>
      <c r="G84" s="772">
        <v>0.01</v>
      </c>
      <c r="H84" s="773" t="s">
        <v>1437</v>
      </c>
      <c r="I84" s="774">
        <v>2.4700000000000002</v>
      </c>
      <c r="J84" s="192"/>
    </row>
    <row r="85" spans="2:10" ht="16.5" x14ac:dyDescent="0.3">
      <c r="B85" s="770">
        <v>88262</v>
      </c>
      <c r="C85" s="770" t="s">
        <v>309</v>
      </c>
      <c r="D85" s="770" t="s">
        <v>861</v>
      </c>
      <c r="E85" s="771" t="s">
        <v>1395</v>
      </c>
      <c r="F85" s="769" t="s">
        <v>197</v>
      </c>
      <c r="G85" s="772">
        <v>1</v>
      </c>
      <c r="H85" s="773" t="s">
        <v>1438</v>
      </c>
      <c r="I85" s="774">
        <v>26.69</v>
      </c>
      <c r="J85" s="192"/>
    </row>
    <row r="86" spans="2:10" ht="16.5" x14ac:dyDescent="0.3">
      <c r="B86" s="770">
        <v>88316</v>
      </c>
      <c r="C86" s="770" t="s">
        <v>309</v>
      </c>
      <c r="D86" s="770" t="s">
        <v>861</v>
      </c>
      <c r="E86" s="771" t="s">
        <v>1358</v>
      </c>
      <c r="F86" s="769" t="s">
        <v>197</v>
      </c>
      <c r="G86" s="772">
        <v>1.5</v>
      </c>
      <c r="H86" s="773" t="s">
        <v>1410</v>
      </c>
      <c r="I86" s="774">
        <v>32.58</v>
      </c>
      <c r="J86" s="192"/>
    </row>
  </sheetData>
  <mergeCells count="6">
    <mergeCell ref="G8:I8"/>
    <mergeCell ref="B4:I4"/>
    <mergeCell ref="C5:F5"/>
    <mergeCell ref="G5:I5"/>
    <mergeCell ref="G6:I6"/>
    <mergeCell ref="G7:I7"/>
  </mergeCells>
  <conditionalFormatting sqref="B4:I86">
    <cfRule type="expression" dxfId="84" priority="12">
      <formula>$E4="NAO ENCONTRADO"</formula>
    </cfRule>
  </conditionalFormatting>
  <conditionalFormatting sqref="D1:D3 F1:I3">
    <cfRule type="expression" dxfId="83" priority="13">
      <formula>$D1="NAO ENCONTRADO"</formula>
    </cfRule>
  </conditionalFormatting>
  <dataValidations count="1">
    <dataValidation type="list" allowBlank="1" showInputMessage="1" showErrorMessage="1" sqref="D11:D16 D19:D22 D25:D27 D30:D39 D42:D44 D47:D50 D53:D60 D63:D70 D73:D79 D82:D86">
      <formula1>"INSUMO,COMPOSIÇÃO AUXILIAR,COTAÇÃO"</formula1>
    </dataValidation>
  </dataValidations>
  <pageMargins left="0.51181102362204722" right="0.51181102362204722" top="0.78740157480314965" bottom="0.78740157480314965" header="0.31496062992125984" footer="0.31496062992125984"/>
  <pageSetup paperSize="9" scale="61" fitToHeight="0"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tabColor rgb="FF008080"/>
  </sheetPr>
  <dimension ref="A1"/>
  <sheetViews>
    <sheetView workbookViewId="0"/>
  </sheetViews>
  <sheetFormatPr defaultRowHeight="15" x14ac:dyDescent="0.25"/>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4">
    <pageSetUpPr fitToPage="1"/>
  </sheetPr>
  <dimension ref="A1:X36"/>
  <sheetViews>
    <sheetView workbookViewId="0"/>
  </sheetViews>
  <sheetFormatPr defaultRowHeight="15" x14ac:dyDescent="0.25"/>
  <cols>
    <col min="1" max="1" width="13.5703125" customWidth="1"/>
    <col min="2" max="2" width="13.7109375" customWidth="1"/>
    <col min="3" max="3" width="39.85546875" customWidth="1"/>
    <col min="4" max="4" width="11.42578125" customWidth="1"/>
    <col min="5" max="5" width="13.5703125" customWidth="1"/>
    <col min="6" max="6" width="14" customWidth="1"/>
    <col min="9" max="9" width="17" customWidth="1"/>
    <col min="10" max="11" width="10" customWidth="1"/>
    <col min="12" max="12" width="16.140625" customWidth="1"/>
    <col min="13" max="13" width="11.140625" customWidth="1"/>
    <col min="14" max="14" width="11.7109375" customWidth="1"/>
    <col min="15" max="15" width="12.5703125" customWidth="1"/>
    <col min="16" max="16" width="8" customWidth="1"/>
    <col min="17" max="17" width="6.28515625" customWidth="1"/>
    <col min="18" max="23" width="13.85546875" customWidth="1"/>
  </cols>
  <sheetData>
    <row r="1" spans="1:24" ht="16.5" customHeight="1" x14ac:dyDescent="0.25">
      <c r="A1" s="96"/>
      <c r="B1" s="116"/>
      <c r="C1" s="869" t="s">
        <v>254</v>
      </c>
      <c r="D1" s="870"/>
      <c r="E1" s="870"/>
      <c r="F1" s="870"/>
      <c r="G1" s="870"/>
      <c r="H1" s="870"/>
      <c r="I1" s="870"/>
      <c r="J1" s="870"/>
      <c r="K1" s="871"/>
      <c r="L1" s="863" t="s">
        <v>120</v>
      </c>
      <c r="M1" s="864"/>
      <c r="N1" s="865"/>
    </row>
    <row r="2" spans="1:24" ht="36.75" customHeight="1" x14ac:dyDescent="0.25">
      <c r="A2" s="98"/>
      <c r="B2" s="7"/>
      <c r="C2" s="872" t="str">
        <f ca="1">OFFSET(DADOS!$I$2,DADOS!$A$7,0,1,1)</f>
        <v>PREFEITURA MUNICIPAL DE NAVIRAÍ</v>
      </c>
      <c r="D2" s="873"/>
      <c r="E2" s="873"/>
      <c r="F2" s="873"/>
      <c r="G2" s="873"/>
      <c r="H2" s="873"/>
      <c r="I2" s="873"/>
      <c r="J2" s="873"/>
      <c r="K2" s="874"/>
      <c r="L2" s="866" t="s">
        <v>368</v>
      </c>
      <c r="M2" s="867"/>
      <c r="N2" s="868"/>
    </row>
    <row r="3" spans="1:24" ht="12" customHeight="1" x14ac:dyDescent="0.25">
      <c r="A3" s="97"/>
      <c r="B3" s="113"/>
      <c r="C3" s="869" t="e">
        <f>#REF!</f>
        <v>#REF!</v>
      </c>
      <c r="D3" s="870"/>
      <c r="E3" s="870"/>
      <c r="F3" s="870"/>
      <c r="G3" s="870"/>
      <c r="H3" s="870"/>
      <c r="I3" s="870"/>
      <c r="J3" s="870"/>
      <c r="K3" s="871"/>
      <c r="L3" s="120"/>
      <c r="M3" s="121"/>
      <c r="N3" s="122"/>
    </row>
    <row r="4" spans="1:24" ht="20.45" customHeight="1" x14ac:dyDescent="0.25">
      <c r="A4" s="875" t="s">
        <v>121</v>
      </c>
      <c r="B4" s="875"/>
      <c r="C4" s="875"/>
      <c r="D4" s="875"/>
      <c r="E4" s="875"/>
      <c r="F4" s="875"/>
      <c r="G4" s="875"/>
      <c r="H4" s="875"/>
      <c r="I4" s="875"/>
      <c r="J4" s="875"/>
      <c r="K4" s="875"/>
      <c r="L4" s="875"/>
      <c r="M4" s="875"/>
      <c r="N4" s="875"/>
    </row>
    <row r="5" spans="1:24" x14ac:dyDescent="0.25">
      <c r="A5" s="8" t="str">
        <f>'12-DRENAGEM - IMPLANTAÇÃO'!A5</f>
        <v>OBJETO:</v>
      </c>
      <c r="B5" s="860" t="str">
        <f>'12-DRENAGEM - IMPLANTAÇÃO'!B5</f>
        <v>INFRAESTRUTURA URBANA – PAVIMENTAÇÃO ASFÁLTICA, DRENAGEM, E SINALIZAÇÃO VIÁRIA NO ACESSO AO CEMITERIO MUNICIPAL DE NAVIRAÍ/ MS</v>
      </c>
      <c r="C5" s="861"/>
      <c r="D5" s="861"/>
      <c r="E5" s="861"/>
      <c r="F5" s="861"/>
      <c r="G5" s="861"/>
      <c r="H5" s="861"/>
      <c r="I5" s="861"/>
      <c r="J5" s="861"/>
      <c r="K5" s="861"/>
      <c r="L5" s="861"/>
      <c r="M5" s="861"/>
      <c r="N5" s="862"/>
    </row>
    <row r="6" spans="1:24" x14ac:dyDescent="0.25">
      <c r="A6" s="8" t="s">
        <v>77</v>
      </c>
      <c r="B6" s="860" t="str">
        <f ca="1">'12-DRENAGEM - IMPLANTAÇÃO'!B6</f>
        <v>NAVIRAÍ</v>
      </c>
      <c r="C6" s="861"/>
      <c r="D6" s="861"/>
      <c r="E6" s="861"/>
      <c r="F6" s="861"/>
      <c r="G6" s="861"/>
      <c r="H6" s="861"/>
      <c r="I6" s="861"/>
      <c r="J6" s="861"/>
      <c r="K6" s="861"/>
      <c r="L6" s="861"/>
      <c r="M6" s="861"/>
      <c r="N6" s="862"/>
    </row>
    <row r="7" spans="1:24" x14ac:dyDescent="0.25">
      <c r="A7" s="8" t="s">
        <v>78</v>
      </c>
      <c r="B7" s="860" t="str">
        <f>'12-DRENAGEM - IMPLANTAÇÃO'!B7</f>
        <v>AVENIDA JOÃO RIGONATO</v>
      </c>
      <c r="C7" s="861"/>
      <c r="D7" s="861"/>
      <c r="E7" s="861"/>
      <c r="F7" s="861"/>
      <c r="G7" s="861"/>
      <c r="H7" s="861"/>
      <c r="I7" s="861"/>
      <c r="J7" s="861"/>
      <c r="K7" s="861"/>
      <c r="L7" s="861"/>
      <c r="M7" s="861"/>
      <c r="N7" s="862"/>
    </row>
    <row r="8" spans="1:24" ht="15" customHeight="1" x14ac:dyDescent="0.25">
      <c r="A8" s="876" t="s">
        <v>86</v>
      </c>
      <c r="B8" s="882" t="s">
        <v>87</v>
      </c>
      <c r="C8" s="883"/>
      <c r="D8" s="893" t="s">
        <v>63</v>
      </c>
      <c r="E8" s="878" t="s">
        <v>122</v>
      </c>
      <c r="F8" s="897" t="s">
        <v>88</v>
      </c>
      <c r="G8" s="898"/>
      <c r="H8" s="899"/>
      <c r="I8" s="897" t="s">
        <v>89</v>
      </c>
      <c r="J8" s="898"/>
      <c r="K8" s="899"/>
      <c r="L8" s="888" t="s">
        <v>90</v>
      </c>
      <c r="M8" s="888"/>
      <c r="N8" s="889"/>
    </row>
    <row r="9" spans="1:24" x14ac:dyDescent="0.25">
      <c r="A9" s="877" t="s">
        <v>86</v>
      </c>
      <c r="B9" s="884"/>
      <c r="C9" s="885"/>
      <c r="D9" s="894"/>
      <c r="E9" s="879"/>
      <c r="F9" s="9" t="s">
        <v>123</v>
      </c>
      <c r="G9" s="9" t="s">
        <v>63</v>
      </c>
      <c r="H9" s="77" t="s">
        <v>243</v>
      </c>
      <c r="I9" s="9" t="s">
        <v>123</v>
      </c>
      <c r="J9" s="9" t="s">
        <v>63</v>
      </c>
      <c r="K9" s="77" t="s">
        <v>243</v>
      </c>
      <c r="L9" s="9" t="s">
        <v>123</v>
      </c>
      <c r="M9" s="9" t="s">
        <v>63</v>
      </c>
      <c r="N9" s="84" t="s">
        <v>243</v>
      </c>
    </row>
    <row r="10" spans="1:24" x14ac:dyDescent="0.25">
      <c r="A10" s="132">
        <v>1</v>
      </c>
      <c r="B10" s="880" t="s">
        <v>92</v>
      </c>
      <c r="C10" s="881"/>
      <c r="D10" s="20" t="e">
        <f>E10/(E$19-$E$18)</f>
        <v>#REF!</v>
      </c>
      <c r="E10" s="11" t="e">
        <f>#REF!</f>
        <v>#REF!</v>
      </c>
      <c r="F10" s="91" t="e">
        <f>G10*E10</f>
        <v>#REF!</v>
      </c>
      <c r="G10" s="12">
        <v>1</v>
      </c>
      <c r="H10" s="12">
        <f>G10</f>
        <v>1</v>
      </c>
      <c r="I10" s="92"/>
      <c r="J10" s="83">
        <v>0</v>
      </c>
      <c r="K10" s="12">
        <f>H10+J10</f>
        <v>1</v>
      </c>
      <c r="L10" s="92"/>
      <c r="M10" s="83">
        <v>0</v>
      </c>
      <c r="N10" s="85">
        <f>K10+M10</f>
        <v>1</v>
      </c>
      <c r="V10" s="1">
        <f t="shared" ref="V10:V18" si="0">G10+J10+M10+G25+J25+M25</f>
        <v>1</v>
      </c>
      <c r="X10" s="1">
        <f t="shared" ref="X10:X18" si="1">G10+J10+M10+G25</f>
        <v>1</v>
      </c>
    </row>
    <row r="11" spans="1:24" x14ac:dyDescent="0.25">
      <c r="A11" s="132">
        <v>2</v>
      </c>
      <c r="B11" s="880" t="s">
        <v>93</v>
      </c>
      <c r="C11" s="881"/>
      <c r="D11" s="20" t="e">
        <f t="shared" ref="D11:D18" si="2">E11/(E$19-$E$18)</f>
        <v>#REF!</v>
      </c>
      <c r="E11" s="11" t="e">
        <f>#REF!</f>
        <v>#REF!</v>
      </c>
      <c r="F11" s="91" t="e">
        <f t="shared" ref="F11:F18" si="3">G11*E11</f>
        <v>#REF!</v>
      </c>
      <c r="G11" s="12">
        <v>0.15</v>
      </c>
      <c r="H11" s="12">
        <f t="shared" ref="H11:H17" si="4">G11</f>
        <v>0.15</v>
      </c>
      <c r="I11" s="91" t="e">
        <f>E11*J11</f>
        <v>#REF!</v>
      </c>
      <c r="J11" s="12">
        <v>0.25</v>
      </c>
      <c r="K11" s="12">
        <f t="shared" ref="K11:K17" si="5">H11+J11</f>
        <v>0.4</v>
      </c>
      <c r="L11" s="91" t="e">
        <f t="shared" ref="L11:L17" si="6">E11*M11</f>
        <v>#REF!</v>
      </c>
      <c r="M11" s="12">
        <v>0.25</v>
      </c>
      <c r="N11" s="85">
        <f t="shared" ref="N11:N17" si="7">K11+M11</f>
        <v>0.65</v>
      </c>
      <c r="V11" s="1">
        <f t="shared" si="0"/>
        <v>1</v>
      </c>
      <c r="X11" s="1">
        <f t="shared" si="1"/>
        <v>1</v>
      </c>
    </row>
    <row r="12" spans="1:24" ht="15.6" customHeight="1" x14ac:dyDescent="0.25">
      <c r="A12" s="132">
        <v>3</v>
      </c>
      <c r="B12" s="880" t="s">
        <v>94</v>
      </c>
      <c r="C12" s="881"/>
      <c r="D12" s="20" t="e">
        <f t="shared" si="2"/>
        <v>#REF!</v>
      </c>
      <c r="E12" s="11" t="e">
        <f>#REF!</f>
        <v>#REF!</v>
      </c>
      <c r="F12" s="91" t="e">
        <f t="shared" si="3"/>
        <v>#REF!</v>
      </c>
      <c r="G12" s="12">
        <v>0.3</v>
      </c>
      <c r="H12" s="12">
        <f t="shared" si="4"/>
        <v>0.3</v>
      </c>
      <c r="I12" s="91" t="e">
        <f>E12*J12</f>
        <v>#REF!</v>
      </c>
      <c r="J12" s="12">
        <v>0.3</v>
      </c>
      <c r="K12" s="12">
        <f t="shared" si="5"/>
        <v>0.6</v>
      </c>
      <c r="L12" s="91" t="e">
        <f t="shared" si="6"/>
        <v>#REF!</v>
      </c>
      <c r="M12" s="12">
        <v>0.3</v>
      </c>
      <c r="N12" s="85">
        <f t="shared" si="7"/>
        <v>0.89999999999999991</v>
      </c>
      <c r="V12" s="1">
        <f t="shared" si="0"/>
        <v>0.99999999999999989</v>
      </c>
      <c r="X12" s="1">
        <f t="shared" si="1"/>
        <v>0.99999999999999989</v>
      </c>
    </row>
    <row r="13" spans="1:24" x14ac:dyDescent="0.25">
      <c r="A13" s="132">
        <v>4</v>
      </c>
      <c r="B13" s="880" t="s">
        <v>81</v>
      </c>
      <c r="C13" s="881"/>
      <c r="D13" s="20" t="e">
        <f t="shared" si="2"/>
        <v>#REF!</v>
      </c>
      <c r="E13" s="11" t="e">
        <f>#REF!</f>
        <v>#REF!</v>
      </c>
      <c r="F13" s="91" t="e">
        <f t="shared" si="3"/>
        <v>#REF!</v>
      </c>
      <c r="G13" s="83">
        <v>0</v>
      </c>
      <c r="H13" s="12">
        <f t="shared" si="4"/>
        <v>0</v>
      </c>
      <c r="I13" s="91" t="e">
        <f>E13*J13+0.01</f>
        <v>#REF!</v>
      </c>
      <c r="J13" s="12">
        <v>0.3</v>
      </c>
      <c r="K13" s="12">
        <f t="shared" si="5"/>
        <v>0.3</v>
      </c>
      <c r="L13" s="91" t="e">
        <f t="shared" si="6"/>
        <v>#REF!</v>
      </c>
      <c r="M13" s="12">
        <v>0.4</v>
      </c>
      <c r="N13" s="85">
        <f t="shared" si="7"/>
        <v>0.7</v>
      </c>
      <c r="V13" s="1">
        <f t="shared" si="0"/>
        <v>1</v>
      </c>
      <c r="X13" s="1">
        <f t="shared" si="1"/>
        <v>1</v>
      </c>
    </row>
    <row r="14" spans="1:24" x14ac:dyDescent="0.25">
      <c r="A14" s="132">
        <v>5</v>
      </c>
      <c r="B14" s="880" t="s">
        <v>82</v>
      </c>
      <c r="C14" s="881"/>
      <c r="D14" s="20" t="e">
        <f t="shared" si="2"/>
        <v>#REF!</v>
      </c>
      <c r="E14" s="11" t="e">
        <f>#REF!</f>
        <v>#REF!</v>
      </c>
      <c r="F14" s="91" t="e">
        <f t="shared" si="3"/>
        <v>#REF!</v>
      </c>
      <c r="G14" s="83">
        <v>0</v>
      </c>
      <c r="H14" s="12">
        <f t="shared" si="4"/>
        <v>0</v>
      </c>
      <c r="I14" s="92"/>
      <c r="J14" s="83">
        <v>0</v>
      </c>
      <c r="K14" s="12">
        <f t="shared" si="5"/>
        <v>0</v>
      </c>
      <c r="L14" s="91" t="e">
        <f t="shared" si="6"/>
        <v>#REF!</v>
      </c>
      <c r="M14" s="12">
        <v>0</v>
      </c>
      <c r="N14" s="85">
        <f t="shared" si="7"/>
        <v>0</v>
      </c>
      <c r="V14" s="1">
        <f t="shared" si="0"/>
        <v>1</v>
      </c>
      <c r="X14" s="1">
        <f t="shared" si="1"/>
        <v>0.3</v>
      </c>
    </row>
    <row r="15" spans="1:24" x14ac:dyDescent="0.25">
      <c r="A15" s="132">
        <v>6</v>
      </c>
      <c r="B15" s="880" t="s">
        <v>95</v>
      </c>
      <c r="C15" s="881"/>
      <c r="D15" s="20" t="e">
        <f t="shared" si="2"/>
        <v>#REF!</v>
      </c>
      <c r="E15" s="11" t="e">
        <f>#REF!</f>
        <v>#REF!</v>
      </c>
      <c r="F15" s="91" t="e">
        <f t="shared" si="3"/>
        <v>#REF!</v>
      </c>
      <c r="G15" s="83">
        <v>0</v>
      </c>
      <c r="H15" s="12">
        <f t="shared" si="4"/>
        <v>0</v>
      </c>
      <c r="I15" s="92"/>
      <c r="J15" s="83">
        <v>0</v>
      </c>
      <c r="K15" s="12">
        <f t="shared" si="5"/>
        <v>0</v>
      </c>
      <c r="L15" s="91" t="e">
        <f t="shared" si="6"/>
        <v>#REF!</v>
      </c>
      <c r="M15" s="12">
        <v>0.5</v>
      </c>
      <c r="N15" s="85">
        <f t="shared" si="7"/>
        <v>0.5</v>
      </c>
      <c r="V15" s="1">
        <f t="shared" si="0"/>
        <v>1</v>
      </c>
      <c r="X15" s="1">
        <f t="shared" si="1"/>
        <v>0.9</v>
      </c>
    </row>
    <row r="16" spans="1:24" x14ac:dyDescent="0.25">
      <c r="A16" s="132">
        <v>7</v>
      </c>
      <c r="B16" s="880" t="s">
        <v>83</v>
      </c>
      <c r="C16" s="881"/>
      <c r="D16" s="20" t="e">
        <f t="shared" si="2"/>
        <v>#REF!</v>
      </c>
      <c r="E16" s="11" t="e">
        <f>#REF!</f>
        <v>#REF!</v>
      </c>
      <c r="F16" s="91" t="e">
        <f t="shared" si="3"/>
        <v>#REF!</v>
      </c>
      <c r="G16" s="12">
        <v>0</v>
      </c>
      <c r="H16" s="12">
        <f t="shared" si="4"/>
        <v>0</v>
      </c>
      <c r="I16" s="91" t="e">
        <f>E16*J16</f>
        <v>#REF!</v>
      </c>
      <c r="J16" s="12">
        <v>0</v>
      </c>
      <c r="K16" s="12">
        <f t="shared" si="5"/>
        <v>0</v>
      </c>
      <c r="L16" s="91" t="e">
        <f t="shared" si="6"/>
        <v>#REF!</v>
      </c>
      <c r="M16" s="12">
        <v>0</v>
      </c>
      <c r="N16" s="85">
        <f t="shared" si="7"/>
        <v>0</v>
      </c>
      <c r="V16" s="1">
        <f t="shared" si="0"/>
        <v>1</v>
      </c>
      <c r="X16" s="1">
        <f t="shared" si="1"/>
        <v>0</v>
      </c>
    </row>
    <row r="17" spans="1:24" x14ac:dyDescent="0.25">
      <c r="A17" s="132">
        <v>8</v>
      </c>
      <c r="B17" s="880" t="s">
        <v>84</v>
      </c>
      <c r="C17" s="881"/>
      <c r="D17" s="20" t="e">
        <f t="shared" si="2"/>
        <v>#REF!</v>
      </c>
      <c r="E17" s="11" t="e">
        <f>#REF!</f>
        <v>#REF!</v>
      </c>
      <c r="F17" s="91" t="e">
        <f t="shared" si="3"/>
        <v>#REF!</v>
      </c>
      <c r="G17" s="83">
        <v>0</v>
      </c>
      <c r="H17" s="12">
        <f t="shared" si="4"/>
        <v>0</v>
      </c>
      <c r="I17" s="91" t="e">
        <f>E17*J17</f>
        <v>#REF!</v>
      </c>
      <c r="J17" s="83">
        <v>0</v>
      </c>
      <c r="K17" s="12">
        <f t="shared" si="5"/>
        <v>0</v>
      </c>
      <c r="L17" s="91" t="e">
        <f t="shared" si="6"/>
        <v>#REF!</v>
      </c>
      <c r="M17" s="12">
        <v>0</v>
      </c>
      <c r="N17" s="85">
        <f t="shared" si="7"/>
        <v>0</v>
      </c>
      <c r="V17" s="1">
        <f t="shared" si="0"/>
        <v>1</v>
      </c>
      <c r="X17" s="1">
        <f t="shared" si="1"/>
        <v>0</v>
      </c>
    </row>
    <row r="18" spans="1:24" x14ac:dyDescent="0.25">
      <c r="A18" s="132">
        <v>9</v>
      </c>
      <c r="B18" s="895" t="s">
        <v>85</v>
      </c>
      <c r="C18" s="896"/>
      <c r="D18" s="22" t="e">
        <f t="shared" si="2"/>
        <v>#REF!</v>
      </c>
      <c r="E18" s="13" t="e">
        <f>#REF!</f>
        <v>#REF!</v>
      </c>
      <c r="F18" s="91" t="e">
        <f t="shared" si="3"/>
        <v>#REF!</v>
      </c>
      <c r="G18" s="83">
        <v>0.2</v>
      </c>
      <c r="H18" s="12">
        <f>G18</f>
        <v>0.2</v>
      </c>
      <c r="I18" s="91" t="e">
        <f>E18*J18</f>
        <v>#REF!</v>
      </c>
      <c r="J18" s="83">
        <v>0.2</v>
      </c>
      <c r="K18" s="12">
        <f>H18+J18</f>
        <v>0.4</v>
      </c>
      <c r="L18" s="91" t="e">
        <f>E18*M18</f>
        <v>#REF!</v>
      </c>
      <c r="M18" s="12">
        <v>0.2</v>
      </c>
      <c r="N18" s="85">
        <f>K18+M18</f>
        <v>0.60000000000000009</v>
      </c>
      <c r="O18" s="2"/>
      <c r="T18" s="6"/>
      <c r="V18" s="1">
        <f t="shared" si="0"/>
        <v>1</v>
      </c>
      <c r="X18" s="1">
        <f t="shared" si="1"/>
        <v>0.8</v>
      </c>
    </row>
    <row r="19" spans="1:24" x14ac:dyDescent="0.25">
      <c r="A19" s="25"/>
      <c r="B19" s="38"/>
      <c r="C19" s="26"/>
      <c r="D19" s="27"/>
      <c r="E19" s="81" t="e">
        <f>SUM(E10:E18)</f>
        <v>#REF!</v>
      </c>
      <c r="F19" s="82"/>
      <c r="G19" s="15"/>
      <c r="H19" s="15"/>
      <c r="I19" s="93"/>
      <c r="J19" s="15"/>
      <c r="K19" s="15"/>
      <c r="L19" s="93"/>
      <c r="M19" s="15"/>
      <c r="N19" s="16"/>
      <c r="O19" s="2"/>
      <c r="T19" s="6"/>
      <c r="V19" s="1"/>
      <c r="X19" s="1"/>
    </row>
    <row r="20" spans="1:24" x14ac:dyDescent="0.25">
      <c r="A20" s="31"/>
      <c r="B20" s="114"/>
      <c r="C20" s="890" t="s">
        <v>96</v>
      </c>
      <c r="D20" s="890"/>
      <c r="E20" s="891"/>
      <c r="F20" s="24" t="e">
        <f>SUM(F10:F18)</f>
        <v>#REF!</v>
      </c>
      <c r="G20" s="17"/>
      <c r="H20" s="17"/>
      <c r="I20" s="94" t="e">
        <f>SUM(I10:I18)</f>
        <v>#REF!</v>
      </c>
      <c r="J20" s="17"/>
      <c r="K20" s="17"/>
      <c r="L20" s="94" t="e">
        <f>SUM(L10:L18)</f>
        <v>#REF!</v>
      </c>
      <c r="M20" s="17"/>
      <c r="N20" s="86"/>
    </row>
    <row r="21" spans="1:24" x14ac:dyDescent="0.25">
      <c r="A21" s="29"/>
      <c r="B21" s="115"/>
      <c r="C21" s="886" t="s">
        <v>97</v>
      </c>
      <c r="D21" s="886"/>
      <c r="E21" s="887"/>
      <c r="F21" s="30" t="e">
        <f>F20</f>
        <v>#REF!</v>
      </c>
      <c r="G21" s="19" t="e">
        <f>F21/E19</f>
        <v>#REF!</v>
      </c>
      <c r="H21" s="19" t="e">
        <f>G21</f>
        <v>#REF!</v>
      </c>
      <c r="I21" s="18" t="e">
        <f>F21+I20</f>
        <v>#REF!</v>
      </c>
      <c r="J21" s="19" t="e">
        <f>I20/E19</f>
        <v>#REF!</v>
      </c>
      <c r="K21" s="19" t="e">
        <f>J21+H21</f>
        <v>#REF!</v>
      </c>
      <c r="L21" s="18" t="e">
        <f>I21+L20</f>
        <v>#REF!</v>
      </c>
      <c r="M21" s="19" t="e">
        <f>L20/E19</f>
        <v>#REF!</v>
      </c>
      <c r="N21" s="87" t="e">
        <f>M21+K21</f>
        <v>#REF!</v>
      </c>
    </row>
    <row r="22" spans="1:24" ht="4.1500000000000004" customHeight="1" x14ac:dyDescent="0.25">
      <c r="A22" s="88"/>
      <c r="B22" s="33"/>
      <c r="C22" s="32"/>
      <c r="D22" s="33"/>
      <c r="E22" s="34"/>
      <c r="F22" s="78"/>
      <c r="G22" s="78"/>
      <c r="H22" s="78"/>
      <c r="I22" s="89"/>
      <c r="J22" s="89"/>
      <c r="K22" s="76"/>
      <c r="L22" s="79"/>
      <c r="M22" s="79"/>
      <c r="N22" s="80"/>
    </row>
    <row r="23" spans="1:24" ht="15" customHeight="1" x14ac:dyDescent="0.25">
      <c r="A23" s="876" t="s">
        <v>86</v>
      </c>
      <c r="B23" s="905" t="s">
        <v>87</v>
      </c>
      <c r="C23" s="906"/>
      <c r="D23" s="893" t="s">
        <v>63</v>
      </c>
      <c r="E23" s="878" t="s">
        <v>122</v>
      </c>
      <c r="F23" s="900" t="s">
        <v>98</v>
      </c>
      <c r="G23" s="901"/>
      <c r="H23" s="901"/>
      <c r="I23" s="902" t="s">
        <v>241</v>
      </c>
      <c r="J23" s="903"/>
      <c r="K23" s="904"/>
      <c r="L23" s="892" t="s">
        <v>242</v>
      </c>
      <c r="M23" s="888"/>
      <c r="N23" s="889"/>
    </row>
    <row r="24" spans="1:24" x14ac:dyDescent="0.25">
      <c r="A24" s="877" t="s">
        <v>86</v>
      </c>
      <c r="B24" s="884"/>
      <c r="C24" s="885"/>
      <c r="D24" s="894"/>
      <c r="E24" s="879"/>
      <c r="F24" s="9" t="s">
        <v>91</v>
      </c>
      <c r="G24" s="9" t="s">
        <v>63</v>
      </c>
      <c r="H24" s="77" t="s">
        <v>243</v>
      </c>
      <c r="I24" s="17" t="s">
        <v>91</v>
      </c>
      <c r="J24" s="17" t="s">
        <v>63</v>
      </c>
      <c r="K24" s="90" t="s">
        <v>243</v>
      </c>
      <c r="L24" s="9" t="s">
        <v>91</v>
      </c>
      <c r="M24" s="9" t="s">
        <v>63</v>
      </c>
      <c r="N24" s="84" t="s">
        <v>243</v>
      </c>
    </row>
    <row r="25" spans="1:24" x14ac:dyDescent="0.25">
      <c r="A25" s="132">
        <v>1</v>
      </c>
      <c r="B25" s="880" t="s">
        <v>92</v>
      </c>
      <c r="C25" s="881"/>
      <c r="D25" s="10" t="e">
        <f t="shared" ref="D25:E33" si="8">D10</f>
        <v>#REF!</v>
      </c>
      <c r="E25" s="11" t="e">
        <f t="shared" si="8"/>
        <v>#REF!</v>
      </c>
      <c r="F25" s="11"/>
      <c r="G25" s="83">
        <v>0</v>
      </c>
      <c r="H25" s="12">
        <f>N10+G25</f>
        <v>1</v>
      </c>
      <c r="I25" s="11"/>
      <c r="J25" s="9"/>
      <c r="K25" s="12">
        <f>H25+J25</f>
        <v>1</v>
      </c>
      <c r="L25" s="11"/>
      <c r="M25" s="9"/>
      <c r="N25" s="85">
        <f>K25+M25</f>
        <v>1</v>
      </c>
      <c r="O25" s="95" t="e">
        <f t="shared" ref="O25:O33" si="9">(F10+I10+L10+F25+I25+L25)/E10</f>
        <v>#REF!</v>
      </c>
      <c r="P25" s="1"/>
    </row>
    <row r="26" spans="1:24" x14ac:dyDescent="0.25">
      <c r="A26" s="132">
        <v>2</v>
      </c>
      <c r="B26" s="880" t="s">
        <v>93</v>
      </c>
      <c r="C26" s="881"/>
      <c r="D26" s="10" t="e">
        <f t="shared" si="8"/>
        <v>#REF!</v>
      </c>
      <c r="E26" s="11" t="e">
        <f t="shared" si="8"/>
        <v>#REF!</v>
      </c>
      <c r="F26" s="91" t="e">
        <f>G26*E26</f>
        <v>#REF!</v>
      </c>
      <c r="G26" s="12">
        <v>0.35</v>
      </c>
      <c r="H26" s="12">
        <f t="shared" ref="H26:H33" si="10">N11+G26</f>
        <v>1</v>
      </c>
      <c r="I26" s="91" t="e">
        <f t="shared" ref="I26:I33" si="11">J26*E26</f>
        <v>#REF!</v>
      </c>
      <c r="J26" s="12"/>
      <c r="K26" s="12">
        <f t="shared" ref="K26:K33" si="12">H26+J26</f>
        <v>1</v>
      </c>
      <c r="L26" s="91" t="e">
        <f t="shared" ref="L26:L33" si="13">M26*E26</f>
        <v>#REF!</v>
      </c>
      <c r="M26" s="12"/>
      <c r="N26" s="85">
        <f t="shared" ref="N26:N33" si="14">K26+M26</f>
        <v>1</v>
      </c>
      <c r="O26" s="95" t="e">
        <f t="shared" si="9"/>
        <v>#REF!</v>
      </c>
      <c r="P26" s="1"/>
    </row>
    <row r="27" spans="1:24" x14ac:dyDescent="0.25">
      <c r="A27" s="132">
        <v>3</v>
      </c>
      <c r="B27" s="880" t="s">
        <v>94</v>
      </c>
      <c r="C27" s="881"/>
      <c r="D27" s="10" t="e">
        <f t="shared" si="8"/>
        <v>#REF!</v>
      </c>
      <c r="E27" s="11" t="e">
        <f t="shared" si="8"/>
        <v>#REF!</v>
      </c>
      <c r="F27" s="91" t="e">
        <f t="shared" ref="F27:F33" si="15">G27*E27</f>
        <v>#REF!</v>
      </c>
      <c r="G27" s="12">
        <v>0.1</v>
      </c>
      <c r="H27" s="12">
        <f t="shared" si="10"/>
        <v>0.99999999999999989</v>
      </c>
      <c r="I27" s="91" t="e">
        <f t="shared" si="11"/>
        <v>#REF!</v>
      </c>
      <c r="J27" s="12"/>
      <c r="K27" s="12">
        <f t="shared" si="12"/>
        <v>0.99999999999999989</v>
      </c>
      <c r="L27" s="91" t="e">
        <f t="shared" si="13"/>
        <v>#REF!</v>
      </c>
      <c r="M27" s="12"/>
      <c r="N27" s="85">
        <f t="shared" si="14"/>
        <v>0.99999999999999989</v>
      </c>
      <c r="O27" s="95" t="e">
        <f t="shared" si="9"/>
        <v>#REF!</v>
      </c>
      <c r="P27" s="1"/>
    </row>
    <row r="28" spans="1:24" x14ac:dyDescent="0.25">
      <c r="A28" s="132">
        <v>4</v>
      </c>
      <c r="B28" s="880" t="s">
        <v>81</v>
      </c>
      <c r="C28" s="881"/>
      <c r="D28" s="10" t="e">
        <f t="shared" si="8"/>
        <v>#REF!</v>
      </c>
      <c r="E28" s="11" t="e">
        <f t="shared" si="8"/>
        <v>#REF!</v>
      </c>
      <c r="F28" s="91" t="e">
        <f t="shared" si="15"/>
        <v>#REF!</v>
      </c>
      <c r="G28" s="12">
        <v>0.3</v>
      </c>
      <c r="H28" s="12">
        <f t="shared" si="10"/>
        <v>1</v>
      </c>
      <c r="I28" s="91" t="e">
        <f t="shared" si="11"/>
        <v>#REF!</v>
      </c>
      <c r="J28" s="12"/>
      <c r="K28" s="12">
        <f t="shared" si="12"/>
        <v>1</v>
      </c>
      <c r="L28" s="91" t="e">
        <f t="shared" si="13"/>
        <v>#REF!</v>
      </c>
      <c r="M28" s="12"/>
      <c r="N28" s="85">
        <f t="shared" si="14"/>
        <v>1</v>
      </c>
      <c r="O28" s="95" t="e">
        <f t="shared" si="9"/>
        <v>#REF!</v>
      </c>
      <c r="P28" s="3"/>
    </row>
    <row r="29" spans="1:24" x14ac:dyDescent="0.25">
      <c r="A29" s="132">
        <v>5</v>
      </c>
      <c r="B29" s="880" t="s">
        <v>82</v>
      </c>
      <c r="C29" s="881"/>
      <c r="D29" s="10" t="e">
        <f t="shared" si="8"/>
        <v>#REF!</v>
      </c>
      <c r="E29" s="11" t="e">
        <f t="shared" si="8"/>
        <v>#REF!</v>
      </c>
      <c r="F29" s="91" t="e">
        <f t="shared" si="15"/>
        <v>#REF!</v>
      </c>
      <c r="G29" s="12">
        <v>0.3</v>
      </c>
      <c r="H29" s="12">
        <f t="shared" si="10"/>
        <v>0.3</v>
      </c>
      <c r="I29" s="91" t="e">
        <f t="shared" si="11"/>
        <v>#REF!</v>
      </c>
      <c r="J29" s="12">
        <v>0.4</v>
      </c>
      <c r="K29" s="12">
        <f t="shared" si="12"/>
        <v>0.7</v>
      </c>
      <c r="L29" s="91" t="e">
        <f t="shared" si="13"/>
        <v>#REF!</v>
      </c>
      <c r="M29" s="12">
        <v>0.3</v>
      </c>
      <c r="N29" s="85">
        <f t="shared" si="14"/>
        <v>1</v>
      </c>
      <c r="O29" s="95" t="e">
        <f t="shared" si="9"/>
        <v>#REF!</v>
      </c>
      <c r="P29" s="1"/>
    </row>
    <row r="30" spans="1:24" x14ac:dyDescent="0.25">
      <c r="A30" s="132">
        <v>6</v>
      </c>
      <c r="B30" s="880" t="s">
        <v>95</v>
      </c>
      <c r="C30" s="881"/>
      <c r="D30" s="10" t="e">
        <f t="shared" si="8"/>
        <v>#REF!</v>
      </c>
      <c r="E30" s="11" t="e">
        <f t="shared" si="8"/>
        <v>#REF!</v>
      </c>
      <c r="F30" s="91" t="e">
        <f t="shared" si="15"/>
        <v>#REF!</v>
      </c>
      <c r="G30" s="35">
        <v>0.4</v>
      </c>
      <c r="H30" s="12">
        <f t="shared" si="10"/>
        <v>0.9</v>
      </c>
      <c r="I30" s="91" t="e">
        <f t="shared" si="11"/>
        <v>#REF!</v>
      </c>
      <c r="J30" s="35">
        <v>0.1</v>
      </c>
      <c r="K30" s="12">
        <f t="shared" si="12"/>
        <v>1</v>
      </c>
      <c r="L30" s="91" t="e">
        <f t="shared" si="13"/>
        <v>#REF!</v>
      </c>
      <c r="M30" s="35"/>
      <c r="N30" s="85">
        <f t="shared" si="14"/>
        <v>1</v>
      </c>
      <c r="O30" s="95" t="e">
        <f t="shared" si="9"/>
        <v>#REF!</v>
      </c>
      <c r="P30" s="1"/>
    </row>
    <row r="31" spans="1:24" x14ac:dyDescent="0.25">
      <c r="A31" s="132">
        <v>7</v>
      </c>
      <c r="B31" s="880" t="s">
        <v>83</v>
      </c>
      <c r="C31" s="881"/>
      <c r="D31" s="10" t="e">
        <f t="shared" si="8"/>
        <v>#REF!</v>
      </c>
      <c r="E31" s="11" t="e">
        <f t="shared" si="8"/>
        <v>#REF!</v>
      </c>
      <c r="F31" s="91" t="e">
        <f t="shared" si="15"/>
        <v>#REF!</v>
      </c>
      <c r="G31" s="36">
        <v>0</v>
      </c>
      <c r="H31" s="12">
        <f t="shared" si="10"/>
        <v>0</v>
      </c>
      <c r="I31" s="91" t="e">
        <f t="shared" si="11"/>
        <v>#REF!</v>
      </c>
      <c r="J31" s="36">
        <v>0.5</v>
      </c>
      <c r="K31" s="12">
        <f t="shared" si="12"/>
        <v>0.5</v>
      </c>
      <c r="L31" s="91" t="e">
        <f t="shared" si="13"/>
        <v>#REF!</v>
      </c>
      <c r="M31" s="36">
        <v>0.5</v>
      </c>
      <c r="N31" s="85">
        <f t="shared" si="14"/>
        <v>1</v>
      </c>
      <c r="O31" s="95" t="e">
        <f t="shared" si="9"/>
        <v>#REF!</v>
      </c>
      <c r="P31" s="1"/>
    </row>
    <row r="32" spans="1:24" x14ac:dyDescent="0.25">
      <c r="A32" s="132">
        <v>8</v>
      </c>
      <c r="B32" s="880" t="s">
        <v>84</v>
      </c>
      <c r="C32" s="881"/>
      <c r="D32" s="10" t="e">
        <f t="shared" si="8"/>
        <v>#REF!</v>
      </c>
      <c r="E32" s="11" t="e">
        <f t="shared" si="8"/>
        <v>#REF!</v>
      </c>
      <c r="F32" s="91" t="e">
        <f t="shared" si="15"/>
        <v>#REF!</v>
      </c>
      <c r="G32" s="36">
        <v>0</v>
      </c>
      <c r="H32" s="12">
        <f t="shared" si="10"/>
        <v>0</v>
      </c>
      <c r="I32" s="91" t="e">
        <f t="shared" si="11"/>
        <v>#REF!</v>
      </c>
      <c r="J32" s="36">
        <v>0.5</v>
      </c>
      <c r="K32" s="12">
        <f t="shared" si="12"/>
        <v>0.5</v>
      </c>
      <c r="L32" s="91" t="e">
        <f t="shared" si="13"/>
        <v>#REF!</v>
      </c>
      <c r="M32" s="36">
        <v>0.5</v>
      </c>
      <c r="N32" s="85">
        <f t="shared" si="14"/>
        <v>1</v>
      </c>
      <c r="O32" s="95" t="e">
        <f t="shared" si="9"/>
        <v>#REF!</v>
      </c>
      <c r="P32" s="1"/>
    </row>
    <row r="33" spans="1:15" x14ac:dyDescent="0.25">
      <c r="A33" s="132">
        <v>9</v>
      </c>
      <c r="B33" s="895" t="s">
        <v>85</v>
      </c>
      <c r="C33" s="896"/>
      <c r="D33" s="37" t="e">
        <f t="shared" si="8"/>
        <v>#REF!</v>
      </c>
      <c r="E33" s="13" t="e">
        <f t="shared" si="8"/>
        <v>#REF!</v>
      </c>
      <c r="F33" s="91" t="e">
        <f t="shared" si="15"/>
        <v>#REF!</v>
      </c>
      <c r="G33" s="14">
        <v>0.2</v>
      </c>
      <c r="H33" s="12">
        <f t="shared" si="10"/>
        <v>0.8</v>
      </c>
      <c r="I33" s="91" t="e">
        <f t="shared" si="11"/>
        <v>#REF!</v>
      </c>
      <c r="J33" s="14">
        <v>0.1</v>
      </c>
      <c r="K33" s="12">
        <f t="shared" si="12"/>
        <v>0.9</v>
      </c>
      <c r="L33" s="91" t="e">
        <f t="shared" si="13"/>
        <v>#REF!</v>
      </c>
      <c r="M33" s="14">
        <v>0.1</v>
      </c>
      <c r="N33" s="85">
        <f t="shared" si="14"/>
        <v>1</v>
      </c>
      <c r="O33" s="95" t="e">
        <f t="shared" si="9"/>
        <v>#REF!</v>
      </c>
    </row>
    <row r="34" spans="1:15" x14ac:dyDescent="0.25">
      <c r="A34" s="25"/>
      <c r="B34" s="38"/>
      <c r="C34" s="26"/>
      <c r="D34" s="27"/>
      <c r="E34" s="28" t="e">
        <f>SUM(E25:E33)</f>
        <v>#REF!</v>
      </c>
      <c r="F34" s="21"/>
      <c r="G34" s="15"/>
      <c r="H34" s="15"/>
      <c r="I34" s="21"/>
      <c r="J34" s="15"/>
      <c r="K34" s="15"/>
      <c r="L34" s="21"/>
      <c r="M34" s="15"/>
      <c r="N34" s="16"/>
    </row>
    <row r="35" spans="1:15" x14ac:dyDescent="0.25">
      <c r="A35" s="31"/>
      <c r="B35" s="114"/>
      <c r="C35" s="38"/>
      <c r="D35" s="890" t="s">
        <v>96</v>
      </c>
      <c r="E35" s="891"/>
      <c r="F35" s="39" t="e">
        <f>SUM(F25:F33)</f>
        <v>#REF!</v>
      </c>
      <c r="G35" s="40"/>
      <c r="H35" s="17"/>
      <c r="I35" s="39" t="e">
        <f>SUM(I25:I33)</f>
        <v>#REF!</v>
      </c>
      <c r="J35" s="40"/>
      <c r="K35" s="17"/>
      <c r="L35" s="39" t="e">
        <f>SUM(L25:L33)</f>
        <v>#REF!</v>
      </c>
      <c r="M35" s="40"/>
      <c r="N35" s="86"/>
    </row>
    <row r="36" spans="1:15" x14ac:dyDescent="0.25">
      <c r="A36" s="29"/>
      <c r="B36" s="115"/>
      <c r="C36" s="41"/>
      <c r="D36" s="886" t="s">
        <v>97</v>
      </c>
      <c r="E36" s="887"/>
      <c r="F36" s="23" t="e">
        <f>L21+F35</f>
        <v>#REF!</v>
      </c>
      <c r="G36" s="42" t="e">
        <f>F35/E34</f>
        <v>#REF!</v>
      </c>
      <c r="H36" s="130" t="e">
        <f>G36+N21</f>
        <v>#REF!</v>
      </c>
      <c r="I36" s="23" t="e">
        <f>F36+I35</f>
        <v>#REF!</v>
      </c>
      <c r="J36" s="42" t="e">
        <f>I35/E34</f>
        <v>#REF!</v>
      </c>
      <c r="K36" s="130" t="e">
        <f>J36+H36</f>
        <v>#REF!</v>
      </c>
      <c r="L36" s="23" t="e">
        <f>I36+L35</f>
        <v>#REF!</v>
      </c>
      <c r="M36" s="42" t="e">
        <f>L35/E34</f>
        <v>#REF!</v>
      </c>
      <c r="N36" s="131" t="e">
        <f>M36+K36</f>
        <v>#REF!</v>
      </c>
    </row>
  </sheetData>
  <mergeCells count="45">
    <mergeCell ref="D35:E35"/>
    <mergeCell ref="I23:K23"/>
    <mergeCell ref="B10:C10"/>
    <mergeCell ref="B11:C11"/>
    <mergeCell ref="B12:C12"/>
    <mergeCell ref="B13:C13"/>
    <mergeCell ref="B14:C14"/>
    <mergeCell ref="B15:C15"/>
    <mergeCell ref="B16:C16"/>
    <mergeCell ref="B23:C24"/>
    <mergeCell ref="B25:C25"/>
    <mergeCell ref="B31:C31"/>
    <mergeCell ref="B32:C32"/>
    <mergeCell ref="B33:C33"/>
    <mergeCell ref="D36:E36"/>
    <mergeCell ref="L8:N8"/>
    <mergeCell ref="C20:E20"/>
    <mergeCell ref="C21:E21"/>
    <mergeCell ref="L23:N23"/>
    <mergeCell ref="D23:D24"/>
    <mergeCell ref="E23:E24"/>
    <mergeCell ref="D8:D9"/>
    <mergeCell ref="B17:C17"/>
    <mergeCell ref="B18:C18"/>
    <mergeCell ref="B26:C26"/>
    <mergeCell ref="B27:C27"/>
    <mergeCell ref="B28:C28"/>
    <mergeCell ref="F8:H8"/>
    <mergeCell ref="I8:K8"/>
    <mergeCell ref="F23:H23"/>
    <mergeCell ref="A23:A24"/>
    <mergeCell ref="E8:E9"/>
    <mergeCell ref="A8:A9"/>
    <mergeCell ref="B29:C29"/>
    <mergeCell ref="B30:C30"/>
    <mergeCell ref="B8:C9"/>
    <mergeCell ref="B5:N5"/>
    <mergeCell ref="B6:N6"/>
    <mergeCell ref="B7:N7"/>
    <mergeCell ref="L1:N1"/>
    <mergeCell ref="L2:N2"/>
    <mergeCell ref="C1:K1"/>
    <mergeCell ref="C2:K2"/>
    <mergeCell ref="C3:K3"/>
    <mergeCell ref="A4:N4"/>
  </mergeCells>
  <pageMargins left="0.25" right="0.25" top="0.75" bottom="0.75" header="0.3" footer="0.3"/>
  <pageSetup paperSize="9" scale="71" fitToHeight="0" orientation="landscape" horizontalDpi="4294967292" verticalDpi="300" r:id="rId1"/>
  <headerFooter>
    <oddFooter>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5">
    <pageSetUpPr fitToPage="1"/>
  </sheetPr>
  <dimension ref="A1:F45"/>
  <sheetViews>
    <sheetView workbookViewId="0"/>
  </sheetViews>
  <sheetFormatPr defaultColWidth="8.85546875" defaultRowHeight="12.75" x14ac:dyDescent="0.2"/>
  <cols>
    <col min="1" max="1" width="20.5703125" style="59" customWidth="1"/>
    <col min="2" max="3" width="30" style="59" customWidth="1"/>
    <col min="4" max="4" width="28.7109375" style="59" customWidth="1"/>
    <col min="5" max="5" width="14" style="59" customWidth="1"/>
    <col min="6" max="16384" width="8.85546875" style="59"/>
  </cols>
  <sheetData>
    <row r="1" spans="1:6" ht="24" customHeight="1" x14ac:dyDescent="0.2">
      <c r="A1" s="96"/>
      <c r="B1" s="907" t="s">
        <v>254</v>
      </c>
      <c r="C1" s="908"/>
      <c r="D1" s="864" t="s">
        <v>120</v>
      </c>
      <c r="E1" s="864"/>
      <c r="F1" s="865"/>
    </row>
    <row r="2" spans="1:6" ht="41.25" customHeight="1" x14ac:dyDescent="0.2">
      <c r="A2" s="98"/>
      <c r="B2" s="909" t="str">
        <f ca="1">OFFSET(DADOS!$I$2,DADOS!$A$7,0,1,1)</f>
        <v>PREFEITURA MUNICIPAL DE NAVIRAÍ</v>
      </c>
      <c r="C2" s="910"/>
      <c r="D2" s="922" t="s">
        <v>368</v>
      </c>
      <c r="E2" s="923"/>
      <c r="F2" s="924"/>
    </row>
    <row r="3" spans="1:6" ht="13.15" customHeight="1" x14ac:dyDescent="0.2">
      <c r="A3" s="97"/>
      <c r="B3" s="869" t="e">
        <f>#REF!</f>
        <v>#REF!</v>
      </c>
      <c r="C3" s="871"/>
      <c r="D3" s="121"/>
      <c r="E3" s="121"/>
      <c r="F3" s="122"/>
    </row>
    <row r="4" spans="1:6" ht="20.25" x14ac:dyDescent="0.2">
      <c r="A4" s="875" t="s">
        <v>166</v>
      </c>
      <c r="B4" s="875"/>
      <c r="C4" s="875"/>
      <c r="D4" s="875"/>
      <c r="E4" s="875"/>
      <c r="F4" s="875"/>
    </row>
    <row r="5" spans="1:6" ht="12.6" customHeight="1" x14ac:dyDescent="0.2">
      <c r="A5" s="8" t="str">
        <f>'12-DRENAGEM - IMPLANTAÇÃO'!A5</f>
        <v>OBJETO:</v>
      </c>
      <c r="B5" s="916" t="str">
        <f>'12-DRENAGEM - IMPLANTAÇÃO'!B5</f>
        <v>INFRAESTRUTURA URBANA – PAVIMENTAÇÃO ASFÁLTICA, DRENAGEM, E SINALIZAÇÃO VIÁRIA NO ACESSO AO CEMITERIO MUNICIPAL DE NAVIRAÍ/ MS</v>
      </c>
      <c r="C5" s="916"/>
      <c r="D5" s="916"/>
      <c r="E5" s="916"/>
      <c r="F5" s="916"/>
    </row>
    <row r="6" spans="1:6" ht="12.6" customHeight="1" x14ac:dyDescent="0.2">
      <c r="A6" s="8" t="s">
        <v>77</v>
      </c>
      <c r="B6" s="916" t="str">
        <f ca="1">'12-DRENAGEM - IMPLANTAÇÃO'!B6</f>
        <v>NAVIRAÍ</v>
      </c>
      <c r="C6" s="916"/>
      <c r="D6" s="916"/>
      <c r="E6" s="916"/>
      <c r="F6" s="916"/>
    </row>
    <row r="7" spans="1:6" x14ac:dyDescent="0.2">
      <c r="A7" s="8" t="s">
        <v>78</v>
      </c>
      <c r="B7" s="916" t="str">
        <f>'12-DRENAGEM - IMPLANTAÇÃO'!B7</f>
        <v>AVENIDA JOÃO RIGONATO</v>
      </c>
      <c r="C7" s="916"/>
      <c r="D7" s="916"/>
      <c r="E7" s="916"/>
      <c r="F7" s="916"/>
    </row>
    <row r="8" spans="1:6" ht="12.6" customHeight="1" x14ac:dyDescent="0.2">
      <c r="A8" s="920"/>
      <c r="B8" s="921"/>
      <c r="C8" s="921"/>
      <c r="D8" s="921"/>
      <c r="E8" s="921"/>
      <c r="F8" s="61"/>
    </row>
    <row r="9" spans="1:6" ht="24" customHeight="1" x14ac:dyDescent="0.2">
      <c r="A9" s="60" t="s">
        <v>167</v>
      </c>
      <c r="B9" s="917" t="s">
        <v>175</v>
      </c>
      <c r="C9" s="918"/>
      <c r="D9" s="918"/>
      <c r="E9" s="918"/>
      <c r="F9" s="919"/>
    </row>
    <row r="10" spans="1:6" x14ac:dyDescent="0.2">
      <c r="A10" s="62"/>
      <c r="B10" s="63"/>
      <c r="C10" s="63"/>
      <c r="D10" s="63"/>
      <c r="E10" s="63"/>
      <c r="F10" s="61"/>
    </row>
    <row r="11" spans="1:6" x14ac:dyDescent="0.2">
      <c r="A11" s="70" t="s">
        <v>168</v>
      </c>
      <c r="B11" s="63"/>
      <c r="C11" s="63"/>
      <c r="D11" s="64"/>
      <c r="E11" s="64"/>
      <c r="F11" s="65"/>
    </row>
    <row r="12" spans="1:6" x14ac:dyDescent="0.2">
      <c r="A12" s="62"/>
      <c r="B12" s="63" t="s">
        <v>169</v>
      </c>
      <c r="C12" s="71">
        <v>3.65</v>
      </c>
      <c r="D12" s="66" t="s">
        <v>63</v>
      </c>
      <c r="E12" s="64"/>
      <c r="F12" s="65"/>
    </row>
    <row r="13" spans="1:6" x14ac:dyDescent="0.2">
      <c r="A13" s="62"/>
      <c r="B13" s="63" t="s">
        <v>170</v>
      </c>
      <c r="C13" s="72">
        <v>5</v>
      </c>
      <c r="D13" s="66" t="s">
        <v>63</v>
      </c>
      <c r="E13" s="64"/>
      <c r="F13" s="65"/>
    </row>
    <row r="14" spans="1:6" x14ac:dyDescent="0.2">
      <c r="A14" s="62"/>
      <c r="B14" s="63" t="s">
        <v>171</v>
      </c>
      <c r="C14" s="73">
        <v>100</v>
      </c>
      <c r="D14" s="66" t="s">
        <v>63</v>
      </c>
      <c r="E14" s="64"/>
      <c r="F14" s="65"/>
    </row>
    <row r="15" spans="1:6" x14ac:dyDescent="0.2">
      <c r="A15" s="62"/>
      <c r="B15" s="63" t="s">
        <v>177</v>
      </c>
      <c r="C15" s="73">
        <v>4.5</v>
      </c>
      <c r="D15" s="66" t="s">
        <v>63</v>
      </c>
      <c r="E15" s="64"/>
      <c r="F15" s="65"/>
    </row>
    <row r="16" spans="1:6" x14ac:dyDescent="0.2">
      <c r="A16" s="62"/>
      <c r="B16" s="74" t="s">
        <v>172</v>
      </c>
      <c r="C16" s="75">
        <f>((C14*C13/100)+C12+C15)</f>
        <v>13.15</v>
      </c>
      <c r="D16" s="67" t="s">
        <v>63</v>
      </c>
      <c r="E16" s="46"/>
      <c r="F16" s="65"/>
    </row>
    <row r="17" spans="1:6" x14ac:dyDescent="0.2">
      <c r="A17" s="62"/>
      <c r="B17" s="63"/>
      <c r="C17" s="63"/>
      <c r="D17" s="46"/>
      <c r="E17" s="911" t="s">
        <v>173</v>
      </c>
      <c r="F17" s="65"/>
    </row>
    <row r="18" spans="1:6" x14ac:dyDescent="0.2">
      <c r="A18" s="62"/>
      <c r="B18" s="63"/>
      <c r="C18" s="63"/>
      <c r="D18" s="46"/>
      <c r="E18" s="912"/>
      <c r="F18" s="65"/>
    </row>
    <row r="19" spans="1:6" x14ac:dyDescent="0.2">
      <c r="A19" s="62"/>
      <c r="B19" s="63"/>
      <c r="C19" s="63"/>
      <c r="D19" s="46"/>
      <c r="E19" s="68">
        <v>3.8</v>
      </c>
      <c r="F19" s="65"/>
    </row>
    <row r="20" spans="1:6" x14ac:dyDescent="0.2">
      <c r="A20" s="62"/>
      <c r="B20" s="63"/>
      <c r="C20" s="63"/>
      <c r="D20" s="46"/>
      <c r="E20" s="68">
        <v>0.32</v>
      </c>
      <c r="F20" s="65"/>
    </row>
    <row r="21" spans="1:6" x14ac:dyDescent="0.2">
      <c r="A21" s="62"/>
      <c r="B21" s="63"/>
      <c r="C21" s="63"/>
      <c r="D21" s="46"/>
      <c r="E21" s="68">
        <v>0.5</v>
      </c>
      <c r="F21" s="65"/>
    </row>
    <row r="22" spans="1:6" x14ac:dyDescent="0.2">
      <c r="A22" s="62"/>
      <c r="B22" s="63"/>
      <c r="C22" s="63"/>
      <c r="D22" s="46"/>
      <c r="E22" s="68">
        <v>1.02</v>
      </c>
      <c r="F22" s="65"/>
    </row>
    <row r="23" spans="1:6" x14ac:dyDescent="0.2">
      <c r="A23" s="62"/>
      <c r="B23" s="63"/>
      <c r="C23" s="63"/>
      <c r="D23" s="46"/>
      <c r="E23" s="68">
        <v>6.64</v>
      </c>
      <c r="F23" s="65"/>
    </row>
    <row r="24" spans="1:6" x14ac:dyDescent="0.2">
      <c r="A24" s="62"/>
      <c r="B24" s="63"/>
      <c r="C24" s="63"/>
      <c r="D24" s="46"/>
      <c r="E24" s="46"/>
      <c r="F24" s="65"/>
    </row>
    <row r="25" spans="1:6" x14ac:dyDescent="0.2">
      <c r="A25" s="62"/>
      <c r="B25" s="63"/>
      <c r="C25" s="63"/>
      <c r="D25" s="46"/>
      <c r="E25" s="46"/>
      <c r="F25" s="65"/>
    </row>
    <row r="26" spans="1:6" x14ac:dyDescent="0.2">
      <c r="A26" s="913" t="s">
        <v>174</v>
      </c>
      <c r="B26" s="914"/>
      <c r="C26" s="914"/>
      <c r="D26" s="915"/>
      <c r="E26" s="69">
        <f>((((1+(E19+E20+E21)/100))*(1+E22/100)*(1+E23/100))/(1-C16/100))-1</f>
        <v>0.29769428939090381</v>
      </c>
      <c r="F26" s="65"/>
    </row>
    <row r="27" spans="1:6" x14ac:dyDescent="0.2">
      <c r="A27" s="62"/>
      <c r="B27" s="63"/>
      <c r="C27" s="63"/>
      <c r="D27" s="46"/>
      <c r="E27" s="46"/>
      <c r="F27" s="65"/>
    </row>
    <row r="28" spans="1:6" x14ac:dyDescent="0.2">
      <c r="A28" s="60" t="s">
        <v>167</v>
      </c>
      <c r="B28" s="917" t="s">
        <v>176</v>
      </c>
      <c r="C28" s="918"/>
      <c r="D28" s="918"/>
      <c r="E28" s="918"/>
      <c r="F28" s="919"/>
    </row>
    <row r="29" spans="1:6" x14ac:dyDescent="0.2">
      <c r="A29" s="62"/>
      <c r="B29" s="63"/>
      <c r="C29" s="63"/>
      <c r="D29" s="63"/>
      <c r="E29" s="63"/>
      <c r="F29" s="61"/>
    </row>
    <row r="30" spans="1:6" x14ac:dyDescent="0.2">
      <c r="A30" s="70" t="s">
        <v>168</v>
      </c>
      <c r="B30" s="63"/>
      <c r="C30" s="63"/>
      <c r="D30" s="64"/>
      <c r="E30" s="64"/>
      <c r="F30" s="65"/>
    </row>
    <row r="31" spans="1:6" x14ac:dyDescent="0.2">
      <c r="A31" s="62"/>
      <c r="B31" s="63" t="s">
        <v>169</v>
      </c>
      <c r="C31" s="71">
        <v>3.65</v>
      </c>
      <c r="D31" s="66" t="s">
        <v>63</v>
      </c>
      <c r="E31" s="64"/>
      <c r="F31" s="65"/>
    </row>
    <row r="32" spans="1:6" x14ac:dyDescent="0.2">
      <c r="A32" s="62"/>
      <c r="B32" s="63" t="s">
        <v>170</v>
      </c>
      <c r="C32" s="72"/>
      <c r="D32" s="66" t="s">
        <v>63</v>
      </c>
      <c r="E32" s="64"/>
      <c r="F32" s="65"/>
    </row>
    <row r="33" spans="1:6" x14ac:dyDescent="0.2">
      <c r="A33" s="62"/>
      <c r="B33" s="63" t="s">
        <v>171</v>
      </c>
      <c r="C33" s="73">
        <v>100</v>
      </c>
      <c r="D33" s="66" t="s">
        <v>63</v>
      </c>
      <c r="E33" s="64"/>
      <c r="F33" s="65"/>
    </row>
    <row r="34" spans="1:6" x14ac:dyDescent="0.2">
      <c r="A34" s="62"/>
      <c r="B34" s="63" t="s">
        <v>177</v>
      </c>
      <c r="C34" s="73">
        <v>4.5</v>
      </c>
      <c r="D34" s="66" t="s">
        <v>63</v>
      </c>
      <c r="E34" s="64"/>
      <c r="F34" s="65"/>
    </row>
    <row r="35" spans="1:6" x14ac:dyDescent="0.2">
      <c r="A35" s="62"/>
      <c r="B35" s="74" t="s">
        <v>172</v>
      </c>
      <c r="C35" s="75">
        <f>C31+C32+C34*(C33/100)</f>
        <v>8.15</v>
      </c>
      <c r="D35" s="67" t="s">
        <v>63</v>
      </c>
      <c r="E35" s="46"/>
      <c r="F35" s="65"/>
    </row>
    <row r="36" spans="1:6" x14ac:dyDescent="0.2">
      <c r="A36" s="62"/>
      <c r="B36" s="63"/>
      <c r="C36" s="63"/>
      <c r="D36" s="46"/>
      <c r="E36" s="911" t="s">
        <v>173</v>
      </c>
      <c r="F36" s="65"/>
    </row>
    <row r="37" spans="1:6" x14ac:dyDescent="0.2">
      <c r="A37" s="62"/>
      <c r="B37" s="63"/>
      <c r="C37" s="63"/>
      <c r="D37" s="46"/>
      <c r="E37" s="912"/>
      <c r="F37" s="65"/>
    </row>
    <row r="38" spans="1:6" x14ac:dyDescent="0.2">
      <c r="A38" s="62"/>
      <c r="B38" s="63"/>
      <c r="C38" s="63"/>
      <c r="D38" s="46"/>
      <c r="E38" s="68">
        <v>1.5</v>
      </c>
      <c r="F38" s="65"/>
    </row>
    <row r="39" spans="1:6" x14ac:dyDescent="0.2">
      <c r="A39" s="62"/>
      <c r="B39" s="63"/>
      <c r="C39" s="63"/>
      <c r="D39" s="46"/>
      <c r="E39" s="68">
        <v>0.3</v>
      </c>
      <c r="F39" s="65"/>
    </row>
    <row r="40" spans="1:6" x14ac:dyDescent="0.2">
      <c r="A40" s="62"/>
      <c r="B40" s="63"/>
      <c r="C40" s="63"/>
      <c r="D40" s="46"/>
      <c r="E40" s="68">
        <v>0.56000000000000005</v>
      </c>
      <c r="F40" s="65"/>
    </row>
    <row r="41" spans="1:6" x14ac:dyDescent="0.2">
      <c r="A41" s="62"/>
      <c r="B41" s="63"/>
      <c r="C41" s="63"/>
      <c r="D41" s="46"/>
      <c r="E41" s="68">
        <v>0.85</v>
      </c>
      <c r="F41" s="65"/>
    </row>
    <row r="42" spans="1:6" x14ac:dyDescent="0.2">
      <c r="A42" s="62"/>
      <c r="B42" s="63"/>
      <c r="C42" s="63"/>
      <c r="D42" s="46"/>
      <c r="E42" s="68">
        <v>3.5</v>
      </c>
      <c r="F42" s="65"/>
    </row>
    <row r="43" spans="1:6" x14ac:dyDescent="0.2">
      <c r="A43" s="62"/>
      <c r="B43" s="63"/>
      <c r="C43" s="63"/>
      <c r="D43" s="46"/>
      <c r="E43" s="46"/>
      <c r="F43" s="65"/>
    </row>
    <row r="44" spans="1:6" ht="17.45" customHeight="1" x14ac:dyDescent="0.2">
      <c r="A44" s="62"/>
      <c r="B44" s="63"/>
      <c r="C44" s="63"/>
      <c r="D44" s="46"/>
      <c r="E44" s="46"/>
      <c r="F44" s="65"/>
    </row>
    <row r="45" spans="1:6" x14ac:dyDescent="0.2">
      <c r="A45" s="913" t="s">
        <v>174</v>
      </c>
      <c r="B45" s="914"/>
      <c r="C45" s="914"/>
      <c r="D45" s="915"/>
      <c r="E45" s="69">
        <f>((((1+(E38+E39+E40)/100))*(1+E41/100)*(1+E42/100))/(1-C35/100))-1</f>
        <v>0.16323475340228644</v>
      </c>
      <c r="F45" s="129"/>
    </row>
  </sheetData>
  <mergeCells count="16">
    <mergeCell ref="B1:C1"/>
    <mergeCell ref="B2:C2"/>
    <mergeCell ref="B3:C3"/>
    <mergeCell ref="E36:E37"/>
    <mergeCell ref="A45:D45"/>
    <mergeCell ref="A4:F4"/>
    <mergeCell ref="B5:F5"/>
    <mergeCell ref="B6:F6"/>
    <mergeCell ref="B9:F9"/>
    <mergeCell ref="E17:E18"/>
    <mergeCell ref="A26:D26"/>
    <mergeCell ref="B28:F28"/>
    <mergeCell ref="A8:E8"/>
    <mergeCell ref="B7:F7"/>
    <mergeCell ref="D1:F1"/>
    <mergeCell ref="D2:F2"/>
  </mergeCells>
  <pageMargins left="0.23622047244094491" right="0.23622047244094491" top="0.74803149606299213" bottom="0.74803149606299213" header="0.31496062992125984" footer="0.31496062992125984"/>
  <pageSetup paperSize="9" scale="75" fitToHeight="0" orientation="portrait" r:id="rId1"/>
  <headerFooter differentFirst="1" scaleWithDoc="0"/>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2"/>
  <dimension ref="A2:E37"/>
  <sheetViews>
    <sheetView workbookViewId="0"/>
  </sheetViews>
  <sheetFormatPr defaultRowHeight="16.5" x14ac:dyDescent="0.3"/>
  <cols>
    <col min="1" max="1" width="22.7109375" style="192" customWidth="1"/>
    <col min="2" max="2" width="68.140625" style="192" customWidth="1"/>
    <col min="3" max="3" width="49.28515625" style="192" customWidth="1"/>
    <col min="4" max="4" width="14.7109375" style="192" customWidth="1"/>
    <col min="5" max="5" width="13.85546875" style="192" bestFit="1" customWidth="1"/>
    <col min="6" max="16384" width="9.140625" style="192"/>
  </cols>
  <sheetData>
    <row r="2" spans="1:5" x14ac:dyDescent="0.3">
      <c r="A2" s="295"/>
      <c r="B2" s="306" t="str">
        <f>N.GOV</f>
        <v>GOVERNO DO ESTADO DE MATO GROSSO DO SUL</v>
      </c>
      <c r="C2" s="296"/>
      <c r="D2" s="296"/>
      <c r="E2" s="297"/>
    </row>
    <row r="3" spans="1:5" x14ac:dyDescent="0.3">
      <c r="A3" s="298"/>
      <c r="B3" s="274" t="str" cm="1">
        <f t="array" aca="1" ref="B3" ca="1">N.PREFEITURA</f>
        <v>PREFEITURA MUNICIPAL DE NAVIRAÍ</v>
      </c>
      <c r="E3" s="300"/>
    </row>
    <row r="4" spans="1:5" x14ac:dyDescent="0.3">
      <c r="A4" s="301"/>
      <c r="B4" s="307" t="str" cm="1">
        <f t="array" aca="1" ref="B4" ca="1">N.SECRETARIA</f>
        <v>SECRETARIA DE PLANEJAMENTO</v>
      </c>
      <c r="C4" s="302"/>
      <c r="D4" s="302"/>
      <c r="E4" s="303"/>
    </row>
    <row r="5" spans="1:5" x14ac:dyDescent="0.3">
      <c r="A5" s="929" t="s">
        <v>823</v>
      </c>
      <c r="B5" s="930"/>
      <c r="C5" s="930"/>
      <c r="D5" s="931"/>
      <c r="E5" s="931"/>
    </row>
    <row r="6" spans="1:5" x14ac:dyDescent="0.3">
      <c r="A6" s="197" t="s">
        <v>76</v>
      </c>
      <c r="B6" s="198" t="str">
        <f>N.DESCRICAO</f>
        <v>INFRAESTRUTURA URBANA – PAVIMENTAÇÃO ASFÁLTICA, DRENAGEM, E SINALIZAÇÃO VIÁRIA NO ACESSO AO CEMITERIO MUNICIPAL DE NAVIRAÍ/ MS</v>
      </c>
      <c r="C6" s="201"/>
      <c r="D6" s="841" t="s">
        <v>305</v>
      </c>
      <c r="E6" s="843"/>
    </row>
    <row r="7" spans="1:5" x14ac:dyDescent="0.3">
      <c r="A7" s="197" t="s">
        <v>77</v>
      </c>
      <c r="B7" s="198" t="str">
        <f ca="1">N.MUNICIPIO</f>
        <v>NAVIRAÍ</v>
      </c>
      <c r="C7" s="201"/>
      <c r="D7" s="844" t="s">
        <v>853</v>
      </c>
      <c r="E7" s="845"/>
    </row>
    <row r="8" spans="1:5" x14ac:dyDescent="0.3">
      <c r="A8" s="197" t="s">
        <v>78</v>
      </c>
      <c r="B8" s="198" t="str" cm="1">
        <f t="array" ref="B8">N.LOCAL</f>
        <v>AVENIDA JOÃO RIGONATO</v>
      </c>
      <c r="C8" s="201"/>
      <c r="D8" s="844" t="str">
        <f>N.Engenheiro</f>
        <v>FÁBIO MARQUES RIBEIRO</v>
      </c>
      <c r="E8" s="845"/>
    </row>
    <row r="9" spans="1:5" x14ac:dyDescent="0.3">
      <c r="A9" s="199" t="s">
        <v>813</v>
      </c>
      <c r="B9" s="200" t="str" cm="1">
        <f t="array" ref="B9">N.BASE</f>
        <v>AGESUL(SETEMBRO/2025)/SINAPI(SETEMBRO/2025)</v>
      </c>
      <c r="C9" s="201"/>
      <c r="D9" s="846" t="str">
        <f>N.CREA</f>
        <v>ENGENHEIRO CIVIL - 15.276 D/MS</v>
      </c>
      <c r="E9" s="847"/>
    </row>
    <row r="11" spans="1:5" s="196" customFormat="1" ht="14.25" customHeight="1" x14ac:dyDescent="0.25">
      <c r="A11" s="597" t="s">
        <v>825</v>
      </c>
      <c r="B11" s="597" t="s">
        <v>824</v>
      </c>
      <c r="C11" s="597" t="s">
        <v>826</v>
      </c>
      <c r="D11" s="597" t="s">
        <v>827</v>
      </c>
      <c r="E11" s="597" t="s">
        <v>828</v>
      </c>
    </row>
    <row r="12" spans="1:5" s="196" customFormat="1" ht="15" customHeight="1" x14ac:dyDescent="0.25">
      <c r="A12" s="563" t="s">
        <v>829</v>
      </c>
      <c r="B12" s="561" t="s">
        <v>834</v>
      </c>
      <c r="C12" s="561" t="s">
        <v>835</v>
      </c>
      <c r="D12" s="562" t="s">
        <v>836</v>
      </c>
      <c r="E12" s="562" t="s">
        <v>837</v>
      </c>
    </row>
    <row r="13" spans="1:5" s="196" customFormat="1" ht="15" customHeight="1" x14ac:dyDescent="0.25">
      <c r="A13" s="563" t="s">
        <v>830</v>
      </c>
      <c r="B13" s="561" t="s">
        <v>838</v>
      </c>
      <c r="C13" s="561" t="s">
        <v>839</v>
      </c>
      <c r="D13" s="562" t="s">
        <v>840</v>
      </c>
      <c r="E13" s="562" t="s">
        <v>841</v>
      </c>
    </row>
    <row r="14" spans="1:5" s="196" customFormat="1" ht="15" customHeight="1" x14ac:dyDescent="0.25">
      <c r="A14" s="563" t="s">
        <v>831</v>
      </c>
      <c r="B14" s="561" t="s">
        <v>842</v>
      </c>
      <c r="C14" s="561" t="s">
        <v>843</v>
      </c>
      <c r="D14" s="562" t="s">
        <v>844</v>
      </c>
      <c r="E14" s="562" t="s">
        <v>845</v>
      </c>
    </row>
    <row r="15" spans="1:5" s="196" customFormat="1" ht="15" customHeight="1" x14ac:dyDescent="0.25">
      <c r="A15" s="563" t="s">
        <v>832</v>
      </c>
      <c r="B15" s="561" t="s">
        <v>1164</v>
      </c>
      <c r="C15" s="561" t="s">
        <v>1165</v>
      </c>
      <c r="D15" s="562" t="s">
        <v>1166</v>
      </c>
      <c r="E15" s="562" t="s">
        <v>1167</v>
      </c>
    </row>
    <row r="16" spans="1:5" s="196" customFormat="1" ht="13.5" x14ac:dyDescent="0.25">
      <c r="A16" s="563" t="s">
        <v>833</v>
      </c>
      <c r="B16" s="561" t="s">
        <v>1170</v>
      </c>
      <c r="C16" s="561" t="s">
        <v>1171</v>
      </c>
      <c r="D16" s="562" t="s">
        <v>1175</v>
      </c>
      <c r="E16" s="562" t="s">
        <v>1176</v>
      </c>
    </row>
    <row r="17" spans="1:5" x14ac:dyDescent="0.3">
      <c r="A17" s="563" t="s">
        <v>1173</v>
      </c>
      <c r="B17" s="561" t="s">
        <v>1177</v>
      </c>
      <c r="C17" s="561" t="s">
        <v>1178</v>
      </c>
      <c r="D17" s="562" t="s">
        <v>1179</v>
      </c>
      <c r="E17" s="562" t="s">
        <v>1172</v>
      </c>
    </row>
    <row r="18" spans="1:5" x14ac:dyDescent="0.3">
      <c r="A18" s="563" t="s">
        <v>1174</v>
      </c>
      <c r="B18" s="561" t="s">
        <v>1180</v>
      </c>
      <c r="C18" s="561" t="s">
        <v>1181</v>
      </c>
      <c r="D18" s="562" t="s">
        <v>1182</v>
      </c>
      <c r="E18" s="562" t="s">
        <v>1183</v>
      </c>
    </row>
    <row r="24" spans="1:5" x14ac:dyDescent="0.3">
      <c r="A24" s="597" t="s">
        <v>846</v>
      </c>
      <c r="B24" s="598" t="s">
        <v>847</v>
      </c>
      <c r="C24" s="598" t="s">
        <v>308</v>
      </c>
      <c r="D24" s="598" t="s">
        <v>848</v>
      </c>
      <c r="E24" s="598" t="s">
        <v>849</v>
      </c>
    </row>
    <row r="25" spans="1:5" x14ac:dyDescent="0.3">
      <c r="A25" s="599" t="s">
        <v>851</v>
      </c>
      <c r="B25" s="600" t="s">
        <v>342</v>
      </c>
      <c r="C25" s="601" t="s">
        <v>852</v>
      </c>
      <c r="D25" s="602">
        <v>45499</v>
      </c>
      <c r="E25" s="603">
        <f>IF(SUM(D27:E29)&lt;&gt;0,MEDIAN(D27:E29),"")</f>
        <v>4150</v>
      </c>
    </row>
    <row r="26" spans="1:5" x14ac:dyDescent="0.3">
      <c r="A26" s="598" t="s">
        <v>850</v>
      </c>
      <c r="B26" s="927"/>
      <c r="C26" s="927"/>
      <c r="D26" s="928" t="s">
        <v>823</v>
      </c>
      <c r="E26" s="928"/>
    </row>
    <row r="27" spans="1:5" x14ac:dyDescent="0.3">
      <c r="A27" s="202" t="s">
        <v>829</v>
      </c>
      <c r="B27" s="925" t="str">
        <f>VLOOKUP(A27,$A$12:$C$16,3,0)</f>
        <v>GRECA DISTRIBUIDORA DE ASFALTOS LTDA</v>
      </c>
      <c r="C27" s="926"/>
      <c r="D27" s="203">
        <v>4200</v>
      </c>
      <c r="E27" s="203"/>
    </row>
    <row r="28" spans="1:5" x14ac:dyDescent="0.3">
      <c r="A28" s="202" t="s">
        <v>830</v>
      </c>
      <c r="B28" s="925" t="str">
        <f>VLOOKUP(A28,$A$12:$C$16,3,0)</f>
        <v>BETUNEL INDUSTRIA E CMÉRCIO LTDA</v>
      </c>
      <c r="C28" s="926"/>
      <c r="D28" s="203">
        <v>4000</v>
      </c>
      <c r="E28" s="203"/>
    </row>
    <row r="29" spans="1:5" x14ac:dyDescent="0.3">
      <c r="A29" s="563" t="s">
        <v>831</v>
      </c>
      <c r="B29" s="925" t="str">
        <f>VLOOKUP(A29,$A$12:$C$16,3,0)</f>
        <v>NOVAS TECNICAS DE ASFALTO LTDA</v>
      </c>
      <c r="C29" s="926"/>
      <c r="D29" s="562">
        <v>4150</v>
      </c>
      <c r="E29" s="562"/>
    </row>
    <row r="31" spans="1:5" x14ac:dyDescent="0.3">
      <c r="A31" s="597" t="s">
        <v>846</v>
      </c>
      <c r="B31" s="598" t="s">
        <v>847</v>
      </c>
      <c r="C31" s="598" t="s">
        <v>308</v>
      </c>
      <c r="D31" s="598" t="s">
        <v>848</v>
      </c>
      <c r="E31" s="598" t="s">
        <v>849</v>
      </c>
    </row>
    <row r="32" spans="1:5" ht="24.75" customHeight="1" x14ac:dyDescent="0.3">
      <c r="A32" s="599" t="s">
        <v>1168</v>
      </c>
      <c r="B32" s="600" t="s">
        <v>1169</v>
      </c>
      <c r="C32" s="601" t="s">
        <v>256</v>
      </c>
      <c r="D32" s="602">
        <v>45902</v>
      </c>
      <c r="E32" s="603">
        <f>AVERAGE(D34:D37)</f>
        <v>707.75</v>
      </c>
    </row>
    <row r="33" spans="1:5" x14ac:dyDescent="0.3">
      <c r="A33" s="598" t="s">
        <v>850</v>
      </c>
      <c r="B33" s="927"/>
      <c r="C33" s="927"/>
      <c r="D33" s="928" t="s">
        <v>823</v>
      </c>
      <c r="E33" s="928"/>
    </row>
    <row r="34" spans="1:5" x14ac:dyDescent="0.3">
      <c r="A34" s="202" t="s">
        <v>832</v>
      </c>
      <c r="B34" s="925" t="str">
        <f>VLOOKUP(A34,$A$12:$C$16,3,0)</f>
        <v>FUNDIÇÃO SOUZA</v>
      </c>
      <c r="C34" s="926"/>
      <c r="D34" s="203">
        <v>500</v>
      </c>
      <c r="E34" s="203"/>
    </row>
    <row r="35" spans="1:5" x14ac:dyDescent="0.3">
      <c r="A35" s="202" t="s">
        <v>833</v>
      </c>
      <c r="B35" s="925" t="str">
        <f>VLOOKUP(A35,$A$12:$C$19,3,0)</f>
        <v>ATN METAIS LTDA</v>
      </c>
      <c r="C35" s="926"/>
      <c r="D35" s="203">
        <v>836</v>
      </c>
      <c r="E35" s="203"/>
    </row>
    <row r="36" spans="1:5" x14ac:dyDescent="0.3">
      <c r="A36" s="202" t="s">
        <v>1173</v>
      </c>
      <c r="B36" s="925" t="str">
        <f>VLOOKUP(A36,$A$12:$C$18,3,0)</f>
        <v>FUNDICÃO OLIVETTI EM FERRO INDUSTRIA E COMERCIO LTDA</v>
      </c>
      <c r="C36" s="926"/>
      <c r="D36" s="203">
        <v>550</v>
      </c>
      <c r="E36" s="203"/>
    </row>
    <row r="37" spans="1:5" x14ac:dyDescent="0.3">
      <c r="A37" s="563" t="s">
        <v>1174</v>
      </c>
      <c r="B37" s="925" t="str">
        <f>VLOOKUP(A37,$A$12:$C$18,3,0)</f>
        <v>AFER INDUSTRIAL LTDA TAMPÕES E GRELHAS</v>
      </c>
      <c r="C37" s="926"/>
      <c r="D37" s="562">
        <v>945</v>
      </c>
      <c r="E37" s="562"/>
    </row>
  </sheetData>
  <mergeCells count="16">
    <mergeCell ref="B27:C27"/>
    <mergeCell ref="B29:C29"/>
    <mergeCell ref="B28:C28"/>
    <mergeCell ref="B26:C26"/>
    <mergeCell ref="D26:E26"/>
    <mergeCell ref="A5:E5"/>
    <mergeCell ref="D6:E6"/>
    <mergeCell ref="D9:E9"/>
    <mergeCell ref="D8:E8"/>
    <mergeCell ref="D7:E7"/>
    <mergeCell ref="B36:C36"/>
    <mergeCell ref="B37:C37"/>
    <mergeCell ref="B33:C33"/>
    <mergeCell ref="D33:E33"/>
    <mergeCell ref="B34:C34"/>
    <mergeCell ref="B35:C35"/>
  </mergeCells>
  <phoneticPr fontId="3" type="noConversion"/>
  <dataValidations count="2">
    <dataValidation type="list" allowBlank="1" showInputMessage="1" showErrorMessage="1" sqref="A27:A28 A30 A34:A37">
      <formula1>$A$12:$A$16</formula1>
    </dataValidation>
    <dataValidation type="list" allowBlank="1" showInputMessage="1" showErrorMessage="1" sqref="A29">
      <formula1>$A$12:$A$22</formula1>
    </dataValidation>
  </dataValidations>
  <pageMargins left="0.511811024" right="0.511811024" top="0.78740157499999996" bottom="0.78740157499999996" header="0.31496062000000002" footer="0.31496062000000002"/>
  <pageSetup paperSize="9" scale="54" orientation="portrait" horizontalDpi="1200" verticalDpi="120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8">
    <tabColor rgb="FF006F71"/>
    <pageSetUpPr fitToPage="1"/>
  </sheetPr>
  <dimension ref="A2:O43"/>
  <sheetViews>
    <sheetView zoomScale="115" zoomScaleNormal="115" workbookViewId="0">
      <selection activeCell="B10" sqref="B10"/>
    </sheetView>
  </sheetViews>
  <sheetFormatPr defaultRowHeight="12.75" x14ac:dyDescent="0.2"/>
  <cols>
    <col min="1" max="1" width="16.5703125" style="171" customWidth="1"/>
    <col min="2" max="2" width="8.85546875" style="171"/>
    <col min="3" max="3" width="8" style="171" customWidth="1"/>
    <col min="4" max="4" width="8.140625" style="171" customWidth="1"/>
    <col min="5" max="5" width="8.28515625" style="171" customWidth="1"/>
    <col min="6" max="6" width="13.140625" style="171" customWidth="1"/>
    <col min="7" max="7" width="8.85546875" style="171"/>
    <col min="8" max="8" width="15" style="171" customWidth="1"/>
    <col min="9" max="9" width="8.85546875" style="171"/>
    <col min="10" max="10" width="10.85546875" style="171" customWidth="1"/>
    <col min="11" max="13" width="8.28515625" style="171" customWidth="1"/>
    <col min="14" max="14" width="8.85546875" style="171"/>
    <col min="15" max="15" width="11.42578125" style="171" customWidth="1"/>
    <col min="16" max="258" width="8.85546875" style="171"/>
    <col min="259" max="259" width="17.5703125" style="171" customWidth="1"/>
    <col min="260" max="514" width="8.85546875" style="171"/>
    <col min="515" max="515" width="17.5703125" style="171" customWidth="1"/>
    <col min="516" max="770" width="8.85546875" style="171"/>
    <col min="771" max="771" width="17.5703125" style="171" customWidth="1"/>
    <col min="772" max="1026" width="8.85546875" style="171"/>
    <col min="1027" max="1027" width="17.5703125" style="171" customWidth="1"/>
    <col min="1028" max="1282" width="8.85546875" style="171"/>
    <col min="1283" max="1283" width="17.5703125" style="171" customWidth="1"/>
    <col min="1284" max="1538" width="8.85546875" style="171"/>
    <col min="1539" max="1539" width="17.5703125" style="171" customWidth="1"/>
    <col min="1540" max="1794" width="8.85546875" style="171"/>
    <col min="1795" max="1795" width="17.5703125" style="171" customWidth="1"/>
    <col min="1796" max="2050" width="8.85546875" style="171"/>
    <col min="2051" max="2051" width="17.5703125" style="171" customWidth="1"/>
    <col min="2052" max="2306" width="8.85546875" style="171"/>
    <col min="2307" max="2307" width="17.5703125" style="171" customWidth="1"/>
    <col min="2308" max="2562" width="8.85546875" style="171"/>
    <col min="2563" max="2563" width="17.5703125" style="171" customWidth="1"/>
    <col min="2564" max="2818" width="8.85546875" style="171"/>
    <col min="2819" max="2819" width="17.5703125" style="171" customWidth="1"/>
    <col min="2820" max="3074" width="8.85546875" style="171"/>
    <col min="3075" max="3075" width="17.5703125" style="171" customWidth="1"/>
    <col min="3076" max="3330" width="8.85546875" style="171"/>
    <col min="3331" max="3331" width="17.5703125" style="171" customWidth="1"/>
    <col min="3332" max="3586" width="8.85546875" style="171"/>
    <col min="3587" max="3587" width="17.5703125" style="171" customWidth="1"/>
    <col min="3588" max="3842" width="8.85546875" style="171"/>
    <col min="3843" max="3843" width="17.5703125" style="171" customWidth="1"/>
    <col min="3844" max="4098" width="8.85546875" style="171"/>
    <col min="4099" max="4099" width="17.5703125" style="171" customWidth="1"/>
    <col min="4100" max="4354" width="8.85546875" style="171"/>
    <col min="4355" max="4355" width="17.5703125" style="171" customWidth="1"/>
    <col min="4356" max="4610" width="8.85546875" style="171"/>
    <col min="4611" max="4611" width="17.5703125" style="171" customWidth="1"/>
    <col min="4612" max="4866" width="8.85546875" style="171"/>
    <col min="4867" max="4867" width="17.5703125" style="171" customWidth="1"/>
    <col min="4868" max="5122" width="8.85546875" style="171"/>
    <col min="5123" max="5123" width="17.5703125" style="171" customWidth="1"/>
    <col min="5124" max="5378" width="8.85546875" style="171"/>
    <col min="5379" max="5379" width="17.5703125" style="171" customWidth="1"/>
    <col min="5380" max="5634" width="8.85546875" style="171"/>
    <col min="5635" max="5635" width="17.5703125" style="171" customWidth="1"/>
    <col min="5636" max="5890" width="8.85546875" style="171"/>
    <col min="5891" max="5891" width="17.5703125" style="171" customWidth="1"/>
    <col min="5892" max="6146" width="8.85546875" style="171"/>
    <col min="6147" max="6147" width="17.5703125" style="171" customWidth="1"/>
    <col min="6148" max="6402" width="8.85546875" style="171"/>
    <col min="6403" max="6403" width="17.5703125" style="171" customWidth="1"/>
    <col min="6404" max="6658" width="8.85546875" style="171"/>
    <col min="6659" max="6659" width="17.5703125" style="171" customWidth="1"/>
    <col min="6660" max="6914" width="8.85546875" style="171"/>
    <col min="6915" max="6915" width="17.5703125" style="171" customWidth="1"/>
    <col min="6916" max="7170" width="8.85546875" style="171"/>
    <col min="7171" max="7171" width="17.5703125" style="171" customWidth="1"/>
    <col min="7172" max="7426" width="8.85546875" style="171"/>
    <col min="7427" max="7427" width="17.5703125" style="171" customWidth="1"/>
    <col min="7428" max="7682" width="8.85546875" style="171"/>
    <col min="7683" max="7683" width="17.5703125" style="171" customWidth="1"/>
    <col min="7684" max="7938" width="8.85546875" style="171"/>
    <col min="7939" max="7939" width="17.5703125" style="171" customWidth="1"/>
    <col min="7940" max="8194" width="8.85546875" style="171"/>
    <col min="8195" max="8195" width="17.5703125" style="171" customWidth="1"/>
    <col min="8196" max="8450" width="8.85546875" style="171"/>
    <col min="8451" max="8451" width="17.5703125" style="171" customWidth="1"/>
    <col min="8452" max="8706" width="8.85546875" style="171"/>
    <col min="8707" max="8707" width="17.5703125" style="171" customWidth="1"/>
    <col min="8708" max="8962" width="8.85546875" style="171"/>
    <col min="8963" max="8963" width="17.5703125" style="171" customWidth="1"/>
    <col min="8964" max="9218" width="8.85546875" style="171"/>
    <col min="9219" max="9219" width="17.5703125" style="171" customWidth="1"/>
    <col min="9220" max="9474" width="8.85546875" style="171"/>
    <col min="9475" max="9475" width="17.5703125" style="171" customWidth="1"/>
    <col min="9476" max="9730" width="8.85546875" style="171"/>
    <col min="9731" max="9731" width="17.5703125" style="171" customWidth="1"/>
    <col min="9732" max="9986" width="8.85546875" style="171"/>
    <col min="9987" max="9987" width="17.5703125" style="171" customWidth="1"/>
    <col min="9988" max="10242" width="8.85546875" style="171"/>
    <col min="10243" max="10243" width="17.5703125" style="171" customWidth="1"/>
    <col min="10244" max="10498" width="8.85546875" style="171"/>
    <col min="10499" max="10499" width="17.5703125" style="171" customWidth="1"/>
    <col min="10500" max="10754" width="8.85546875" style="171"/>
    <col min="10755" max="10755" width="17.5703125" style="171" customWidth="1"/>
    <col min="10756" max="11010" width="8.85546875" style="171"/>
    <col min="11011" max="11011" width="17.5703125" style="171" customWidth="1"/>
    <col min="11012" max="11266" width="8.85546875" style="171"/>
    <col min="11267" max="11267" width="17.5703125" style="171" customWidth="1"/>
    <col min="11268" max="11522" width="8.85546875" style="171"/>
    <col min="11523" max="11523" width="17.5703125" style="171" customWidth="1"/>
    <col min="11524" max="11778" width="8.85546875" style="171"/>
    <col min="11779" max="11779" width="17.5703125" style="171" customWidth="1"/>
    <col min="11780" max="12034" width="8.85546875" style="171"/>
    <col min="12035" max="12035" width="17.5703125" style="171" customWidth="1"/>
    <col min="12036" max="12290" width="8.85546875" style="171"/>
    <col min="12291" max="12291" width="17.5703125" style="171" customWidth="1"/>
    <col min="12292" max="12546" width="8.85546875" style="171"/>
    <col min="12547" max="12547" width="17.5703125" style="171" customWidth="1"/>
    <col min="12548" max="12802" width="8.85546875" style="171"/>
    <col min="12803" max="12803" width="17.5703125" style="171" customWidth="1"/>
    <col min="12804" max="13058" width="8.85546875" style="171"/>
    <col min="13059" max="13059" width="17.5703125" style="171" customWidth="1"/>
    <col min="13060" max="13314" width="8.85546875" style="171"/>
    <col min="13315" max="13315" width="17.5703125" style="171" customWidth="1"/>
    <col min="13316" max="13570" width="8.85546875" style="171"/>
    <col min="13571" max="13571" width="17.5703125" style="171" customWidth="1"/>
    <col min="13572" max="13826" width="8.85546875" style="171"/>
    <col min="13827" max="13827" width="17.5703125" style="171" customWidth="1"/>
    <col min="13828" max="14082" width="8.85546875" style="171"/>
    <col min="14083" max="14083" width="17.5703125" style="171" customWidth="1"/>
    <col min="14084" max="14338" width="8.85546875" style="171"/>
    <col min="14339" max="14339" width="17.5703125" style="171" customWidth="1"/>
    <col min="14340" max="14594" width="8.85546875" style="171"/>
    <col min="14595" max="14595" width="17.5703125" style="171" customWidth="1"/>
    <col min="14596" max="14850" width="8.85546875" style="171"/>
    <col min="14851" max="14851" width="17.5703125" style="171" customWidth="1"/>
    <col min="14852" max="15106" width="8.85546875" style="171"/>
    <col min="15107" max="15107" width="17.5703125" style="171" customWidth="1"/>
    <col min="15108" max="15362" width="8.85546875" style="171"/>
    <col min="15363" max="15363" width="17.5703125" style="171" customWidth="1"/>
    <col min="15364" max="15618" width="8.85546875" style="171"/>
    <col min="15619" max="15619" width="17.5703125" style="171" customWidth="1"/>
    <col min="15620" max="15874" width="8.85546875" style="171"/>
    <col min="15875" max="15875" width="17.5703125" style="171" customWidth="1"/>
    <col min="15876" max="16130" width="8.85546875" style="171"/>
    <col min="16131" max="16131" width="17.5703125" style="171" customWidth="1"/>
    <col min="16132" max="16384" width="8.85546875" style="171"/>
  </cols>
  <sheetData>
    <row r="2" spans="1:15" ht="13.15" customHeight="1" x14ac:dyDescent="0.2">
      <c r="A2" s="276"/>
      <c r="B2" s="289" t="str">
        <f>N.GOV</f>
        <v>GOVERNO DO ESTADO DE MATO GROSSO DO SUL</v>
      </c>
      <c r="C2" s="289"/>
      <c r="D2" s="289"/>
      <c r="E2" s="289"/>
      <c r="F2" s="289"/>
      <c r="G2" s="289"/>
      <c r="H2" s="289"/>
      <c r="I2" s="289"/>
      <c r="J2" s="289"/>
      <c r="K2" s="289"/>
      <c r="L2" s="289"/>
      <c r="M2" s="289"/>
      <c r="N2" s="289"/>
      <c r="O2" s="311"/>
    </row>
    <row r="3" spans="1:15" ht="24.75" customHeight="1" x14ac:dyDescent="0.2">
      <c r="A3" s="279"/>
      <c r="B3" s="222" t="str" cm="1">
        <f t="array" aca="1" ref="B3" ca="1">N.PREFEITURA</f>
        <v>PREFEITURA MUNICIPAL DE NAVIRAÍ</v>
      </c>
      <c r="C3" s="222"/>
      <c r="D3" s="222"/>
      <c r="E3" s="222"/>
      <c r="F3" s="222"/>
      <c r="G3" s="222"/>
      <c r="H3" s="222"/>
      <c r="I3" s="309"/>
      <c r="J3" s="309"/>
      <c r="K3" s="309"/>
      <c r="L3" s="309"/>
      <c r="M3" s="206"/>
      <c r="N3" s="206"/>
      <c r="O3" s="312"/>
    </row>
    <row r="4" spans="1:15" x14ac:dyDescent="0.2">
      <c r="A4" s="293"/>
      <c r="B4" s="290" t="str" cm="1">
        <f t="array" aca="1" ref="B4" ca="1">N.SECRETARIA</f>
        <v>SECRETARIA DE PLANEJAMENTO</v>
      </c>
      <c r="C4" s="290"/>
      <c r="D4" s="290"/>
      <c r="E4" s="290"/>
      <c r="F4" s="290"/>
      <c r="G4" s="290"/>
      <c r="H4" s="290"/>
      <c r="I4" s="290"/>
      <c r="J4" s="290"/>
      <c r="K4" s="290"/>
      <c r="L4" s="290"/>
      <c r="M4" s="205"/>
      <c r="N4" s="205"/>
      <c r="O4" s="310"/>
    </row>
    <row r="5" spans="1:15" ht="20.45" customHeight="1" x14ac:dyDescent="0.2">
      <c r="A5" s="948" t="s">
        <v>229</v>
      </c>
      <c r="B5" s="949"/>
      <c r="C5" s="949"/>
      <c r="D5" s="949"/>
      <c r="E5" s="949"/>
      <c r="F5" s="949"/>
      <c r="G5" s="949"/>
      <c r="H5" s="949"/>
      <c r="I5" s="949"/>
      <c r="J5" s="949"/>
      <c r="K5" s="949"/>
      <c r="L5" s="949"/>
      <c r="M5" s="949"/>
      <c r="N5" s="949"/>
      <c r="O5" s="950"/>
    </row>
    <row r="6" spans="1:15" ht="13.15" customHeight="1" x14ac:dyDescent="0.2">
      <c r="A6" s="313" t="s">
        <v>811</v>
      </c>
      <c r="B6" s="549" t="str">
        <f>N.DESCRICAO</f>
        <v>INFRAESTRUTURA URBANA – PAVIMENTAÇÃO ASFÁLTICA, DRENAGEM, E SINALIZAÇÃO VIÁRIA NO ACESSO AO CEMITERIO MUNICIPAL DE NAVIRAÍ/ MS</v>
      </c>
      <c r="C6" s="204"/>
      <c r="D6" s="204"/>
      <c r="E6" s="205"/>
      <c r="F6" s="205"/>
      <c r="G6" s="205"/>
      <c r="H6" s="205"/>
      <c r="I6" s="205"/>
      <c r="J6" s="210"/>
      <c r="K6" s="210"/>
      <c r="L6" s="210"/>
      <c r="M6" s="270"/>
      <c r="N6" s="272" t="s">
        <v>305</v>
      </c>
      <c r="O6" s="271"/>
    </row>
    <row r="7" spans="1:15" ht="13.15" customHeight="1" x14ac:dyDescent="0.2">
      <c r="A7" s="193" t="s">
        <v>799</v>
      </c>
      <c r="B7" s="548" t="str">
        <f ca="1">N.MUNICIPIO</f>
        <v>NAVIRAÍ</v>
      </c>
      <c r="C7" s="194"/>
      <c r="D7" s="194"/>
      <c r="E7" s="194"/>
      <c r="F7" s="194"/>
      <c r="G7" s="194"/>
      <c r="H7" s="194"/>
      <c r="I7" s="194"/>
      <c r="J7" s="194"/>
      <c r="K7" s="194"/>
      <c r="L7" s="194"/>
      <c r="M7" s="959" t="str">
        <f>"  _______________________________             "&amp;N.Engenheiro&amp;"                                 "&amp;N.CREA</f>
        <v xml:space="preserve">  _______________________________             FÁBIO MARQUES RIBEIRO                                 ENGENHEIRO CIVIL - 15.276 D/MS</v>
      </c>
      <c r="N7" s="960"/>
      <c r="O7" s="961"/>
    </row>
    <row r="8" spans="1:15" ht="13.15" customHeight="1" x14ac:dyDescent="0.2">
      <c r="A8" s="193" t="s">
        <v>798</v>
      </c>
      <c r="B8" s="548" t="str" cm="1">
        <f t="array" ref="B8">N.LOCAL</f>
        <v>AVENIDA JOÃO RIGONATO</v>
      </c>
      <c r="C8" s="194"/>
      <c r="D8" s="194"/>
      <c r="E8" s="194"/>
      <c r="F8" s="194"/>
      <c r="G8" s="194"/>
      <c r="H8" s="194"/>
      <c r="I8" s="194"/>
      <c r="J8" s="194"/>
      <c r="K8" s="194"/>
      <c r="L8" s="194"/>
      <c r="M8" s="959"/>
      <c r="N8" s="960"/>
      <c r="O8" s="961"/>
    </row>
    <row r="9" spans="1:15" ht="13.15" customHeight="1" x14ac:dyDescent="0.2">
      <c r="A9" s="193" t="s">
        <v>813</v>
      </c>
      <c r="B9" s="546" t="str" cm="1">
        <f t="array" ref="B9">N.BASE</f>
        <v>AGESUL(SETEMBRO/2025)/SINAPI(SETEMBRO/2025)</v>
      </c>
      <c r="C9" s="195"/>
      <c r="D9" s="195"/>
      <c r="E9" s="195"/>
      <c r="F9" s="195"/>
      <c r="G9" s="195"/>
      <c r="H9" s="195"/>
      <c r="I9" s="195"/>
      <c r="J9" s="195"/>
      <c r="K9" s="195"/>
      <c r="L9" s="195"/>
      <c r="M9" s="962"/>
      <c r="N9" s="963"/>
      <c r="O9" s="964"/>
    </row>
    <row r="10" spans="1:15" ht="13.15" customHeight="1" x14ac:dyDescent="0.2">
      <c r="A10" s="283"/>
      <c r="B10" s="207"/>
      <c r="C10" s="207"/>
      <c r="D10" s="207"/>
      <c r="E10" s="207"/>
      <c r="F10" s="207"/>
      <c r="G10" s="207"/>
      <c r="H10" s="207"/>
      <c r="I10" s="207"/>
      <c r="J10" s="207"/>
      <c r="K10" s="207"/>
      <c r="L10" s="207"/>
      <c r="M10" s="288"/>
      <c r="N10" s="288"/>
      <c r="O10" s="287"/>
    </row>
    <row r="11" spans="1:15" ht="16.899999999999999" customHeight="1" x14ac:dyDescent="0.25">
      <c r="A11" s="951" t="s">
        <v>179</v>
      </c>
      <c r="B11" s="1000" t="s">
        <v>13</v>
      </c>
      <c r="C11" s="944"/>
      <c r="D11" s="356">
        <v>2</v>
      </c>
      <c r="E11" s="314"/>
      <c r="F11" s="1001" t="s">
        <v>236</v>
      </c>
      <c r="G11" s="1002"/>
      <c r="H11" s="1003"/>
      <c r="I11" s="314"/>
      <c r="J11" s="314"/>
      <c r="K11" s="314"/>
      <c r="L11" s="1001" t="s">
        <v>180</v>
      </c>
      <c r="M11" s="1003"/>
      <c r="N11" s="356" t="s">
        <v>897</v>
      </c>
      <c r="O11" s="358">
        <f>K17</f>
        <v>3</v>
      </c>
    </row>
    <row r="12" spans="1:15" ht="18.600000000000001" customHeight="1" x14ac:dyDescent="0.25">
      <c r="A12" s="958"/>
      <c r="B12" s="1000" t="s">
        <v>181</v>
      </c>
      <c r="C12" s="944"/>
      <c r="D12" s="356">
        <v>1</v>
      </c>
      <c r="E12" s="314"/>
      <c r="F12" s="1004"/>
      <c r="G12" s="1005"/>
      <c r="H12" s="1006"/>
      <c r="I12" s="314"/>
      <c r="J12" s="314"/>
      <c r="K12" s="314"/>
      <c r="L12" s="1007"/>
      <c r="M12" s="1008"/>
      <c r="N12" s="356" t="s">
        <v>898</v>
      </c>
      <c r="O12" s="358">
        <v>15</v>
      </c>
    </row>
    <row r="13" spans="1:15" ht="18" customHeight="1" x14ac:dyDescent="0.25">
      <c r="A13" s="952"/>
      <c r="B13" s="1000" t="s">
        <v>178</v>
      </c>
      <c r="C13" s="944"/>
      <c r="D13" s="356">
        <v>1</v>
      </c>
      <c r="E13" s="314"/>
      <c r="F13" s="357" t="s">
        <v>237</v>
      </c>
      <c r="G13" s="943" t="s">
        <v>1528</v>
      </c>
      <c r="H13" s="944"/>
      <c r="I13" s="314"/>
      <c r="J13" s="314"/>
      <c r="K13" s="314"/>
      <c r="L13" s="1007"/>
      <c r="M13" s="1008"/>
      <c r="N13" s="356" t="s">
        <v>899</v>
      </c>
      <c r="O13" s="358">
        <v>0</v>
      </c>
    </row>
    <row r="14" spans="1:15" ht="17.45" customHeight="1" x14ac:dyDescent="0.25">
      <c r="A14" s="315"/>
      <c r="B14" s="316"/>
      <c r="C14" s="316"/>
      <c r="D14" s="317"/>
      <c r="E14" s="314"/>
      <c r="F14" s="316"/>
      <c r="G14" s="316"/>
      <c r="H14" s="316"/>
      <c r="I14" s="314"/>
      <c r="J14" s="314"/>
      <c r="K14" s="314"/>
      <c r="L14" s="1004"/>
      <c r="M14" s="1006"/>
      <c r="N14" s="356" t="s">
        <v>900</v>
      </c>
      <c r="O14" s="358">
        <v>0</v>
      </c>
    </row>
    <row r="15" spans="1:15" ht="4.9000000000000004" customHeight="1" x14ac:dyDescent="0.25">
      <c r="A15" s="318"/>
      <c r="B15" s="319"/>
      <c r="C15" s="320"/>
      <c r="D15" s="314"/>
      <c r="E15" s="314"/>
      <c r="F15" s="314"/>
      <c r="G15" s="314"/>
      <c r="H15" s="314"/>
      <c r="I15" s="314"/>
      <c r="J15" s="316"/>
      <c r="K15" s="316"/>
      <c r="L15" s="321"/>
      <c r="M15" s="321"/>
      <c r="N15" s="321"/>
      <c r="O15" s="322"/>
    </row>
    <row r="16" spans="1:15" ht="15.75" x14ac:dyDescent="0.25">
      <c r="A16" s="951" t="s">
        <v>183</v>
      </c>
      <c r="B16" s="941" t="s">
        <v>184</v>
      </c>
      <c r="C16" s="942"/>
      <c r="D16" s="945" t="s">
        <v>185</v>
      </c>
      <c r="E16" s="947"/>
      <c r="F16" s="945" t="s">
        <v>186</v>
      </c>
      <c r="G16" s="946"/>
      <c r="H16" s="946"/>
      <c r="I16" s="946"/>
      <c r="J16" s="947"/>
      <c r="K16" s="945" t="s">
        <v>187</v>
      </c>
      <c r="L16" s="946"/>
      <c r="M16" s="947"/>
      <c r="N16" s="314"/>
      <c r="O16" s="323"/>
    </row>
    <row r="17" spans="1:15" ht="13.5" x14ac:dyDescent="0.25">
      <c r="A17" s="952"/>
      <c r="B17" s="939" t="s">
        <v>1529</v>
      </c>
      <c r="C17" s="940"/>
      <c r="D17" s="953" t="s">
        <v>182</v>
      </c>
      <c r="E17" s="954"/>
      <c r="F17" s="953" t="s">
        <v>188</v>
      </c>
      <c r="G17" s="955"/>
      <c r="H17" s="955"/>
      <c r="I17" s="955"/>
      <c r="J17" s="954"/>
      <c r="K17" s="956">
        <v>3</v>
      </c>
      <c r="L17" s="957"/>
      <c r="M17" s="355" t="s">
        <v>189</v>
      </c>
      <c r="N17" s="324"/>
      <c r="O17" s="323"/>
    </row>
    <row r="18" spans="1:15" ht="4.9000000000000004" customHeight="1" x14ac:dyDescent="0.25">
      <c r="A18" s="315"/>
      <c r="B18" s="321"/>
      <c r="C18" s="320"/>
      <c r="D18" s="314"/>
      <c r="E18" s="314"/>
      <c r="F18" s="314"/>
      <c r="G18" s="314"/>
      <c r="H18" s="314"/>
      <c r="I18" s="314"/>
      <c r="J18" s="314"/>
      <c r="K18" s="314"/>
      <c r="L18" s="314"/>
      <c r="M18" s="314"/>
      <c r="N18" s="314"/>
      <c r="O18" s="323"/>
    </row>
    <row r="19" spans="1:15" ht="27" customHeight="1" x14ac:dyDescent="0.2">
      <c r="A19" s="951" t="s">
        <v>190</v>
      </c>
      <c r="B19" s="359" t="s">
        <v>191</v>
      </c>
      <c r="C19" s="352" t="s">
        <v>192</v>
      </c>
      <c r="D19" s="352" t="s">
        <v>13</v>
      </c>
      <c r="E19" s="352" t="s">
        <v>193</v>
      </c>
      <c r="F19" s="352" t="s">
        <v>194</v>
      </c>
      <c r="G19" s="941" t="s">
        <v>195</v>
      </c>
      <c r="H19" s="942"/>
      <c r="I19" s="352" t="s">
        <v>185</v>
      </c>
      <c r="J19" s="352" t="s">
        <v>230</v>
      </c>
      <c r="K19" s="352" t="s">
        <v>235</v>
      </c>
      <c r="L19" s="352" t="s">
        <v>233</v>
      </c>
      <c r="M19" s="352" t="s">
        <v>231</v>
      </c>
      <c r="N19" s="352" t="s">
        <v>232</v>
      </c>
      <c r="O19" s="360" t="s">
        <v>234</v>
      </c>
    </row>
    <row r="20" spans="1:15" ht="18" customHeight="1" x14ac:dyDescent="0.2">
      <c r="A20" s="952"/>
      <c r="B20" s="361">
        <v>0.8</v>
      </c>
      <c r="C20" s="358">
        <f>O12</f>
        <v>15</v>
      </c>
      <c r="D20" s="358">
        <f>K17</f>
        <v>3</v>
      </c>
      <c r="E20" s="358">
        <f>SUM(C20-D20*D11)/D12</f>
        <v>9</v>
      </c>
      <c r="F20" s="362">
        <v>15</v>
      </c>
      <c r="G20" s="939">
        <f>K20*M20</f>
        <v>1889605</v>
      </c>
      <c r="H20" s="940"/>
      <c r="I20" s="354" t="s">
        <v>182</v>
      </c>
      <c r="J20" s="358">
        <f>(N20*(2+(O20+1)*L20/100))/2</f>
        <v>310</v>
      </c>
      <c r="K20" s="363">
        <f>365*O20*J20</f>
        <v>1131500</v>
      </c>
      <c r="L20" s="364">
        <v>10</v>
      </c>
      <c r="M20" s="364">
        <v>1.67</v>
      </c>
      <c r="N20" s="364">
        <v>200</v>
      </c>
      <c r="O20" s="364">
        <v>10</v>
      </c>
    </row>
    <row r="21" spans="1:15" ht="4.1500000000000004" customHeight="1" x14ac:dyDescent="0.25">
      <c r="A21" s="318"/>
      <c r="B21" s="319"/>
      <c r="C21" s="320"/>
      <c r="D21" s="314"/>
      <c r="E21" s="314"/>
      <c r="F21" s="314"/>
      <c r="G21" s="314"/>
      <c r="H21" s="314"/>
      <c r="I21" s="314"/>
      <c r="J21" s="314"/>
      <c r="K21" s="314"/>
      <c r="L21" s="314"/>
      <c r="M21" s="314"/>
      <c r="N21" s="314"/>
      <c r="O21" s="323"/>
    </row>
    <row r="22" spans="1:15" ht="13.15" customHeight="1" x14ac:dyDescent="0.2">
      <c r="A22" s="951" t="s">
        <v>196</v>
      </c>
      <c r="B22" s="989" t="s">
        <v>191</v>
      </c>
      <c r="C22" s="969" t="s">
        <v>197</v>
      </c>
      <c r="D22" s="969" t="s">
        <v>13</v>
      </c>
      <c r="E22" s="969" t="s">
        <v>11</v>
      </c>
      <c r="F22" s="975" t="s">
        <v>198</v>
      </c>
      <c r="G22" s="975" t="s">
        <v>199</v>
      </c>
      <c r="H22" s="977" t="s">
        <v>2</v>
      </c>
      <c r="I22" s="978"/>
      <c r="J22" s="991" t="s">
        <v>200</v>
      </c>
      <c r="K22" s="992"/>
      <c r="L22" s="992"/>
      <c r="M22" s="992"/>
      <c r="N22" s="992"/>
      <c r="O22" s="993"/>
    </row>
    <row r="23" spans="1:15" ht="13.5" x14ac:dyDescent="0.25">
      <c r="A23" s="958"/>
      <c r="B23" s="990"/>
      <c r="C23" s="970"/>
      <c r="D23" s="970"/>
      <c r="E23" s="970"/>
      <c r="F23" s="976"/>
      <c r="G23" s="976"/>
      <c r="H23" s="353" t="s">
        <v>201</v>
      </c>
      <c r="I23" s="365" t="s">
        <v>202</v>
      </c>
      <c r="J23" s="953" t="s">
        <v>203</v>
      </c>
      <c r="K23" s="955"/>
      <c r="L23" s="955"/>
      <c r="M23" s="955"/>
      <c r="N23" s="955"/>
      <c r="O23" s="954"/>
    </row>
    <row r="24" spans="1:15" ht="13.5" x14ac:dyDescent="0.25">
      <c r="A24" s="958"/>
      <c r="B24" s="994">
        <v>0.1</v>
      </c>
      <c r="C24" s="973">
        <f>O13</f>
        <v>0</v>
      </c>
      <c r="D24" s="973">
        <f>D20</f>
        <v>3</v>
      </c>
      <c r="E24" s="973">
        <f>F20</f>
        <v>15</v>
      </c>
      <c r="F24" s="973">
        <f>IF(C24=0,0,(SUM(C24-D24*D11-E24*D12)/D13))</f>
        <v>0</v>
      </c>
      <c r="G24" s="996">
        <v>0</v>
      </c>
      <c r="H24" s="998"/>
      <c r="I24" s="973"/>
      <c r="J24" s="953" t="s">
        <v>204</v>
      </c>
      <c r="K24" s="955"/>
      <c r="L24" s="955"/>
      <c r="M24" s="955"/>
      <c r="N24" s="955"/>
      <c r="O24" s="954"/>
    </row>
    <row r="25" spans="1:15" ht="13.5" x14ac:dyDescent="0.25">
      <c r="A25" s="952"/>
      <c r="B25" s="995"/>
      <c r="C25" s="974"/>
      <c r="D25" s="974"/>
      <c r="E25" s="974"/>
      <c r="F25" s="974"/>
      <c r="G25" s="997"/>
      <c r="H25" s="999"/>
      <c r="I25" s="974"/>
      <c r="J25" s="953" t="s">
        <v>205</v>
      </c>
      <c r="K25" s="955"/>
      <c r="L25" s="955"/>
      <c r="M25" s="955"/>
      <c r="N25" s="955"/>
      <c r="O25" s="954"/>
    </row>
    <row r="26" spans="1:15" ht="5.45" customHeight="1" x14ac:dyDescent="0.25">
      <c r="A26" s="325"/>
      <c r="B26" s="314"/>
      <c r="C26" s="314"/>
      <c r="D26" s="314"/>
      <c r="E26" s="314"/>
      <c r="F26" s="314"/>
      <c r="G26" s="314"/>
      <c r="H26" s="314"/>
      <c r="I26" s="314"/>
      <c r="J26" s="314"/>
      <c r="K26" s="314"/>
      <c r="L26" s="314"/>
      <c r="M26" s="314"/>
      <c r="N26" s="314"/>
      <c r="O26" s="323"/>
    </row>
    <row r="27" spans="1:15" ht="13.15" customHeight="1" x14ac:dyDescent="0.2">
      <c r="A27" s="951" t="s">
        <v>206</v>
      </c>
      <c r="B27" s="989" t="s">
        <v>191</v>
      </c>
      <c r="C27" s="969" t="s">
        <v>197</v>
      </c>
      <c r="D27" s="969" t="s">
        <v>13</v>
      </c>
      <c r="E27" s="969" t="s">
        <v>11</v>
      </c>
      <c r="F27" s="975" t="s">
        <v>198</v>
      </c>
      <c r="G27" s="975" t="s">
        <v>199</v>
      </c>
      <c r="H27" s="977" t="s">
        <v>2</v>
      </c>
      <c r="I27" s="978"/>
      <c r="J27" s="979" t="s">
        <v>200</v>
      </c>
      <c r="K27" s="980"/>
      <c r="L27" s="980"/>
      <c r="M27" s="980"/>
      <c r="N27" s="980"/>
      <c r="O27" s="981"/>
    </row>
    <row r="28" spans="1:15" ht="13.15" customHeight="1" x14ac:dyDescent="0.2">
      <c r="A28" s="958"/>
      <c r="B28" s="990"/>
      <c r="C28" s="970"/>
      <c r="D28" s="970"/>
      <c r="E28" s="970"/>
      <c r="F28" s="976"/>
      <c r="G28" s="976"/>
      <c r="H28" s="353" t="s">
        <v>201</v>
      </c>
      <c r="I28" s="365" t="s">
        <v>202</v>
      </c>
      <c r="J28" s="982"/>
      <c r="K28" s="983"/>
      <c r="L28" s="983"/>
      <c r="M28" s="983"/>
      <c r="N28" s="983"/>
      <c r="O28" s="984"/>
    </row>
    <row r="29" spans="1:15" ht="24" customHeight="1" x14ac:dyDescent="0.2">
      <c r="A29" s="952"/>
      <c r="B29" s="366"/>
      <c r="C29" s="363">
        <f>O14</f>
        <v>0</v>
      </c>
      <c r="D29" s="367"/>
      <c r="E29" s="367"/>
      <c r="F29" s="363">
        <f>SUM(C29-D29*2-E29*1.1)/D13</f>
        <v>0</v>
      </c>
      <c r="G29" s="367"/>
      <c r="H29" s="363"/>
      <c r="I29" s="363"/>
      <c r="J29" s="985"/>
      <c r="K29" s="986"/>
      <c r="L29" s="986"/>
      <c r="M29" s="986"/>
      <c r="N29" s="986"/>
      <c r="O29" s="987"/>
    </row>
    <row r="30" spans="1:15" ht="5.45" customHeight="1" x14ac:dyDescent="0.25">
      <c r="A30" s="315"/>
      <c r="B30" s="326"/>
      <c r="C30" s="327"/>
      <c r="D30" s="327"/>
      <c r="E30" s="327"/>
      <c r="F30" s="328"/>
      <c r="G30" s="327"/>
      <c r="H30" s="324"/>
      <c r="I30" s="328"/>
      <c r="J30" s="329"/>
      <c r="K30" s="329"/>
      <c r="L30" s="329"/>
      <c r="M30" s="329"/>
      <c r="N30" s="329"/>
      <c r="O30" s="330"/>
    </row>
    <row r="31" spans="1:15" ht="13.5" x14ac:dyDescent="0.25">
      <c r="A31" s="988" t="s">
        <v>207</v>
      </c>
      <c r="B31" s="971"/>
      <c r="C31" s="971"/>
      <c r="D31" s="971"/>
      <c r="E31" s="971"/>
      <c r="F31" s="971"/>
      <c r="G31" s="971"/>
      <c r="H31" s="314"/>
      <c r="I31" s="971" t="s">
        <v>208</v>
      </c>
      <c r="J31" s="971"/>
      <c r="K31" s="971"/>
      <c r="L31" s="971"/>
      <c r="M31" s="971"/>
      <c r="N31" s="971"/>
      <c r="O31" s="972"/>
    </row>
    <row r="32" spans="1:15" ht="13.5" x14ac:dyDescent="0.25">
      <c r="A32" s="331" t="s">
        <v>209</v>
      </c>
      <c r="B32" s="332"/>
      <c r="C32" s="332"/>
      <c r="D32" s="332"/>
      <c r="E32" s="332"/>
      <c r="F32" s="971" t="s">
        <v>210</v>
      </c>
      <c r="G32" s="971"/>
      <c r="H32" s="314"/>
      <c r="I32" s="971" t="s">
        <v>211</v>
      </c>
      <c r="J32" s="971"/>
      <c r="K32" s="971" t="s">
        <v>212</v>
      </c>
      <c r="L32" s="971"/>
      <c r="M32" s="971"/>
      <c r="N32" s="971"/>
      <c r="O32" s="972"/>
    </row>
    <row r="33" spans="1:15" ht="13.5" x14ac:dyDescent="0.25">
      <c r="A33" s="965" t="s">
        <v>213</v>
      </c>
      <c r="B33" s="966"/>
      <c r="C33" s="966"/>
      <c r="D33" s="966"/>
      <c r="E33" s="966"/>
      <c r="F33" s="967">
        <v>2</v>
      </c>
      <c r="G33" s="967"/>
      <c r="H33" s="314"/>
      <c r="I33" s="967" t="s">
        <v>892</v>
      </c>
      <c r="J33" s="967"/>
      <c r="K33" s="967" t="s">
        <v>214</v>
      </c>
      <c r="L33" s="967"/>
      <c r="M33" s="967"/>
      <c r="N33" s="967"/>
      <c r="O33" s="968"/>
    </row>
    <row r="34" spans="1:15" ht="13.15" customHeight="1" x14ac:dyDescent="0.25">
      <c r="A34" s="965" t="s">
        <v>215</v>
      </c>
      <c r="B34" s="966"/>
      <c r="C34" s="966"/>
      <c r="D34" s="966"/>
      <c r="E34" s="966"/>
      <c r="F34" s="967">
        <v>1.7</v>
      </c>
      <c r="G34" s="967"/>
      <c r="H34" s="314"/>
      <c r="I34" s="967" t="s">
        <v>893</v>
      </c>
      <c r="J34" s="967"/>
      <c r="K34" s="967" t="s">
        <v>216</v>
      </c>
      <c r="L34" s="967"/>
      <c r="M34" s="967"/>
      <c r="N34" s="967"/>
      <c r="O34" s="968"/>
    </row>
    <row r="35" spans="1:15" ht="13.15" customHeight="1" x14ac:dyDescent="0.25">
      <c r="A35" s="965" t="s">
        <v>217</v>
      </c>
      <c r="B35" s="966"/>
      <c r="C35" s="966"/>
      <c r="D35" s="966"/>
      <c r="E35" s="966"/>
      <c r="F35" s="967">
        <v>1.4</v>
      </c>
      <c r="G35" s="967"/>
      <c r="H35" s="314"/>
      <c r="I35" s="967" t="s">
        <v>894</v>
      </c>
      <c r="J35" s="967"/>
      <c r="K35" s="967" t="s">
        <v>218</v>
      </c>
      <c r="L35" s="967"/>
      <c r="M35" s="967"/>
      <c r="N35" s="967"/>
      <c r="O35" s="968"/>
    </row>
    <row r="36" spans="1:15" ht="13.15" customHeight="1" x14ac:dyDescent="0.25">
      <c r="A36" s="965" t="s">
        <v>219</v>
      </c>
      <c r="B36" s="966"/>
      <c r="C36" s="966"/>
      <c r="D36" s="966"/>
      <c r="E36" s="966"/>
      <c r="F36" s="967">
        <v>1.2</v>
      </c>
      <c r="G36" s="967"/>
      <c r="H36" s="314"/>
      <c r="I36" s="967" t="s">
        <v>895</v>
      </c>
      <c r="J36" s="967"/>
      <c r="K36" s="967" t="s">
        <v>220</v>
      </c>
      <c r="L36" s="967"/>
      <c r="M36" s="967"/>
      <c r="N36" s="967"/>
      <c r="O36" s="968"/>
    </row>
    <row r="37" spans="1:15" ht="13.15" customHeight="1" x14ac:dyDescent="0.25">
      <c r="A37" s="965" t="s">
        <v>221</v>
      </c>
      <c r="B37" s="966"/>
      <c r="C37" s="966"/>
      <c r="D37" s="966"/>
      <c r="E37" s="966"/>
      <c r="F37" s="967">
        <v>1</v>
      </c>
      <c r="G37" s="967"/>
      <c r="H37" s="314"/>
      <c r="I37" s="967" t="s">
        <v>896</v>
      </c>
      <c r="J37" s="967"/>
      <c r="K37" s="967" t="s">
        <v>222</v>
      </c>
      <c r="L37" s="967"/>
      <c r="M37" s="967"/>
      <c r="N37" s="967"/>
      <c r="O37" s="968"/>
    </row>
    <row r="38" spans="1:15" ht="13.15" customHeight="1" x14ac:dyDescent="0.25">
      <c r="A38" s="965" t="s">
        <v>223</v>
      </c>
      <c r="B38" s="966"/>
      <c r="C38" s="966"/>
      <c r="D38" s="966"/>
      <c r="E38" s="966"/>
      <c r="F38" s="967">
        <v>1</v>
      </c>
      <c r="G38" s="967"/>
      <c r="H38" s="314"/>
      <c r="I38" s="967"/>
      <c r="J38" s="967"/>
      <c r="K38" s="967"/>
      <c r="L38" s="967"/>
      <c r="M38" s="967"/>
      <c r="N38" s="967"/>
      <c r="O38" s="968"/>
    </row>
    <row r="39" spans="1:15" ht="13.15" customHeight="1" x14ac:dyDescent="0.25">
      <c r="A39" s="965" t="s">
        <v>224</v>
      </c>
      <c r="B39" s="966"/>
      <c r="C39" s="966"/>
      <c r="D39" s="966"/>
      <c r="E39" s="966"/>
      <c r="F39" s="967">
        <v>1</v>
      </c>
      <c r="G39" s="967"/>
      <c r="H39" s="314"/>
      <c r="I39" s="314"/>
      <c r="J39" s="314"/>
      <c r="K39" s="314"/>
      <c r="L39" s="314"/>
      <c r="M39" s="314"/>
      <c r="N39" s="314"/>
      <c r="O39" s="323"/>
    </row>
    <row r="40" spans="1:15" ht="13.15" customHeight="1" x14ac:dyDescent="0.25">
      <c r="A40" s="965" t="s">
        <v>225</v>
      </c>
      <c r="B40" s="966"/>
      <c r="C40" s="966"/>
      <c r="D40" s="966"/>
      <c r="E40" s="966"/>
      <c r="F40" s="967">
        <v>1.7</v>
      </c>
      <c r="G40" s="967"/>
      <c r="H40" s="314"/>
      <c r="I40" s="314"/>
      <c r="J40" s="314"/>
      <c r="K40" s="314"/>
      <c r="L40" s="314"/>
      <c r="M40" s="314"/>
      <c r="N40" s="314"/>
      <c r="O40" s="323"/>
    </row>
    <row r="41" spans="1:15" ht="13.15" customHeight="1" x14ac:dyDescent="0.25">
      <c r="A41" s="965" t="s">
        <v>226</v>
      </c>
      <c r="B41" s="966"/>
      <c r="C41" s="966"/>
      <c r="D41" s="966"/>
      <c r="E41" s="966"/>
      <c r="F41" s="967">
        <v>1.4</v>
      </c>
      <c r="G41" s="967"/>
      <c r="H41" s="314"/>
      <c r="I41" s="314"/>
      <c r="J41" s="314"/>
      <c r="K41" s="314"/>
      <c r="L41" s="314"/>
      <c r="M41" s="314"/>
      <c r="N41" s="314"/>
      <c r="O41" s="323"/>
    </row>
    <row r="42" spans="1:15" ht="13.15" customHeight="1" x14ac:dyDescent="0.25">
      <c r="A42" s="965" t="s">
        <v>227</v>
      </c>
      <c r="B42" s="966"/>
      <c r="C42" s="966"/>
      <c r="D42" s="966"/>
      <c r="E42" s="966"/>
      <c r="F42" s="967">
        <v>1.2</v>
      </c>
      <c r="G42" s="967"/>
      <c r="H42" s="314"/>
      <c r="I42" s="314"/>
      <c r="J42" s="314"/>
      <c r="K42" s="314"/>
      <c r="L42" s="314"/>
      <c r="M42" s="314"/>
      <c r="N42" s="314"/>
      <c r="O42" s="323"/>
    </row>
    <row r="43" spans="1:15" ht="13.5" x14ac:dyDescent="0.25">
      <c r="A43" s="965" t="s">
        <v>228</v>
      </c>
      <c r="B43" s="966"/>
      <c r="C43" s="966"/>
      <c r="D43" s="966"/>
      <c r="E43" s="966"/>
      <c r="F43" s="967">
        <v>1.2</v>
      </c>
      <c r="G43" s="967"/>
      <c r="H43" s="314"/>
      <c r="I43" s="368"/>
      <c r="J43" s="368"/>
      <c r="K43" s="368"/>
      <c r="L43" s="368"/>
      <c r="M43" s="368"/>
      <c r="N43" s="368"/>
      <c r="O43" s="369"/>
    </row>
  </sheetData>
  <mergeCells count="90">
    <mergeCell ref="B11:C11"/>
    <mergeCell ref="F11:H12"/>
    <mergeCell ref="L11:M14"/>
    <mergeCell ref="B12:C12"/>
    <mergeCell ref="B13:C13"/>
    <mergeCell ref="H22:I22"/>
    <mergeCell ref="J22:O22"/>
    <mergeCell ref="J23:O23"/>
    <mergeCell ref="B24:B25"/>
    <mergeCell ref="C24:C25"/>
    <mergeCell ref="D24:D25"/>
    <mergeCell ref="E24:E25"/>
    <mergeCell ref="F24:F25"/>
    <mergeCell ref="G24:G25"/>
    <mergeCell ref="H24:H25"/>
    <mergeCell ref="F22:F23"/>
    <mergeCell ref="G22:G23"/>
    <mergeCell ref="B22:B23"/>
    <mergeCell ref="C22:C23"/>
    <mergeCell ref="D22:D23"/>
    <mergeCell ref="E22:E23"/>
    <mergeCell ref="K32:O32"/>
    <mergeCell ref="I24:I25"/>
    <mergeCell ref="J24:O24"/>
    <mergeCell ref="J25:O25"/>
    <mergeCell ref="F27:F28"/>
    <mergeCell ref="G27:G28"/>
    <mergeCell ref="H27:I27"/>
    <mergeCell ref="J27:O27"/>
    <mergeCell ref="J28:O29"/>
    <mergeCell ref="A31:G31"/>
    <mergeCell ref="I31:O31"/>
    <mergeCell ref="A27:A29"/>
    <mergeCell ref="B27:B28"/>
    <mergeCell ref="C27:C28"/>
    <mergeCell ref="A22:A25"/>
    <mergeCell ref="D27:D28"/>
    <mergeCell ref="E27:E28"/>
    <mergeCell ref="A33:E33"/>
    <mergeCell ref="F33:G33"/>
    <mergeCell ref="I33:J33"/>
    <mergeCell ref="F32:G32"/>
    <mergeCell ref="I32:J32"/>
    <mergeCell ref="K33:O33"/>
    <mergeCell ref="A34:E34"/>
    <mergeCell ref="F34:G34"/>
    <mergeCell ref="I34:J34"/>
    <mergeCell ref="K34:O34"/>
    <mergeCell ref="I35:J35"/>
    <mergeCell ref="K35:O35"/>
    <mergeCell ref="A36:E36"/>
    <mergeCell ref="F36:G36"/>
    <mergeCell ref="I36:J36"/>
    <mergeCell ref="K36:O36"/>
    <mergeCell ref="A35:E35"/>
    <mergeCell ref="F35:G35"/>
    <mergeCell ref="A43:E43"/>
    <mergeCell ref="F43:G43"/>
    <mergeCell ref="A39:E39"/>
    <mergeCell ref="F39:G39"/>
    <mergeCell ref="A40:E40"/>
    <mergeCell ref="F40:G40"/>
    <mergeCell ref="A41:E41"/>
    <mergeCell ref="F41:G41"/>
    <mergeCell ref="A42:E42"/>
    <mergeCell ref="F42:G42"/>
    <mergeCell ref="A37:E37"/>
    <mergeCell ref="F37:G37"/>
    <mergeCell ref="I37:J37"/>
    <mergeCell ref="K37:O37"/>
    <mergeCell ref="A38:E38"/>
    <mergeCell ref="F38:G38"/>
    <mergeCell ref="I38:J38"/>
    <mergeCell ref="K38:O38"/>
    <mergeCell ref="G20:H20"/>
    <mergeCell ref="G19:H19"/>
    <mergeCell ref="G13:H13"/>
    <mergeCell ref="K16:M16"/>
    <mergeCell ref="A5:O5"/>
    <mergeCell ref="A19:A20"/>
    <mergeCell ref="A16:A17"/>
    <mergeCell ref="B16:C16"/>
    <mergeCell ref="D16:E16"/>
    <mergeCell ref="F16:J16"/>
    <mergeCell ref="B17:C17"/>
    <mergeCell ref="D17:E17"/>
    <mergeCell ref="F17:J17"/>
    <mergeCell ref="K17:L17"/>
    <mergeCell ref="A11:A13"/>
    <mergeCell ref="M7:O9"/>
  </mergeCells>
  <pageMargins left="0.23622047244094491" right="0.23622047244094491" top="0.35433070866141736" bottom="0.35433070866141736" header="0.31496062992125984" footer="0.31496062992125984"/>
  <pageSetup paperSize="9" scale="94" fitToHeight="0" orientation="landscape"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3">
    <tabColor rgb="FF006F71"/>
    <pageSetUpPr fitToPage="1"/>
  </sheetPr>
  <dimension ref="A2:O43"/>
  <sheetViews>
    <sheetView workbookViewId="0">
      <selection activeCell="B6" sqref="B6"/>
    </sheetView>
  </sheetViews>
  <sheetFormatPr defaultRowHeight="12.75" x14ac:dyDescent="0.2"/>
  <cols>
    <col min="1" max="1" width="21.5703125" style="171" customWidth="1"/>
    <col min="2" max="2" width="9.140625" style="171"/>
    <col min="3" max="3" width="8" style="171" customWidth="1"/>
    <col min="4" max="4" width="8.140625" style="171" customWidth="1"/>
    <col min="5" max="5" width="8.28515625" style="171" customWidth="1"/>
    <col min="6" max="6" width="13.140625" style="171" customWidth="1"/>
    <col min="7" max="7" width="9.140625" style="171"/>
    <col min="8" max="8" width="15" style="171" customWidth="1"/>
    <col min="9" max="9" width="9.140625" style="171"/>
    <col min="10" max="10" width="10.85546875" style="171" customWidth="1"/>
    <col min="11" max="13" width="8.28515625" style="171" customWidth="1"/>
    <col min="14" max="14" width="9.140625" style="171"/>
    <col min="15" max="15" width="11.42578125" style="171" customWidth="1"/>
    <col min="16" max="258" width="9.140625" style="171"/>
    <col min="259" max="259" width="17.5703125" style="171" customWidth="1"/>
    <col min="260" max="514" width="9.140625" style="171"/>
    <col min="515" max="515" width="17.5703125" style="171" customWidth="1"/>
    <col min="516" max="770" width="9.140625" style="171"/>
    <col min="771" max="771" width="17.5703125" style="171" customWidth="1"/>
    <col min="772" max="1026" width="9.140625" style="171"/>
    <col min="1027" max="1027" width="17.5703125" style="171" customWidth="1"/>
    <col min="1028" max="1282" width="9.140625" style="171"/>
    <col min="1283" max="1283" width="17.5703125" style="171" customWidth="1"/>
    <col min="1284" max="1538" width="9.140625" style="171"/>
    <col min="1539" max="1539" width="17.5703125" style="171" customWidth="1"/>
    <col min="1540" max="1794" width="9.140625" style="171"/>
    <col min="1795" max="1795" width="17.5703125" style="171" customWidth="1"/>
    <col min="1796" max="2050" width="9.140625" style="171"/>
    <col min="2051" max="2051" width="17.5703125" style="171" customWidth="1"/>
    <col min="2052" max="2306" width="9.140625" style="171"/>
    <col min="2307" max="2307" width="17.5703125" style="171" customWidth="1"/>
    <col min="2308" max="2562" width="9.140625" style="171"/>
    <col min="2563" max="2563" width="17.5703125" style="171" customWidth="1"/>
    <col min="2564" max="2818" width="9.140625" style="171"/>
    <col min="2819" max="2819" width="17.5703125" style="171" customWidth="1"/>
    <col min="2820" max="3074" width="9.140625" style="171"/>
    <col min="3075" max="3075" width="17.5703125" style="171" customWidth="1"/>
    <col min="3076" max="3330" width="9.140625" style="171"/>
    <col min="3331" max="3331" width="17.5703125" style="171" customWidth="1"/>
    <col min="3332" max="3586" width="9.140625" style="171"/>
    <col min="3587" max="3587" width="17.5703125" style="171" customWidth="1"/>
    <col min="3588" max="3842" width="9.140625" style="171"/>
    <col min="3843" max="3843" width="17.5703125" style="171" customWidth="1"/>
    <col min="3844" max="4098" width="9.140625" style="171"/>
    <col min="4099" max="4099" width="17.5703125" style="171" customWidth="1"/>
    <col min="4100" max="4354" width="9.140625" style="171"/>
    <col min="4355" max="4355" width="17.5703125" style="171" customWidth="1"/>
    <col min="4356" max="4610" width="9.140625" style="171"/>
    <col min="4611" max="4611" width="17.5703125" style="171" customWidth="1"/>
    <col min="4612" max="4866" width="9.140625" style="171"/>
    <col min="4867" max="4867" width="17.5703125" style="171" customWidth="1"/>
    <col min="4868" max="5122" width="9.140625" style="171"/>
    <col min="5123" max="5123" width="17.5703125" style="171" customWidth="1"/>
    <col min="5124" max="5378" width="9.140625" style="171"/>
    <col min="5379" max="5379" width="17.5703125" style="171" customWidth="1"/>
    <col min="5380" max="5634" width="9.140625" style="171"/>
    <col min="5635" max="5635" width="17.5703125" style="171" customWidth="1"/>
    <col min="5636" max="5890" width="9.140625" style="171"/>
    <col min="5891" max="5891" width="17.5703125" style="171" customWidth="1"/>
    <col min="5892" max="6146" width="9.140625" style="171"/>
    <col min="6147" max="6147" width="17.5703125" style="171" customWidth="1"/>
    <col min="6148" max="6402" width="9.140625" style="171"/>
    <col min="6403" max="6403" width="17.5703125" style="171" customWidth="1"/>
    <col min="6404" max="6658" width="9.140625" style="171"/>
    <col min="6659" max="6659" width="17.5703125" style="171" customWidth="1"/>
    <col min="6660" max="6914" width="9.140625" style="171"/>
    <col min="6915" max="6915" width="17.5703125" style="171" customWidth="1"/>
    <col min="6916" max="7170" width="9.140625" style="171"/>
    <col min="7171" max="7171" width="17.5703125" style="171" customWidth="1"/>
    <col min="7172" max="7426" width="9.140625" style="171"/>
    <col min="7427" max="7427" width="17.5703125" style="171" customWidth="1"/>
    <col min="7428" max="7682" width="9.140625" style="171"/>
    <col min="7683" max="7683" width="17.5703125" style="171" customWidth="1"/>
    <col min="7684" max="7938" width="9.140625" style="171"/>
    <col min="7939" max="7939" width="17.5703125" style="171" customWidth="1"/>
    <col min="7940" max="8194" width="9.140625" style="171"/>
    <col min="8195" max="8195" width="17.5703125" style="171" customWidth="1"/>
    <col min="8196" max="8450" width="9.140625" style="171"/>
    <col min="8451" max="8451" width="17.5703125" style="171" customWidth="1"/>
    <col min="8452" max="8706" width="9.140625" style="171"/>
    <col min="8707" max="8707" width="17.5703125" style="171" customWidth="1"/>
    <col min="8708" max="8962" width="9.140625" style="171"/>
    <col min="8963" max="8963" width="17.5703125" style="171" customWidth="1"/>
    <col min="8964" max="9218" width="9.140625" style="171"/>
    <col min="9219" max="9219" width="17.5703125" style="171" customWidth="1"/>
    <col min="9220" max="9474" width="9.140625" style="171"/>
    <col min="9475" max="9475" width="17.5703125" style="171" customWidth="1"/>
    <col min="9476" max="9730" width="9.140625" style="171"/>
    <col min="9731" max="9731" width="17.5703125" style="171" customWidth="1"/>
    <col min="9732" max="9986" width="9.140625" style="171"/>
    <col min="9987" max="9987" width="17.5703125" style="171" customWidth="1"/>
    <col min="9988" max="10242" width="9.140625" style="171"/>
    <col min="10243" max="10243" width="17.5703125" style="171" customWidth="1"/>
    <col min="10244" max="10498" width="9.140625" style="171"/>
    <col min="10499" max="10499" width="17.5703125" style="171" customWidth="1"/>
    <col min="10500" max="10754" width="9.140625" style="171"/>
    <col min="10755" max="10755" width="17.5703125" style="171" customWidth="1"/>
    <col min="10756" max="11010" width="9.140625" style="171"/>
    <col min="11011" max="11011" width="17.5703125" style="171" customWidth="1"/>
    <col min="11012" max="11266" width="9.140625" style="171"/>
    <col min="11267" max="11267" width="17.5703125" style="171" customWidth="1"/>
    <col min="11268" max="11522" width="9.140625" style="171"/>
    <col min="11523" max="11523" width="17.5703125" style="171" customWidth="1"/>
    <col min="11524" max="11778" width="9.140625" style="171"/>
    <col min="11779" max="11779" width="17.5703125" style="171" customWidth="1"/>
    <col min="11780" max="12034" width="9.140625" style="171"/>
    <col min="12035" max="12035" width="17.5703125" style="171" customWidth="1"/>
    <col min="12036" max="12290" width="9.140625" style="171"/>
    <col min="12291" max="12291" width="17.5703125" style="171" customWidth="1"/>
    <col min="12292" max="12546" width="9.140625" style="171"/>
    <col min="12547" max="12547" width="17.5703125" style="171" customWidth="1"/>
    <col min="12548" max="12802" width="9.140625" style="171"/>
    <col min="12803" max="12803" width="17.5703125" style="171" customWidth="1"/>
    <col min="12804" max="13058" width="9.140625" style="171"/>
    <col min="13059" max="13059" width="17.5703125" style="171" customWidth="1"/>
    <col min="13060" max="13314" width="9.140625" style="171"/>
    <col min="13315" max="13315" width="17.5703125" style="171" customWidth="1"/>
    <col min="13316" max="13570" width="9.140625" style="171"/>
    <col min="13571" max="13571" width="17.5703125" style="171" customWidth="1"/>
    <col min="13572" max="13826" width="9.140625" style="171"/>
    <col min="13827" max="13827" width="17.5703125" style="171" customWidth="1"/>
    <col min="13828" max="14082" width="9.140625" style="171"/>
    <col min="14083" max="14083" width="17.5703125" style="171" customWidth="1"/>
    <col min="14084" max="14338" width="9.140625" style="171"/>
    <col min="14339" max="14339" width="17.5703125" style="171" customWidth="1"/>
    <col min="14340" max="14594" width="9.140625" style="171"/>
    <col min="14595" max="14595" width="17.5703125" style="171" customWidth="1"/>
    <col min="14596" max="14850" width="9.140625" style="171"/>
    <col min="14851" max="14851" width="17.5703125" style="171" customWidth="1"/>
    <col min="14852" max="15106" width="9.140625" style="171"/>
    <col min="15107" max="15107" width="17.5703125" style="171" customWidth="1"/>
    <col min="15108" max="15362" width="9.140625" style="171"/>
    <col min="15363" max="15363" width="17.5703125" style="171" customWidth="1"/>
    <col min="15364" max="15618" width="9.140625" style="171"/>
    <col min="15619" max="15619" width="17.5703125" style="171" customWidth="1"/>
    <col min="15620" max="15874" width="9.140625" style="171"/>
    <col min="15875" max="15875" width="17.5703125" style="171" customWidth="1"/>
    <col min="15876" max="16130" width="9.140625" style="171"/>
    <col min="16131" max="16131" width="17.5703125" style="171" customWidth="1"/>
    <col min="16132" max="16384" width="9.140625" style="171"/>
  </cols>
  <sheetData>
    <row r="2" spans="1:15" ht="13.15" customHeight="1" x14ac:dyDescent="0.2">
      <c r="A2" s="276"/>
      <c r="B2" s="289" t="str">
        <f>N.GOV</f>
        <v>GOVERNO DO ESTADO DE MATO GROSSO DO SUL</v>
      </c>
      <c r="C2" s="289"/>
      <c r="D2" s="289"/>
      <c r="E2" s="289"/>
      <c r="F2" s="289"/>
      <c r="G2" s="289"/>
      <c r="H2" s="289"/>
      <c r="I2" s="289"/>
      <c r="J2" s="289"/>
      <c r="K2" s="289"/>
      <c r="L2" s="289"/>
      <c r="M2" s="289"/>
      <c r="N2" s="289"/>
      <c r="O2" s="311"/>
    </row>
    <row r="3" spans="1:15" ht="24.75" customHeight="1" x14ac:dyDescent="0.2">
      <c r="A3" s="279"/>
      <c r="B3" s="222" t="str" cm="1">
        <f t="array" aca="1" ref="B3" ca="1">N.PREFEITURA</f>
        <v>PREFEITURA MUNICIPAL DE NAVIRAÍ</v>
      </c>
      <c r="C3" s="222"/>
      <c r="D3" s="222"/>
      <c r="E3" s="222"/>
      <c r="F3" s="222"/>
      <c r="G3" s="222"/>
      <c r="H3" s="222"/>
      <c r="I3" s="309"/>
      <c r="J3" s="309"/>
      <c r="K3" s="309"/>
      <c r="L3" s="309"/>
      <c r="M3" s="206"/>
      <c r="N3" s="206"/>
      <c r="O3" s="312"/>
    </row>
    <row r="4" spans="1:15" x14ac:dyDescent="0.2">
      <c r="A4" s="293"/>
      <c r="B4" s="290" t="str" cm="1">
        <f t="array" aca="1" ref="B4" ca="1">N.SECRETARIA</f>
        <v>SECRETARIA DE PLANEJAMENTO</v>
      </c>
      <c r="C4" s="290"/>
      <c r="D4" s="290"/>
      <c r="E4" s="290"/>
      <c r="F4" s="290"/>
      <c r="G4" s="290"/>
      <c r="H4" s="290"/>
      <c r="I4" s="290"/>
      <c r="J4" s="290"/>
      <c r="K4" s="290"/>
      <c r="L4" s="290"/>
      <c r="M4" s="205"/>
      <c r="N4" s="205"/>
      <c r="O4" s="310"/>
    </row>
    <row r="5" spans="1:15" ht="20.45" customHeight="1" x14ac:dyDescent="0.2">
      <c r="A5" s="948" t="s">
        <v>229</v>
      </c>
      <c r="B5" s="949"/>
      <c r="C5" s="949"/>
      <c r="D5" s="949"/>
      <c r="E5" s="949"/>
      <c r="F5" s="949"/>
      <c r="G5" s="949"/>
      <c r="H5" s="949"/>
      <c r="I5" s="949"/>
      <c r="J5" s="949"/>
      <c r="K5" s="949"/>
      <c r="L5" s="949"/>
      <c r="M5" s="949"/>
      <c r="N5" s="949"/>
      <c r="O5" s="950"/>
    </row>
    <row r="6" spans="1:15" ht="13.15" customHeight="1" x14ac:dyDescent="0.2">
      <c r="A6" s="313" t="s">
        <v>811</v>
      </c>
      <c r="B6" s="549" t="str">
        <f>N.DESCRICAO</f>
        <v>INFRAESTRUTURA URBANA – PAVIMENTAÇÃO ASFÁLTICA, DRENAGEM, E SINALIZAÇÃO VIÁRIA NO ACESSO AO CEMITERIO MUNICIPAL DE NAVIRAÍ/ MS</v>
      </c>
      <c r="C6" s="204"/>
      <c r="D6" s="204"/>
      <c r="E6" s="205"/>
      <c r="F6" s="205"/>
      <c r="G6" s="205"/>
      <c r="H6" s="205"/>
      <c r="I6" s="205"/>
      <c r="J6" s="210"/>
      <c r="K6" s="210"/>
      <c r="L6" s="210"/>
      <c r="M6" s="270"/>
      <c r="N6" s="272" t="s">
        <v>305</v>
      </c>
      <c r="O6" s="271"/>
    </row>
    <row r="7" spans="1:15" ht="13.15" customHeight="1" x14ac:dyDescent="0.2">
      <c r="A7" s="193" t="s">
        <v>799</v>
      </c>
      <c r="B7" s="548" t="str">
        <f ca="1">N.MUNICIPIO</f>
        <v>NAVIRAÍ</v>
      </c>
      <c r="C7" s="194"/>
      <c r="D7" s="194"/>
      <c r="E7" s="194"/>
      <c r="F7" s="194"/>
      <c r="G7" s="194"/>
      <c r="H7" s="194"/>
      <c r="I7" s="194"/>
      <c r="J7" s="194"/>
      <c r="K7" s="194"/>
      <c r="L7" s="194"/>
      <c r="M7" s="959" t="str">
        <f>"  _______________________________             "&amp;N.Engenheiro&amp;"                                 "&amp;N.CREA</f>
        <v xml:space="preserve">  _______________________________             FÁBIO MARQUES RIBEIRO                                 ENGENHEIRO CIVIL - 15.276 D/MS</v>
      </c>
      <c r="N7" s="960"/>
      <c r="O7" s="961"/>
    </row>
    <row r="8" spans="1:15" ht="13.15" customHeight="1" x14ac:dyDescent="0.2">
      <c r="A8" s="193" t="s">
        <v>798</v>
      </c>
      <c r="B8" s="548" t="str" cm="1">
        <f t="array" ref="B8">N.LOCAL</f>
        <v>AVENIDA JOÃO RIGONATO</v>
      </c>
      <c r="C8" s="194"/>
      <c r="D8" s="194"/>
      <c r="E8" s="194"/>
      <c r="F8" s="194"/>
      <c r="G8" s="194"/>
      <c r="H8" s="194"/>
      <c r="I8" s="194"/>
      <c r="J8" s="194"/>
      <c r="K8" s="194"/>
      <c r="L8" s="194"/>
      <c r="M8" s="959"/>
      <c r="N8" s="960"/>
      <c r="O8" s="961"/>
    </row>
    <row r="9" spans="1:15" ht="13.15" customHeight="1" x14ac:dyDescent="0.2">
      <c r="A9" s="193" t="s">
        <v>813</v>
      </c>
      <c r="B9" s="546" t="str" cm="1">
        <f t="array" ref="B9">N.BASE</f>
        <v>AGESUL(SETEMBRO/2025)/SINAPI(SETEMBRO/2025)</v>
      </c>
      <c r="C9" s="195"/>
      <c r="D9" s="195"/>
      <c r="E9" s="195"/>
      <c r="F9" s="195"/>
      <c r="G9" s="195"/>
      <c r="H9" s="195"/>
      <c r="I9" s="195"/>
      <c r="J9" s="195"/>
      <c r="K9" s="195"/>
      <c r="L9" s="195"/>
      <c r="M9" s="962"/>
      <c r="N9" s="963"/>
      <c r="O9" s="964"/>
    </row>
    <row r="10" spans="1:15" ht="13.15" customHeight="1" x14ac:dyDescent="0.2">
      <c r="A10" s="283"/>
      <c r="B10" s="207"/>
      <c r="C10" s="207"/>
      <c r="D10" s="207"/>
      <c r="E10" s="207"/>
      <c r="F10" s="207"/>
      <c r="G10" s="207"/>
      <c r="H10" s="207"/>
      <c r="I10" s="207"/>
      <c r="J10" s="207"/>
      <c r="K10" s="207"/>
      <c r="L10" s="207"/>
      <c r="M10" s="288"/>
      <c r="N10" s="288"/>
      <c r="O10" s="287"/>
    </row>
    <row r="11" spans="1:15" ht="16.899999999999999" customHeight="1" x14ac:dyDescent="0.25">
      <c r="A11" s="951" t="s">
        <v>179</v>
      </c>
      <c r="B11" s="1000" t="s">
        <v>13</v>
      </c>
      <c r="C11" s="944"/>
      <c r="D11" s="356">
        <v>2</v>
      </c>
      <c r="E11" s="314"/>
      <c r="F11" s="1001" t="s">
        <v>236</v>
      </c>
      <c r="G11" s="1002"/>
      <c r="H11" s="1003"/>
      <c r="I11" s="314"/>
      <c r="J11" s="314"/>
      <c r="K11" s="314"/>
      <c r="L11" s="1001" t="s">
        <v>180</v>
      </c>
      <c r="M11" s="1003"/>
      <c r="N11" s="356" t="s">
        <v>897</v>
      </c>
      <c r="O11" s="358">
        <f>K17</f>
        <v>3</v>
      </c>
    </row>
    <row r="12" spans="1:15" ht="18.600000000000001" customHeight="1" x14ac:dyDescent="0.25">
      <c r="A12" s="958"/>
      <c r="B12" s="1000" t="s">
        <v>181</v>
      </c>
      <c r="C12" s="944"/>
      <c r="D12" s="356">
        <v>1</v>
      </c>
      <c r="E12" s="314"/>
      <c r="F12" s="1004"/>
      <c r="G12" s="1005"/>
      <c r="H12" s="1006"/>
      <c r="I12" s="314"/>
      <c r="J12" s="314"/>
      <c r="K12" s="314"/>
      <c r="L12" s="1007"/>
      <c r="M12" s="1008"/>
      <c r="N12" s="356" t="s">
        <v>898</v>
      </c>
      <c r="O12" s="358">
        <v>20</v>
      </c>
    </row>
    <row r="13" spans="1:15" ht="18" customHeight="1" x14ac:dyDescent="0.25">
      <c r="A13" s="952"/>
      <c r="B13" s="1000" t="s">
        <v>814</v>
      </c>
      <c r="C13" s="944"/>
      <c r="D13" s="356">
        <v>1</v>
      </c>
      <c r="E13" s="314"/>
      <c r="F13" s="357" t="s">
        <v>237</v>
      </c>
      <c r="G13" s="943" t="s">
        <v>1527</v>
      </c>
      <c r="H13" s="944"/>
      <c r="I13" s="314"/>
      <c r="J13" s="314"/>
      <c r="K13" s="314"/>
      <c r="L13" s="1007"/>
      <c r="M13" s="1008"/>
      <c r="N13" s="356" t="s">
        <v>899</v>
      </c>
      <c r="O13" s="358">
        <v>0</v>
      </c>
    </row>
    <row r="14" spans="1:15" ht="17.45" customHeight="1" x14ac:dyDescent="0.25">
      <c r="A14" s="315"/>
      <c r="B14" s="316"/>
      <c r="C14" s="316"/>
      <c r="D14" s="317"/>
      <c r="E14" s="314"/>
      <c r="F14" s="316"/>
      <c r="G14" s="316"/>
      <c r="H14" s="316"/>
      <c r="I14" s="314"/>
      <c r="J14" s="314"/>
      <c r="K14" s="314"/>
      <c r="L14" s="1004"/>
      <c r="M14" s="1006"/>
      <c r="N14" s="356" t="s">
        <v>900</v>
      </c>
      <c r="O14" s="358">
        <v>0</v>
      </c>
    </row>
    <row r="15" spans="1:15" ht="4.9000000000000004" customHeight="1" x14ac:dyDescent="0.25">
      <c r="A15" s="318"/>
      <c r="B15" s="319"/>
      <c r="C15" s="320"/>
      <c r="D15" s="314"/>
      <c r="E15" s="314"/>
      <c r="F15" s="314"/>
      <c r="G15" s="314"/>
      <c r="H15" s="314"/>
      <c r="I15" s="314"/>
      <c r="J15" s="316"/>
      <c r="K15" s="316"/>
      <c r="L15" s="321"/>
      <c r="M15" s="321"/>
      <c r="N15" s="321"/>
      <c r="O15" s="322"/>
    </row>
    <row r="16" spans="1:15" ht="15.75" x14ac:dyDescent="0.25">
      <c r="A16" s="951" t="s">
        <v>183</v>
      </c>
      <c r="B16" s="941" t="s">
        <v>184</v>
      </c>
      <c r="C16" s="942"/>
      <c r="D16" s="945" t="s">
        <v>185</v>
      </c>
      <c r="E16" s="947"/>
      <c r="F16" s="945" t="s">
        <v>186</v>
      </c>
      <c r="G16" s="946"/>
      <c r="H16" s="946"/>
      <c r="I16" s="946"/>
      <c r="J16" s="947"/>
      <c r="K16" s="945" t="s">
        <v>187</v>
      </c>
      <c r="L16" s="946"/>
      <c r="M16" s="947"/>
      <c r="N16" s="314"/>
      <c r="O16" s="323"/>
    </row>
    <row r="17" spans="1:15" ht="13.5" x14ac:dyDescent="0.25">
      <c r="A17" s="952"/>
      <c r="B17" s="939" t="s">
        <v>901</v>
      </c>
      <c r="C17" s="940"/>
      <c r="D17" s="953" t="s">
        <v>1526</v>
      </c>
      <c r="E17" s="954"/>
      <c r="F17" s="953" t="s">
        <v>188</v>
      </c>
      <c r="G17" s="955"/>
      <c r="H17" s="955"/>
      <c r="I17" s="955"/>
      <c r="J17" s="954"/>
      <c r="K17" s="956">
        <v>3</v>
      </c>
      <c r="L17" s="957"/>
      <c r="M17" s="355" t="s">
        <v>189</v>
      </c>
      <c r="N17" s="324"/>
      <c r="O17" s="323"/>
    </row>
    <row r="18" spans="1:15" ht="4.9000000000000004" customHeight="1" x14ac:dyDescent="0.25">
      <c r="A18" s="315"/>
      <c r="B18" s="321"/>
      <c r="C18" s="320"/>
      <c r="D18" s="314"/>
      <c r="E18" s="314"/>
      <c r="F18" s="314"/>
      <c r="G18" s="314"/>
      <c r="H18" s="314"/>
      <c r="I18" s="314"/>
      <c r="J18" s="314"/>
      <c r="K18" s="314"/>
      <c r="L18" s="314"/>
      <c r="M18" s="314"/>
      <c r="N18" s="314"/>
      <c r="O18" s="323"/>
    </row>
    <row r="19" spans="1:15" ht="27" customHeight="1" x14ac:dyDescent="0.2">
      <c r="A19" s="951" t="s">
        <v>190</v>
      </c>
      <c r="B19" s="359" t="s">
        <v>191</v>
      </c>
      <c r="C19" s="352" t="s">
        <v>192</v>
      </c>
      <c r="D19" s="352" t="s">
        <v>13</v>
      </c>
      <c r="E19" s="352" t="s">
        <v>193</v>
      </c>
      <c r="F19" s="352" t="s">
        <v>194</v>
      </c>
      <c r="G19" s="941" t="s">
        <v>195</v>
      </c>
      <c r="H19" s="942"/>
      <c r="I19" s="352" t="s">
        <v>185</v>
      </c>
      <c r="J19" s="352" t="s">
        <v>230</v>
      </c>
      <c r="K19" s="352" t="s">
        <v>235</v>
      </c>
      <c r="L19" s="352" t="s">
        <v>233</v>
      </c>
      <c r="M19" s="352" t="s">
        <v>231</v>
      </c>
      <c r="N19" s="352" t="s">
        <v>232</v>
      </c>
      <c r="O19" s="360" t="s">
        <v>234</v>
      </c>
    </row>
    <row r="20" spans="1:15" ht="18" customHeight="1" x14ac:dyDescent="0.2">
      <c r="A20" s="952"/>
      <c r="B20" s="361">
        <v>0.6</v>
      </c>
      <c r="C20" s="358">
        <v>26</v>
      </c>
      <c r="D20" s="358">
        <f>K17</f>
        <v>3</v>
      </c>
      <c r="E20" s="358">
        <v>20</v>
      </c>
      <c r="F20" s="362">
        <v>20</v>
      </c>
      <c r="G20" s="939">
        <f>K20*M20</f>
        <v>3960249.9999999995</v>
      </c>
      <c r="H20" s="940"/>
      <c r="I20" s="354" t="str">
        <f>D17</f>
        <v>MÉDIO</v>
      </c>
      <c r="J20" s="358">
        <f>(N20*(2+(O20+1)*L20/100))/2</f>
        <v>775</v>
      </c>
      <c r="K20" s="363">
        <f>365*O20*J20</f>
        <v>2828750</v>
      </c>
      <c r="L20" s="364">
        <v>10</v>
      </c>
      <c r="M20" s="364">
        <v>1.4</v>
      </c>
      <c r="N20" s="364">
        <v>500</v>
      </c>
      <c r="O20" s="364">
        <v>10</v>
      </c>
    </row>
    <row r="21" spans="1:15" ht="4.1500000000000004" customHeight="1" x14ac:dyDescent="0.25">
      <c r="A21" s="318"/>
      <c r="B21" s="319"/>
      <c r="C21" s="320"/>
      <c r="D21" s="314"/>
      <c r="E21" s="314"/>
      <c r="F21" s="314"/>
      <c r="G21" s="314"/>
      <c r="H21" s="314"/>
      <c r="I21" s="314"/>
      <c r="J21" s="314"/>
      <c r="K21" s="314"/>
      <c r="L21" s="314"/>
      <c r="M21" s="314"/>
      <c r="N21" s="314"/>
      <c r="O21" s="323"/>
    </row>
    <row r="22" spans="1:15" ht="13.15" customHeight="1" x14ac:dyDescent="0.2">
      <c r="A22" s="951" t="s">
        <v>196</v>
      </c>
      <c r="B22" s="989" t="s">
        <v>191</v>
      </c>
      <c r="C22" s="969" t="s">
        <v>197</v>
      </c>
      <c r="D22" s="969" t="s">
        <v>13</v>
      </c>
      <c r="E22" s="969" t="s">
        <v>11</v>
      </c>
      <c r="F22" s="975" t="s">
        <v>198</v>
      </c>
      <c r="G22" s="975" t="s">
        <v>199</v>
      </c>
      <c r="H22" s="977" t="s">
        <v>2</v>
      </c>
      <c r="I22" s="978"/>
      <c r="J22" s="991" t="s">
        <v>200</v>
      </c>
      <c r="K22" s="992"/>
      <c r="L22" s="992"/>
      <c r="M22" s="992"/>
      <c r="N22" s="992"/>
      <c r="O22" s="993"/>
    </row>
    <row r="23" spans="1:15" ht="13.5" x14ac:dyDescent="0.25">
      <c r="A23" s="958"/>
      <c r="B23" s="990"/>
      <c r="C23" s="970"/>
      <c r="D23" s="970"/>
      <c r="E23" s="970"/>
      <c r="F23" s="976"/>
      <c r="G23" s="976"/>
      <c r="H23" s="353" t="s">
        <v>201</v>
      </c>
      <c r="I23" s="365" t="s">
        <v>202</v>
      </c>
      <c r="J23" s="953" t="s">
        <v>203</v>
      </c>
      <c r="K23" s="955"/>
      <c r="L23" s="955"/>
      <c r="M23" s="955"/>
      <c r="N23" s="955"/>
      <c r="O23" s="954"/>
    </row>
    <row r="24" spans="1:15" ht="13.5" x14ac:dyDescent="0.25">
      <c r="A24" s="958"/>
      <c r="B24" s="994">
        <v>0.1</v>
      </c>
      <c r="C24" s="973">
        <f>O13</f>
        <v>0</v>
      </c>
      <c r="D24" s="973">
        <f>D20</f>
        <v>3</v>
      </c>
      <c r="E24" s="973">
        <f>F20</f>
        <v>20</v>
      </c>
      <c r="F24" s="973">
        <v>0</v>
      </c>
      <c r="G24" s="996">
        <v>0</v>
      </c>
      <c r="H24" s="998"/>
      <c r="I24" s="973"/>
      <c r="J24" s="953" t="s">
        <v>204</v>
      </c>
      <c r="K24" s="955"/>
      <c r="L24" s="955"/>
      <c r="M24" s="955"/>
      <c r="N24" s="955"/>
      <c r="O24" s="954"/>
    </row>
    <row r="25" spans="1:15" ht="13.5" x14ac:dyDescent="0.25">
      <c r="A25" s="952"/>
      <c r="B25" s="995"/>
      <c r="C25" s="974"/>
      <c r="D25" s="974"/>
      <c r="E25" s="974"/>
      <c r="F25" s="974"/>
      <c r="G25" s="997"/>
      <c r="H25" s="999"/>
      <c r="I25" s="974"/>
      <c r="J25" s="953" t="s">
        <v>205</v>
      </c>
      <c r="K25" s="955"/>
      <c r="L25" s="955"/>
      <c r="M25" s="955"/>
      <c r="N25" s="955"/>
      <c r="O25" s="954"/>
    </row>
    <row r="26" spans="1:15" ht="5.45" customHeight="1" x14ac:dyDescent="0.25">
      <c r="A26" s="325"/>
      <c r="B26" s="314"/>
      <c r="C26" s="314"/>
      <c r="D26" s="314"/>
      <c r="E26" s="314"/>
      <c r="F26" s="314"/>
      <c r="G26" s="314"/>
      <c r="H26" s="314"/>
      <c r="I26" s="314"/>
      <c r="J26" s="314"/>
      <c r="K26" s="314"/>
      <c r="L26" s="314"/>
      <c r="M26" s="314"/>
      <c r="N26" s="314"/>
      <c r="O26" s="323"/>
    </row>
    <row r="27" spans="1:15" ht="13.15" customHeight="1" x14ac:dyDescent="0.2">
      <c r="A27" s="951" t="s">
        <v>206</v>
      </c>
      <c r="B27" s="989" t="s">
        <v>191</v>
      </c>
      <c r="C27" s="969" t="s">
        <v>197</v>
      </c>
      <c r="D27" s="969" t="s">
        <v>13</v>
      </c>
      <c r="E27" s="969" t="s">
        <v>11</v>
      </c>
      <c r="F27" s="975" t="s">
        <v>198</v>
      </c>
      <c r="G27" s="975" t="s">
        <v>199</v>
      </c>
      <c r="H27" s="977" t="s">
        <v>2</v>
      </c>
      <c r="I27" s="978"/>
      <c r="J27" s="979" t="s">
        <v>200</v>
      </c>
      <c r="K27" s="980"/>
      <c r="L27" s="980"/>
      <c r="M27" s="980"/>
      <c r="N27" s="980"/>
      <c r="O27" s="981"/>
    </row>
    <row r="28" spans="1:15" ht="13.15" customHeight="1" x14ac:dyDescent="0.2">
      <c r="A28" s="958"/>
      <c r="B28" s="990"/>
      <c r="C28" s="970"/>
      <c r="D28" s="970"/>
      <c r="E28" s="970"/>
      <c r="F28" s="976"/>
      <c r="G28" s="976"/>
      <c r="H28" s="353" t="s">
        <v>201</v>
      </c>
      <c r="I28" s="365" t="s">
        <v>202</v>
      </c>
      <c r="J28" s="982"/>
      <c r="K28" s="983"/>
      <c r="L28" s="983"/>
      <c r="M28" s="983"/>
      <c r="N28" s="983"/>
      <c r="O28" s="984"/>
    </row>
    <row r="29" spans="1:15" ht="24" customHeight="1" x14ac:dyDescent="0.2">
      <c r="A29" s="952"/>
      <c r="B29" s="366"/>
      <c r="C29" s="363">
        <f>O14</f>
        <v>0</v>
      </c>
      <c r="D29" s="367"/>
      <c r="E29" s="367"/>
      <c r="F29" s="363">
        <f>SUM(C29-D29*2-E29*1.1)/D13</f>
        <v>0</v>
      </c>
      <c r="G29" s="367"/>
      <c r="H29" s="363"/>
      <c r="I29" s="363"/>
      <c r="J29" s="985"/>
      <c r="K29" s="986"/>
      <c r="L29" s="986"/>
      <c r="M29" s="986"/>
      <c r="N29" s="986"/>
      <c r="O29" s="987"/>
    </row>
    <row r="30" spans="1:15" ht="5.45" customHeight="1" x14ac:dyDescent="0.25">
      <c r="A30" s="315"/>
      <c r="B30" s="326"/>
      <c r="C30" s="327"/>
      <c r="D30" s="327"/>
      <c r="E30" s="327"/>
      <c r="F30" s="328"/>
      <c r="G30" s="327"/>
      <c r="H30" s="324"/>
      <c r="I30" s="328"/>
      <c r="J30" s="329"/>
      <c r="K30" s="329"/>
      <c r="L30" s="329"/>
      <c r="M30" s="329"/>
      <c r="N30" s="329"/>
      <c r="O30" s="330"/>
    </row>
    <row r="31" spans="1:15" ht="13.5" x14ac:dyDescent="0.25">
      <c r="A31" s="988" t="s">
        <v>207</v>
      </c>
      <c r="B31" s="971"/>
      <c r="C31" s="971"/>
      <c r="D31" s="971"/>
      <c r="E31" s="971"/>
      <c r="F31" s="971"/>
      <c r="G31" s="971"/>
      <c r="H31" s="314"/>
      <c r="I31" s="971" t="s">
        <v>208</v>
      </c>
      <c r="J31" s="971"/>
      <c r="K31" s="971"/>
      <c r="L31" s="971"/>
      <c r="M31" s="971"/>
      <c r="N31" s="971"/>
      <c r="O31" s="972"/>
    </row>
    <row r="32" spans="1:15" ht="13.5" x14ac:dyDescent="0.25">
      <c r="A32" s="331" t="s">
        <v>209</v>
      </c>
      <c r="B32" s="332"/>
      <c r="C32" s="332"/>
      <c r="D32" s="332"/>
      <c r="E32" s="332"/>
      <c r="F32" s="971" t="s">
        <v>210</v>
      </c>
      <c r="G32" s="971"/>
      <c r="H32" s="314"/>
      <c r="I32" s="971" t="s">
        <v>211</v>
      </c>
      <c r="J32" s="971"/>
      <c r="K32" s="971" t="s">
        <v>212</v>
      </c>
      <c r="L32" s="971"/>
      <c r="M32" s="971"/>
      <c r="N32" s="971"/>
      <c r="O32" s="972"/>
    </row>
    <row r="33" spans="1:15" ht="13.5" x14ac:dyDescent="0.25">
      <c r="A33" s="965" t="s">
        <v>213</v>
      </c>
      <c r="B33" s="966"/>
      <c r="C33" s="966"/>
      <c r="D33" s="966"/>
      <c r="E33" s="966"/>
      <c r="F33" s="967">
        <v>2</v>
      </c>
      <c r="G33" s="967"/>
      <c r="H33" s="314"/>
      <c r="I33" s="967" t="s">
        <v>892</v>
      </c>
      <c r="J33" s="967"/>
      <c r="K33" s="967" t="s">
        <v>214</v>
      </c>
      <c r="L33" s="967"/>
      <c r="M33" s="967"/>
      <c r="N33" s="967"/>
      <c r="O33" s="968"/>
    </row>
    <row r="34" spans="1:15" ht="13.15" customHeight="1" x14ac:dyDescent="0.25">
      <c r="A34" s="965" t="s">
        <v>215</v>
      </c>
      <c r="B34" s="966"/>
      <c r="C34" s="966"/>
      <c r="D34" s="966"/>
      <c r="E34" s="966"/>
      <c r="F34" s="967">
        <v>1.7</v>
      </c>
      <c r="G34" s="967"/>
      <c r="H34" s="314"/>
      <c r="I34" s="967" t="s">
        <v>893</v>
      </c>
      <c r="J34" s="967"/>
      <c r="K34" s="967" t="s">
        <v>216</v>
      </c>
      <c r="L34" s="967"/>
      <c r="M34" s="967"/>
      <c r="N34" s="967"/>
      <c r="O34" s="968"/>
    </row>
    <row r="35" spans="1:15" ht="13.15" customHeight="1" x14ac:dyDescent="0.25">
      <c r="A35" s="965" t="s">
        <v>217</v>
      </c>
      <c r="B35" s="966"/>
      <c r="C35" s="966"/>
      <c r="D35" s="966"/>
      <c r="E35" s="966"/>
      <c r="F35" s="967">
        <v>1.4</v>
      </c>
      <c r="G35" s="967"/>
      <c r="H35" s="314"/>
      <c r="I35" s="967" t="s">
        <v>894</v>
      </c>
      <c r="J35" s="967"/>
      <c r="K35" s="967" t="s">
        <v>218</v>
      </c>
      <c r="L35" s="967"/>
      <c r="M35" s="967"/>
      <c r="N35" s="967"/>
      <c r="O35" s="968"/>
    </row>
    <row r="36" spans="1:15" ht="13.15" customHeight="1" x14ac:dyDescent="0.25">
      <c r="A36" s="965" t="s">
        <v>219</v>
      </c>
      <c r="B36" s="966"/>
      <c r="C36" s="966"/>
      <c r="D36" s="966"/>
      <c r="E36" s="966"/>
      <c r="F36" s="967">
        <v>1.2</v>
      </c>
      <c r="G36" s="967"/>
      <c r="H36" s="314"/>
      <c r="I36" s="967" t="s">
        <v>895</v>
      </c>
      <c r="J36" s="967"/>
      <c r="K36" s="967" t="s">
        <v>220</v>
      </c>
      <c r="L36" s="967"/>
      <c r="M36" s="967"/>
      <c r="N36" s="967"/>
      <c r="O36" s="968"/>
    </row>
    <row r="37" spans="1:15" ht="13.15" customHeight="1" x14ac:dyDescent="0.25">
      <c r="A37" s="965" t="s">
        <v>221</v>
      </c>
      <c r="B37" s="966"/>
      <c r="C37" s="966"/>
      <c r="D37" s="966"/>
      <c r="E37" s="966"/>
      <c r="F37" s="967">
        <v>1</v>
      </c>
      <c r="G37" s="967"/>
      <c r="H37" s="314"/>
      <c r="I37" s="967" t="s">
        <v>896</v>
      </c>
      <c r="J37" s="967"/>
      <c r="K37" s="967" t="s">
        <v>222</v>
      </c>
      <c r="L37" s="967"/>
      <c r="M37" s="967"/>
      <c r="N37" s="967"/>
      <c r="O37" s="968"/>
    </row>
    <row r="38" spans="1:15" ht="13.15" customHeight="1" x14ac:dyDescent="0.25">
      <c r="A38" s="965" t="s">
        <v>223</v>
      </c>
      <c r="B38" s="966"/>
      <c r="C38" s="966"/>
      <c r="D38" s="966"/>
      <c r="E38" s="966"/>
      <c r="F38" s="967">
        <v>1</v>
      </c>
      <c r="G38" s="967"/>
      <c r="H38" s="314"/>
      <c r="I38" s="967"/>
      <c r="J38" s="967"/>
      <c r="K38" s="967"/>
      <c r="L38" s="967"/>
      <c r="M38" s="967"/>
      <c r="N38" s="967"/>
      <c r="O38" s="968"/>
    </row>
    <row r="39" spans="1:15" ht="13.15" customHeight="1" x14ac:dyDescent="0.25">
      <c r="A39" s="965" t="s">
        <v>224</v>
      </c>
      <c r="B39" s="966"/>
      <c r="C39" s="966"/>
      <c r="D39" s="966"/>
      <c r="E39" s="966"/>
      <c r="F39" s="967">
        <v>1</v>
      </c>
      <c r="G39" s="967"/>
      <c r="H39" s="314"/>
      <c r="I39" s="314"/>
      <c r="J39" s="314"/>
      <c r="K39" s="314"/>
      <c r="L39" s="314"/>
      <c r="M39" s="314"/>
      <c r="N39" s="314"/>
      <c r="O39" s="323"/>
    </row>
    <row r="40" spans="1:15" ht="13.15" customHeight="1" x14ac:dyDescent="0.25">
      <c r="A40" s="965" t="s">
        <v>225</v>
      </c>
      <c r="B40" s="966"/>
      <c r="C40" s="966"/>
      <c r="D40" s="966"/>
      <c r="E40" s="966"/>
      <c r="F40" s="967">
        <v>1.7</v>
      </c>
      <c r="G40" s="967"/>
      <c r="H40" s="314"/>
      <c r="I40" s="314"/>
      <c r="J40" s="314"/>
      <c r="K40" s="314"/>
      <c r="L40" s="314"/>
      <c r="M40" s="314"/>
      <c r="N40" s="314"/>
      <c r="O40" s="323"/>
    </row>
    <row r="41" spans="1:15" ht="13.15" customHeight="1" x14ac:dyDescent="0.25">
      <c r="A41" s="965" t="s">
        <v>226</v>
      </c>
      <c r="B41" s="966"/>
      <c r="C41" s="966"/>
      <c r="D41" s="966"/>
      <c r="E41" s="966"/>
      <c r="F41" s="967">
        <v>1.4</v>
      </c>
      <c r="G41" s="967"/>
      <c r="H41" s="314"/>
      <c r="I41" s="314"/>
      <c r="J41" s="314"/>
      <c r="K41" s="314"/>
      <c r="L41" s="314"/>
      <c r="M41" s="314"/>
      <c r="N41" s="314"/>
      <c r="O41" s="323"/>
    </row>
    <row r="42" spans="1:15" ht="13.15" customHeight="1" x14ac:dyDescent="0.25">
      <c r="A42" s="965" t="s">
        <v>227</v>
      </c>
      <c r="B42" s="966"/>
      <c r="C42" s="966"/>
      <c r="D42" s="966"/>
      <c r="E42" s="966"/>
      <c r="F42" s="967">
        <v>1.2</v>
      </c>
      <c r="G42" s="967"/>
      <c r="H42" s="314"/>
      <c r="I42" s="314"/>
      <c r="J42" s="314"/>
      <c r="K42" s="314"/>
      <c r="L42" s="314"/>
      <c r="M42" s="314"/>
      <c r="N42" s="314"/>
      <c r="O42" s="323"/>
    </row>
    <row r="43" spans="1:15" ht="13.5" x14ac:dyDescent="0.25">
      <c r="A43" s="965" t="s">
        <v>228</v>
      </c>
      <c r="B43" s="966"/>
      <c r="C43" s="966"/>
      <c r="D43" s="966"/>
      <c r="E43" s="966"/>
      <c r="F43" s="967">
        <v>1.2</v>
      </c>
      <c r="G43" s="967"/>
      <c r="H43" s="314"/>
      <c r="I43" s="368"/>
      <c r="J43" s="368"/>
      <c r="K43" s="368"/>
      <c r="L43" s="368"/>
      <c r="M43" s="368"/>
      <c r="N43" s="368"/>
      <c r="O43" s="369"/>
    </row>
  </sheetData>
  <mergeCells count="90">
    <mergeCell ref="A5:O5"/>
    <mergeCell ref="M7:O9"/>
    <mergeCell ref="A11:A13"/>
    <mergeCell ref="B11:C11"/>
    <mergeCell ref="F11:H12"/>
    <mergeCell ref="L11:M14"/>
    <mergeCell ref="B12:C12"/>
    <mergeCell ref="B13:C13"/>
    <mergeCell ref="G13:H13"/>
    <mergeCell ref="A16:A17"/>
    <mergeCell ref="B16:C16"/>
    <mergeCell ref="D16:E16"/>
    <mergeCell ref="F16:J16"/>
    <mergeCell ref="K16:M16"/>
    <mergeCell ref="B17:C17"/>
    <mergeCell ref="D17:E17"/>
    <mergeCell ref="F17:J17"/>
    <mergeCell ref="K17:L17"/>
    <mergeCell ref="A19:A20"/>
    <mergeCell ref="G19:H19"/>
    <mergeCell ref="G20:H20"/>
    <mergeCell ref="A22:A25"/>
    <mergeCell ref="B22:B23"/>
    <mergeCell ref="C22:C23"/>
    <mergeCell ref="D22:D23"/>
    <mergeCell ref="E22:E23"/>
    <mergeCell ref="F22:F23"/>
    <mergeCell ref="G22:G23"/>
    <mergeCell ref="H22:I22"/>
    <mergeCell ref="D27:D28"/>
    <mergeCell ref="E27:E28"/>
    <mergeCell ref="J22:O22"/>
    <mergeCell ref="J23:O23"/>
    <mergeCell ref="B24:B25"/>
    <mergeCell ref="C24:C25"/>
    <mergeCell ref="D24:D25"/>
    <mergeCell ref="E24:E25"/>
    <mergeCell ref="F24:F25"/>
    <mergeCell ref="G24:G25"/>
    <mergeCell ref="H24:H25"/>
    <mergeCell ref="F32:G32"/>
    <mergeCell ref="I32:J32"/>
    <mergeCell ref="K32:O32"/>
    <mergeCell ref="I24:I25"/>
    <mergeCell ref="J24:O24"/>
    <mergeCell ref="J25:O25"/>
    <mergeCell ref="F27:F28"/>
    <mergeCell ref="G27:G28"/>
    <mergeCell ref="H27:I27"/>
    <mergeCell ref="J27:O27"/>
    <mergeCell ref="J28:O29"/>
    <mergeCell ref="A31:G31"/>
    <mergeCell ref="I31:O31"/>
    <mergeCell ref="A27:A29"/>
    <mergeCell ref="B27:B28"/>
    <mergeCell ref="C27:C28"/>
    <mergeCell ref="K33:O33"/>
    <mergeCell ref="A34:E34"/>
    <mergeCell ref="F34:G34"/>
    <mergeCell ref="I34:J34"/>
    <mergeCell ref="K34:O34"/>
    <mergeCell ref="A33:E33"/>
    <mergeCell ref="F33:G33"/>
    <mergeCell ref="I33:J33"/>
    <mergeCell ref="A35:E35"/>
    <mergeCell ref="F35:G35"/>
    <mergeCell ref="I35:J35"/>
    <mergeCell ref="K35:O35"/>
    <mergeCell ref="A36:E36"/>
    <mergeCell ref="F36:G36"/>
    <mergeCell ref="I36:J36"/>
    <mergeCell ref="K36:O36"/>
    <mergeCell ref="A37:E37"/>
    <mergeCell ref="F37:G37"/>
    <mergeCell ref="I37:J37"/>
    <mergeCell ref="K37:O37"/>
    <mergeCell ref="A38:E38"/>
    <mergeCell ref="F38:G38"/>
    <mergeCell ref="I38:J38"/>
    <mergeCell ref="K38:O38"/>
    <mergeCell ref="A42:E42"/>
    <mergeCell ref="F42:G42"/>
    <mergeCell ref="A43:E43"/>
    <mergeCell ref="F43:G43"/>
    <mergeCell ref="A39:E39"/>
    <mergeCell ref="F39:G39"/>
    <mergeCell ref="A40:E40"/>
    <mergeCell ref="F40:G40"/>
    <mergeCell ref="A41:E41"/>
    <mergeCell ref="F41:G41"/>
  </mergeCells>
  <pageMargins left="0.23622047244094491" right="0.23622047244094491" top="0.35433070866141736" bottom="0.35433070866141736" header="0.31496062992125984" footer="0.31496062992125984"/>
  <pageSetup paperSize="9" scale="90" fitToHeight="0"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9">
    <tabColor rgb="FF006F71"/>
    <pageSetUpPr fitToPage="1"/>
  </sheetPr>
  <dimension ref="A1:G14"/>
  <sheetViews>
    <sheetView workbookViewId="0">
      <selection activeCell="C19" sqref="C19"/>
    </sheetView>
  </sheetViews>
  <sheetFormatPr defaultColWidth="9.140625" defaultRowHeight="16.5" x14ac:dyDescent="0.3"/>
  <cols>
    <col min="1" max="1" width="8.28515625" style="192" customWidth="1"/>
    <col min="2" max="2" width="21.5703125" style="192" customWidth="1"/>
    <col min="3" max="4" width="27.140625" style="192" customWidth="1"/>
    <col min="5" max="5" width="16.85546875" style="192" customWidth="1"/>
    <col min="6" max="6" width="30.28515625" style="192" customWidth="1"/>
    <col min="7" max="7" width="24.42578125" style="192" customWidth="1"/>
    <col min="8" max="16384" width="9.140625" style="192"/>
  </cols>
  <sheetData>
    <row r="1" spans="1:7" ht="15" customHeight="1" x14ac:dyDescent="0.3">
      <c r="A1" s="1013"/>
      <c r="B1" s="1014"/>
      <c r="C1" s="289" t="s">
        <v>254</v>
      </c>
      <c r="D1" s="289"/>
      <c r="E1" s="291"/>
      <c r="F1" s="291"/>
      <c r="G1" s="248"/>
    </row>
    <row r="2" spans="1:7" ht="15.75" customHeight="1" x14ac:dyDescent="0.3">
      <c r="A2" s="1015"/>
      <c r="B2" s="1016"/>
      <c r="C2" s="222" t="str">
        <f ca="1">OFFSET(DADOS!$I$2,DADOS!$A$7,0,1,1)</f>
        <v>PREFEITURA MUNICIPAL DE NAVIRAÍ</v>
      </c>
      <c r="D2" s="222"/>
      <c r="E2" s="275"/>
      <c r="F2" s="292"/>
      <c r="G2" s="333"/>
    </row>
    <row r="3" spans="1:7" x14ac:dyDescent="0.3">
      <c r="A3" s="1017"/>
      <c r="B3" s="1018"/>
      <c r="C3" s="290" t="s">
        <v>255</v>
      </c>
      <c r="D3" s="290"/>
      <c r="E3" s="294"/>
      <c r="F3" s="294"/>
      <c r="G3" s="334"/>
    </row>
    <row r="4" spans="1:7" ht="20.25" customHeight="1" x14ac:dyDescent="0.3">
      <c r="A4" s="1007" t="s">
        <v>118</v>
      </c>
      <c r="B4" s="1020"/>
      <c r="C4" s="1020"/>
      <c r="D4" s="1020"/>
      <c r="E4" s="1020"/>
      <c r="F4" s="1020"/>
      <c r="G4" s="1008"/>
    </row>
    <row r="5" spans="1:7" x14ac:dyDescent="0.3">
      <c r="A5" s="531" t="s">
        <v>811</v>
      </c>
      <c r="B5" s="550" t="str">
        <f>N.DESCRICAO</f>
        <v>INFRAESTRUTURA URBANA – PAVIMENTAÇÃO ASFÁLTICA, DRENAGEM, E SINALIZAÇÃO VIÁRIA NO ACESSO AO CEMITERIO MUNICIPAL DE NAVIRAÍ/ MS</v>
      </c>
      <c r="C5" s="211"/>
      <c r="D5" s="211"/>
      <c r="E5" s="211"/>
      <c r="F5" s="211"/>
      <c r="G5" s="532" t="s">
        <v>305</v>
      </c>
    </row>
    <row r="6" spans="1:7" x14ac:dyDescent="0.3">
      <c r="A6" s="531" t="s">
        <v>799</v>
      </c>
      <c r="B6" s="550" t="str">
        <f ca="1">N.MUNICIPIO</f>
        <v>NAVIRAÍ</v>
      </c>
      <c r="C6" s="211"/>
      <c r="D6" s="211"/>
      <c r="E6" s="211"/>
      <c r="F6" s="211"/>
      <c r="G6" s="1021" t="str">
        <f>"  ___________________________                "&amp;N.Engenheiro&amp;"                                 "&amp;N.CREA</f>
        <v xml:space="preserve">  ___________________________                FÁBIO MARQUES RIBEIRO                                 ENGENHEIRO CIVIL - 15.276 D/MS</v>
      </c>
    </row>
    <row r="7" spans="1:7" x14ac:dyDescent="0.3">
      <c r="A7" s="531" t="s">
        <v>798</v>
      </c>
      <c r="B7" s="550" t="str" cm="1">
        <f t="array" ref="B7">N.LOCAL</f>
        <v>AVENIDA JOÃO RIGONATO</v>
      </c>
      <c r="C7" s="211"/>
      <c r="D7" s="211"/>
      <c r="E7" s="211"/>
      <c r="F7" s="211"/>
      <c r="G7" s="1021"/>
    </row>
    <row r="8" spans="1:7" x14ac:dyDescent="0.3">
      <c r="A8" s="533" t="s">
        <v>813</v>
      </c>
      <c r="B8" s="551" t="str" cm="1">
        <f t="array" ref="B8">N.BASE</f>
        <v>AGESUL(SETEMBRO/2025)/SINAPI(SETEMBRO/2025)</v>
      </c>
      <c r="C8" s="534"/>
      <c r="D8" s="534"/>
      <c r="E8" s="534"/>
      <c r="F8" s="534"/>
      <c r="G8" s="1022"/>
    </row>
    <row r="9" spans="1:7" x14ac:dyDescent="0.3">
      <c r="A9" s="283"/>
      <c r="B9" s="207"/>
      <c r="C9" s="207"/>
      <c r="D9" s="207"/>
      <c r="E9" s="207"/>
      <c r="F9" s="207"/>
      <c r="G9" s="284"/>
    </row>
    <row r="10" spans="1:7" x14ac:dyDescent="0.3">
      <c r="A10" s="283"/>
      <c r="B10" s="207"/>
      <c r="C10" s="207"/>
      <c r="D10" s="207"/>
      <c r="E10" s="207"/>
      <c r="F10" s="207"/>
      <c r="G10" s="284"/>
    </row>
    <row r="11" spans="1:7" ht="29.25" customHeight="1" x14ac:dyDescent="0.3">
      <c r="A11" s="1010" t="s">
        <v>14</v>
      </c>
      <c r="B11" s="1010"/>
      <c r="C11" s="1010" t="s">
        <v>15</v>
      </c>
      <c r="D11" s="1010"/>
      <c r="E11" s="1010"/>
      <c r="F11" s="1010"/>
      <c r="G11" s="1010"/>
    </row>
    <row r="12" spans="1:7" x14ac:dyDescent="0.3">
      <c r="A12" s="1010"/>
      <c r="B12" s="1010"/>
      <c r="C12" s="1010" t="s">
        <v>16</v>
      </c>
      <c r="D12" s="1010"/>
      <c r="E12" s="1010"/>
      <c r="F12" s="1010" t="s">
        <v>17</v>
      </c>
      <c r="G12" s="1010"/>
    </row>
    <row r="13" spans="1:7" ht="16.5" customHeight="1" x14ac:dyDescent="0.3">
      <c r="A13" s="1019" t="str">
        <f>'10-PAVIMENTAÇÃO'!G16</f>
        <v>AVENIDA JOÃO RIGONATO</v>
      </c>
      <c r="B13" s="1019"/>
      <c r="C13" s="1011">
        <v>3354.23</v>
      </c>
      <c r="D13" s="1011"/>
      <c r="E13" s="1011"/>
      <c r="F13" s="1011">
        <v>2318.23</v>
      </c>
      <c r="G13" s="1011"/>
    </row>
    <row r="14" spans="1:7" ht="24" customHeight="1" x14ac:dyDescent="0.3">
      <c r="A14" s="1012" t="s">
        <v>18</v>
      </c>
      <c r="B14" s="1012"/>
      <c r="C14" s="1009">
        <f>SUM(C13:E13)</f>
        <v>3354.23</v>
      </c>
      <c r="D14" s="1009"/>
      <c r="E14" s="1009"/>
      <c r="F14" s="1009">
        <f>SUM(F13:G13)</f>
        <v>2318.23</v>
      </c>
      <c r="G14" s="1009"/>
    </row>
  </sheetData>
  <mergeCells count="13">
    <mergeCell ref="A1:B3"/>
    <mergeCell ref="A13:B13"/>
    <mergeCell ref="A4:G4"/>
    <mergeCell ref="G6:G8"/>
    <mergeCell ref="C11:G11"/>
    <mergeCell ref="F12:G12"/>
    <mergeCell ref="C12:E12"/>
    <mergeCell ref="C13:E13"/>
    <mergeCell ref="F14:G14"/>
    <mergeCell ref="A11:B12"/>
    <mergeCell ref="F13:G13"/>
    <mergeCell ref="A14:B14"/>
    <mergeCell ref="C14:E14"/>
  </mergeCells>
  <printOptions horizontalCentered="1"/>
  <pageMargins left="0.25" right="0.25" top="0.75" bottom="0.75" header="0.3" footer="0.3"/>
  <pageSetup paperSize="9" scale="91" fitToHeight="0" orientation="landscape" r:id="rId1"/>
  <headerFooter>
    <oddFooter>Página &amp;P de &amp;N</oddFoot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1">
    <tabColor rgb="FF006F71"/>
    <pageSetUpPr fitToPage="1"/>
  </sheetPr>
  <dimension ref="A1:G16"/>
  <sheetViews>
    <sheetView workbookViewId="0">
      <selection activeCell="A9" sqref="A9"/>
    </sheetView>
  </sheetViews>
  <sheetFormatPr defaultColWidth="9.140625" defaultRowHeight="16.5" x14ac:dyDescent="0.3"/>
  <cols>
    <col min="1" max="1" width="8.28515625" style="192" customWidth="1"/>
    <col min="2" max="2" width="21.5703125" style="192" customWidth="1"/>
    <col min="3" max="4" width="27.140625" style="192" customWidth="1"/>
    <col min="5" max="5" width="16.85546875" style="192" customWidth="1"/>
    <col min="6" max="6" width="30.28515625" style="192" customWidth="1"/>
    <col min="7" max="7" width="24.42578125" style="192" customWidth="1"/>
    <col min="8" max="16384" width="9.140625" style="192"/>
  </cols>
  <sheetData>
    <row r="1" spans="1:7" ht="15" customHeight="1" x14ac:dyDescent="0.3">
      <c r="A1" s="1013"/>
      <c r="B1" s="1014"/>
      <c r="C1" s="289" t="s">
        <v>254</v>
      </c>
      <c r="D1" s="289"/>
      <c r="E1" s="291"/>
      <c r="F1" s="291"/>
      <c r="G1" s="248"/>
    </row>
    <row r="2" spans="1:7" ht="15.75" customHeight="1" x14ac:dyDescent="0.3">
      <c r="A2" s="1015"/>
      <c r="B2" s="1016"/>
      <c r="C2" s="222" t="str">
        <f ca="1">OFFSET(DADOS!$I$2,DADOS!$A$7,0,1,1)</f>
        <v>PREFEITURA MUNICIPAL DE NAVIRAÍ</v>
      </c>
      <c r="D2" s="222"/>
      <c r="E2" s="275"/>
      <c r="F2" s="292"/>
      <c r="G2" s="333"/>
    </row>
    <row r="3" spans="1:7" x14ac:dyDescent="0.3">
      <c r="A3" s="1017"/>
      <c r="B3" s="1018"/>
      <c r="C3" s="290" t="s">
        <v>255</v>
      </c>
      <c r="D3" s="290"/>
      <c r="E3" s="294"/>
      <c r="F3" s="294"/>
      <c r="G3" s="334"/>
    </row>
    <row r="4" spans="1:7" ht="20.25" customHeight="1" x14ac:dyDescent="0.3">
      <c r="A4" s="1007" t="s">
        <v>118</v>
      </c>
      <c r="B4" s="1020"/>
      <c r="C4" s="1020"/>
      <c r="D4" s="1020"/>
      <c r="E4" s="1020"/>
      <c r="F4" s="1020"/>
      <c r="G4" s="1008"/>
    </row>
    <row r="5" spans="1:7" x14ac:dyDescent="0.3">
      <c r="A5" s="531" t="s">
        <v>811</v>
      </c>
      <c r="B5" s="550" t="str">
        <f>N.DESCRICAO</f>
        <v>INFRAESTRUTURA URBANA – PAVIMENTAÇÃO ASFÁLTICA, DRENAGEM, E SINALIZAÇÃO VIÁRIA NO ACESSO AO CEMITERIO MUNICIPAL DE NAVIRAÍ/ MS</v>
      </c>
      <c r="C5" s="211"/>
      <c r="D5" s="211"/>
      <c r="E5" s="211"/>
      <c r="F5" s="211"/>
      <c r="G5" s="532" t="s">
        <v>305</v>
      </c>
    </row>
    <row r="6" spans="1:7" x14ac:dyDescent="0.3">
      <c r="A6" s="531" t="s">
        <v>799</v>
      </c>
      <c r="B6" s="550" t="str">
        <f ca="1">N.MUNICIPIO</f>
        <v>NAVIRAÍ</v>
      </c>
      <c r="C6" s="211"/>
      <c r="D6" s="211"/>
      <c r="E6" s="211"/>
      <c r="F6" s="211"/>
      <c r="G6" s="1021" t="str">
        <f>"  ___________________________                "&amp;N.Engenheiro&amp;"                                 "&amp;N.CREA</f>
        <v xml:space="preserve">  ___________________________                FÁBIO MARQUES RIBEIRO                                 ENGENHEIRO CIVIL - 15.276 D/MS</v>
      </c>
    </row>
    <row r="7" spans="1:7" x14ac:dyDescent="0.3">
      <c r="A7" s="531" t="s">
        <v>798</v>
      </c>
      <c r="B7" s="550" t="str" cm="1">
        <f t="array" ref="B7">N.LOCAL</f>
        <v>AVENIDA JOÃO RIGONATO</v>
      </c>
      <c r="C7" s="211"/>
      <c r="D7" s="211"/>
      <c r="E7" s="211"/>
      <c r="F7" s="211"/>
      <c r="G7" s="1021"/>
    </row>
    <row r="8" spans="1:7" x14ac:dyDescent="0.3">
      <c r="A8" s="533" t="s">
        <v>813</v>
      </c>
      <c r="B8" s="551" t="str" cm="1">
        <f t="array" ref="B8">N.BASE</f>
        <v>AGESUL(SETEMBRO/2025)/SINAPI(SETEMBRO/2025)</v>
      </c>
      <c r="C8" s="534"/>
      <c r="D8" s="534"/>
      <c r="E8" s="534"/>
      <c r="F8" s="534"/>
      <c r="G8" s="1022"/>
    </row>
    <row r="9" spans="1:7" x14ac:dyDescent="0.3">
      <c r="A9" s="283"/>
      <c r="B9" s="207"/>
      <c r="C9" s="207"/>
      <c r="D9" s="207"/>
      <c r="E9" s="207"/>
      <c r="F9" s="207"/>
      <c r="G9" s="284"/>
    </row>
    <row r="10" spans="1:7" x14ac:dyDescent="0.3">
      <c r="A10" s="283"/>
      <c r="B10" s="207"/>
      <c r="C10" s="207"/>
      <c r="D10" s="207"/>
      <c r="E10" s="207"/>
      <c r="F10" s="207"/>
      <c r="G10" s="284"/>
    </row>
    <row r="11" spans="1:7" ht="29.25" customHeight="1" x14ac:dyDescent="0.3">
      <c r="A11" s="1010" t="s">
        <v>14</v>
      </c>
      <c r="B11" s="1010"/>
      <c r="C11" s="1010" t="s">
        <v>15</v>
      </c>
      <c r="D11" s="1010"/>
      <c r="E11" s="1010"/>
      <c r="F11" s="1010"/>
      <c r="G11" s="1010"/>
    </row>
    <row r="12" spans="1:7" x14ac:dyDescent="0.3">
      <c r="A12" s="1010"/>
      <c r="B12" s="1010"/>
      <c r="C12" s="1010" t="s">
        <v>16</v>
      </c>
      <c r="D12" s="1010"/>
      <c r="E12" s="1010"/>
      <c r="F12" s="1010" t="s">
        <v>17</v>
      </c>
      <c r="G12" s="1010"/>
    </row>
    <row r="13" spans="1:7" ht="16.5" customHeight="1" x14ac:dyDescent="0.3">
      <c r="A13" s="1019" t="s">
        <v>1397</v>
      </c>
      <c r="B13" s="1019"/>
      <c r="C13" s="1011">
        <v>659.11</v>
      </c>
      <c r="D13" s="1011"/>
      <c r="E13" s="1011"/>
      <c r="F13" s="1011">
        <v>116.3</v>
      </c>
      <c r="G13" s="1011"/>
    </row>
    <row r="14" spans="1:7" ht="16.5" customHeight="1" x14ac:dyDescent="0.3">
      <c r="A14" s="1019" t="s">
        <v>1398</v>
      </c>
      <c r="B14" s="1019"/>
      <c r="C14" s="1011">
        <v>864.67</v>
      </c>
      <c r="D14" s="1011"/>
      <c r="E14" s="1011"/>
      <c r="F14" s="1011">
        <v>14.81</v>
      </c>
      <c r="G14" s="1011"/>
    </row>
    <row r="15" spans="1:7" ht="16.5" customHeight="1" x14ac:dyDescent="0.3">
      <c r="A15" s="1019" t="s">
        <v>1399</v>
      </c>
      <c r="B15" s="1019"/>
      <c r="C15" s="1011">
        <v>374.97</v>
      </c>
      <c r="D15" s="1011"/>
      <c r="E15" s="1011"/>
      <c r="F15" s="1011">
        <v>0</v>
      </c>
      <c r="G15" s="1011"/>
    </row>
    <row r="16" spans="1:7" ht="24" customHeight="1" x14ac:dyDescent="0.3">
      <c r="A16" s="1012" t="s">
        <v>18</v>
      </c>
      <c r="B16" s="1012"/>
      <c r="C16" s="1009">
        <f>SUM(C13:E15)</f>
        <v>1898.75</v>
      </c>
      <c r="D16" s="1009"/>
      <c r="E16" s="1009"/>
      <c r="F16" s="1009">
        <f>SUM(F13:G15)</f>
        <v>131.10999999999999</v>
      </c>
      <c r="G16" s="1009"/>
    </row>
  </sheetData>
  <mergeCells count="19">
    <mergeCell ref="A1:B3"/>
    <mergeCell ref="A4:G4"/>
    <mergeCell ref="G6:G8"/>
    <mergeCell ref="A11:B12"/>
    <mergeCell ref="C11:G11"/>
    <mergeCell ref="C12:E12"/>
    <mergeCell ref="F12:G12"/>
    <mergeCell ref="A13:B13"/>
    <mergeCell ref="C13:E13"/>
    <mergeCell ref="F13:G13"/>
    <mergeCell ref="A16:B16"/>
    <mergeCell ref="C16:E16"/>
    <mergeCell ref="F16:G16"/>
    <mergeCell ref="A14:B14"/>
    <mergeCell ref="A15:B15"/>
    <mergeCell ref="C14:E14"/>
    <mergeCell ref="C15:E15"/>
    <mergeCell ref="F14:G14"/>
    <mergeCell ref="F15:G15"/>
  </mergeCells>
  <printOptions horizontalCentered="1"/>
  <pageMargins left="0.25" right="0.25" top="0.75" bottom="0.75" header="0.3" footer="0.3"/>
  <pageSetup paperSize="9" scale="91" fitToHeight="0" orientation="landscape" r:id="rId1"/>
  <headerFooter>
    <oddFooter>Página &amp;P de &amp;N</oddFooter>
  </headerFooter>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7">
    <tabColor rgb="FF006F71"/>
    <pageSetUpPr fitToPage="1"/>
  </sheetPr>
  <dimension ref="A1:H137"/>
  <sheetViews>
    <sheetView topLeftCell="A16" workbookViewId="0">
      <selection activeCell="B12" sqref="B12"/>
    </sheetView>
  </sheetViews>
  <sheetFormatPr defaultColWidth="9.140625" defaultRowHeight="16.5" x14ac:dyDescent="0.3"/>
  <cols>
    <col min="1" max="1" width="14.28515625" style="192" customWidth="1"/>
    <col min="2" max="2" width="9.28515625" style="192" customWidth="1"/>
    <col min="3" max="3" width="10.28515625" style="192" bestFit="1" customWidth="1"/>
    <col min="4" max="4" width="14.28515625" style="192" customWidth="1"/>
    <col min="5" max="5" width="21.7109375" style="192" customWidth="1"/>
    <col min="6" max="6" width="35.42578125" style="192" customWidth="1"/>
    <col min="7" max="7" width="12.7109375" style="192" customWidth="1"/>
    <col min="8" max="8" width="21.42578125" style="192" customWidth="1"/>
    <col min="9" max="9" width="9" style="192" customWidth="1"/>
    <col min="10" max="10" width="12.28515625" style="192" customWidth="1"/>
    <col min="11" max="13" width="9.140625" style="192"/>
    <col min="14" max="14" width="13.28515625" style="192" customWidth="1"/>
    <col min="15" max="17" width="9.140625" style="192"/>
    <col min="18" max="18" width="12.140625" style="192" customWidth="1"/>
    <col min="19" max="16384" width="9.140625" style="192"/>
  </cols>
  <sheetData>
    <row r="1" spans="1:8" ht="18" customHeight="1" x14ac:dyDescent="0.3">
      <c r="A1" s="1013"/>
      <c r="B1" s="1014"/>
      <c r="C1" s="1014"/>
      <c r="D1" s="1042" t="str">
        <f>N.GOV</f>
        <v>GOVERNO DO ESTADO DE MATO GROSSO DO SUL</v>
      </c>
      <c r="E1" s="1042"/>
      <c r="F1" s="1042"/>
      <c r="G1" s="291"/>
      <c r="H1" s="248"/>
    </row>
    <row r="2" spans="1:8" x14ac:dyDescent="0.3">
      <c r="A2" s="1015"/>
      <c r="B2" s="1016"/>
      <c r="C2" s="1016"/>
      <c r="D2" s="1043" t="str" cm="1">
        <f t="array" aca="1" ref="D2" ca="1">N.PREFEITURA</f>
        <v>PREFEITURA MUNICIPAL DE NAVIRAÍ</v>
      </c>
      <c r="E2" s="1043"/>
      <c r="F2" s="1043"/>
      <c r="G2" s="208"/>
      <c r="H2" s="282"/>
    </row>
    <row r="3" spans="1:8" x14ac:dyDescent="0.3">
      <c r="A3" s="1017"/>
      <c r="B3" s="1018"/>
      <c r="C3" s="1018"/>
      <c r="D3" s="1044" t="str" cm="1">
        <f t="array" aca="1" ref="D3" ca="1">N.SECRETARIA</f>
        <v>SECRETARIA DE PLANEJAMENTO</v>
      </c>
      <c r="E3" s="1044"/>
      <c r="F3" s="1044"/>
      <c r="G3" s="294"/>
      <c r="H3" s="334"/>
    </row>
    <row r="4" spans="1:8" ht="20.45" customHeight="1" x14ac:dyDescent="0.3">
      <c r="A4" s="606"/>
      <c r="B4" s="607"/>
      <c r="C4" s="607"/>
      <c r="D4" s="607"/>
      <c r="E4" s="607" t="s">
        <v>1033</v>
      </c>
      <c r="F4" s="607"/>
      <c r="G4" s="607"/>
      <c r="H4" s="608"/>
    </row>
    <row r="5" spans="1:8" ht="14.45" customHeight="1" x14ac:dyDescent="0.3">
      <c r="A5" s="193" t="s">
        <v>811</v>
      </c>
      <c r="B5" s="548" t="str">
        <f>N.DESCRICAO</f>
        <v>INFRAESTRUTURA URBANA – PAVIMENTAÇÃO ASFÁLTICA, DRENAGEM, E SINALIZAÇÃO VIÁRIA NO ACESSO AO CEMITERIO MUNICIPAL DE NAVIRAÍ/ MS</v>
      </c>
      <c r="C5" s="194"/>
      <c r="D5" s="194"/>
      <c r="E5" s="194"/>
      <c r="F5" s="194"/>
      <c r="G5" s="1047" t="s">
        <v>305</v>
      </c>
      <c r="H5" s="1048"/>
    </row>
    <row r="6" spans="1:8" ht="14.45" customHeight="1" x14ac:dyDescent="0.3">
      <c r="A6" s="193" t="s">
        <v>799</v>
      </c>
      <c r="B6" s="548" t="str">
        <f ca="1">N.MUNICIPIO</f>
        <v>NAVIRAÍ</v>
      </c>
      <c r="C6" s="194"/>
      <c r="D6" s="194"/>
      <c r="E6" s="194"/>
      <c r="F6" s="194"/>
      <c r="G6" s="1049" t="str">
        <f>"  _________________________________                                   "&amp;N.Engenheiro&amp;"                                                "&amp;N.CREA</f>
        <v xml:space="preserve">  _________________________________                                   FÁBIO MARQUES RIBEIRO                                                ENGENHEIRO CIVIL - 15.276 D/MS</v>
      </c>
      <c r="H6" s="1050"/>
    </row>
    <row r="7" spans="1:8" ht="14.45" customHeight="1" x14ac:dyDescent="0.3">
      <c r="A7" s="193" t="s">
        <v>798</v>
      </c>
      <c r="B7" s="548" t="str" cm="1">
        <f t="array" ref="B7">N.LOCAL</f>
        <v>AVENIDA JOÃO RIGONATO</v>
      </c>
      <c r="C7" s="194"/>
      <c r="D7" s="194"/>
      <c r="E7" s="194"/>
      <c r="F7" s="194"/>
      <c r="G7" s="1049"/>
      <c r="H7" s="1050"/>
    </row>
    <row r="8" spans="1:8" ht="14.45" customHeight="1" x14ac:dyDescent="0.3">
      <c r="A8" s="193" t="s">
        <v>813</v>
      </c>
      <c r="B8" s="548" t="str" cm="1">
        <f t="array" ref="B8">N.BASE</f>
        <v>AGESUL(SETEMBRO/2025)/SINAPI(SETEMBRO/2025)</v>
      </c>
      <c r="C8" s="194"/>
      <c r="D8" s="194"/>
      <c r="E8" s="194"/>
      <c r="F8" s="194"/>
      <c r="G8" s="1051"/>
      <c r="H8" s="1052"/>
    </row>
    <row r="9" spans="1:8" ht="14.45" customHeight="1" x14ac:dyDescent="0.3">
      <c r="A9" s="283"/>
      <c r="B9" s="207"/>
      <c r="C9" s="207"/>
      <c r="D9" s="207"/>
      <c r="E9" s="207"/>
      <c r="F9" s="207"/>
      <c r="G9" s="207"/>
      <c r="H9" s="284"/>
    </row>
    <row r="10" spans="1:8" x14ac:dyDescent="0.3">
      <c r="A10" s="791" t="s">
        <v>19</v>
      </c>
      <c r="B10" s="792"/>
      <c r="C10" s="792"/>
      <c r="D10" s="793"/>
      <c r="G10" s="217"/>
      <c r="H10" s="285"/>
    </row>
    <row r="11" spans="1:8" x14ac:dyDescent="0.3">
      <c r="A11" s="218" t="s">
        <v>0</v>
      </c>
      <c r="B11" s="219">
        <f>VALUE('16-DMT'!H10)</f>
        <v>22.5</v>
      </c>
      <c r="C11" s="220" t="s">
        <v>13</v>
      </c>
      <c r="D11" s="221">
        <f>VALUE('16-DMT'!H14)</f>
        <v>4.5</v>
      </c>
      <c r="G11" s="217"/>
      <c r="H11" s="285"/>
    </row>
    <row r="12" spans="1:8" x14ac:dyDescent="0.3">
      <c r="A12" s="220" t="s">
        <v>1</v>
      </c>
      <c r="B12" s="221">
        <f>VALUE('16-DMT'!H11)</f>
        <v>5.8</v>
      </c>
      <c r="C12" s="220" t="s">
        <v>69</v>
      </c>
      <c r="D12" s="221">
        <f>VALUE('16-DMT'!H15)</f>
        <v>365</v>
      </c>
      <c r="F12" s="182"/>
      <c r="G12" s="182"/>
      <c r="H12" s="285"/>
    </row>
    <row r="13" spans="1:8" x14ac:dyDescent="0.3">
      <c r="A13" s="220" t="s">
        <v>109</v>
      </c>
      <c r="B13" s="221">
        <f>VALUE('16-DMT'!H12)</f>
        <v>5.8</v>
      </c>
      <c r="C13" s="220" t="s">
        <v>115</v>
      </c>
      <c r="D13" s="221">
        <f>VALUE('16-DMT'!H16)</f>
        <v>22.5</v>
      </c>
      <c r="F13" s="182"/>
      <c r="G13" s="182"/>
      <c r="H13" s="285"/>
    </row>
    <row r="14" spans="1:8" x14ac:dyDescent="0.3">
      <c r="A14" s="220" t="s">
        <v>99</v>
      </c>
      <c r="B14" s="221">
        <f>'16-DMT'!H13</f>
        <v>9.6</v>
      </c>
      <c r="D14" s="182"/>
      <c r="E14" s="182"/>
      <c r="F14" s="182"/>
      <c r="G14" s="182"/>
      <c r="H14" s="285"/>
    </row>
    <row r="15" spans="1:8" ht="11.25" customHeight="1" x14ac:dyDescent="0.3">
      <c r="A15" s="1053"/>
      <c r="B15" s="1054"/>
      <c r="C15" s="1054"/>
      <c r="D15" s="1054"/>
      <c r="E15" s="1054"/>
      <c r="F15" s="1054"/>
      <c r="G15" s="370"/>
      <c r="H15" s="371"/>
    </row>
    <row r="16" spans="1:8" ht="45.75" customHeight="1" x14ac:dyDescent="0.3">
      <c r="A16" s="1055" t="s">
        <v>8</v>
      </c>
      <c r="B16" s="1055"/>
      <c r="C16" s="1055"/>
      <c r="D16" s="1055"/>
      <c r="E16" s="1055"/>
      <c r="F16" s="1055"/>
      <c r="G16" s="610" t="s">
        <v>1304</v>
      </c>
      <c r="H16" s="609" t="s">
        <v>3</v>
      </c>
    </row>
    <row r="17" spans="1:8" hidden="1" x14ac:dyDescent="0.3">
      <c r="A17" s="1056" t="s">
        <v>112</v>
      </c>
      <c r="B17" s="1056"/>
      <c r="C17" s="1056"/>
      <c r="D17" s="1056"/>
      <c r="E17" s="1024" t="s">
        <v>20</v>
      </c>
      <c r="F17" s="1024"/>
      <c r="G17" s="373"/>
      <c r="H17" s="373">
        <f>TRUNC(SUM(G17:G17),2)</f>
        <v>0</v>
      </c>
    </row>
    <row r="18" spans="1:8" hidden="1" x14ac:dyDescent="0.3">
      <c r="A18" s="1056"/>
      <c r="B18" s="1056"/>
      <c r="C18" s="1056"/>
      <c r="D18" s="1056"/>
      <c r="E18" s="1024" t="s">
        <v>265</v>
      </c>
      <c r="F18" s="1024"/>
      <c r="G18" s="376" t="s">
        <v>1034</v>
      </c>
      <c r="H18" s="377"/>
    </row>
    <row r="19" spans="1:8" hidden="1" x14ac:dyDescent="0.3">
      <c r="A19" s="1056"/>
      <c r="B19" s="1056"/>
      <c r="C19" s="1056"/>
      <c r="D19" s="1056"/>
      <c r="E19" s="1024" t="s">
        <v>70</v>
      </c>
      <c r="F19" s="1024"/>
      <c r="G19" s="378"/>
      <c r="H19" s="377"/>
    </row>
    <row r="20" spans="1:8" hidden="1" x14ac:dyDescent="0.3">
      <c r="A20" s="1056"/>
      <c r="B20" s="1056"/>
      <c r="C20" s="1056"/>
      <c r="D20" s="1056"/>
      <c r="E20" s="1024" t="s">
        <v>61</v>
      </c>
      <c r="F20" s="1024"/>
      <c r="G20" s="379">
        <v>0.45</v>
      </c>
      <c r="H20" s="377"/>
    </row>
    <row r="21" spans="1:8" hidden="1" x14ac:dyDescent="0.3">
      <c r="A21" s="1056"/>
      <c r="B21" s="1056"/>
      <c r="C21" s="1056"/>
      <c r="D21" s="1056"/>
      <c r="E21" s="1024" t="s">
        <v>71</v>
      </c>
      <c r="F21" s="1024"/>
      <c r="G21" s="379">
        <v>0.15</v>
      </c>
      <c r="H21" s="377"/>
    </row>
    <row r="22" spans="1:8" hidden="1" x14ac:dyDescent="0.3">
      <c r="A22" s="1056"/>
      <c r="B22" s="1056"/>
      <c r="C22" s="1056"/>
      <c r="D22" s="1056"/>
      <c r="E22" s="1024" t="s">
        <v>296</v>
      </c>
      <c r="F22" s="1024"/>
      <c r="G22" s="379">
        <f>G32+G72</f>
        <v>63.656000000000006</v>
      </c>
      <c r="H22" s="373">
        <f>TRUNC(SUM(G22:G22),2)</f>
        <v>63.65</v>
      </c>
    </row>
    <row r="23" spans="1:8" ht="3.95" customHeight="1" x14ac:dyDescent="0.3">
      <c r="A23" s="611"/>
      <c r="B23" s="612"/>
      <c r="C23" s="612"/>
      <c r="D23" s="612"/>
      <c r="E23" s="613"/>
      <c r="F23" s="613"/>
      <c r="G23" s="614"/>
      <c r="H23" s="615"/>
    </row>
    <row r="24" spans="1:8" ht="14.25" customHeight="1" x14ac:dyDescent="0.3">
      <c r="A24" s="1033" t="s">
        <v>1035</v>
      </c>
      <c r="B24" s="1029" t="s">
        <v>1049</v>
      </c>
      <c r="C24" s="932" t="s">
        <v>112</v>
      </c>
      <c r="D24" s="934"/>
      <c r="E24" s="1024" t="s">
        <v>22</v>
      </c>
      <c r="F24" s="1024"/>
      <c r="G24" s="379">
        <f>49.42+14.236</f>
        <v>63.656000000000006</v>
      </c>
      <c r="H24" s="373">
        <f>TRUNC(SUM(G24:G24),2)</f>
        <v>63.65</v>
      </c>
    </row>
    <row r="25" spans="1:8" ht="14.25" customHeight="1" x14ac:dyDescent="0.3">
      <c r="A25" s="1034"/>
      <c r="B25" s="1030"/>
      <c r="C25" s="1032" t="s">
        <v>1052</v>
      </c>
      <c r="D25" s="936"/>
      <c r="E25" s="1024" t="s">
        <v>1042</v>
      </c>
      <c r="F25" s="1024"/>
      <c r="G25" s="375">
        <v>0.1</v>
      </c>
      <c r="H25" s="375"/>
    </row>
    <row r="26" spans="1:8" ht="14.25" customHeight="1" x14ac:dyDescent="0.3">
      <c r="A26" s="1034"/>
      <c r="B26" s="1030"/>
      <c r="C26" s="1032"/>
      <c r="D26" s="936"/>
      <c r="E26" s="1024" t="s">
        <v>1048</v>
      </c>
      <c r="F26" s="1024"/>
      <c r="G26" s="379">
        <f>G25*G24</f>
        <v>6.3656000000000006</v>
      </c>
      <c r="H26" s="373">
        <f>TRUNC(SUM(G26:G26),2)</f>
        <v>6.36</v>
      </c>
    </row>
    <row r="27" spans="1:8" ht="14.25" customHeight="1" x14ac:dyDescent="0.3">
      <c r="A27" s="1034"/>
      <c r="B27" s="1030"/>
      <c r="C27" s="1032"/>
      <c r="D27" s="936"/>
      <c r="E27" s="1024" t="s">
        <v>24</v>
      </c>
      <c r="F27" s="1024"/>
      <c r="G27" s="462">
        <v>0.3</v>
      </c>
      <c r="H27" s="375"/>
    </row>
    <row r="28" spans="1:8" ht="14.25" customHeight="1" x14ac:dyDescent="0.3">
      <c r="A28" s="1034"/>
      <c r="B28" s="1030"/>
      <c r="C28" s="1032"/>
      <c r="D28" s="936"/>
      <c r="E28" s="1024" t="s">
        <v>1036</v>
      </c>
      <c r="F28" s="1024"/>
      <c r="G28" s="379">
        <f>(G27*G26)+G26</f>
        <v>8.2752800000000004</v>
      </c>
      <c r="H28" s="373">
        <f>TRUNC(SUM(G28:G28),2)</f>
        <v>8.27</v>
      </c>
    </row>
    <row r="29" spans="1:8" ht="14.25" customHeight="1" x14ac:dyDescent="0.3">
      <c r="A29" s="1034"/>
      <c r="B29" s="1030"/>
      <c r="C29" s="1032" t="s">
        <v>266</v>
      </c>
      <c r="D29" s="936"/>
      <c r="E29" s="1024" t="s">
        <v>1039</v>
      </c>
      <c r="F29" s="1024"/>
      <c r="G29" s="375">
        <f>$B$13</f>
        <v>5.8</v>
      </c>
      <c r="H29" s="375"/>
    </row>
    <row r="30" spans="1:8" ht="14.25" customHeight="1" x14ac:dyDescent="0.3">
      <c r="A30" s="1034"/>
      <c r="B30" s="1030"/>
      <c r="C30" s="1040"/>
      <c r="D30" s="1041"/>
      <c r="E30" s="1024" t="s">
        <v>1040</v>
      </c>
      <c r="F30" s="1024"/>
      <c r="G30" s="379">
        <f>G29*G28</f>
        <v>47.996624000000004</v>
      </c>
      <c r="H30" s="373">
        <f>TRUNC(SUM(G30:G30),2)</f>
        <v>47.99</v>
      </c>
    </row>
    <row r="31" spans="1:8" ht="3.95" customHeight="1" x14ac:dyDescent="0.3">
      <c r="A31" s="1034"/>
      <c r="B31" s="613"/>
      <c r="C31" s="613"/>
      <c r="D31" s="613"/>
      <c r="E31" s="613"/>
      <c r="F31" s="613"/>
      <c r="G31" s="614"/>
      <c r="H31" s="615"/>
    </row>
    <row r="32" spans="1:8" ht="15.75" customHeight="1" x14ac:dyDescent="0.3">
      <c r="A32" s="1034"/>
      <c r="B32" s="1029" t="s">
        <v>1053</v>
      </c>
      <c r="C32" s="932" t="s">
        <v>112</v>
      </c>
      <c r="D32" s="934"/>
      <c r="E32" s="1024" t="s">
        <v>22</v>
      </c>
      <c r="F32" s="1024"/>
      <c r="G32" s="379">
        <f>G24</f>
        <v>63.656000000000006</v>
      </c>
      <c r="H32" s="373">
        <f>TRUNC(SUM(G32:G32),2)</f>
        <v>63.65</v>
      </c>
    </row>
    <row r="33" spans="1:8" ht="15" customHeight="1" x14ac:dyDescent="0.3">
      <c r="A33" s="1034"/>
      <c r="B33" s="1030"/>
      <c r="C33" s="1032" t="s">
        <v>1052</v>
      </c>
      <c r="D33" s="936"/>
      <c r="E33" s="1024" t="s">
        <v>1043</v>
      </c>
      <c r="F33" s="1024"/>
      <c r="G33" s="463">
        <v>0</v>
      </c>
      <c r="H33" s="375"/>
    </row>
    <row r="34" spans="1:8" ht="14.25" customHeight="1" x14ac:dyDescent="0.3">
      <c r="A34" s="1034"/>
      <c r="B34" s="1030"/>
      <c r="C34" s="1032"/>
      <c r="D34" s="936"/>
      <c r="E34" s="1024" t="s">
        <v>1044</v>
      </c>
      <c r="F34" s="1024"/>
      <c r="G34" s="463">
        <v>0.2</v>
      </c>
      <c r="H34" s="375"/>
    </row>
    <row r="35" spans="1:8" ht="14.25" customHeight="1" x14ac:dyDescent="0.3">
      <c r="A35" s="1034"/>
      <c r="B35" s="1030"/>
      <c r="C35" s="1032"/>
      <c r="D35" s="936"/>
      <c r="E35" s="1024" t="s">
        <v>1037</v>
      </c>
      <c r="F35" s="1024"/>
      <c r="G35" s="379">
        <f>G33*G32</f>
        <v>0</v>
      </c>
      <c r="H35" s="373">
        <f>TRUNC(SUM(G35:G35),2)</f>
        <v>0</v>
      </c>
    </row>
    <row r="36" spans="1:8" ht="14.25" customHeight="1" x14ac:dyDescent="0.3">
      <c r="A36" s="1034"/>
      <c r="B36" s="1030"/>
      <c r="C36" s="1032"/>
      <c r="D36" s="936"/>
      <c r="E36" s="1024" t="s">
        <v>1038</v>
      </c>
      <c r="F36" s="1024"/>
      <c r="G36" s="379">
        <f>G34*G32</f>
        <v>12.731200000000001</v>
      </c>
      <c r="H36" s="373">
        <f>TRUNC(SUM(G36:G36),2)</f>
        <v>12.73</v>
      </c>
    </row>
    <row r="37" spans="1:8" ht="14.25" customHeight="1" x14ac:dyDescent="0.3">
      <c r="A37" s="1034"/>
      <c r="B37" s="1030"/>
      <c r="C37" s="1032"/>
      <c r="D37" s="936"/>
      <c r="E37" s="1024" t="s">
        <v>24</v>
      </c>
      <c r="F37" s="1024"/>
      <c r="G37" s="462">
        <v>0.3</v>
      </c>
      <c r="H37" s="375"/>
    </row>
    <row r="38" spans="1:8" ht="14.25" customHeight="1" x14ac:dyDescent="0.3">
      <c r="A38" s="1034"/>
      <c r="B38" s="1030"/>
      <c r="C38" s="1032"/>
      <c r="D38" s="936"/>
      <c r="E38" s="1024" t="s">
        <v>1050</v>
      </c>
      <c r="F38" s="1024"/>
      <c r="G38" s="379">
        <f>(G37*G35)+G35</f>
        <v>0</v>
      </c>
      <c r="H38" s="373">
        <f>TRUNC(SUM(G38:G38),2)</f>
        <v>0</v>
      </c>
    </row>
    <row r="39" spans="1:8" ht="14.25" customHeight="1" x14ac:dyDescent="0.3">
      <c r="A39" s="1034"/>
      <c r="B39" s="1030"/>
      <c r="C39" s="1032"/>
      <c r="D39" s="936"/>
      <c r="E39" s="1024" t="s">
        <v>1051</v>
      </c>
      <c r="F39" s="1024"/>
      <c r="G39" s="379">
        <f>(G37*G36)+G36</f>
        <v>16.550560000000001</v>
      </c>
      <c r="H39" s="373">
        <f>TRUNC(SUM(G39:G39),2)</f>
        <v>16.55</v>
      </c>
    </row>
    <row r="40" spans="1:8" ht="14.25" customHeight="1" x14ac:dyDescent="0.3">
      <c r="A40" s="1034"/>
      <c r="B40" s="1030"/>
      <c r="C40" s="959" t="s">
        <v>246</v>
      </c>
      <c r="D40" s="961"/>
      <c r="E40" s="1024" t="s">
        <v>25</v>
      </c>
      <c r="F40" s="1024"/>
      <c r="G40" s="463">
        <f>IF($B$11&lt;=30,$B$11,30)</f>
        <v>22.5</v>
      </c>
      <c r="H40" s="375"/>
    </row>
    <row r="41" spans="1:8" ht="14.25" customHeight="1" x14ac:dyDescent="0.3">
      <c r="A41" s="1034"/>
      <c r="B41" s="1030"/>
      <c r="C41" s="959"/>
      <c r="D41" s="961"/>
      <c r="E41" s="1024" t="s">
        <v>318</v>
      </c>
      <c r="F41" s="1024"/>
      <c r="G41" s="463">
        <f>IF($B$11&lt;=30,0,$B$11-G40)</f>
        <v>0</v>
      </c>
      <c r="H41" s="375"/>
    </row>
    <row r="42" spans="1:8" ht="14.25" customHeight="1" x14ac:dyDescent="0.3">
      <c r="A42" s="1034"/>
      <c r="B42" s="1030"/>
      <c r="C42" s="959"/>
      <c r="D42" s="961"/>
      <c r="E42" s="1024" t="s">
        <v>1057</v>
      </c>
      <c r="F42" s="1024"/>
      <c r="G42" s="379">
        <f>G40*(G39+G38)</f>
        <v>372.38760000000002</v>
      </c>
      <c r="H42" s="373">
        <f>TRUNC(SUM(G42:G42),2)</f>
        <v>372.38</v>
      </c>
    </row>
    <row r="43" spans="1:8" ht="14.25" customHeight="1" x14ac:dyDescent="0.3">
      <c r="A43" s="1034"/>
      <c r="B43" s="1030"/>
      <c r="C43" s="959"/>
      <c r="D43" s="961"/>
      <c r="E43" s="1024" t="s">
        <v>1058</v>
      </c>
      <c r="F43" s="1024"/>
      <c r="G43" s="379">
        <f>G41*(G39+G38)</f>
        <v>0</v>
      </c>
      <c r="H43" s="373">
        <f>TRUNC(SUM(G43:G43),2)</f>
        <v>0</v>
      </c>
    </row>
    <row r="44" spans="1:8" ht="3.95" customHeight="1" x14ac:dyDescent="0.3">
      <c r="A44" s="1034"/>
      <c r="B44" s="616"/>
      <c r="C44" s="616"/>
      <c r="D44" s="616"/>
      <c r="E44" s="613"/>
      <c r="F44" s="613"/>
      <c r="G44" s="614"/>
      <c r="H44" s="615"/>
    </row>
    <row r="45" spans="1:8" ht="14.25" customHeight="1" x14ac:dyDescent="0.3">
      <c r="A45" s="1034"/>
      <c r="B45" s="1029" t="s">
        <v>261</v>
      </c>
      <c r="C45" s="932" t="s">
        <v>112</v>
      </c>
      <c r="D45" s="934"/>
      <c r="E45" s="1024" t="s">
        <v>22</v>
      </c>
      <c r="F45" s="1024"/>
      <c r="G45" s="379">
        <f>G32</f>
        <v>63.656000000000006</v>
      </c>
      <c r="H45" s="373">
        <f>TRUNC(SUM(G45:G45),2)</f>
        <v>63.65</v>
      </c>
    </row>
    <row r="46" spans="1:8" ht="14.25" customHeight="1" x14ac:dyDescent="0.3">
      <c r="A46" s="1034"/>
      <c r="B46" s="1030"/>
      <c r="C46" s="959" t="s">
        <v>1052</v>
      </c>
      <c r="D46" s="961"/>
      <c r="E46" s="1024" t="s">
        <v>263</v>
      </c>
      <c r="F46" s="1024"/>
      <c r="G46" s="464">
        <v>1.1999999999999999E-3</v>
      </c>
      <c r="H46" s="375"/>
    </row>
    <row r="47" spans="1:8" ht="14.25" customHeight="1" x14ac:dyDescent="0.3">
      <c r="A47" s="1034"/>
      <c r="B47" s="1030"/>
      <c r="C47" s="959"/>
      <c r="D47" s="961"/>
      <c r="E47" s="1024" t="s">
        <v>1054</v>
      </c>
      <c r="F47" s="1024"/>
      <c r="G47" s="379">
        <f>G46*G45</f>
        <v>7.6387200000000002E-2</v>
      </c>
      <c r="H47" s="373">
        <f>TRUNC(SUM(G47:G47),2)</f>
        <v>7.0000000000000007E-2</v>
      </c>
    </row>
    <row r="48" spans="1:8" ht="14.25" customHeight="1" x14ac:dyDescent="0.3">
      <c r="A48" s="1034"/>
      <c r="B48" s="1030"/>
      <c r="C48" s="959" t="s">
        <v>246</v>
      </c>
      <c r="D48" s="961"/>
      <c r="E48" s="1024" t="s">
        <v>25</v>
      </c>
      <c r="F48" s="1024"/>
      <c r="G48" s="463">
        <f>IF($D$12&lt;=30,$D$12,30)</f>
        <v>30</v>
      </c>
      <c r="H48" s="375"/>
    </row>
    <row r="49" spans="1:8" ht="14.25" customHeight="1" x14ac:dyDescent="0.3">
      <c r="A49" s="1034"/>
      <c r="B49" s="1030"/>
      <c r="C49" s="959"/>
      <c r="D49" s="961"/>
      <c r="E49" s="1024" t="s">
        <v>318</v>
      </c>
      <c r="F49" s="1024"/>
      <c r="G49" s="463">
        <f>IF($D$12&lt;=30,0,$D$12-G48)</f>
        <v>335</v>
      </c>
      <c r="H49" s="375"/>
    </row>
    <row r="50" spans="1:8" ht="14.25" customHeight="1" x14ac:dyDescent="0.3">
      <c r="A50" s="1034"/>
      <c r="B50" s="1030"/>
      <c r="C50" s="959"/>
      <c r="D50" s="961"/>
      <c r="E50" s="1024" t="s">
        <v>1041</v>
      </c>
      <c r="F50" s="1024"/>
      <c r="G50" s="379">
        <f>G48*G47</f>
        <v>2.2916159999999999</v>
      </c>
      <c r="H50" s="373">
        <f>TRUNC(SUM(G50:G50),2)</f>
        <v>2.29</v>
      </c>
    </row>
    <row r="51" spans="1:8" ht="14.25" customHeight="1" x14ac:dyDescent="0.3">
      <c r="A51" s="1034"/>
      <c r="B51" s="1031"/>
      <c r="C51" s="959"/>
      <c r="D51" s="961"/>
      <c r="E51" s="1024" t="s">
        <v>1047</v>
      </c>
      <c r="F51" s="1024"/>
      <c r="G51" s="379">
        <f>G49*G47</f>
        <v>25.589712000000002</v>
      </c>
      <c r="H51" s="373">
        <f>TRUNC(SUM(G51:G51),2)</f>
        <v>25.58</v>
      </c>
    </row>
    <row r="52" spans="1:8" ht="3.95" hidden="1" customHeight="1" x14ac:dyDescent="0.3">
      <c r="A52" s="1034"/>
      <c r="B52" s="469"/>
      <c r="C52" s="469"/>
      <c r="D52" s="469"/>
      <c r="E52" s="390"/>
      <c r="F52" s="390"/>
      <c r="G52" s="391"/>
      <c r="H52" s="392"/>
    </row>
    <row r="53" spans="1:8" ht="14.25" hidden="1" customHeight="1" x14ac:dyDescent="0.3">
      <c r="A53" s="1034"/>
      <c r="B53" s="1029" t="s">
        <v>262</v>
      </c>
      <c r="C53" s="932" t="s">
        <v>112</v>
      </c>
      <c r="D53" s="934"/>
      <c r="E53" s="1024" t="s">
        <v>22</v>
      </c>
      <c r="F53" s="1024"/>
      <c r="G53" s="379"/>
      <c r="H53" s="373">
        <f>SUM(G53:G53)</f>
        <v>0</v>
      </c>
    </row>
    <row r="54" spans="1:8" ht="14.25" hidden="1" customHeight="1" x14ac:dyDescent="0.3">
      <c r="A54" s="1034"/>
      <c r="B54" s="1030"/>
      <c r="C54" s="959" t="s">
        <v>1052</v>
      </c>
      <c r="D54" s="961"/>
      <c r="E54" s="1024" t="s">
        <v>263</v>
      </c>
      <c r="F54" s="1024"/>
      <c r="G54" s="464">
        <v>5.0000000000000001E-4</v>
      </c>
      <c r="H54" s="375"/>
    </row>
    <row r="55" spans="1:8" ht="14.25" hidden="1" customHeight="1" x14ac:dyDescent="0.3">
      <c r="A55" s="1034"/>
      <c r="B55" s="1030"/>
      <c r="C55" s="959"/>
      <c r="D55" s="961"/>
      <c r="E55" s="1024" t="s">
        <v>1054</v>
      </c>
      <c r="F55" s="1024"/>
      <c r="G55" s="379">
        <f>G54*G53</f>
        <v>0</v>
      </c>
      <c r="H55" s="373">
        <f>SUM(G55:G55)</f>
        <v>0</v>
      </c>
    </row>
    <row r="56" spans="1:8" ht="14.25" hidden="1" customHeight="1" x14ac:dyDescent="0.3">
      <c r="A56" s="1034"/>
      <c r="B56" s="1030"/>
      <c r="C56" s="959" t="s">
        <v>246</v>
      </c>
      <c r="D56" s="961"/>
      <c r="E56" s="1024" t="s">
        <v>25</v>
      </c>
      <c r="F56" s="1024"/>
      <c r="G56" s="463">
        <f>IF($D$12&lt;=30,$D$12,30)</f>
        <v>30</v>
      </c>
      <c r="H56" s="375"/>
    </row>
    <row r="57" spans="1:8" ht="14.25" hidden="1" customHeight="1" x14ac:dyDescent="0.3">
      <c r="A57" s="1034"/>
      <c r="B57" s="1030"/>
      <c r="C57" s="959"/>
      <c r="D57" s="961"/>
      <c r="E57" s="1024" t="s">
        <v>318</v>
      </c>
      <c r="F57" s="1024"/>
      <c r="G57" s="463">
        <f>IF($D$12&lt;=30,0,$D$12-G56)</f>
        <v>335</v>
      </c>
      <c r="H57" s="375"/>
    </row>
    <row r="58" spans="1:8" ht="14.25" hidden="1" customHeight="1" x14ac:dyDescent="0.3">
      <c r="A58" s="1034"/>
      <c r="B58" s="1030"/>
      <c r="C58" s="959"/>
      <c r="D58" s="961"/>
      <c r="E58" s="1024" t="s">
        <v>1041</v>
      </c>
      <c r="F58" s="1024"/>
      <c r="G58" s="379">
        <f>G56*G55</f>
        <v>0</v>
      </c>
      <c r="H58" s="373">
        <f>SUM(G58:G58)</f>
        <v>0</v>
      </c>
    </row>
    <row r="59" spans="1:8" ht="14.25" hidden="1" customHeight="1" x14ac:dyDescent="0.3">
      <c r="A59" s="1034"/>
      <c r="B59" s="1031"/>
      <c r="C59" s="959"/>
      <c r="D59" s="961"/>
      <c r="E59" s="1024" t="s">
        <v>1047</v>
      </c>
      <c r="F59" s="1024"/>
      <c r="G59" s="379">
        <f>G57*G55</f>
        <v>0</v>
      </c>
      <c r="H59" s="373">
        <f>SUM(G59:G59)</f>
        <v>0</v>
      </c>
    </row>
    <row r="60" spans="1:8" ht="3.95" hidden="1" customHeight="1" x14ac:dyDescent="0.3">
      <c r="A60" s="1034"/>
      <c r="B60" s="390"/>
      <c r="C60" s="390"/>
      <c r="D60" s="390"/>
      <c r="E60" s="390"/>
      <c r="F60" s="390"/>
      <c r="G60" s="391"/>
      <c r="H60" s="392"/>
    </row>
    <row r="61" spans="1:8" ht="14.25" hidden="1" customHeight="1" x14ac:dyDescent="0.3">
      <c r="A61" s="1034"/>
      <c r="B61" s="1029" t="s">
        <v>1059</v>
      </c>
      <c r="C61" s="932" t="s">
        <v>112</v>
      </c>
      <c r="D61" s="934"/>
      <c r="E61" s="1039" t="s">
        <v>1055</v>
      </c>
      <c r="F61" s="1023"/>
      <c r="G61" s="463" t="s">
        <v>13</v>
      </c>
      <c r="H61" s="375"/>
    </row>
    <row r="62" spans="1:8" ht="14.25" hidden="1" customHeight="1" x14ac:dyDescent="0.3">
      <c r="A62" s="1034"/>
      <c r="B62" s="1030"/>
      <c r="C62" s="1032"/>
      <c r="D62" s="936"/>
      <c r="E62" s="1024" t="s">
        <v>22</v>
      </c>
      <c r="F62" s="1024"/>
      <c r="G62" s="379"/>
      <c r="H62" s="373">
        <f>SUM(G62:G62)</f>
        <v>0</v>
      </c>
    </row>
    <row r="63" spans="1:8" ht="14.25" hidden="1" customHeight="1" x14ac:dyDescent="0.3">
      <c r="A63" s="1034"/>
      <c r="B63" s="1030"/>
      <c r="C63" s="959" t="s">
        <v>1052</v>
      </c>
      <c r="D63" s="961"/>
      <c r="E63" s="1024" t="s">
        <v>249</v>
      </c>
      <c r="F63" s="1024"/>
      <c r="G63" s="463">
        <v>0.03</v>
      </c>
      <c r="H63" s="375"/>
    </row>
    <row r="64" spans="1:8" ht="14.25" hidden="1" customHeight="1" x14ac:dyDescent="0.3">
      <c r="A64" s="1034"/>
      <c r="B64" s="1030"/>
      <c r="C64" s="959"/>
      <c r="D64" s="961"/>
      <c r="E64" s="1024" t="s">
        <v>23</v>
      </c>
      <c r="F64" s="1024"/>
      <c r="G64" s="379">
        <f>G63*G62</f>
        <v>0</v>
      </c>
      <c r="H64" s="373">
        <f>SUM(G64:G64)</f>
        <v>0</v>
      </c>
    </row>
    <row r="65" spans="1:8" ht="14.25" hidden="1" customHeight="1" x14ac:dyDescent="0.3">
      <c r="A65" s="1034"/>
      <c r="B65" s="1030"/>
      <c r="C65" s="959"/>
      <c r="D65" s="961"/>
      <c r="E65" s="1024" t="s">
        <v>1045</v>
      </c>
      <c r="F65" s="1024"/>
      <c r="G65" s="463">
        <v>2.5548000000000002</v>
      </c>
      <c r="H65" s="375"/>
    </row>
    <row r="66" spans="1:8" ht="14.25" hidden="1" customHeight="1" x14ac:dyDescent="0.3">
      <c r="A66" s="1034"/>
      <c r="B66" s="1030"/>
      <c r="C66" s="959"/>
      <c r="D66" s="961"/>
      <c r="E66" s="1024" t="s">
        <v>1046</v>
      </c>
      <c r="F66" s="1024"/>
      <c r="G66" s="379">
        <f>G65*G64</f>
        <v>0</v>
      </c>
      <c r="H66" s="373">
        <f>SUM(G66:G66)</f>
        <v>0</v>
      </c>
    </row>
    <row r="67" spans="1:8" ht="14.25" hidden="1" customHeight="1" x14ac:dyDescent="0.3">
      <c r="A67" s="1034"/>
      <c r="B67" s="1030"/>
      <c r="C67" s="959" t="s">
        <v>246</v>
      </c>
      <c r="D67" s="961"/>
      <c r="E67" s="1024" t="s">
        <v>25</v>
      </c>
      <c r="F67" s="1024"/>
      <c r="G67" s="463">
        <f>IF($D$11&lt;=30,$D$11,30)</f>
        <v>4.5</v>
      </c>
      <c r="H67" s="375"/>
    </row>
    <row r="68" spans="1:8" ht="14.25" hidden="1" customHeight="1" x14ac:dyDescent="0.3">
      <c r="A68" s="1034"/>
      <c r="B68" s="1030"/>
      <c r="C68" s="959"/>
      <c r="D68" s="961"/>
      <c r="E68" s="1024" t="s">
        <v>318</v>
      </c>
      <c r="F68" s="1024"/>
      <c r="G68" s="463">
        <f>IF($D$11&lt;=30,0,$D$11-G67)</f>
        <v>0</v>
      </c>
      <c r="H68" s="375"/>
    </row>
    <row r="69" spans="1:8" ht="14.25" hidden="1" customHeight="1" x14ac:dyDescent="0.3">
      <c r="A69" s="1034"/>
      <c r="B69" s="1030"/>
      <c r="C69" s="959"/>
      <c r="D69" s="961"/>
      <c r="E69" s="1024" t="s">
        <v>1041</v>
      </c>
      <c r="F69" s="1024"/>
      <c r="G69" s="379">
        <f>G67*G66</f>
        <v>0</v>
      </c>
      <c r="H69" s="373">
        <f>SUM(G69:G69)</f>
        <v>0</v>
      </c>
    </row>
    <row r="70" spans="1:8" ht="14.25" hidden="1" customHeight="1" x14ac:dyDescent="0.3">
      <c r="A70" s="1035"/>
      <c r="B70" s="1030"/>
      <c r="C70" s="959"/>
      <c r="D70" s="961"/>
      <c r="E70" s="1024" t="s">
        <v>1047</v>
      </c>
      <c r="F70" s="1024"/>
      <c r="G70" s="379">
        <f>G68*G66</f>
        <v>0</v>
      </c>
      <c r="H70" s="373">
        <f>SUM(G70:G70)</f>
        <v>0</v>
      </c>
    </row>
    <row r="71" spans="1:8" ht="3.95" hidden="1" customHeight="1" x14ac:dyDescent="0.3">
      <c r="A71" s="617"/>
      <c r="B71" s="613"/>
      <c r="C71" s="613"/>
      <c r="D71" s="613"/>
      <c r="E71" s="613"/>
      <c r="F71" s="613"/>
      <c r="G71" s="614"/>
      <c r="H71" s="615"/>
    </row>
    <row r="72" spans="1:8" ht="14.25" hidden="1" customHeight="1" x14ac:dyDescent="0.3">
      <c r="A72" s="1033" t="s">
        <v>1056</v>
      </c>
      <c r="B72" s="1057" t="s">
        <v>112</v>
      </c>
      <c r="C72" s="1058"/>
      <c r="D72" s="1059"/>
      <c r="E72" s="1024" t="s">
        <v>22</v>
      </c>
      <c r="F72" s="1024"/>
      <c r="G72" s="379"/>
      <c r="H72" s="373">
        <f>TRUNC(SUM(G72:G72),2)</f>
        <v>0</v>
      </c>
    </row>
    <row r="73" spans="1:8" ht="14.25" hidden="1" customHeight="1" x14ac:dyDescent="0.3">
      <c r="A73" s="1034"/>
      <c r="B73" s="959" t="s">
        <v>1052</v>
      </c>
      <c r="C73" s="960"/>
      <c r="D73" s="961"/>
      <c r="E73" s="1024" t="s">
        <v>249</v>
      </c>
      <c r="F73" s="1024"/>
      <c r="G73" s="547">
        <v>0.03</v>
      </c>
      <c r="H73" s="375"/>
    </row>
    <row r="74" spans="1:8" ht="14.25" hidden="1" customHeight="1" x14ac:dyDescent="0.3">
      <c r="A74" s="1034"/>
      <c r="B74" s="959"/>
      <c r="C74" s="960"/>
      <c r="D74" s="961"/>
      <c r="E74" s="1024" t="s">
        <v>23</v>
      </c>
      <c r="F74" s="1024"/>
      <c r="G74" s="379">
        <f>G73*G72</f>
        <v>0</v>
      </c>
      <c r="H74" s="373">
        <f>TRUNC(SUM(G74:G74),2)</f>
        <v>0</v>
      </c>
    </row>
    <row r="75" spans="1:8" ht="14.25" hidden="1" customHeight="1" x14ac:dyDescent="0.3">
      <c r="A75" s="1034"/>
      <c r="B75" s="959"/>
      <c r="C75" s="960"/>
      <c r="D75" s="961"/>
      <c r="E75" s="1024" t="s">
        <v>1153</v>
      </c>
      <c r="F75" s="1024"/>
      <c r="G75" s="379">
        <v>2.5548000000000002</v>
      </c>
      <c r="H75" s="375"/>
    </row>
    <row r="76" spans="1:8" ht="14.25" hidden="1" customHeight="1" x14ac:dyDescent="0.3">
      <c r="A76" s="1034"/>
      <c r="B76" s="959"/>
      <c r="C76" s="960"/>
      <c r="D76" s="961"/>
      <c r="E76" s="1024" t="s">
        <v>985</v>
      </c>
      <c r="F76" s="1024"/>
      <c r="G76" s="379">
        <f>G75*G74</f>
        <v>0</v>
      </c>
      <c r="H76" s="373">
        <f>TRUNC(SUM(G76:G76),2)</f>
        <v>0</v>
      </c>
    </row>
    <row r="77" spans="1:8" ht="14.25" hidden="1" customHeight="1" x14ac:dyDescent="0.3">
      <c r="A77" s="1034"/>
      <c r="B77" s="959" t="s">
        <v>246</v>
      </c>
      <c r="C77" s="960"/>
      <c r="D77" s="961"/>
      <c r="E77" s="1024" t="s">
        <v>25</v>
      </c>
      <c r="F77" s="1024"/>
      <c r="G77" s="379">
        <f>IF($B$12&lt;=30,$B$12,30)</f>
        <v>5.8</v>
      </c>
      <c r="H77" s="375"/>
    </row>
    <row r="78" spans="1:8" ht="14.25" hidden="1" customHeight="1" x14ac:dyDescent="0.3">
      <c r="A78" s="1034"/>
      <c r="B78" s="959"/>
      <c r="C78" s="960"/>
      <c r="D78" s="961"/>
      <c r="E78" s="1024" t="s">
        <v>318</v>
      </c>
      <c r="F78" s="1024"/>
      <c r="G78" s="379">
        <f>IF($B$12&lt;=30,0,$B$12-G77)</f>
        <v>0</v>
      </c>
      <c r="H78" s="375"/>
    </row>
    <row r="79" spans="1:8" ht="14.25" hidden="1" customHeight="1" x14ac:dyDescent="0.3">
      <c r="A79" s="1034"/>
      <c r="B79" s="959"/>
      <c r="C79" s="960"/>
      <c r="D79" s="961"/>
      <c r="E79" s="1024" t="s">
        <v>1041</v>
      </c>
      <c r="F79" s="1024"/>
      <c r="G79" s="379">
        <f>G77*G76</f>
        <v>0</v>
      </c>
      <c r="H79" s="373">
        <f>TRUNC(SUM(G79:G79),2)</f>
        <v>0</v>
      </c>
    </row>
    <row r="80" spans="1:8" ht="14.25" hidden="1" customHeight="1" x14ac:dyDescent="0.3">
      <c r="A80" s="1035"/>
      <c r="B80" s="962"/>
      <c r="C80" s="963"/>
      <c r="D80" s="964"/>
      <c r="E80" s="1024" t="s">
        <v>1047</v>
      </c>
      <c r="F80" s="1024"/>
      <c r="G80" s="379">
        <f>G78*G76</f>
        <v>0</v>
      </c>
      <c r="H80" s="373">
        <f>TRUNC(SUM(G80:G80),2)</f>
        <v>0</v>
      </c>
    </row>
    <row r="81" spans="1:8" ht="3.95" customHeight="1" x14ac:dyDescent="0.3">
      <c r="A81" s="617"/>
      <c r="B81" s="613"/>
      <c r="C81" s="613"/>
      <c r="D81" s="613"/>
      <c r="E81" s="613"/>
      <c r="F81" s="613"/>
      <c r="G81" s="614"/>
      <c r="H81" s="615"/>
    </row>
    <row r="82" spans="1:8" x14ac:dyDescent="0.3">
      <c r="A82" s="1036" t="s">
        <v>1059</v>
      </c>
      <c r="B82" s="932" t="s">
        <v>112</v>
      </c>
      <c r="C82" s="933"/>
      <c r="D82" s="934"/>
      <c r="E82" s="1039" t="s">
        <v>1055</v>
      </c>
      <c r="F82" s="1023"/>
      <c r="G82" s="463" t="s">
        <v>13</v>
      </c>
      <c r="H82" s="375"/>
    </row>
    <row r="83" spans="1:8" ht="14.25" customHeight="1" x14ac:dyDescent="0.3">
      <c r="A83" s="1037"/>
      <c r="B83" s="1032"/>
      <c r="C83" s="935"/>
      <c r="D83" s="936"/>
      <c r="E83" s="1024" t="s">
        <v>22</v>
      </c>
      <c r="F83" s="1024"/>
      <c r="G83" s="379">
        <f>G22</f>
        <v>63.656000000000006</v>
      </c>
      <c r="H83" s="373">
        <f>TRUNC(SUM(G83:G83),2)</f>
        <v>63.65</v>
      </c>
    </row>
    <row r="84" spans="1:8" ht="14.25" hidden="1" customHeight="1" x14ac:dyDescent="0.3">
      <c r="A84" s="1037"/>
      <c r="B84" s="520"/>
      <c r="C84" s="283" t="s">
        <v>1052</v>
      </c>
      <c r="D84" s="312"/>
      <c r="E84" s="1024" t="s">
        <v>263</v>
      </c>
      <c r="F84" s="1024"/>
      <c r="G84" s="464">
        <v>1.1999999999999999E-3</v>
      </c>
      <c r="H84" s="375"/>
    </row>
    <row r="85" spans="1:8" ht="14.25" hidden="1" customHeight="1" x14ac:dyDescent="0.3">
      <c r="A85" s="1037"/>
      <c r="B85" s="520"/>
      <c r="C85" s="283"/>
      <c r="D85" s="312"/>
      <c r="E85" s="1024" t="s">
        <v>1054</v>
      </c>
      <c r="F85" s="1024"/>
      <c r="G85" s="379">
        <f>G84*G83</f>
        <v>7.6387200000000002E-2</v>
      </c>
      <c r="H85" s="373">
        <f>SUM(G85:G85)</f>
        <v>7.6387200000000002E-2</v>
      </c>
    </row>
    <row r="86" spans="1:8" ht="14.25" hidden="1" customHeight="1" x14ac:dyDescent="0.3">
      <c r="A86" s="1037"/>
      <c r="B86" s="520"/>
      <c r="C86" s="283" t="s">
        <v>246</v>
      </c>
      <c r="D86" s="312"/>
      <c r="E86" s="1024" t="s">
        <v>25</v>
      </c>
      <c r="F86" s="1024"/>
      <c r="G86" s="470">
        <f>IF($D$12&lt;=30,$D$12,30)</f>
        <v>30</v>
      </c>
      <c r="H86" s="375"/>
    </row>
    <row r="87" spans="1:8" ht="14.25" hidden="1" customHeight="1" x14ac:dyDescent="0.3">
      <c r="A87" s="1037"/>
      <c r="B87" s="520"/>
      <c r="C87" s="283"/>
      <c r="D87" s="312"/>
      <c r="E87" s="1024" t="s">
        <v>318</v>
      </c>
      <c r="F87" s="1024"/>
      <c r="G87" s="470">
        <f>IF($D$12&lt;=30,0,$D$12-G86)</f>
        <v>335</v>
      </c>
      <c r="H87" s="375"/>
    </row>
    <row r="88" spans="1:8" ht="14.25" hidden="1" customHeight="1" x14ac:dyDescent="0.3">
      <c r="A88" s="1037"/>
      <c r="B88" s="520"/>
      <c r="C88" s="283"/>
      <c r="D88" s="312"/>
      <c r="E88" s="1024" t="s">
        <v>1041</v>
      </c>
      <c r="F88" s="1024"/>
      <c r="G88" s="375">
        <f>G86*G85</f>
        <v>2.2916159999999999</v>
      </c>
      <c r="H88" s="373">
        <f>SUM(G88:G88)</f>
        <v>2.2916159999999999</v>
      </c>
    </row>
    <row r="89" spans="1:8" ht="14.25" hidden="1" customHeight="1" x14ac:dyDescent="0.3">
      <c r="A89" s="1037"/>
      <c r="B89" s="521"/>
      <c r="C89" s="283"/>
      <c r="D89" s="312"/>
      <c r="E89" s="1024" t="s">
        <v>1047</v>
      </c>
      <c r="F89" s="1024"/>
      <c r="G89" s="375">
        <f>G87*G85</f>
        <v>25.589712000000002</v>
      </c>
      <c r="H89" s="373">
        <f>SUM(G89:G89)</f>
        <v>25.589712000000002</v>
      </c>
    </row>
    <row r="90" spans="1:8" ht="3.95" customHeight="1" x14ac:dyDescent="0.3">
      <c r="A90" s="1037"/>
      <c r="B90" s="616"/>
      <c r="C90" s="616"/>
      <c r="D90" s="616"/>
      <c r="E90" s="616"/>
      <c r="F90" s="616"/>
      <c r="G90" s="616"/>
      <c r="H90" s="618"/>
    </row>
    <row r="91" spans="1:8" ht="14.25" customHeight="1" x14ac:dyDescent="0.3">
      <c r="A91" s="1037"/>
      <c r="B91" s="1029" t="s">
        <v>262</v>
      </c>
      <c r="C91" s="1032" t="s">
        <v>112</v>
      </c>
      <c r="D91" s="936"/>
      <c r="E91" s="1024" t="s">
        <v>22</v>
      </c>
      <c r="F91" s="1024"/>
      <c r="G91" s="379">
        <f>G83</f>
        <v>63.656000000000006</v>
      </c>
      <c r="H91" s="373">
        <f>TRUNC(SUM(G91:G91),2)</f>
        <v>63.65</v>
      </c>
    </row>
    <row r="92" spans="1:8" ht="14.25" customHeight="1" x14ac:dyDescent="0.3">
      <c r="A92" s="1037"/>
      <c r="B92" s="1030"/>
      <c r="C92" s="959" t="s">
        <v>1052</v>
      </c>
      <c r="D92" s="961"/>
      <c r="E92" s="1024" t="s">
        <v>263</v>
      </c>
      <c r="F92" s="1024"/>
      <c r="G92" s="464">
        <v>5.0000000000000001E-4</v>
      </c>
      <c r="H92" s="375"/>
    </row>
    <row r="93" spans="1:8" ht="14.25" customHeight="1" x14ac:dyDescent="0.3">
      <c r="A93" s="1037"/>
      <c r="B93" s="1030"/>
      <c r="C93" s="959"/>
      <c r="D93" s="961"/>
      <c r="E93" s="1024" t="s">
        <v>1054</v>
      </c>
      <c r="F93" s="1024"/>
      <c r="G93" s="379">
        <f>G92*G91</f>
        <v>3.1828000000000002E-2</v>
      </c>
      <c r="H93" s="373">
        <f>TRUNC(SUM(G93:G93),2)</f>
        <v>0.03</v>
      </c>
    </row>
    <row r="94" spans="1:8" ht="14.25" customHeight="1" x14ac:dyDescent="0.3">
      <c r="A94" s="1037"/>
      <c r="B94" s="1030"/>
      <c r="C94" s="959" t="s">
        <v>246</v>
      </c>
      <c r="D94" s="961"/>
      <c r="E94" s="1024" t="s">
        <v>25</v>
      </c>
      <c r="F94" s="1024"/>
      <c r="G94" s="463">
        <f>IF($D$12&lt;=30,$D$12,30)</f>
        <v>30</v>
      </c>
      <c r="H94" s="375"/>
    </row>
    <row r="95" spans="1:8" ht="14.25" customHeight="1" x14ac:dyDescent="0.3">
      <c r="A95" s="1037"/>
      <c r="B95" s="1030"/>
      <c r="C95" s="959"/>
      <c r="D95" s="961"/>
      <c r="E95" s="1024" t="s">
        <v>318</v>
      </c>
      <c r="F95" s="1024"/>
      <c r="G95" s="463">
        <f>IF($D$12&lt;=30,0,$D$12-G94)</f>
        <v>335</v>
      </c>
      <c r="H95" s="375"/>
    </row>
    <row r="96" spans="1:8" ht="14.25" customHeight="1" x14ac:dyDescent="0.3">
      <c r="A96" s="1037"/>
      <c r="B96" s="1030"/>
      <c r="C96" s="959"/>
      <c r="D96" s="961"/>
      <c r="E96" s="1024" t="s">
        <v>1041</v>
      </c>
      <c r="F96" s="1024"/>
      <c r="G96" s="379">
        <f>G94*G93</f>
        <v>0.95484000000000002</v>
      </c>
      <c r="H96" s="373">
        <f>TRUNC(SUM(G96:G96),2)</f>
        <v>0.95</v>
      </c>
    </row>
    <row r="97" spans="1:8" ht="14.25" customHeight="1" x14ac:dyDescent="0.3">
      <c r="A97" s="1037"/>
      <c r="B97" s="1031"/>
      <c r="C97" s="959"/>
      <c r="D97" s="961"/>
      <c r="E97" s="1024" t="s">
        <v>1047</v>
      </c>
      <c r="F97" s="1024"/>
      <c r="G97" s="379">
        <f>G95*G93</f>
        <v>10.662380000000001</v>
      </c>
      <c r="H97" s="373">
        <f>TRUNC(SUM(G97:G97),2)</f>
        <v>10.66</v>
      </c>
    </row>
    <row r="98" spans="1:8" ht="3.95" customHeight="1" x14ac:dyDescent="0.3">
      <c r="A98" s="1037"/>
      <c r="B98" s="613"/>
      <c r="C98" s="613"/>
      <c r="D98" s="613"/>
      <c r="E98" s="613"/>
      <c r="F98" s="613"/>
      <c r="G98" s="613"/>
      <c r="H98" s="619"/>
    </row>
    <row r="99" spans="1:8" ht="14.25" customHeight="1" x14ac:dyDescent="0.3">
      <c r="A99" s="1037"/>
      <c r="B99" s="1029" t="s">
        <v>183</v>
      </c>
      <c r="C99" s="1032" t="s">
        <v>112</v>
      </c>
      <c r="D99" s="936"/>
      <c r="E99" s="1024" t="s">
        <v>22</v>
      </c>
      <c r="F99" s="1024"/>
      <c r="G99" s="379">
        <f>G91</f>
        <v>63.656000000000006</v>
      </c>
      <c r="H99" s="373">
        <f>TRUNC(SUM(G99:G99),2)</f>
        <v>63.65</v>
      </c>
    </row>
    <row r="100" spans="1:8" ht="14.25" customHeight="1" x14ac:dyDescent="0.3">
      <c r="A100" s="1037"/>
      <c r="B100" s="1030"/>
      <c r="C100" s="959" t="s">
        <v>1052</v>
      </c>
      <c r="D100" s="961"/>
      <c r="E100" s="1024" t="s">
        <v>249</v>
      </c>
      <c r="F100" s="1024"/>
      <c r="G100" s="463">
        <v>0.03</v>
      </c>
      <c r="H100" s="375"/>
    </row>
    <row r="101" spans="1:8" ht="14.25" customHeight="1" x14ac:dyDescent="0.3">
      <c r="A101" s="1037"/>
      <c r="B101" s="1030"/>
      <c r="C101" s="959"/>
      <c r="D101" s="961"/>
      <c r="E101" s="1024" t="s">
        <v>23</v>
      </c>
      <c r="F101" s="1024"/>
      <c r="G101" s="379">
        <f>G100*G99</f>
        <v>1.90968</v>
      </c>
      <c r="H101" s="373">
        <f>TRUNC(SUM(G101:G101),2)</f>
        <v>1.9</v>
      </c>
    </row>
    <row r="102" spans="1:8" ht="14.25" customHeight="1" x14ac:dyDescent="0.3">
      <c r="A102" s="1037"/>
      <c r="B102" s="1030"/>
      <c r="C102" s="959"/>
      <c r="D102" s="961"/>
      <c r="E102" s="1024" t="s">
        <v>1045</v>
      </c>
      <c r="F102" s="1024"/>
      <c r="G102" s="379">
        <v>2.5548000000000002</v>
      </c>
      <c r="H102" s="375"/>
    </row>
    <row r="103" spans="1:8" ht="14.25" customHeight="1" x14ac:dyDescent="0.3">
      <c r="A103" s="1037"/>
      <c r="B103" s="1030"/>
      <c r="C103" s="959"/>
      <c r="D103" s="961"/>
      <c r="E103" s="1024" t="s">
        <v>1046</v>
      </c>
      <c r="F103" s="1024"/>
      <c r="G103" s="379">
        <f>G102*G101</f>
        <v>4.8788504640000001</v>
      </c>
      <c r="H103" s="373">
        <f>TRUNC(SUM(G103:G103),2)</f>
        <v>4.87</v>
      </c>
    </row>
    <row r="104" spans="1:8" ht="14.25" customHeight="1" x14ac:dyDescent="0.3">
      <c r="A104" s="1037"/>
      <c r="B104" s="1030"/>
      <c r="C104" s="959" t="s">
        <v>246</v>
      </c>
      <c r="D104" s="961"/>
      <c r="E104" s="1024" t="s">
        <v>25</v>
      </c>
      <c r="F104" s="1024"/>
      <c r="G104" s="463">
        <f>IF($D$11&lt;=30,$D$11,30)</f>
        <v>4.5</v>
      </c>
      <c r="H104" s="375"/>
    </row>
    <row r="105" spans="1:8" ht="14.25" customHeight="1" x14ac:dyDescent="0.3">
      <c r="A105" s="1037"/>
      <c r="B105" s="1030"/>
      <c r="C105" s="959"/>
      <c r="D105" s="961"/>
      <c r="E105" s="1024" t="s">
        <v>318</v>
      </c>
      <c r="F105" s="1024"/>
      <c r="G105" s="463">
        <f>IF($D$11&lt;=30,0,$D$11-G104)</f>
        <v>0</v>
      </c>
      <c r="H105" s="375"/>
    </row>
    <row r="106" spans="1:8" ht="14.25" customHeight="1" x14ac:dyDescent="0.3">
      <c r="A106" s="1037"/>
      <c r="B106" s="1030"/>
      <c r="C106" s="959"/>
      <c r="D106" s="961"/>
      <c r="E106" s="1024" t="s">
        <v>1041</v>
      </c>
      <c r="F106" s="1024"/>
      <c r="G106" s="379">
        <f>G104*G103</f>
        <v>21.954827088000002</v>
      </c>
      <c r="H106" s="373">
        <f>TRUNC(SUM(G106:G106),2)</f>
        <v>21.95</v>
      </c>
    </row>
    <row r="107" spans="1:8" ht="14.25" customHeight="1" x14ac:dyDescent="0.3">
      <c r="A107" s="1038"/>
      <c r="B107" s="1030"/>
      <c r="C107" s="959"/>
      <c r="D107" s="961"/>
      <c r="E107" s="1024" t="s">
        <v>1047</v>
      </c>
      <c r="F107" s="1024"/>
      <c r="G107" s="379">
        <f>G105*G103</f>
        <v>0</v>
      </c>
      <c r="H107" s="373">
        <f>TRUNC(SUM(G107:G107),2)</f>
        <v>0</v>
      </c>
    </row>
    <row r="108" spans="1:8" ht="3.95" customHeight="1" x14ac:dyDescent="0.3">
      <c r="A108" s="617"/>
      <c r="B108" s="613"/>
      <c r="C108" s="613"/>
      <c r="D108" s="613"/>
      <c r="E108" s="613"/>
      <c r="F108" s="613"/>
      <c r="G108" s="614"/>
      <c r="H108" s="615"/>
    </row>
    <row r="109" spans="1:8" ht="16.5" hidden="1" customHeight="1" x14ac:dyDescent="0.3">
      <c r="A109" s="1025" t="s">
        <v>267</v>
      </c>
      <c r="B109" s="1036" t="s">
        <v>1068</v>
      </c>
      <c r="C109" s="1026" t="s">
        <v>1049</v>
      </c>
      <c r="D109" s="1026"/>
      <c r="E109" s="1023" t="s">
        <v>268</v>
      </c>
      <c r="F109" s="1024"/>
      <c r="G109" s="378">
        <v>0</v>
      </c>
      <c r="H109" s="373">
        <f>TRUNC(SUM(G109:G109),2)</f>
        <v>0</v>
      </c>
    </row>
    <row r="110" spans="1:8" hidden="1" x14ac:dyDescent="0.3">
      <c r="A110" s="1025"/>
      <c r="B110" s="1037"/>
      <c r="C110" s="1026"/>
      <c r="D110" s="1026"/>
      <c r="E110" s="1023" t="s">
        <v>1298</v>
      </c>
      <c r="F110" s="1024"/>
      <c r="G110" s="378"/>
      <c r="H110" s="373"/>
    </row>
    <row r="111" spans="1:8" hidden="1" x14ac:dyDescent="0.3">
      <c r="A111" s="1025"/>
      <c r="B111" s="1037"/>
      <c r="C111" s="1026"/>
      <c r="D111" s="1026"/>
      <c r="E111" s="1023" t="s">
        <v>100</v>
      </c>
      <c r="F111" s="1024"/>
      <c r="G111" s="378">
        <v>0</v>
      </c>
      <c r="H111" s="373">
        <f>TRUNC(SUM(G111:G111),2)</f>
        <v>0</v>
      </c>
    </row>
    <row r="112" spans="1:8" hidden="1" x14ac:dyDescent="0.3">
      <c r="A112" s="1025"/>
      <c r="B112" s="1037"/>
      <c r="C112" s="1026"/>
      <c r="D112" s="1026"/>
      <c r="E112" s="1024" t="s">
        <v>949</v>
      </c>
      <c r="F112" s="1024"/>
      <c r="G112" s="463">
        <v>0.2</v>
      </c>
      <c r="H112" s="375"/>
    </row>
    <row r="113" spans="1:8" hidden="1" x14ac:dyDescent="0.3">
      <c r="A113" s="1025"/>
      <c r="B113" s="1037"/>
      <c r="C113" s="1026"/>
      <c r="D113" s="1026"/>
      <c r="E113" s="1024" t="s">
        <v>987</v>
      </c>
      <c r="F113" s="1024"/>
      <c r="G113" s="463">
        <f>G112*(G109+G111)</f>
        <v>0</v>
      </c>
      <c r="H113" s="373">
        <f>TRUNC(SUM(G113:G113),2)</f>
        <v>0</v>
      </c>
    </row>
    <row r="114" spans="1:8" hidden="1" x14ac:dyDescent="0.3">
      <c r="A114" s="1025"/>
      <c r="B114" s="1037"/>
      <c r="C114" s="1026"/>
      <c r="D114" s="1026"/>
      <c r="E114" s="1024" t="s">
        <v>988</v>
      </c>
      <c r="F114" s="1024"/>
      <c r="G114" s="463">
        <f>G113*1.3</f>
        <v>0</v>
      </c>
      <c r="H114" s="373">
        <f>TRUNC(SUM(G114:G114),2)</f>
        <v>0</v>
      </c>
    </row>
    <row r="115" spans="1:8" hidden="1" x14ac:dyDescent="0.3">
      <c r="A115" s="1025"/>
      <c r="B115" s="1037"/>
      <c r="C115" s="1026"/>
      <c r="D115" s="1026"/>
      <c r="E115" s="1024" t="s">
        <v>25</v>
      </c>
      <c r="F115" s="1024"/>
      <c r="G115" s="463">
        <f>IF($B$12&lt;=30,$B$12,30)</f>
        <v>5.8</v>
      </c>
      <c r="H115" s="375"/>
    </row>
    <row r="116" spans="1:8" hidden="1" x14ac:dyDescent="0.3">
      <c r="A116" s="1025"/>
      <c r="B116" s="1037"/>
      <c r="C116" s="1026"/>
      <c r="D116" s="1026"/>
      <c r="E116" s="1024" t="s">
        <v>75</v>
      </c>
      <c r="F116" s="1024"/>
      <c r="G116" s="463">
        <f>G115*G114</f>
        <v>0</v>
      </c>
      <c r="H116" s="373">
        <f>TRUNC(SUM(G116:G116),2)</f>
        <v>0</v>
      </c>
    </row>
    <row r="117" spans="1:8" ht="3.95" hidden="1" customHeight="1" x14ac:dyDescent="0.3">
      <c r="A117" s="1025"/>
      <c r="B117" s="1037"/>
      <c r="C117" s="613"/>
      <c r="D117" s="613"/>
      <c r="E117" s="613"/>
      <c r="F117" s="613"/>
      <c r="G117" s="613"/>
      <c r="H117" s="619"/>
    </row>
    <row r="118" spans="1:8" hidden="1" x14ac:dyDescent="0.3">
      <c r="A118" s="1025"/>
      <c r="B118" s="1037"/>
      <c r="C118" s="1027" t="s">
        <v>1069</v>
      </c>
      <c r="D118" s="1027"/>
      <c r="E118" s="1023" t="s">
        <v>64</v>
      </c>
      <c r="F118" s="1024"/>
      <c r="G118" s="385">
        <v>6.2780000000000002E-2</v>
      </c>
      <c r="H118" s="375"/>
    </row>
    <row r="119" spans="1:8" hidden="1" x14ac:dyDescent="0.3">
      <c r="A119" s="1025"/>
      <c r="B119" s="1037"/>
      <c r="C119" s="1027"/>
      <c r="D119" s="1027"/>
      <c r="E119" s="1023" t="s">
        <v>1297</v>
      </c>
      <c r="F119" s="1024"/>
      <c r="G119" s="385">
        <f>((10*10)+(((15+13)/2)*5)+(((12+10)/2)*(45-15)))/10000</f>
        <v>0.05</v>
      </c>
      <c r="H119" s="375"/>
    </row>
    <row r="120" spans="1:8" hidden="1" x14ac:dyDescent="0.3">
      <c r="A120" s="1025"/>
      <c r="B120" s="1037"/>
      <c r="C120" s="1027"/>
      <c r="D120" s="1027"/>
      <c r="E120" s="1023" t="s">
        <v>65</v>
      </c>
      <c r="F120" s="1024"/>
      <c r="G120" s="385">
        <v>2.8500000000000001E-2</v>
      </c>
      <c r="H120" s="375"/>
    </row>
    <row r="121" spans="1:8" hidden="1" x14ac:dyDescent="0.3">
      <c r="A121" s="1025"/>
      <c r="B121" s="1037"/>
      <c r="C121" s="1027"/>
      <c r="D121" s="1027"/>
      <c r="E121" s="1023" t="s">
        <v>12</v>
      </c>
      <c r="F121" s="1024"/>
      <c r="G121" s="386">
        <v>0.83599999999999997</v>
      </c>
      <c r="H121" s="375"/>
    </row>
    <row r="122" spans="1:8" hidden="1" x14ac:dyDescent="0.3">
      <c r="A122" s="1025"/>
      <c r="B122" s="1037"/>
      <c r="C122" s="1027"/>
      <c r="D122" s="1027"/>
      <c r="E122" s="1023" t="s">
        <v>27</v>
      </c>
      <c r="F122" s="1024"/>
      <c r="G122" s="379">
        <v>1.6</v>
      </c>
      <c r="H122" s="375"/>
    </row>
    <row r="123" spans="1:8" hidden="1" x14ac:dyDescent="0.3">
      <c r="A123" s="1025"/>
      <c r="B123" s="1037"/>
      <c r="C123" s="1027"/>
      <c r="D123" s="1027"/>
      <c r="E123" s="1023" t="s">
        <v>25</v>
      </c>
      <c r="F123" s="1024"/>
      <c r="G123" s="463">
        <f>IF($B$11&lt;=30,$B$11,30)</f>
        <v>22.5</v>
      </c>
      <c r="H123" s="375"/>
    </row>
    <row r="124" spans="1:8" hidden="1" x14ac:dyDescent="0.3">
      <c r="A124" s="1025"/>
      <c r="B124" s="1037"/>
      <c r="C124" s="1027"/>
      <c r="D124" s="1027"/>
      <c r="E124" s="1023" t="s">
        <v>318</v>
      </c>
      <c r="F124" s="1024"/>
      <c r="G124" s="463">
        <f>IF($B$11&lt;=30,0,$B$11-G123)</f>
        <v>0</v>
      </c>
      <c r="H124" s="375"/>
    </row>
    <row r="125" spans="1:8" hidden="1" x14ac:dyDescent="0.3">
      <c r="A125" s="1025"/>
      <c r="B125" s="1037"/>
      <c r="C125" s="1027"/>
      <c r="D125" s="1027"/>
      <c r="E125" s="1023" t="s">
        <v>28</v>
      </c>
      <c r="F125" s="1024"/>
      <c r="G125" s="379">
        <f>((G109*G118)+(G110*G119)+(G111*G120)*G121*G122)*G123</f>
        <v>0</v>
      </c>
      <c r="H125" s="373">
        <f>TRUNC(SUM(G125:G125),2)</f>
        <v>0</v>
      </c>
    </row>
    <row r="126" spans="1:8" hidden="1" x14ac:dyDescent="0.3">
      <c r="A126" s="1025"/>
      <c r="B126" s="1037"/>
      <c r="C126" s="1027"/>
      <c r="D126" s="1027"/>
      <c r="E126" s="1023" t="s">
        <v>320</v>
      </c>
      <c r="F126" s="1024"/>
      <c r="G126" s="379">
        <f>((G109*G118)+(G110*G119)+(G111*G120)*G121*G122)*G124</f>
        <v>0</v>
      </c>
      <c r="H126" s="373">
        <f>TRUNC(SUM(G126:G126),2)</f>
        <v>0</v>
      </c>
    </row>
    <row r="127" spans="1:8" hidden="1" x14ac:dyDescent="0.3">
      <c r="A127" s="1025"/>
      <c r="B127" s="1037"/>
      <c r="C127" s="1027"/>
      <c r="D127" s="1027"/>
      <c r="E127" s="1023" t="s">
        <v>75</v>
      </c>
      <c r="F127" s="1024"/>
      <c r="G127" s="379">
        <f>G125/G122</f>
        <v>0</v>
      </c>
      <c r="H127" s="373">
        <f>TRUNC(SUM(G127:G127),2)</f>
        <v>0</v>
      </c>
    </row>
    <row r="128" spans="1:8" hidden="1" x14ac:dyDescent="0.3">
      <c r="A128" s="1025"/>
      <c r="B128" s="1037"/>
      <c r="C128" s="1027"/>
      <c r="D128" s="1027"/>
      <c r="E128" s="1023" t="s">
        <v>914</v>
      </c>
      <c r="F128" s="1024"/>
      <c r="G128" s="379">
        <f>G126/G122</f>
        <v>0</v>
      </c>
      <c r="H128" s="373">
        <f>TRUNC(SUM(G128:G128),2)</f>
        <v>0</v>
      </c>
    </row>
    <row r="129" spans="1:8" ht="3.95" hidden="1" customHeight="1" x14ac:dyDescent="0.3">
      <c r="A129" s="1025"/>
      <c r="B129" s="1037"/>
      <c r="C129" s="613"/>
      <c r="D129" s="613"/>
      <c r="E129" s="613"/>
      <c r="F129" s="613"/>
      <c r="G129" s="613"/>
      <c r="H129" s="613"/>
    </row>
    <row r="130" spans="1:8" ht="27" hidden="1" customHeight="1" x14ac:dyDescent="0.3">
      <c r="A130" s="1025"/>
      <c r="B130" s="1038"/>
      <c r="C130" s="1045" t="s">
        <v>1301</v>
      </c>
      <c r="D130" s="1046"/>
      <c r="E130" s="1023" t="s">
        <v>1303</v>
      </c>
      <c r="F130" s="1024"/>
      <c r="G130" s="379">
        <f>(G109+G110+G111)/12</f>
        <v>0</v>
      </c>
      <c r="H130" s="373">
        <f>TRUNC(SUM(G130:G130),2)</f>
        <v>0</v>
      </c>
    </row>
    <row r="131" spans="1:8" ht="3.95" hidden="1" customHeight="1" x14ac:dyDescent="0.3">
      <c r="A131" s="1025"/>
      <c r="B131" s="613"/>
      <c r="C131" s="613"/>
      <c r="D131" s="613"/>
      <c r="E131" s="613"/>
      <c r="F131" s="613"/>
      <c r="G131" s="613"/>
      <c r="H131" s="619"/>
    </row>
    <row r="132" spans="1:8" hidden="1" x14ac:dyDescent="0.3">
      <c r="A132" s="1025"/>
      <c r="B132" s="1028" t="s">
        <v>1067</v>
      </c>
      <c r="C132" s="1027" t="s">
        <v>1070</v>
      </c>
      <c r="D132" s="1027"/>
      <c r="E132" s="1023" t="s">
        <v>22</v>
      </c>
      <c r="F132" s="1024"/>
      <c r="G132" s="379"/>
      <c r="H132" s="373">
        <f>TRUNC(SUM(G132:G132),2)</f>
        <v>0</v>
      </c>
    </row>
    <row r="133" spans="1:8" hidden="1" x14ac:dyDescent="0.3">
      <c r="A133" s="1025"/>
      <c r="B133" s="1028"/>
      <c r="C133" s="1027"/>
      <c r="D133" s="1027"/>
      <c r="E133" s="1023" t="s">
        <v>1071</v>
      </c>
      <c r="F133" s="1024"/>
      <c r="G133" s="379">
        <v>8.0000000000000002E-3</v>
      </c>
      <c r="H133" s="375"/>
    </row>
    <row r="134" spans="1:8" hidden="1" x14ac:dyDescent="0.3">
      <c r="A134" s="1025"/>
      <c r="B134" s="1028"/>
      <c r="C134" s="1027"/>
      <c r="D134" s="1027"/>
      <c r="E134" s="1023" t="s">
        <v>25</v>
      </c>
      <c r="F134" s="1024"/>
      <c r="G134" s="463">
        <f>IF($B$14&lt;=30,$B$14,30)</f>
        <v>9.6</v>
      </c>
      <c r="H134" s="375"/>
    </row>
    <row r="135" spans="1:8" hidden="1" x14ac:dyDescent="0.3">
      <c r="A135" s="1025"/>
      <c r="B135" s="1028"/>
      <c r="C135" s="1027"/>
      <c r="D135" s="1027"/>
      <c r="E135" s="1023" t="s">
        <v>318</v>
      </c>
      <c r="F135" s="1024"/>
      <c r="G135" s="463">
        <f>IF($B$14&lt;=30,0,$B$14-G134)</f>
        <v>0</v>
      </c>
      <c r="H135" s="375"/>
    </row>
    <row r="136" spans="1:8" hidden="1" x14ac:dyDescent="0.3">
      <c r="A136" s="1025"/>
      <c r="B136" s="1028"/>
      <c r="C136" s="1027"/>
      <c r="D136" s="1027"/>
      <c r="E136" s="1023" t="s">
        <v>28</v>
      </c>
      <c r="F136" s="1024"/>
      <c r="G136" s="379">
        <f>G134*G133*G132</f>
        <v>0</v>
      </c>
      <c r="H136" s="373">
        <f>TRUNC(SUM(G136:G136),2)</f>
        <v>0</v>
      </c>
    </row>
    <row r="137" spans="1:8" hidden="1" x14ac:dyDescent="0.3">
      <c r="A137" s="1025"/>
      <c r="B137" s="1028"/>
      <c r="C137" s="1027"/>
      <c r="D137" s="1027"/>
      <c r="E137" s="1023" t="s">
        <v>320</v>
      </c>
      <c r="F137" s="1024"/>
      <c r="G137" s="379">
        <f>G135*G133*G132</f>
        <v>0</v>
      </c>
      <c r="H137" s="373">
        <f>TRUNC(SUM(G137:G137),2)</f>
        <v>0</v>
      </c>
    </row>
  </sheetData>
  <mergeCells count="160">
    <mergeCell ref="B109:B130"/>
    <mergeCell ref="C130:D130"/>
    <mergeCell ref="E130:F130"/>
    <mergeCell ref="G5:H5"/>
    <mergeCell ref="E20:F20"/>
    <mergeCell ref="E21:F21"/>
    <mergeCell ref="E22:F22"/>
    <mergeCell ref="G6:H8"/>
    <mergeCell ref="A10:D10"/>
    <mergeCell ref="A15:F15"/>
    <mergeCell ref="A16:F16"/>
    <mergeCell ref="A17:D22"/>
    <mergeCell ref="E17:F17"/>
    <mergeCell ref="E18:F18"/>
    <mergeCell ref="E19:F19"/>
    <mergeCell ref="E65:F65"/>
    <mergeCell ref="E56:F56"/>
    <mergeCell ref="E57:F57"/>
    <mergeCell ref="E58:F58"/>
    <mergeCell ref="E59:F59"/>
    <mergeCell ref="B72:D72"/>
    <mergeCell ref="C61:D62"/>
    <mergeCell ref="B73:D76"/>
    <mergeCell ref="E55:F55"/>
    <mergeCell ref="A1:C3"/>
    <mergeCell ref="D1:F1"/>
    <mergeCell ref="D2:F2"/>
    <mergeCell ref="D3:F3"/>
    <mergeCell ref="B45:B51"/>
    <mergeCell ref="C45:D45"/>
    <mergeCell ref="E45:F45"/>
    <mergeCell ref="C46:D47"/>
    <mergeCell ref="E46:F46"/>
    <mergeCell ref="E47:F47"/>
    <mergeCell ref="C48:D51"/>
    <mergeCell ref="E48:F48"/>
    <mergeCell ref="E49:F49"/>
    <mergeCell ref="E50:F50"/>
    <mergeCell ref="E51:F51"/>
    <mergeCell ref="E24:F24"/>
    <mergeCell ref="E25:F25"/>
    <mergeCell ref="E41:F41"/>
    <mergeCell ref="E29:F29"/>
    <mergeCell ref="E30:F30"/>
    <mergeCell ref="E79:F79"/>
    <mergeCell ref="C25:D28"/>
    <mergeCell ref="C29:D30"/>
    <mergeCell ref="E28:F28"/>
    <mergeCell ref="E26:F26"/>
    <mergeCell ref="E27:F27"/>
    <mergeCell ref="E37:F37"/>
    <mergeCell ref="E38:F38"/>
    <mergeCell ref="E39:F39"/>
    <mergeCell ref="E40:F40"/>
    <mergeCell ref="E34:F34"/>
    <mergeCell ref="E35:F35"/>
    <mergeCell ref="E36:F36"/>
    <mergeCell ref="C53:D53"/>
    <mergeCell ref="E72:F72"/>
    <mergeCell ref="E73:F73"/>
    <mergeCell ref="E74:F74"/>
    <mergeCell ref="E80:F80"/>
    <mergeCell ref="E92:F92"/>
    <mergeCell ref="E42:F42"/>
    <mergeCell ref="E43:F43"/>
    <mergeCell ref="E53:F53"/>
    <mergeCell ref="E54:F54"/>
    <mergeCell ref="E91:F91"/>
    <mergeCell ref="E88:F88"/>
    <mergeCell ref="E89:F89"/>
    <mergeCell ref="E82:F82"/>
    <mergeCell ref="E83:F83"/>
    <mergeCell ref="E84:F84"/>
    <mergeCell ref="E85:F85"/>
    <mergeCell ref="E86:F86"/>
    <mergeCell ref="E87:F87"/>
    <mergeCell ref="E76:F76"/>
    <mergeCell ref="E75:F75"/>
    <mergeCell ref="E66:F66"/>
    <mergeCell ref="E67:F67"/>
    <mergeCell ref="E68:F68"/>
    <mergeCell ref="E70:F70"/>
    <mergeCell ref="E61:F61"/>
    <mergeCell ref="E63:F63"/>
    <mergeCell ref="E64:F64"/>
    <mergeCell ref="B82:D83"/>
    <mergeCell ref="B77:D80"/>
    <mergeCell ref="A24:A70"/>
    <mergeCell ref="E62:F62"/>
    <mergeCell ref="E77:F77"/>
    <mergeCell ref="E78:F78"/>
    <mergeCell ref="A72:A80"/>
    <mergeCell ref="C56:D59"/>
    <mergeCell ref="C54:D55"/>
    <mergeCell ref="B53:B59"/>
    <mergeCell ref="E69:F69"/>
    <mergeCell ref="C63:D66"/>
    <mergeCell ref="C67:D70"/>
    <mergeCell ref="B61:B70"/>
    <mergeCell ref="B24:B30"/>
    <mergeCell ref="C32:D32"/>
    <mergeCell ref="C33:D39"/>
    <mergeCell ref="C40:D43"/>
    <mergeCell ref="B32:B43"/>
    <mergeCell ref="E33:F33"/>
    <mergeCell ref="E32:F32"/>
    <mergeCell ref="C24:D24"/>
    <mergeCell ref="A82:A107"/>
    <mergeCell ref="C91:D91"/>
    <mergeCell ref="E135:F135"/>
    <mergeCell ref="E136:F136"/>
    <mergeCell ref="E106:F106"/>
    <mergeCell ref="E107:F107"/>
    <mergeCell ref="C99:D99"/>
    <mergeCell ref="E99:F99"/>
    <mergeCell ref="C100:D103"/>
    <mergeCell ref="E100:F100"/>
    <mergeCell ref="E101:F101"/>
    <mergeCell ref="E102:F102"/>
    <mergeCell ref="E103:F103"/>
    <mergeCell ref="E132:F132"/>
    <mergeCell ref="E133:F133"/>
    <mergeCell ref="E119:F119"/>
    <mergeCell ref="E110:F110"/>
    <mergeCell ref="B99:B107"/>
    <mergeCell ref="C104:D107"/>
    <mergeCell ref="E104:F104"/>
    <mergeCell ref="E105:F105"/>
    <mergeCell ref="E93:F93"/>
    <mergeCell ref="E94:F94"/>
    <mergeCell ref="E95:F95"/>
    <mergeCell ref="E96:F96"/>
    <mergeCell ref="E97:F97"/>
    <mergeCell ref="C92:D93"/>
    <mergeCell ref="C94:D97"/>
    <mergeCell ref="B91:B97"/>
    <mergeCell ref="E137:F137"/>
    <mergeCell ref="A109:A137"/>
    <mergeCell ref="C109:D116"/>
    <mergeCell ref="E109:F109"/>
    <mergeCell ref="E111:F111"/>
    <mergeCell ref="E112:F112"/>
    <mergeCell ref="E113:F113"/>
    <mergeCell ref="E114:F114"/>
    <mergeCell ref="E115:F115"/>
    <mergeCell ref="E116:F116"/>
    <mergeCell ref="C118:D128"/>
    <mergeCell ref="E118:F118"/>
    <mergeCell ref="E120:F120"/>
    <mergeCell ref="E121:F121"/>
    <mergeCell ref="E122:F122"/>
    <mergeCell ref="E123:F123"/>
    <mergeCell ref="E124:F124"/>
    <mergeCell ref="E125:F125"/>
    <mergeCell ref="E126:F126"/>
    <mergeCell ref="E127:F127"/>
    <mergeCell ref="E128:F128"/>
    <mergeCell ref="B132:B137"/>
    <mergeCell ref="C132:D137"/>
    <mergeCell ref="E134:F134"/>
  </mergeCells>
  <conditionalFormatting sqref="G109:G111 G125:G128 G18:H21 G100:H100 G108:H108 G106:G107 G104:H105 G103 G102:H102 G101 G99 G96:G97 G94:H95 G93 G92:H92 G91 G84:H90 G83 G81:H82 G79:G80 G77:H78 G76 G75:H75 G74 G73:H73 G72 G52:H71 G50:G51 G48:H49 G47 G46:H46 G45 G44:H44 G42:G43 G40:H41 G38:G39 G37:H37 G35:G36 G33:H34 G32 G31:H31 G30 G29:H29 G28 G27:H27 G26 G25:H25 G24 G23:H23 G22 G17 G132:G137 G130 G118:G122">
    <cfRule type="cellIs" dxfId="82" priority="81" operator="lessThan">
      <formula>0</formula>
    </cfRule>
  </conditionalFormatting>
  <conditionalFormatting sqref="G113:G114 G115:H115 G116 G112:H112">
    <cfRule type="cellIs" dxfId="81" priority="74" operator="lessThan">
      <formula>0</formula>
    </cfRule>
  </conditionalFormatting>
  <conditionalFormatting sqref="G123:G124">
    <cfRule type="cellIs" dxfId="80" priority="68" operator="lessThan">
      <formula>0</formula>
    </cfRule>
  </conditionalFormatting>
  <conditionalFormatting sqref="H125:H128 H130">
    <cfRule type="cellIs" dxfId="79" priority="62" operator="lessThan">
      <formula>0</formula>
    </cfRule>
  </conditionalFormatting>
  <conditionalFormatting sqref="H118:H124">
    <cfRule type="cellIs" dxfId="78" priority="52" operator="lessThan">
      <formula>0</formula>
    </cfRule>
  </conditionalFormatting>
  <conditionalFormatting sqref="H133:H135">
    <cfRule type="cellIs" dxfId="77" priority="51" operator="lessThan">
      <formula>0</formula>
    </cfRule>
  </conditionalFormatting>
  <conditionalFormatting sqref="H137">
    <cfRule type="cellIs" dxfId="76" priority="40" operator="lessThan">
      <formula>0</formula>
    </cfRule>
  </conditionalFormatting>
  <conditionalFormatting sqref="H136">
    <cfRule type="cellIs" dxfId="75" priority="39" operator="lessThan">
      <formula>0</formula>
    </cfRule>
  </conditionalFormatting>
  <conditionalFormatting sqref="H132">
    <cfRule type="cellIs" dxfId="74" priority="38" operator="lessThan">
      <formula>0</formula>
    </cfRule>
  </conditionalFormatting>
  <conditionalFormatting sqref="H116">
    <cfRule type="cellIs" dxfId="73" priority="37" operator="lessThan">
      <formula>0</formula>
    </cfRule>
  </conditionalFormatting>
  <conditionalFormatting sqref="H114">
    <cfRule type="cellIs" dxfId="72" priority="36" operator="lessThan">
      <formula>0</formula>
    </cfRule>
  </conditionalFormatting>
  <conditionalFormatting sqref="H113">
    <cfRule type="cellIs" dxfId="71" priority="35" operator="lessThan">
      <formula>0</formula>
    </cfRule>
  </conditionalFormatting>
  <conditionalFormatting sqref="H111">
    <cfRule type="cellIs" dxfId="70" priority="34" operator="lessThan">
      <formula>0</formula>
    </cfRule>
  </conditionalFormatting>
  <conditionalFormatting sqref="H109:H110">
    <cfRule type="cellIs" dxfId="69" priority="33" operator="lessThan">
      <formula>0</formula>
    </cfRule>
  </conditionalFormatting>
  <conditionalFormatting sqref="H107">
    <cfRule type="cellIs" dxfId="68" priority="32" operator="lessThan">
      <formula>0</formula>
    </cfRule>
  </conditionalFormatting>
  <conditionalFormatting sqref="H106">
    <cfRule type="cellIs" dxfId="67" priority="31" operator="lessThan">
      <formula>0</formula>
    </cfRule>
  </conditionalFormatting>
  <conditionalFormatting sqref="H103">
    <cfRule type="cellIs" dxfId="66" priority="30" operator="lessThan">
      <formula>0</formula>
    </cfRule>
  </conditionalFormatting>
  <conditionalFormatting sqref="H101">
    <cfRule type="cellIs" dxfId="65" priority="29" operator="lessThan">
      <formula>0</formula>
    </cfRule>
  </conditionalFormatting>
  <conditionalFormatting sqref="H99">
    <cfRule type="cellIs" dxfId="64" priority="28" operator="lessThan">
      <formula>0</formula>
    </cfRule>
  </conditionalFormatting>
  <conditionalFormatting sqref="H97">
    <cfRule type="cellIs" dxfId="63" priority="27" operator="lessThan">
      <formula>0</formula>
    </cfRule>
  </conditionalFormatting>
  <conditionalFormatting sqref="H96">
    <cfRule type="cellIs" dxfId="62" priority="26" operator="lessThan">
      <formula>0</formula>
    </cfRule>
  </conditionalFormatting>
  <conditionalFormatting sqref="H93">
    <cfRule type="cellIs" dxfId="61" priority="25" operator="lessThan">
      <formula>0</formula>
    </cfRule>
  </conditionalFormatting>
  <conditionalFormatting sqref="H91">
    <cfRule type="cellIs" dxfId="60" priority="24" operator="lessThan">
      <formula>0</formula>
    </cfRule>
  </conditionalFormatting>
  <conditionalFormatting sqref="H83">
    <cfRule type="cellIs" dxfId="59" priority="23" operator="lessThan">
      <formula>0</formula>
    </cfRule>
  </conditionalFormatting>
  <conditionalFormatting sqref="H80">
    <cfRule type="cellIs" dxfId="58" priority="22" operator="lessThan">
      <formula>0</formula>
    </cfRule>
  </conditionalFormatting>
  <conditionalFormatting sqref="H79">
    <cfRule type="cellIs" dxfId="57" priority="21" operator="lessThan">
      <formula>0</formula>
    </cfRule>
  </conditionalFormatting>
  <conditionalFormatting sqref="H76">
    <cfRule type="cellIs" dxfId="56" priority="20" operator="lessThan">
      <formula>0</formula>
    </cfRule>
  </conditionalFormatting>
  <conditionalFormatting sqref="H74">
    <cfRule type="cellIs" dxfId="55" priority="19" operator="lessThan">
      <formula>0</formula>
    </cfRule>
  </conditionalFormatting>
  <conditionalFormatting sqref="H72">
    <cfRule type="cellIs" dxfId="54" priority="18" operator="lessThan">
      <formula>0</formula>
    </cfRule>
  </conditionalFormatting>
  <conditionalFormatting sqref="H51">
    <cfRule type="cellIs" dxfId="53" priority="17" operator="lessThan">
      <formula>0</formula>
    </cfRule>
  </conditionalFormatting>
  <conditionalFormatting sqref="H50">
    <cfRule type="cellIs" dxfId="52" priority="16" operator="lessThan">
      <formula>0</formula>
    </cfRule>
  </conditionalFormatting>
  <conditionalFormatting sqref="H47">
    <cfRule type="cellIs" dxfId="51" priority="15" operator="lessThan">
      <formula>0</formula>
    </cfRule>
  </conditionalFormatting>
  <conditionalFormatting sqref="H45">
    <cfRule type="cellIs" dxfId="50" priority="14" operator="lessThan">
      <formula>0</formula>
    </cfRule>
  </conditionalFormatting>
  <conditionalFormatting sqref="H43">
    <cfRule type="cellIs" dxfId="49" priority="13" operator="lessThan">
      <formula>0</formula>
    </cfRule>
  </conditionalFormatting>
  <conditionalFormatting sqref="H42">
    <cfRule type="cellIs" dxfId="48" priority="12" operator="lessThan">
      <formula>0</formula>
    </cfRule>
  </conditionalFormatting>
  <conditionalFormatting sqref="H39">
    <cfRule type="cellIs" dxfId="47" priority="11" operator="lessThan">
      <formula>0</formula>
    </cfRule>
  </conditionalFormatting>
  <conditionalFormatting sqref="H38">
    <cfRule type="cellIs" dxfId="46" priority="10" operator="lessThan">
      <formula>0</formula>
    </cfRule>
  </conditionalFormatting>
  <conditionalFormatting sqref="H36">
    <cfRule type="cellIs" dxfId="45" priority="9" operator="lessThan">
      <formula>0</formula>
    </cfRule>
  </conditionalFormatting>
  <conditionalFormatting sqref="H35">
    <cfRule type="cellIs" dxfId="44" priority="8" operator="lessThan">
      <formula>0</formula>
    </cfRule>
  </conditionalFormatting>
  <conditionalFormatting sqref="H32">
    <cfRule type="cellIs" dxfId="43" priority="7" operator="lessThan">
      <formula>0</formula>
    </cfRule>
  </conditionalFormatting>
  <conditionalFormatting sqref="H30">
    <cfRule type="cellIs" dxfId="42" priority="6" operator="lessThan">
      <formula>0</formula>
    </cfRule>
  </conditionalFormatting>
  <conditionalFormatting sqref="H28">
    <cfRule type="cellIs" dxfId="41" priority="5" operator="lessThan">
      <formula>0</formula>
    </cfRule>
  </conditionalFormatting>
  <conditionalFormatting sqref="H26">
    <cfRule type="cellIs" dxfId="40" priority="4" operator="lessThan">
      <formula>0</formula>
    </cfRule>
  </conditionalFormatting>
  <conditionalFormatting sqref="H24">
    <cfRule type="cellIs" dxfId="39" priority="3" operator="lessThan">
      <formula>0</formula>
    </cfRule>
  </conditionalFormatting>
  <conditionalFormatting sqref="H22">
    <cfRule type="cellIs" dxfId="38" priority="2" operator="lessThan">
      <formula>0</formula>
    </cfRule>
  </conditionalFormatting>
  <conditionalFormatting sqref="H17">
    <cfRule type="cellIs" dxfId="37" priority="1" operator="lessThan">
      <formula>0</formula>
    </cfRule>
  </conditionalFormatting>
  <printOptions horizontalCentered="1"/>
  <pageMargins left="0.25" right="0.25" top="0.75" bottom="0.75" header="0.3" footer="0.3"/>
  <pageSetup paperSize="9" scale="50" orientation="landscape" r:id="rId1"/>
  <headerFooter>
    <oddFooter>Página &amp;P de &amp;N</oddFooter>
  </headerFooter>
  <rowBreaks count="1" manualBreakCount="1">
    <brk id="39" max="7" man="1"/>
  </row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0">
    <tabColor rgb="FF006F71"/>
    <pageSetUpPr fitToPage="1"/>
  </sheetPr>
  <dimension ref="A1:Q178"/>
  <sheetViews>
    <sheetView topLeftCell="A159" workbookViewId="0">
      <selection activeCell="J194" sqref="J194"/>
    </sheetView>
  </sheetViews>
  <sheetFormatPr defaultColWidth="9.140625" defaultRowHeight="16.5" x14ac:dyDescent="0.3"/>
  <cols>
    <col min="1" max="1" width="14.28515625" style="192" customWidth="1"/>
    <col min="2" max="2" width="9.28515625" style="192" customWidth="1"/>
    <col min="3" max="3" width="13.42578125" style="192" customWidth="1"/>
    <col min="4" max="4" width="14.28515625" style="192" customWidth="1"/>
    <col min="5" max="5" width="18.140625" style="192" customWidth="1"/>
    <col min="6" max="6" width="41.85546875" style="192" customWidth="1"/>
    <col min="7" max="7" width="13.42578125" style="192" customWidth="1"/>
    <col min="8" max="8" width="7.5703125" style="192" bestFit="1" customWidth="1"/>
    <col min="9" max="9" width="9" style="192" customWidth="1"/>
    <col min="10" max="10" width="11" style="192" bestFit="1" customWidth="1"/>
    <col min="11" max="13" width="9.28515625" style="192" bestFit="1" customWidth="1"/>
    <col min="14" max="14" width="13.28515625" style="192" customWidth="1"/>
    <col min="15" max="15" width="9.42578125" style="192" bestFit="1" customWidth="1"/>
    <col min="16" max="17" width="9.28515625" style="192" bestFit="1" customWidth="1"/>
    <col min="18" max="18" width="12.140625" style="192" customWidth="1"/>
    <col min="19" max="16384" width="9.140625" style="192"/>
  </cols>
  <sheetData>
    <row r="1" spans="1:8" ht="18" customHeight="1" x14ac:dyDescent="0.3">
      <c r="A1" s="1013" t="s">
        <v>1112</v>
      </c>
      <c r="B1" s="1014"/>
      <c r="C1" s="1014"/>
      <c r="D1" s="1042" t="str">
        <f>N.GOV</f>
        <v>GOVERNO DO ESTADO DE MATO GROSSO DO SUL</v>
      </c>
      <c r="E1" s="1042"/>
      <c r="F1" s="1042"/>
      <c r="G1" s="291"/>
      <c r="H1" s="248"/>
    </row>
    <row r="2" spans="1:8" x14ac:dyDescent="0.3">
      <c r="A2" s="1015"/>
      <c r="B2" s="1016"/>
      <c r="C2" s="1016"/>
      <c r="D2" s="1043" t="str" cm="1">
        <f t="array" aca="1" ref="D2" ca="1">N.PREFEITURA</f>
        <v>PREFEITURA MUNICIPAL DE NAVIRAÍ</v>
      </c>
      <c r="E2" s="1043"/>
      <c r="F2" s="1043"/>
      <c r="G2" s="208"/>
      <c r="H2" s="282"/>
    </row>
    <row r="3" spans="1:8" x14ac:dyDescent="0.3">
      <c r="A3" s="1017"/>
      <c r="B3" s="1018"/>
      <c r="C3" s="1018"/>
      <c r="D3" s="1044" t="str" cm="1">
        <f t="array" aca="1" ref="D3" ca="1">N.SECRETARIA</f>
        <v>SECRETARIA DE PLANEJAMENTO</v>
      </c>
      <c r="E3" s="1044"/>
      <c r="F3" s="1044"/>
      <c r="G3" s="294"/>
      <c r="H3" s="334"/>
    </row>
    <row r="4" spans="1:8" ht="20.45" customHeight="1" x14ac:dyDescent="0.3">
      <c r="A4" s="1060" t="s">
        <v>114</v>
      </c>
      <c r="B4" s="1061"/>
      <c r="C4" s="1061"/>
      <c r="D4" s="1061"/>
      <c r="E4" s="1061"/>
      <c r="F4" s="1061"/>
      <c r="G4" s="1061"/>
      <c r="H4" s="1062"/>
    </row>
    <row r="5" spans="1:8" ht="14.45" customHeight="1" x14ac:dyDescent="0.3">
      <c r="A5" s="193" t="s">
        <v>811</v>
      </c>
      <c r="B5" s="548" t="str">
        <f>N.DESCRICAO</f>
        <v>INFRAESTRUTURA URBANA – PAVIMENTAÇÃO ASFÁLTICA, DRENAGEM, E SINALIZAÇÃO VIÁRIA NO ACESSO AO CEMITERIO MUNICIPAL DE NAVIRAÍ/ MS</v>
      </c>
      <c r="C5" s="194"/>
      <c r="D5" s="194"/>
      <c r="E5" s="194"/>
      <c r="F5" s="194"/>
      <c r="G5" s="1047" t="s">
        <v>305</v>
      </c>
      <c r="H5" s="1048"/>
    </row>
    <row r="6" spans="1:8" ht="14.45" customHeight="1" x14ac:dyDescent="0.3">
      <c r="A6" s="193" t="s">
        <v>799</v>
      </c>
      <c r="B6" s="548" t="str">
        <f ca="1">N.MUNICIPIO</f>
        <v>NAVIRAÍ</v>
      </c>
      <c r="C6" s="194"/>
      <c r="D6" s="194"/>
      <c r="E6" s="194"/>
      <c r="F6" s="194"/>
      <c r="G6" s="1049" t="str">
        <f>N.Engenheiro&amp;"                                                "&amp;N.CREA</f>
        <v>FÁBIO MARQUES RIBEIRO                                                ENGENHEIRO CIVIL - 15.276 D/MS</v>
      </c>
      <c r="H6" s="1050"/>
    </row>
    <row r="7" spans="1:8" ht="14.45" customHeight="1" x14ac:dyDescent="0.3">
      <c r="A7" s="193" t="s">
        <v>798</v>
      </c>
      <c r="B7" s="548" t="str" cm="1">
        <f t="array" ref="B7">N.LOCAL</f>
        <v>AVENIDA JOÃO RIGONATO</v>
      </c>
      <c r="C7" s="194"/>
      <c r="D7" s="194"/>
      <c r="E7" s="194"/>
      <c r="F7" s="194"/>
      <c r="G7" s="1049"/>
      <c r="H7" s="1050"/>
    </row>
    <row r="8" spans="1:8" ht="14.45" customHeight="1" x14ac:dyDescent="0.3">
      <c r="A8" s="193" t="s">
        <v>813</v>
      </c>
      <c r="B8" s="548" t="str" cm="1">
        <f t="array" ref="B8">N.BASE</f>
        <v>AGESUL(SETEMBRO/2025)/SINAPI(SETEMBRO/2025)</v>
      </c>
      <c r="C8" s="194"/>
      <c r="D8" s="194"/>
      <c r="E8" s="194"/>
      <c r="F8" s="194"/>
      <c r="G8" s="1051"/>
      <c r="H8" s="1052"/>
    </row>
    <row r="9" spans="1:8" ht="14.45" customHeight="1" x14ac:dyDescent="0.3">
      <c r="A9" s="283"/>
      <c r="B9" s="207"/>
      <c r="C9" s="207"/>
      <c r="D9" s="207"/>
      <c r="E9" s="207"/>
      <c r="F9" s="207"/>
      <c r="G9" s="207"/>
      <c r="H9" s="284"/>
    </row>
    <row r="10" spans="1:8" x14ac:dyDescent="0.3">
      <c r="A10" s="791" t="s">
        <v>19</v>
      </c>
      <c r="B10" s="792"/>
      <c r="C10" s="792"/>
      <c r="D10" s="793"/>
      <c r="G10" s="217"/>
      <c r="H10" s="285"/>
    </row>
    <row r="11" spans="1:8" x14ac:dyDescent="0.3">
      <c r="A11" s="218" t="s">
        <v>0</v>
      </c>
      <c r="B11" s="219">
        <f>VALUE('16-DMT'!H10)</f>
        <v>22.5</v>
      </c>
      <c r="C11" s="220" t="s">
        <v>13</v>
      </c>
      <c r="D11" s="221">
        <f>'16-DMT'!H14</f>
        <v>4.5</v>
      </c>
      <c r="G11" s="217"/>
      <c r="H11" s="285"/>
    </row>
    <row r="12" spans="1:8" x14ac:dyDescent="0.3">
      <c r="A12" s="220" t="s">
        <v>1</v>
      </c>
      <c r="B12" s="221">
        <f>'16-DMT'!H11</f>
        <v>5.8</v>
      </c>
      <c r="C12" s="220" t="s">
        <v>69</v>
      </c>
      <c r="D12" s="221">
        <f>VALUE('16-DMT'!H15)</f>
        <v>365</v>
      </c>
      <c r="F12" s="182"/>
      <c r="G12" s="182"/>
      <c r="H12" s="285"/>
    </row>
    <row r="13" spans="1:8" x14ac:dyDescent="0.3">
      <c r="A13" s="220" t="s">
        <v>109</v>
      </c>
      <c r="B13" s="221">
        <f>VALUE('16-DMT'!H12)</f>
        <v>5.8</v>
      </c>
      <c r="C13" s="220" t="s">
        <v>115</v>
      </c>
      <c r="D13" s="221">
        <f>VALUE('16-DMT'!H16)</f>
        <v>22.5</v>
      </c>
      <c r="F13" s="182"/>
      <c r="G13" s="182"/>
      <c r="H13" s="285"/>
    </row>
    <row r="14" spans="1:8" x14ac:dyDescent="0.3">
      <c r="A14" s="220" t="s">
        <v>99</v>
      </c>
      <c r="B14" s="221">
        <f>'16-DMT'!H12</f>
        <v>5.8</v>
      </c>
      <c r="D14" s="182"/>
      <c r="E14" s="182"/>
      <c r="F14" s="182"/>
      <c r="G14" s="182"/>
      <c r="H14" s="285"/>
    </row>
    <row r="15" spans="1:8" ht="11.25" customHeight="1" x14ac:dyDescent="0.3">
      <c r="A15" s="1053"/>
      <c r="B15" s="1054"/>
      <c r="C15" s="1054"/>
      <c r="D15" s="1054"/>
      <c r="E15" s="1054"/>
      <c r="F15" s="1054"/>
      <c r="G15" s="370"/>
      <c r="H15" s="371"/>
    </row>
    <row r="16" spans="1:8" ht="45.75" customHeight="1" x14ac:dyDescent="0.3">
      <c r="A16" s="1055" t="s">
        <v>8</v>
      </c>
      <c r="B16" s="1055"/>
      <c r="C16" s="1055"/>
      <c r="D16" s="1055"/>
      <c r="E16" s="1055"/>
      <c r="F16" s="1055"/>
      <c r="G16" s="610" t="s">
        <v>1304</v>
      </c>
      <c r="H16" s="609" t="s">
        <v>3</v>
      </c>
    </row>
    <row r="17" spans="1:13" x14ac:dyDescent="0.3">
      <c r="A17" s="1056" t="s">
        <v>112</v>
      </c>
      <c r="B17" s="1056"/>
      <c r="C17" s="1056"/>
      <c r="D17" s="1056"/>
      <c r="E17" s="1024" t="s">
        <v>316</v>
      </c>
      <c r="F17" s="1024"/>
      <c r="G17" s="373" t="s">
        <v>989</v>
      </c>
      <c r="H17" s="374"/>
    </row>
    <row r="18" spans="1:13" x14ac:dyDescent="0.3">
      <c r="A18" s="1056"/>
      <c r="B18" s="1056"/>
      <c r="C18" s="1056"/>
      <c r="D18" s="1056"/>
      <c r="E18" s="1024" t="s">
        <v>317</v>
      </c>
      <c r="F18" s="1024"/>
      <c r="G18" s="373" t="s">
        <v>1307</v>
      </c>
      <c r="H18" s="375"/>
    </row>
    <row r="19" spans="1:13" x14ac:dyDescent="0.3">
      <c r="A19" s="1056"/>
      <c r="B19" s="1056"/>
      <c r="C19" s="1056"/>
      <c r="D19" s="1056"/>
      <c r="E19" s="1024" t="s">
        <v>20</v>
      </c>
      <c r="F19" s="1024"/>
      <c r="G19" s="373">
        <f>36*20+9.22</f>
        <v>729.22</v>
      </c>
      <c r="H19" s="373">
        <f>TRUNC(SUM(G19:G19),2)</f>
        <v>729.22</v>
      </c>
      <c r="L19" s="665">
        <f>'11-PAVIMENTAÇÃO - HARRY AMORIN'!J19</f>
        <v>584.86</v>
      </c>
      <c r="M19" s="665">
        <f>L19+H19</f>
        <v>1314.08</v>
      </c>
    </row>
    <row r="20" spans="1:13" x14ac:dyDescent="0.3">
      <c r="A20" s="1056"/>
      <c r="B20" s="1056"/>
      <c r="C20" s="1056"/>
      <c r="D20" s="1056"/>
      <c r="E20" s="1024" t="s">
        <v>265</v>
      </c>
      <c r="F20" s="1024"/>
      <c r="G20" s="376" t="s">
        <v>1034</v>
      </c>
      <c r="H20" s="377"/>
    </row>
    <row r="21" spans="1:13" x14ac:dyDescent="0.3">
      <c r="A21" s="1056"/>
      <c r="B21" s="1056"/>
      <c r="C21" s="1056"/>
      <c r="D21" s="1056"/>
      <c r="E21" s="1024" t="s">
        <v>70</v>
      </c>
      <c r="F21" s="1024"/>
      <c r="G21" s="378">
        <f>7.25+7.25</f>
        <v>14.5</v>
      </c>
      <c r="H21" s="377"/>
    </row>
    <row r="22" spans="1:13" x14ac:dyDescent="0.3">
      <c r="A22" s="1056"/>
      <c r="B22" s="1056"/>
      <c r="C22" s="1056"/>
      <c r="D22" s="1056"/>
      <c r="E22" s="1024" t="s">
        <v>61</v>
      </c>
      <c r="F22" s="1024"/>
      <c r="G22" s="379">
        <v>0.45</v>
      </c>
      <c r="H22" s="377"/>
    </row>
    <row r="23" spans="1:13" x14ac:dyDescent="0.3">
      <c r="A23" s="1056"/>
      <c r="B23" s="1056"/>
      <c r="C23" s="1056"/>
      <c r="D23" s="1056"/>
      <c r="E23" s="1024" t="s">
        <v>71</v>
      </c>
      <c r="F23" s="1024"/>
      <c r="G23" s="379">
        <v>0.13</v>
      </c>
      <c r="H23" s="377"/>
    </row>
    <row r="24" spans="1:13" x14ac:dyDescent="0.3">
      <c r="A24" s="1056"/>
      <c r="B24" s="1056"/>
      <c r="C24" s="1056"/>
      <c r="D24" s="1056"/>
      <c r="E24" s="1024" t="s">
        <v>22</v>
      </c>
      <c r="F24" s="1024"/>
      <c r="G24" s="379">
        <v>10653.82</v>
      </c>
      <c r="H24" s="373">
        <f t="shared" ref="H24:H66" si="0">TRUNC(SUM(G24:G24),2)</f>
        <v>10653.82</v>
      </c>
    </row>
    <row r="25" spans="1:13" ht="13.5" hidden="1" customHeight="1" x14ac:dyDescent="0.3">
      <c r="A25" s="1063" t="s">
        <v>60</v>
      </c>
      <c r="B25" s="1063"/>
      <c r="C25" s="1063"/>
      <c r="D25" s="1063"/>
      <c r="E25" s="1024" t="s">
        <v>250</v>
      </c>
      <c r="F25" s="1024"/>
      <c r="G25" s="373"/>
      <c r="H25" s="373">
        <f t="shared" si="0"/>
        <v>0</v>
      </c>
    </row>
    <row r="26" spans="1:13" hidden="1" x14ac:dyDescent="0.3">
      <c r="A26" s="1063"/>
      <c r="B26" s="1063"/>
      <c r="C26" s="1063"/>
      <c r="D26" s="1063"/>
      <c r="E26" s="1024" t="s">
        <v>251</v>
      </c>
      <c r="F26" s="1024"/>
      <c r="G26" s="379">
        <v>40.479999999999997</v>
      </c>
      <c r="H26" s="373">
        <f t="shared" si="0"/>
        <v>40.479999999999997</v>
      </c>
    </row>
    <row r="27" spans="1:13" hidden="1" x14ac:dyDescent="0.3">
      <c r="A27" s="1063"/>
      <c r="B27" s="1063"/>
      <c r="C27" s="1063"/>
      <c r="D27" s="1063"/>
      <c r="E27" s="1024" t="s">
        <v>252</v>
      </c>
      <c r="F27" s="1024"/>
      <c r="G27" s="379">
        <f>G25*G26</f>
        <v>0</v>
      </c>
      <c r="H27" s="373">
        <f t="shared" si="0"/>
        <v>0</v>
      </c>
    </row>
    <row r="28" spans="1:13" hidden="1" x14ac:dyDescent="0.3">
      <c r="A28" s="1063"/>
      <c r="B28" s="1063"/>
      <c r="C28" s="1063"/>
      <c r="D28" s="1063"/>
      <c r="E28" s="1024" t="s">
        <v>362</v>
      </c>
      <c r="F28" s="1024"/>
      <c r="G28" s="373"/>
      <c r="H28" s="373">
        <f t="shared" si="0"/>
        <v>0</v>
      </c>
    </row>
    <row r="29" spans="1:13" hidden="1" x14ac:dyDescent="0.3">
      <c r="A29" s="1063"/>
      <c r="B29" s="1063"/>
      <c r="C29" s="1063"/>
      <c r="D29" s="1063"/>
      <c r="E29" s="1024" t="s">
        <v>363</v>
      </c>
      <c r="F29" s="1024"/>
      <c r="G29" s="379">
        <v>99.08</v>
      </c>
      <c r="H29" s="373">
        <f t="shared" si="0"/>
        <v>99.08</v>
      </c>
    </row>
    <row r="30" spans="1:13" hidden="1" x14ac:dyDescent="0.3">
      <c r="A30" s="1063"/>
      <c r="B30" s="1063"/>
      <c r="C30" s="1063"/>
      <c r="D30" s="1063"/>
      <c r="E30" s="1024" t="s">
        <v>364</v>
      </c>
      <c r="F30" s="1024"/>
      <c r="G30" s="379">
        <f>G28*G29</f>
        <v>0</v>
      </c>
      <c r="H30" s="373">
        <f t="shared" si="0"/>
        <v>0</v>
      </c>
    </row>
    <row r="31" spans="1:13" hidden="1" x14ac:dyDescent="0.3">
      <c r="A31" s="1063"/>
      <c r="B31" s="1063"/>
      <c r="C31" s="1063"/>
      <c r="D31" s="1063"/>
      <c r="E31" s="1024" t="s">
        <v>365</v>
      </c>
      <c r="F31" s="1024"/>
      <c r="G31" s="373"/>
      <c r="H31" s="373">
        <f t="shared" si="0"/>
        <v>0</v>
      </c>
    </row>
    <row r="32" spans="1:13" hidden="1" x14ac:dyDescent="0.3">
      <c r="A32" s="1063"/>
      <c r="B32" s="1063"/>
      <c r="C32" s="1063"/>
      <c r="D32" s="1063"/>
      <c r="E32" s="1024" t="s">
        <v>366</v>
      </c>
      <c r="F32" s="1024"/>
      <c r="G32" s="379">
        <v>83.45</v>
      </c>
      <c r="H32" s="373">
        <f t="shared" si="0"/>
        <v>83.45</v>
      </c>
    </row>
    <row r="33" spans="1:8" hidden="1" x14ac:dyDescent="0.3">
      <c r="A33" s="1063"/>
      <c r="B33" s="1063"/>
      <c r="C33" s="1063"/>
      <c r="D33" s="1063"/>
      <c r="E33" s="1024" t="s">
        <v>367</v>
      </c>
      <c r="F33" s="1024"/>
      <c r="G33" s="379">
        <f>G31*G32</f>
        <v>0</v>
      </c>
      <c r="H33" s="373">
        <f t="shared" si="0"/>
        <v>0</v>
      </c>
    </row>
    <row r="34" spans="1:8" hidden="1" x14ac:dyDescent="0.3">
      <c r="A34" s="1063"/>
      <c r="B34" s="1063"/>
      <c r="C34" s="1063"/>
      <c r="D34" s="1063"/>
      <c r="E34" s="1024" t="s">
        <v>990</v>
      </c>
      <c r="F34" s="1024"/>
      <c r="G34" s="373"/>
      <c r="H34" s="373">
        <f t="shared" si="0"/>
        <v>0</v>
      </c>
    </row>
    <row r="35" spans="1:8" hidden="1" x14ac:dyDescent="0.3">
      <c r="A35" s="1063"/>
      <c r="B35" s="1063"/>
      <c r="C35" s="1063"/>
      <c r="D35" s="1063"/>
      <c r="E35" s="1024" t="s">
        <v>991</v>
      </c>
      <c r="F35" s="1024"/>
      <c r="G35" s="379">
        <v>53.67</v>
      </c>
      <c r="H35" s="373">
        <f t="shared" si="0"/>
        <v>53.67</v>
      </c>
    </row>
    <row r="36" spans="1:8" hidden="1" x14ac:dyDescent="0.3">
      <c r="A36" s="1063"/>
      <c r="B36" s="1063"/>
      <c r="C36" s="1063"/>
      <c r="D36" s="1063"/>
      <c r="E36" s="1024" t="s">
        <v>992</v>
      </c>
      <c r="F36" s="1024"/>
      <c r="G36" s="379">
        <f>G34*G35</f>
        <v>0</v>
      </c>
      <c r="H36" s="373">
        <f t="shared" si="0"/>
        <v>0</v>
      </c>
    </row>
    <row r="37" spans="1:8" hidden="1" x14ac:dyDescent="0.3">
      <c r="A37" s="1063"/>
      <c r="B37" s="1063"/>
      <c r="C37" s="1063"/>
      <c r="D37" s="1063"/>
      <c r="E37" s="1024" t="s">
        <v>993</v>
      </c>
      <c r="F37" s="1024"/>
      <c r="G37" s="373"/>
      <c r="H37" s="373">
        <f t="shared" si="0"/>
        <v>0</v>
      </c>
    </row>
    <row r="38" spans="1:8" hidden="1" x14ac:dyDescent="0.3">
      <c r="A38" s="1063"/>
      <c r="B38" s="1063"/>
      <c r="C38" s="1063"/>
      <c r="D38" s="1063"/>
      <c r="E38" s="1024" t="s">
        <v>994</v>
      </c>
      <c r="F38" s="1024"/>
      <c r="G38" s="379">
        <v>69.84</v>
      </c>
      <c r="H38" s="373">
        <f t="shared" si="0"/>
        <v>69.84</v>
      </c>
    </row>
    <row r="39" spans="1:8" hidden="1" x14ac:dyDescent="0.3">
      <c r="A39" s="1063"/>
      <c r="B39" s="1063"/>
      <c r="C39" s="1063"/>
      <c r="D39" s="1063"/>
      <c r="E39" s="1024" t="s">
        <v>995</v>
      </c>
      <c r="F39" s="1024"/>
      <c r="G39" s="379">
        <f>G37*G38</f>
        <v>0</v>
      </c>
      <c r="H39" s="373">
        <f t="shared" si="0"/>
        <v>0</v>
      </c>
    </row>
    <row r="40" spans="1:8" hidden="1" x14ac:dyDescent="0.3">
      <c r="A40" s="1063"/>
      <c r="B40" s="1063"/>
      <c r="C40" s="1063"/>
      <c r="D40" s="1063"/>
      <c r="E40" s="1024" t="s">
        <v>996</v>
      </c>
      <c r="F40" s="1024"/>
      <c r="G40" s="373"/>
      <c r="H40" s="373">
        <f t="shared" si="0"/>
        <v>0</v>
      </c>
    </row>
    <row r="41" spans="1:8" hidden="1" x14ac:dyDescent="0.3">
      <c r="A41" s="1063"/>
      <c r="B41" s="1063"/>
      <c r="C41" s="1063"/>
      <c r="D41" s="1063"/>
      <c r="E41" s="1024" t="s">
        <v>997</v>
      </c>
      <c r="F41" s="1024"/>
      <c r="G41" s="379">
        <v>196.11</v>
      </c>
      <c r="H41" s="373">
        <f t="shared" si="0"/>
        <v>196.11</v>
      </c>
    </row>
    <row r="42" spans="1:8" hidden="1" x14ac:dyDescent="0.3">
      <c r="A42" s="1063"/>
      <c r="B42" s="1063"/>
      <c r="C42" s="1063"/>
      <c r="D42" s="1063"/>
      <c r="E42" s="1024" t="s">
        <v>998</v>
      </c>
      <c r="F42" s="1024"/>
      <c r="G42" s="379">
        <f>G40*G41</f>
        <v>0</v>
      </c>
      <c r="H42" s="373">
        <f t="shared" si="0"/>
        <v>0</v>
      </c>
    </row>
    <row r="43" spans="1:8" hidden="1" x14ac:dyDescent="0.3">
      <c r="A43" s="1063"/>
      <c r="B43" s="1063"/>
      <c r="C43" s="1063"/>
      <c r="D43" s="1063"/>
      <c r="E43" s="1024" t="s">
        <v>999</v>
      </c>
      <c r="F43" s="1024"/>
      <c r="G43" s="373"/>
      <c r="H43" s="373">
        <f t="shared" si="0"/>
        <v>0</v>
      </c>
    </row>
    <row r="44" spans="1:8" hidden="1" x14ac:dyDescent="0.3">
      <c r="A44" s="1063"/>
      <c r="B44" s="1063"/>
      <c r="C44" s="1063"/>
      <c r="D44" s="1063"/>
      <c r="E44" s="1024" t="s">
        <v>1000</v>
      </c>
      <c r="F44" s="1024"/>
      <c r="G44" s="379">
        <v>98.66</v>
      </c>
      <c r="H44" s="373">
        <f t="shared" si="0"/>
        <v>98.66</v>
      </c>
    </row>
    <row r="45" spans="1:8" hidden="1" x14ac:dyDescent="0.3">
      <c r="A45" s="1063"/>
      <c r="B45" s="1063"/>
      <c r="C45" s="1063"/>
      <c r="D45" s="1063"/>
      <c r="E45" s="1024" t="s">
        <v>1001</v>
      </c>
      <c r="F45" s="1024"/>
      <c r="G45" s="379">
        <f>G43*G44</f>
        <v>0</v>
      </c>
      <c r="H45" s="373">
        <f t="shared" si="0"/>
        <v>0</v>
      </c>
    </row>
    <row r="46" spans="1:8" hidden="1" x14ac:dyDescent="0.3">
      <c r="A46" s="1063"/>
      <c r="B46" s="1063"/>
      <c r="C46" s="1063"/>
      <c r="D46" s="1063"/>
      <c r="E46" s="1024" t="s">
        <v>1002</v>
      </c>
      <c r="F46" s="1024"/>
      <c r="G46" s="373"/>
      <c r="H46" s="373">
        <f t="shared" si="0"/>
        <v>0</v>
      </c>
    </row>
    <row r="47" spans="1:8" hidden="1" x14ac:dyDescent="0.3">
      <c r="A47" s="1063"/>
      <c r="B47" s="1063"/>
      <c r="C47" s="1063"/>
      <c r="D47" s="1063"/>
      <c r="E47" s="1024" t="s">
        <v>1003</v>
      </c>
      <c r="F47" s="1024"/>
      <c r="G47" s="379">
        <v>207.36</v>
      </c>
      <c r="H47" s="373">
        <f t="shared" si="0"/>
        <v>207.36</v>
      </c>
    </row>
    <row r="48" spans="1:8" hidden="1" x14ac:dyDescent="0.3">
      <c r="A48" s="1063"/>
      <c r="B48" s="1063"/>
      <c r="C48" s="1063"/>
      <c r="D48" s="1063"/>
      <c r="E48" s="1024" t="s">
        <v>1004</v>
      </c>
      <c r="F48" s="1024"/>
      <c r="G48" s="379">
        <f>G46*G47</f>
        <v>0</v>
      </c>
      <c r="H48" s="373">
        <f t="shared" si="0"/>
        <v>0</v>
      </c>
    </row>
    <row r="49" spans="1:8" hidden="1" x14ac:dyDescent="0.3">
      <c r="A49" s="1063"/>
      <c r="B49" s="1063"/>
      <c r="C49" s="1063"/>
      <c r="D49" s="1063"/>
      <c r="E49" s="1024" t="s">
        <v>1005</v>
      </c>
      <c r="F49" s="1024"/>
      <c r="G49" s="373"/>
      <c r="H49" s="373">
        <f t="shared" si="0"/>
        <v>0</v>
      </c>
    </row>
    <row r="50" spans="1:8" hidden="1" x14ac:dyDescent="0.3">
      <c r="A50" s="1063"/>
      <c r="B50" s="1063"/>
      <c r="C50" s="1063"/>
      <c r="D50" s="1063"/>
      <c r="E50" s="1024" t="s">
        <v>1006</v>
      </c>
      <c r="F50" s="1024"/>
      <c r="G50" s="379">
        <v>116.69</v>
      </c>
      <c r="H50" s="373">
        <f t="shared" si="0"/>
        <v>116.69</v>
      </c>
    </row>
    <row r="51" spans="1:8" hidden="1" x14ac:dyDescent="0.3">
      <c r="A51" s="1063"/>
      <c r="B51" s="1063"/>
      <c r="C51" s="1063"/>
      <c r="D51" s="1063"/>
      <c r="E51" s="1024" t="s">
        <v>1007</v>
      </c>
      <c r="F51" s="1024"/>
      <c r="G51" s="379">
        <f>G49*G50</f>
        <v>0</v>
      </c>
      <c r="H51" s="373">
        <f t="shared" si="0"/>
        <v>0</v>
      </c>
    </row>
    <row r="52" spans="1:8" hidden="1" x14ac:dyDescent="0.3">
      <c r="A52" s="1063"/>
      <c r="B52" s="1063"/>
      <c r="C52" s="1063"/>
      <c r="D52" s="1063"/>
      <c r="E52" s="1024" t="s">
        <v>1008</v>
      </c>
      <c r="F52" s="1024"/>
      <c r="G52" s="373"/>
      <c r="H52" s="373">
        <f t="shared" si="0"/>
        <v>0</v>
      </c>
    </row>
    <row r="53" spans="1:8" hidden="1" x14ac:dyDescent="0.3">
      <c r="A53" s="1063"/>
      <c r="B53" s="1063"/>
      <c r="C53" s="1063"/>
      <c r="D53" s="1063"/>
      <c r="E53" s="1024" t="s">
        <v>1009</v>
      </c>
      <c r="F53" s="1024"/>
      <c r="G53" s="379">
        <v>223.24</v>
      </c>
      <c r="H53" s="373">
        <f t="shared" si="0"/>
        <v>223.24</v>
      </c>
    </row>
    <row r="54" spans="1:8" hidden="1" x14ac:dyDescent="0.3">
      <c r="A54" s="1063"/>
      <c r="B54" s="1063"/>
      <c r="C54" s="1063"/>
      <c r="D54" s="1063"/>
      <c r="E54" s="1024" t="s">
        <v>1010</v>
      </c>
      <c r="F54" s="1024"/>
      <c r="G54" s="379">
        <f>G52*G53</f>
        <v>0</v>
      </c>
      <c r="H54" s="373">
        <f t="shared" si="0"/>
        <v>0</v>
      </c>
    </row>
    <row r="55" spans="1:8" hidden="1" x14ac:dyDescent="0.3">
      <c r="A55" s="1063"/>
      <c r="B55" s="1063"/>
      <c r="C55" s="1063"/>
      <c r="D55" s="1063"/>
      <c r="E55" s="1024" t="s">
        <v>1011</v>
      </c>
      <c r="F55" s="1024"/>
      <c r="G55" s="373"/>
      <c r="H55" s="373">
        <f t="shared" si="0"/>
        <v>0</v>
      </c>
    </row>
    <row r="56" spans="1:8" hidden="1" x14ac:dyDescent="0.3">
      <c r="A56" s="1063"/>
      <c r="B56" s="1063"/>
      <c r="C56" s="1063"/>
      <c r="D56" s="1063"/>
      <c r="E56" s="1024" t="s">
        <v>1012</v>
      </c>
      <c r="F56" s="1024"/>
      <c r="G56" s="379">
        <v>74.86</v>
      </c>
      <c r="H56" s="373">
        <f t="shared" si="0"/>
        <v>74.86</v>
      </c>
    </row>
    <row r="57" spans="1:8" hidden="1" x14ac:dyDescent="0.3">
      <c r="A57" s="1063"/>
      <c r="B57" s="1063"/>
      <c r="C57" s="1063"/>
      <c r="D57" s="1063"/>
      <c r="E57" s="1024" t="s">
        <v>1013</v>
      </c>
      <c r="F57" s="1024"/>
      <c r="G57" s="379">
        <f>G55*G56</f>
        <v>0</v>
      </c>
      <c r="H57" s="373">
        <f t="shared" si="0"/>
        <v>0</v>
      </c>
    </row>
    <row r="58" spans="1:8" hidden="1" x14ac:dyDescent="0.3">
      <c r="A58" s="1063"/>
      <c r="B58" s="1063"/>
      <c r="C58" s="1063"/>
      <c r="D58" s="1063"/>
      <c r="E58" s="1024" t="s">
        <v>1014</v>
      </c>
      <c r="F58" s="1024"/>
      <c r="G58" s="373"/>
      <c r="H58" s="373">
        <f t="shared" si="0"/>
        <v>0</v>
      </c>
    </row>
    <row r="59" spans="1:8" hidden="1" x14ac:dyDescent="0.3">
      <c r="A59" s="1063"/>
      <c r="B59" s="1063"/>
      <c r="C59" s="1063"/>
      <c r="D59" s="1063"/>
      <c r="E59" s="1024" t="s">
        <v>1015</v>
      </c>
      <c r="F59" s="1024"/>
      <c r="G59" s="379">
        <v>23.2</v>
      </c>
      <c r="H59" s="373">
        <f t="shared" si="0"/>
        <v>23.2</v>
      </c>
    </row>
    <row r="60" spans="1:8" hidden="1" x14ac:dyDescent="0.3">
      <c r="A60" s="1063"/>
      <c r="B60" s="1063"/>
      <c r="C60" s="1063"/>
      <c r="D60" s="1063"/>
      <c r="E60" s="1024" t="s">
        <v>1016</v>
      </c>
      <c r="F60" s="1024"/>
      <c r="G60" s="379">
        <f>G58*G59</f>
        <v>0</v>
      </c>
      <c r="H60" s="373">
        <f t="shared" si="0"/>
        <v>0</v>
      </c>
    </row>
    <row r="61" spans="1:8" hidden="1" x14ac:dyDescent="0.3">
      <c r="A61" s="1063"/>
      <c r="B61" s="1063"/>
      <c r="C61" s="1063"/>
      <c r="D61" s="1063"/>
      <c r="E61" s="1039" t="s">
        <v>1017</v>
      </c>
      <c r="F61" s="1023"/>
      <c r="G61" s="373"/>
      <c r="H61" s="373">
        <f t="shared" si="0"/>
        <v>0</v>
      </c>
    </row>
    <row r="62" spans="1:8" hidden="1" x14ac:dyDescent="0.3">
      <c r="A62" s="1063"/>
      <c r="B62" s="1063"/>
      <c r="C62" s="1063"/>
      <c r="D62" s="1063"/>
      <c r="E62" s="1039" t="s">
        <v>1018</v>
      </c>
      <c r="F62" s="1023"/>
      <c r="G62" s="379">
        <v>112.14</v>
      </c>
      <c r="H62" s="373">
        <f t="shared" si="0"/>
        <v>112.14</v>
      </c>
    </row>
    <row r="63" spans="1:8" hidden="1" x14ac:dyDescent="0.3">
      <c r="A63" s="1063"/>
      <c r="B63" s="1063"/>
      <c r="C63" s="1063"/>
      <c r="D63" s="1063"/>
      <c r="E63" s="1039" t="s">
        <v>1019</v>
      </c>
      <c r="F63" s="1023"/>
      <c r="G63" s="379">
        <f>G61*G62</f>
        <v>0</v>
      </c>
      <c r="H63" s="373">
        <f t="shared" si="0"/>
        <v>0</v>
      </c>
    </row>
    <row r="64" spans="1:8" hidden="1" x14ac:dyDescent="0.3">
      <c r="A64" s="1063" t="s">
        <v>258</v>
      </c>
      <c r="B64" s="1063"/>
      <c r="C64" s="1063"/>
      <c r="D64" s="1063"/>
      <c r="E64" s="388"/>
      <c r="F64" s="389" t="s">
        <v>20</v>
      </c>
      <c r="G64" s="373">
        <v>0</v>
      </c>
      <c r="H64" s="373">
        <f t="shared" si="0"/>
        <v>0</v>
      </c>
    </row>
    <row r="65" spans="1:13" hidden="1" x14ac:dyDescent="0.3">
      <c r="A65" s="1063"/>
      <c r="B65" s="1063"/>
      <c r="C65" s="1063"/>
      <c r="D65" s="1063"/>
      <c r="E65" s="1024" t="s">
        <v>21</v>
      </c>
      <c r="F65" s="1024"/>
      <c r="G65" s="373"/>
      <c r="H65" s="373">
        <f t="shared" si="0"/>
        <v>0</v>
      </c>
      <c r="J65" s="655"/>
      <c r="K65" s="655"/>
      <c r="L65" s="655"/>
      <c r="M65" s="828"/>
    </row>
    <row r="66" spans="1:13" x14ac:dyDescent="0.3">
      <c r="A66" s="1063"/>
      <c r="B66" s="1063"/>
      <c r="C66" s="1063"/>
      <c r="D66" s="1063"/>
      <c r="E66" s="1024" t="s">
        <v>22</v>
      </c>
      <c r="F66" s="1024"/>
      <c r="G66" s="379">
        <v>246.29300000000001</v>
      </c>
      <c r="H66" s="373">
        <f t="shared" si="0"/>
        <v>246.29</v>
      </c>
      <c r="J66" s="655"/>
      <c r="K66" s="655"/>
      <c r="L66" s="655"/>
      <c r="M66" s="828"/>
    </row>
    <row r="67" spans="1:13" hidden="1" x14ac:dyDescent="0.3">
      <c r="A67" s="1063"/>
      <c r="B67" s="1063"/>
      <c r="C67" s="1063"/>
      <c r="D67" s="1063"/>
      <c r="E67" s="1024" t="s">
        <v>259</v>
      </c>
      <c r="F67" s="1024"/>
      <c r="G67" s="378">
        <v>0</v>
      </c>
      <c r="H67" s="373">
        <f>TRUNC(SUM(G67:G67),2)</f>
        <v>0</v>
      </c>
      <c r="J67" s="655"/>
      <c r="K67" s="656"/>
      <c r="L67" s="656"/>
      <c r="M67" s="828"/>
    </row>
    <row r="68" spans="1:13" hidden="1" x14ac:dyDescent="0.3">
      <c r="A68" s="1063" t="s">
        <v>9</v>
      </c>
      <c r="B68" s="1063"/>
      <c r="C68" s="1063"/>
      <c r="D68" s="1063"/>
      <c r="E68" s="1024" t="s">
        <v>238</v>
      </c>
      <c r="F68" s="1024"/>
      <c r="G68" s="373"/>
      <c r="H68" s="373">
        <f>TRUNC(SUM(G68:G68),2)</f>
        <v>0</v>
      </c>
      <c r="J68" s="655"/>
      <c r="K68" s="655"/>
      <c r="L68" s="655"/>
      <c r="M68" s="828"/>
    </row>
    <row r="69" spans="1:13" hidden="1" x14ac:dyDescent="0.3">
      <c r="A69" s="1063"/>
      <c r="B69" s="1063"/>
      <c r="C69" s="1063"/>
      <c r="D69" s="1063"/>
      <c r="E69" s="1024" t="s">
        <v>239</v>
      </c>
      <c r="F69" s="1024"/>
      <c r="G69" s="378"/>
      <c r="H69" s="373">
        <f>TRUNC(SUM(G69:G69),2)</f>
        <v>0</v>
      </c>
      <c r="J69" s="655"/>
      <c r="K69" s="655"/>
      <c r="L69" s="657"/>
      <c r="M69" s="828"/>
    </row>
    <row r="70" spans="1:13" ht="14.25" hidden="1" customHeight="1" x14ac:dyDescent="0.3">
      <c r="A70" s="1063"/>
      <c r="B70" s="1063"/>
      <c r="C70" s="1063"/>
      <c r="D70" s="1063"/>
      <c r="E70" s="1024" t="s">
        <v>22</v>
      </c>
      <c r="F70" s="1024"/>
      <c r="G70" s="379">
        <f>ROUND(G68*G69,2)</f>
        <v>0</v>
      </c>
      <c r="H70" s="373">
        <f>TRUNC(SUM(G70:G70),2)</f>
        <v>0</v>
      </c>
      <c r="J70" s="655"/>
      <c r="K70" s="655"/>
      <c r="L70" s="655"/>
      <c r="M70" s="828"/>
    </row>
    <row r="71" spans="1:13" ht="3.95" customHeight="1" x14ac:dyDescent="0.3">
      <c r="A71" s="611"/>
      <c r="B71" s="612"/>
      <c r="C71" s="612"/>
      <c r="D71" s="612"/>
      <c r="E71" s="613"/>
      <c r="F71" s="613"/>
      <c r="G71" s="614"/>
      <c r="H71" s="614"/>
      <c r="J71" s="655"/>
      <c r="K71" s="655"/>
      <c r="L71" s="655"/>
      <c r="M71" s="223"/>
    </row>
    <row r="72" spans="1:13" ht="14.25" hidden="1" customHeight="1" x14ac:dyDescent="0.3">
      <c r="A72" s="1033" t="s">
        <v>6</v>
      </c>
      <c r="B72" s="1064" t="s">
        <v>257</v>
      </c>
      <c r="C72" s="1066" t="s">
        <v>244</v>
      </c>
      <c r="D72" s="1066"/>
      <c r="E72" s="1024" t="s">
        <v>21</v>
      </c>
      <c r="F72" s="1024"/>
      <c r="G72" s="379">
        <f>G21</f>
        <v>14.5</v>
      </c>
      <c r="H72" s="375"/>
      <c r="J72" s="655"/>
      <c r="K72" s="655"/>
      <c r="L72" s="655"/>
    </row>
    <row r="73" spans="1:13" ht="14.25" hidden="1" customHeight="1" x14ac:dyDescent="0.3">
      <c r="A73" s="1034"/>
      <c r="B73" s="1064"/>
      <c r="C73" s="1066"/>
      <c r="D73" s="1066"/>
      <c r="E73" s="1024" t="s">
        <v>22</v>
      </c>
      <c r="F73" s="1024"/>
      <c r="G73" s="379">
        <v>6087.3109999999997</v>
      </c>
      <c r="H73" s="373">
        <f>TRUNC(SUM(G73:G73),2)</f>
        <v>6087.31</v>
      </c>
      <c r="J73" s="655"/>
      <c r="K73" s="655"/>
      <c r="L73" s="655"/>
    </row>
    <row r="74" spans="1:13" ht="14.25" hidden="1" customHeight="1" x14ac:dyDescent="0.3">
      <c r="A74" s="1034"/>
      <c r="B74" s="1064"/>
      <c r="C74" s="1066"/>
      <c r="D74" s="1066"/>
      <c r="E74" s="1024" t="s">
        <v>249</v>
      </c>
      <c r="F74" s="1024"/>
      <c r="G74" s="375">
        <v>0.1</v>
      </c>
      <c r="H74" s="375"/>
      <c r="J74" s="655"/>
      <c r="K74" s="655"/>
      <c r="L74" s="655"/>
    </row>
    <row r="75" spans="1:13" ht="14.25" hidden="1" customHeight="1" x14ac:dyDescent="0.3">
      <c r="A75" s="1034"/>
      <c r="B75" s="1064"/>
      <c r="C75" s="1066"/>
      <c r="D75" s="1066"/>
      <c r="E75" s="1024" t="s">
        <v>23</v>
      </c>
      <c r="F75" s="1024"/>
      <c r="G75" s="379">
        <f>G73*G74</f>
        <v>608.73109999999997</v>
      </c>
      <c r="H75" s="373">
        <f>TRUNC(SUM(G75:G75),2)</f>
        <v>608.73</v>
      </c>
      <c r="J75" s="655"/>
    </row>
    <row r="76" spans="1:13" ht="14.25" hidden="1" customHeight="1" x14ac:dyDescent="0.3">
      <c r="A76" s="1034"/>
      <c r="B76" s="1064"/>
      <c r="C76" s="1066" t="s">
        <v>245</v>
      </c>
      <c r="D76" s="1066"/>
      <c r="E76" s="1024" t="s">
        <v>944</v>
      </c>
      <c r="F76" s="1024"/>
      <c r="G76" s="379">
        <f>G75*(1+G77)</f>
        <v>791.35042999999996</v>
      </c>
      <c r="H76" s="373">
        <f>TRUNC(SUM(G76:G76),2)</f>
        <v>791.35</v>
      </c>
      <c r="J76" s="655"/>
      <c r="K76" s="655"/>
      <c r="L76" s="655"/>
      <c r="M76" s="656"/>
    </row>
    <row r="77" spans="1:13" ht="14.25" hidden="1" customHeight="1" x14ac:dyDescent="0.3">
      <c r="A77" s="1034"/>
      <c r="B77" s="1064"/>
      <c r="C77" s="1026" t="s">
        <v>246</v>
      </c>
      <c r="D77" s="1026"/>
      <c r="E77" s="1024" t="s">
        <v>24</v>
      </c>
      <c r="F77" s="1024"/>
      <c r="G77" s="381">
        <v>0.3</v>
      </c>
      <c r="H77" s="375"/>
      <c r="J77" s="655"/>
      <c r="K77" s="655"/>
      <c r="L77" s="655"/>
    </row>
    <row r="78" spans="1:13" ht="14.25" hidden="1" customHeight="1" x14ac:dyDescent="0.3">
      <c r="A78" s="1034"/>
      <c r="B78" s="1064"/>
      <c r="C78" s="1026"/>
      <c r="D78" s="1026"/>
      <c r="E78" s="1024" t="s">
        <v>25</v>
      </c>
      <c r="F78" s="1024"/>
      <c r="G78" s="379">
        <f>$B$12</f>
        <v>5.8</v>
      </c>
      <c r="H78" s="375"/>
      <c r="J78" s="655"/>
      <c r="K78" s="655"/>
      <c r="L78" s="655"/>
    </row>
    <row r="79" spans="1:13" ht="14.25" hidden="1" customHeight="1" x14ac:dyDescent="0.3">
      <c r="A79" s="1034"/>
      <c r="B79" s="1064"/>
      <c r="C79" s="1026"/>
      <c r="D79" s="1026"/>
      <c r="E79" s="1024" t="s">
        <v>26</v>
      </c>
      <c r="F79" s="1024"/>
      <c r="G79" s="379">
        <f>G76*G78</f>
        <v>4589.8324939999993</v>
      </c>
      <c r="H79" s="373">
        <f>TRUNC(SUM(G79:G79),2)</f>
        <v>4589.83</v>
      </c>
    </row>
    <row r="80" spans="1:13" ht="14.25" customHeight="1" x14ac:dyDescent="0.3">
      <c r="A80" s="1034"/>
      <c r="B80" s="1028" t="s">
        <v>247</v>
      </c>
      <c r="C80" s="1066" t="s">
        <v>244</v>
      </c>
      <c r="D80" s="1066"/>
      <c r="E80" s="1072" t="s">
        <v>416</v>
      </c>
      <c r="F80" s="1072"/>
      <c r="G80" s="379">
        <f>'7-MOVIMENTO DE TERRA'!C13</f>
        <v>3354.23</v>
      </c>
      <c r="H80" s="373">
        <f>TRUNC(SUM(G80:G80),2)</f>
        <v>3354.23</v>
      </c>
    </row>
    <row r="81" spans="1:8" ht="14.25" customHeight="1" x14ac:dyDescent="0.3">
      <c r="A81" s="1034"/>
      <c r="B81" s="1028"/>
      <c r="C81" s="1066" t="s">
        <v>245</v>
      </c>
      <c r="D81" s="1066"/>
      <c r="E81" s="1024" t="s">
        <v>945</v>
      </c>
      <c r="F81" s="1024"/>
      <c r="G81" s="379">
        <f>G80*(1+G82)</f>
        <v>4360.4989999999998</v>
      </c>
      <c r="H81" s="373">
        <f>TRUNC(SUM(G81:G81),2)</f>
        <v>4360.49</v>
      </c>
    </row>
    <row r="82" spans="1:8" ht="14.25" customHeight="1" x14ac:dyDescent="0.3">
      <c r="A82" s="1034"/>
      <c r="B82" s="1028"/>
      <c r="C82" s="1026" t="s">
        <v>246</v>
      </c>
      <c r="D82" s="1026"/>
      <c r="E82" s="1024" t="s">
        <v>24</v>
      </c>
      <c r="F82" s="1024"/>
      <c r="G82" s="381">
        <v>0.3</v>
      </c>
      <c r="H82" s="381"/>
    </row>
    <row r="83" spans="1:8" ht="14.25" customHeight="1" x14ac:dyDescent="0.3">
      <c r="A83" s="1034"/>
      <c r="B83" s="1028"/>
      <c r="C83" s="1026"/>
      <c r="D83" s="1026"/>
      <c r="E83" s="1024" t="s">
        <v>25</v>
      </c>
      <c r="F83" s="1024"/>
      <c r="G83" s="379">
        <f>G78</f>
        <v>5.8</v>
      </c>
      <c r="H83" s="379"/>
    </row>
    <row r="84" spans="1:8" ht="14.25" customHeight="1" x14ac:dyDescent="0.3">
      <c r="A84" s="1034"/>
      <c r="B84" s="1028"/>
      <c r="C84" s="1026"/>
      <c r="D84" s="1026"/>
      <c r="E84" s="1024" t="s">
        <v>26</v>
      </c>
      <c r="F84" s="1024"/>
      <c r="G84" s="379">
        <f>G83*G81</f>
        <v>25290.894199999999</v>
      </c>
      <c r="H84" s="373">
        <f>TRUNC(SUM(G84:G84),2)</f>
        <v>25290.89</v>
      </c>
    </row>
    <row r="85" spans="1:8" x14ac:dyDescent="0.3">
      <c r="A85" s="1034"/>
      <c r="B85" s="1028" t="s">
        <v>248</v>
      </c>
      <c r="C85" s="1026" t="s">
        <v>248</v>
      </c>
      <c r="D85" s="1026"/>
      <c r="E85" s="1024" t="s">
        <v>416</v>
      </c>
      <c r="F85" s="1024"/>
      <c r="G85" s="379">
        <f>'7-MOVIMENTO DE TERRA'!F13</f>
        <v>2318.23</v>
      </c>
      <c r="H85" s="373">
        <f>TRUNC(SUM(G85:G85),2)</f>
        <v>2318.23</v>
      </c>
    </row>
    <row r="86" spans="1:8" x14ac:dyDescent="0.3">
      <c r="A86" s="1034"/>
      <c r="B86" s="1028"/>
      <c r="C86" s="1066" t="s">
        <v>10</v>
      </c>
      <c r="D86" s="1066"/>
      <c r="E86" s="1024" t="s">
        <v>946</v>
      </c>
      <c r="F86" s="1024"/>
      <c r="G86" s="379">
        <f>G85*(1+G87)</f>
        <v>3013.6990000000001</v>
      </c>
      <c r="H86" s="373">
        <f>TRUNC(SUM(G86:G86),2)</f>
        <v>3013.69</v>
      </c>
    </row>
    <row r="87" spans="1:8" x14ac:dyDescent="0.3">
      <c r="A87" s="1034"/>
      <c r="B87" s="1028"/>
      <c r="C87" s="1026" t="s">
        <v>246</v>
      </c>
      <c r="D87" s="1026"/>
      <c r="E87" s="1024" t="s">
        <v>24</v>
      </c>
      <c r="F87" s="1024"/>
      <c r="G87" s="382">
        <v>0.3</v>
      </c>
      <c r="H87" s="375"/>
    </row>
    <row r="88" spans="1:8" x14ac:dyDescent="0.3">
      <c r="A88" s="1034"/>
      <c r="B88" s="1028"/>
      <c r="C88" s="1026"/>
      <c r="D88" s="1026"/>
      <c r="E88" s="1024" t="s">
        <v>25</v>
      </c>
      <c r="F88" s="1024"/>
      <c r="G88" s="379">
        <f>$B$13</f>
        <v>5.8</v>
      </c>
      <c r="H88" s="375"/>
    </row>
    <row r="89" spans="1:8" x14ac:dyDescent="0.3">
      <c r="A89" s="1034"/>
      <c r="B89" s="1028"/>
      <c r="C89" s="1026"/>
      <c r="D89" s="1026"/>
      <c r="E89" s="1024" t="s">
        <v>26</v>
      </c>
      <c r="F89" s="1024"/>
      <c r="G89" s="379">
        <f>G86*G88</f>
        <v>17479.4542</v>
      </c>
      <c r="H89" s="373">
        <f>TRUNC(SUM(G89:G89),2)</f>
        <v>17479.45</v>
      </c>
    </row>
    <row r="90" spans="1:8" ht="3.95" customHeight="1" x14ac:dyDescent="0.3">
      <c r="A90" s="1034"/>
      <c r="B90" s="621"/>
      <c r="C90" s="621"/>
      <c r="D90" s="621"/>
      <c r="E90" s="621"/>
      <c r="F90" s="621"/>
      <c r="G90" s="621"/>
      <c r="H90" s="621"/>
    </row>
    <row r="91" spans="1:8" ht="35.25" customHeight="1" x14ac:dyDescent="0.3">
      <c r="A91" s="1034"/>
      <c r="B91" s="1033" t="s">
        <v>1396</v>
      </c>
      <c r="C91" s="1026" t="s">
        <v>247</v>
      </c>
      <c r="D91" s="1026"/>
      <c r="E91" s="1024" t="s">
        <v>23</v>
      </c>
      <c r="F91" s="1024"/>
      <c r="G91" s="379">
        <f>IF(G80-G85&lt;0,0,G80-G85)</f>
        <v>1036</v>
      </c>
      <c r="H91" s="373">
        <f>TRUNC(SUM(G91:G91),2)</f>
        <v>1036</v>
      </c>
    </row>
    <row r="92" spans="1:8" x14ac:dyDescent="0.3">
      <c r="A92" s="1034"/>
      <c r="B92" s="1034"/>
      <c r="C92" s="1066" t="s">
        <v>10</v>
      </c>
      <c r="D92" s="1066"/>
      <c r="E92" s="1024" t="s">
        <v>946</v>
      </c>
      <c r="F92" s="1024"/>
      <c r="G92" s="379">
        <f>G93*G91+G91</f>
        <v>1346.8</v>
      </c>
      <c r="H92" s="373">
        <f>TRUNC(SUM(G92:G92),2)</f>
        <v>1346.8</v>
      </c>
    </row>
    <row r="93" spans="1:8" x14ac:dyDescent="0.3">
      <c r="A93" s="1034"/>
      <c r="B93" s="1034"/>
      <c r="C93" s="1026" t="s">
        <v>246</v>
      </c>
      <c r="D93" s="1026"/>
      <c r="E93" s="1024" t="s">
        <v>24</v>
      </c>
      <c r="F93" s="1024"/>
      <c r="G93" s="381">
        <v>0.3</v>
      </c>
      <c r="H93" s="375"/>
    </row>
    <row r="94" spans="1:8" x14ac:dyDescent="0.3">
      <c r="A94" s="1034"/>
      <c r="B94" s="1034"/>
      <c r="C94" s="1026"/>
      <c r="D94" s="1026"/>
      <c r="E94" s="1024" t="s">
        <v>25</v>
      </c>
      <c r="F94" s="1024"/>
      <c r="G94" s="379">
        <f>B12</f>
        <v>5.8</v>
      </c>
      <c r="H94" s="375"/>
    </row>
    <row r="95" spans="1:8" x14ac:dyDescent="0.3">
      <c r="A95" s="1034"/>
      <c r="B95" s="1034"/>
      <c r="C95" s="1026"/>
      <c r="D95" s="1026"/>
      <c r="E95" s="1024" t="s">
        <v>26</v>
      </c>
      <c r="F95" s="1024"/>
      <c r="G95" s="379">
        <f>G94*G92</f>
        <v>7811.44</v>
      </c>
      <c r="H95" s="373">
        <f>TRUNC(SUM(G95:G95),2)</f>
        <v>7811.44</v>
      </c>
    </row>
    <row r="96" spans="1:8" x14ac:dyDescent="0.3">
      <c r="A96" s="1034"/>
      <c r="B96" s="1034"/>
      <c r="C96" s="1026" t="s">
        <v>248</v>
      </c>
      <c r="D96" s="1026"/>
      <c r="E96" s="1024" t="s">
        <v>23</v>
      </c>
      <c r="F96" s="1024"/>
      <c r="G96" s="379">
        <f>IF(G85-G80&lt;0,0,G85-G80)</f>
        <v>0</v>
      </c>
      <c r="H96" s="373">
        <f>TRUNC(SUM(G96:G96),2)</f>
        <v>0</v>
      </c>
    </row>
    <row r="97" spans="1:8" x14ac:dyDescent="0.3">
      <c r="A97" s="1034"/>
      <c r="B97" s="1034"/>
      <c r="C97" s="1066" t="s">
        <v>10</v>
      </c>
      <c r="D97" s="1066"/>
      <c r="E97" s="1024" t="s">
        <v>946</v>
      </c>
      <c r="F97" s="1024"/>
      <c r="G97" s="379">
        <f>G98*G96</f>
        <v>0</v>
      </c>
      <c r="H97" s="373">
        <f>TRUNC(SUM(G97:G97),2)</f>
        <v>0</v>
      </c>
    </row>
    <row r="98" spans="1:8" x14ac:dyDescent="0.3">
      <c r="A98" s="1034"/>
      <c r="B98" s="1034"/>
      <c r="C98" s="1026" t="s">
        <v>246</v>
      </c>
      <c r="D98" s="1026"/>
      <c r="E98" s="1024" t="s">
        <v>24</v>
      </c>
      <c r="F98" s="1024"/>
      <c r="G98" s="381">
        <v>0.3</v>
      </c>
      <c r="H98" s="375"/>
    </row>
    <row r="99" spans="1:8" x14ac:dyDescent="0.3">
      <c r="A99" s="1034"/>
      <c r="B99" s="1034"/>
      <c r="C99" s="1026"/>
      <c r="D99" s="1026"/>
      <c r="E99" s="1024" t="s">
        <v>25</v>
      </c>
      <c r="F99" s="1024"/>
      <c r="G99" s="379">
        <f>B13</f>
        <v>5.8</v>
      </c>
      <c r="H99" s="375"/>
    </row>
    <row r="100" spans="1:8" x14ac:dyDescent="0.3">
      <c r="A100" s="1035"/>
      <c r="B100" s="1034"/>
      <c r="C100" s="1026"/>
      <c r="D100" s="1026"/>
      <c r="E100" s="1024" t="s">
        <v>26</v>
      </c>
      <c r="F100" s="1024"/>
      <c r="G100" s="379">
        <f>G99*G96</f>
        <v>0</v>
      </c>
      <c r="H100" s="373">
        <f>TRUNC(SUM(G100:G100),2)</f>
        <v>0</v>
      </c>
    </row>
    <row r="101" spans="1:8" ht="3.95" customHeight="1" x14ac:dyDescent="0.3">
      <c r="A101" s="620"/>
      <c r="B101" s="621"/>
      <c r="C101" s="622"/>
      <c r="D101" s="622"/>
      <c r="E101" s="613"/>
      <c r="F101" s="613"/>
      <c r="G101" s="614"/>
      <c r="H101" s="615"/>
    </row>
    <row r="102" spans="1:8" ht="15" customHeight="1" x14ac:dyDescent="0.3">
      <c r="A102" s="1028" t="s">
        <v>260</v>
      </c>
      <c r="B102" s="1028" t="s">
        <v>178</v>
      </c>
      <c r="C102" s="1066" t="s">
        <v>244</v>
      </c>
      <c r="D102" s="1066"/>
      <c r="E102" s="1024" t="s">
        <v>21</v>
      </c>
      <c r="F102" s="1024"/>
      <c r="G102" s="379">
        <f>G21+(0.65*2)</f>
        <v>15.8</v>
      </c>
      <c r="H102" s="373">
        <f>TRUNC(SUM(G102:G102),2)</f>
        <v>15.8</v>
      </c>
    </row>
    <row r="103" spans="1:8" ht="15" customHeight="1" x14ac:dyDescent="0.3">
      <c r="A103" s="1028"/>
      <c r="B103" s="1028"/>
      <c r="C103" s="1066"/>
      <c r="D103" s="1066"/>
      <c r="E103" s="1024" t="s">
        <v>22</v>
      </c>
      <c r="F103" s="1024"/>
      <c r="G103" s="379">
        <f>G24+((0.65*2)*G19)</f>
        <v>11601.806</v>
      </c>
      <c r="H103" s="373">
        <f>TRUNC(SUM(G103:G103),2)</f>
        <v>11601.8</v>
      </c>
    </row>
    <row r="104" spans="1:8" ht="15" customHeight="1" x14ac:dyDescent="0.3">
      <c r="A104" s="1028"/>
      <c r="B104" s="1028"/>
      <c r="C104" s="1066"/>
      <c r="D104" s="1066"/>
      <c r="E104" s="1024" t="s">
        <v>249</v>
      </c>
      <c r="F104" s="1024"/>
      <c r="G104" s="373">
        <v>0</v>
      </c>
      <c r="H104" s="375"/>
    </row>
    <row r="105" spans="1:8" x14ac:dyDescent="0.3">
      <c r="A105" s="1028"/>
      <c r="B105" s="1028"/>
      <c r="C105" s="1066"/>
      <c r="D105" s="1066"/>
      <c r="E105" s="1024" t="s">
        <v>902</v>
      </c>
      <c r="F105" s="1024"/>
      <c r="G105" s="379">
        <f>G103*G104</f>
        <v>0</v>
      </c>
      <c r="H105" s="373">
        <f>TRUNC(SUM(G105:G105),2)</f>
        <v>0</v>
      </c>
    </row>
    <row r="106" spans="1:8" ht="15" customHeight="1" x14ac:dyDescent="0.3">
      <c r="A106" s="1028"/>
      <c r="B106" s="1028"/>
      <c r="C106" s="1026" t="s">
        <v>246</v>
      </c>
      <c r="D106" s="1026"/>
      <c r="E106" s="1024" t="s">
        <v>24</v>
      </c>
      <c r="F106" s="1024"/>
      <c r="G106" s="381">
        <v>0.3</v>
      </c>
      <c r="H106" s="375"/>
    </row>
    <row r="107" spans="1:8" ht="15" customHeight="1" x14ac:dyDescent="0.3">
      <c r="A107" s="1028"/>
      <c r="B107" s="1028"/>
      <c r="C107" s="1026"/>
      <c r="D107" s="1026"/>
      <c r="E107" s="1024" t="s">
        <v>947</v>
      </c>
      <c r="F107" s="1024"/>
      <c r="G107" s="379">
        <f>G105*(G106+1)</f>
        <v>0</v>
      </c>
      <c r="H107" s="373">
        <f>TRUNC(SUM(G107:G107),2)</f>
        <v>0</v>
      </c>
    </row>
    <row r="108" spans="1:8" ht="15" customHeight="1" x14ac:dyDescent="0.3">
      <c r="A108" s="1028"/>
      <c r="B108" s="1028"/>
      <c r="C108" s="1026"/>
      <c r="D108" s="1026"/>
      <c r="E108" s="1024" t="s">
        <v>25</v>
      </c>
      <c r="F108" s="1024"/>
      <c r="G108" s="379">
        <f>$B$13</f>
        <v>5.8</v>
      </c>
      <c r="H108" s="375"/>
    </row>
    <row r="109" spans="1:8" ht="15" customHeight="1" x14ac:dyDescent="0.3">
      <c r="A109" s="1028"/>
      <c r="B109" s="1028"/>
      <c r="C109" s="1026"/>
      <c r="D109" s="1026"/>
      <c r="E109" s="1024" t="s">
        <v>26</v>
      </c>
      <c r="F109" s="1024"/>
      <c r="G109" s="379">
        <f>G107*G108</f>
        <v>0</v>
      </c>
      <c r="H109" s="373">
        <f>TRUNC(SUM(G109:G109),2)</f>
        <v>0</v>
      </c>
    </row>
    <row r="110" spans="1:8" ht="14.45" customHeight="1" x14ac:dyDescent="0.3">
      <c r="A110" s="1028"/>
      <c r="B110" s="1064" t="s">
        <v>11</v>
      </c>
      <c r="C110" s="1066" t="s">
        <v>244</v>
      </c>
      <c r="D110" s="1066"/>
      <c r="E110" s="1024" t="s">
        <v>21</v>
      </c>
      <c r="F110" s="1024"/>
      <c r="G110" s="379">
        <f>G21+(0.55*2)</f>
        <v>15.6</v>
      </c>
      <c r="H110" s="373">
        <f>TRUNC(SUM(G110:G110),2)</f>
        <v>15.6</v>
      </c>
    </row>
    <row r="111" spans="1:8" x14ac:dyDescent="0.3">
      <c r="A111" s="1028"/>
      <c r="B111" s="1064"/>
      <c r="C111" s="1066"/>
      <c r="D111" s="1066"/>
      <c r="E111" s="1024" t="s">
        <v>22</v>
      </c>
      <c r="F111" s="1024"/>
      <c r="G111" s="379">
        <f>G24+((0.55*2)*G19)</f>
        <v>11455.962</v>
      </c>
      <c r="H111" s="373">
        <f>TRUNC(SUM(G111:G111),2)</f>
        <v>11455.96</v>
      </c>
    </row>
    <row r="112" spans="1:8" x14ac:dyDescent="0.3">
      <c r="A112" s="1028"/>
      <c r="B112" s="1064"/>
      <c r="C112" s="1066"/>
      <c r="D112" s="1066"/>
      <c r="E112" s="1024" t="s">
        <v>249</v>
      </c>
      <c r="F112" s="1024"/>
      <c r="G112" s="373">
        <v>0.2</v>
      </c>
      <c r="H112" s="375"/>
    </row>
    <row r="113" spans="1:10" ht="13.5" customHeight="1" x14ac:dyDescent="0.3">
      <c r="A113" s="1028"/>
      <c r="B113" s="1064"/>
      <c r="C113" s="1066"/>
      <c r="D113" s="1066"/>
      <c r="E113" s="1024" t="s">
        <v>979</v>
      </c>
      <c r="F113" s="1024"/>
      <c r="G113" s="379">
        <f>G111*G112</f>
        <v>2291.1923999999999</v>
      </c>
      <c r="H113" s="373">
        <f>TRUNC(SUM(G113:G113),2)</f>
        <v>2291.19</v>
      </c>
    </row>
    <row r="114" spans="1:10" ht="53.45" customHeight="1" x14ac:dyDescent="0.3">
      <c r="A114" s="1028"/>
      <c r="B114" s="1064"/>
      <c r="C114" s="1066" t="s">
        <v>264</v>
      </c>
      <c r="D114" s="1066"/>
      <c r="E114" s="1065" t="s">
        <v>1525</v>
      </c>
      <c r="F114" s="1065"/>
      <c r="G114" s="220" t="s">
        <v>116</v>
      </c>
      <c r="H114" s="383"/>
    </row>
    <row r="115" spans="1:10" x14ac:dyDescent="0.3">
      <c r="A115" s="1028"/>
      <c r="B115" s="1064"/>
      <c r="C115" s="1026" t="s">
        <v>904</v>
      </c>
      <c r="D115" s="1026"/>
      <c r="E115" s="1024" t="s">
        <v>23</v>
      </c>
      <c r="F115" s="1024"/>
      <c r="G115" s="379">
        <f>G113</f>
        <v>2291.1923999999999</v>
      </c>
      <c r="H115" s="373">
        <f>TRUNC(SUM(G115:G115),2)</f>
        <v>2291.19</v>
      </c>
    </row>
    <row r="116" spans="1:10" ht="15" customHeight="1" x14ac:dyDescent="0.3">
      <c r="A116" s="1028"/>
      <c r="B116" s="1064"/>
      <c r="C116" s="1026"/>
      <c r="D116" s="1026"/>
      <c r="E116" s="1024" t="s">
        <v>27</v>
      </c>
      <c r="F116" s="1024"/>
      <c r="G116" s="379">
        <v>1.6</v>
      </c>
      <c r="H116" s="375"/>
    </row>
    <row r="117" spans="1:10" ht="15" customHeight="1" x14ac:dyDescent="0.3">
      <c r="A117" s="1028"/>
      <c r="B117" s="1064"/>
      <c r="C117" s="1026"/>
      <c r="D117" s="1026"/>
      <c r="E117" s="1024" t="s">
        <v>24</v>
      </c>
      <c r="F117" s="1024"/>
      <c r="G117" s="544">
        <v>0.3</v>
      </c>
      <c r="H117" s="375"/>
    </row>
    <row r="118" spans="1:10" ht="15" customHeight="1" x14ac:dyDescent="0.3">
      <c r="A118" s="1028"/>
      <c r="B118" s="1064"/>
      <c r="C118" s="1026"/>
      <c r="D118" s="1026"/>
      <c r="E118" s="1024" t="s">
        <v>948</v>
      </c>
      <c r="F118" s="1024"/>
      <c r="G118" s="373">
        <f>(G117*G115)+G115</f>
        <v>2978.5501199999999</v>
      </c>
      <c r="H118" s="373">
        <f>TRUNC(SUM(G118:G118),2)</f>
        <v>2978.55</v>
      </c>
      <c r="J118" s="658"/>
    </row>
    <row r="119" spans="1:10" ht="15" customHeight="1" x14ac:dyDescent="0.3">
      <c r="A119" s="1028"/>
      <c r="B119" s="1064"/>
      <c r="C119" s="1026"/>
      <c r="D119" s="1026"/>
      <c r="E119" s="1024" t="s">
        <v>25</v>
      </c>
      <c r="F119" s="1024"/>
      <c r="G119" s="379">
        <f>IF($D$13&gt;=30,30,$D$13)</f>
        <v>22.5</v>
      </c>
      <c r="H119" s="375"/>
    </row>
    <row r="120" spans="1:10" ht="15" customHeight="1" x14ac:dyDescent="0.3">
      <c r="A120" s="1028"/>
      <c r="B120" s="1064"/>
      <c r="C120" s="1026"/>
      <c r="D120" s="1026"/>
      <c r="E120" s="1024" t="s">
        <v>318</v>
      </c>
      <c r="F120" s="1024"/>
      <c r="G120" s="379">
        <f>IF($D$13&gt;=30,$D$13-30,0)</f>
        <v>0</v>
      </c>
      <c r="H120" s="375"/>
    </row>
    <row r="121" spans="1:10" ht="15" customHeight="1" x14ac:dyDescent="0.3">
      <c r="A121" s="1028"/>
      <c r="B121" s="1064"/>
      <c r="C121" s="1026"/>
      <c r="D121" s="1026"/>
      <c r="E121" s="1024" t="s">
        <v>26</v>
      </c>
      <c r="F121" s="1024"/>
      <c r="G121" s="379">
        <f>(G118)*G119</f>
        <v>67017.377699999997</v>
      </c>
      <c r="H121" s="373">
        <f>TRUNC(SUM(G121:G121),2)</f>
        <v>67017.37</v>
      </c>
    </row>
    <row r="122" spans="1:10" x14ac:dyDescent="0.3">
      <c r="A122" s="1028"/>
      <c r="B122" s="1064"/>
      <c r="C122" s="1026"/>
      <c r="D122" s="1026"/>
      <c r="E122" s="1024" t="s">
        <v>319</v>
      </c>
      <c r="F122" s="1024"/>
      <c r="G122" s="379">
        <f>(G118)*G120</f>
        <v>0</v>
      </c>
      <c r="H122" s="373">
        <f>TRUNC(SUM(G122:G122),2)</f>
        <v>0</v>
      </c>
    </row>
    <row r="123" spans="1:10" ht="3.95" customHeight="1" x14ac:dyDescent="0.3">
      <c r="A123" s="623"/>
      <c r="B123" s="621"/>
      <c r="C123" s="624"/>
      <c r="D123" s="624"/>
      <c r="E123" s="612"/>
      <c r="F123" s="612"/>
      <c r="G123" s="614"/>
      <c r="H123" s="615"/>
    </row>
    <row r="124" spans="1:10" x14ac:dyDescent="0.3">
      <c r="A124" s="1028" t="s">
        <v>915</v>
      </c>
      <c r="B124" s="1027" t="s">
        <v>261</v>
      </c>
      <c r="C124" s="1027"/>
      <c r="D124" s="1027"/>
      <c r="E124" s="1024" t="s">
        <v>21</v>
      </c>
      <c r="F124" s="1024"/>
      <c r="G124" s="379">
        <f>G21</f>
        <v>14.5</v>
      </c>
      <c r="H124" s="375"/>
    </row>
    <row r="125" spans="1:10" ht="17.25" customHeight="1" x14ac:dyDescent="0.3">
      <c r="A125" s="1028"/>
      <c r="B125" s="1027"/>
      <c r="C125" s="1027"/>
      <c r="D125" s="1027"/>
      <c r="E125" s="1024" t="s">
        <v>22</v>
      </c>
      <c r="F125" s="1024"/>
      <c r="G125" s="379">
        <f>G24</f>
        <v>10653.82</v>
      </c>
      <c r="H125" s="373">
        <f>TRUNC(SUM(G125:G125),2)</f>
        <v>10653.82</v>
      </c>
    </row>
    <row r="126" spans="1:10" ht="17.25" customHeight="1" x14ac:dyDescent="0.3">
      <c r="A126" s="1028"/>
      <c r="B126" s="1027"/>
      <c r="C126" s="1027"/>
      <c r="D126" s="1027"/>
      <c r="E126" s="1024" t="s">
        <v>263</v>
      </c>
      <c r="F126" s="1024"/>
      <c r="G126" s="384">
        <v>1.1999999999999999E-3</v>
      </c>
      <c r="H126" s="375"/>
    </row>
    <row r="127" spans="1:10" ht="17.25" customHeight="1" x14ac:dyDescent="0.3">
      <c r="A127" s="1028"/>
      <c r="B127" s="1027"/>
      <c r="C127" s="1027"/>
      <c r="D127" s="1027"/>
      <c r="E127" s="1024" t="s">
        <v>1046</v>
      </c>
      <c r="F127" s="1024"/>
      <c r="G127" s="379">
        <f>G126*G125</f>
        <v>12.784583999999999</v>
      </c>
      <c r="H127" s="373">
        <f>TRUNC(SUM(G127:G127),2)</f>
        <v>12.78</v>
      </c>
    </row>
    <row r="128" spans="1:10" ht="17.25" customHeight="1" x14ac:dyDescent="0.3">
      <c r="A128" s="1028"/>
      <c r="B128" s="1027"/>
      <c r="C128" s="1027"/>
      <c r="D128" s="1027"/>
      <c r="E128" s="1024" t="s">
        <v>25</v>
      </c>
      <c r="F128" s="1024"/>
      <c r="G128" s="379">
        <f>IF($D$12&gt;=30,30,$D$12)</f>
        <v>30</v>
      </c>
      <c r="H128" s="375"/>
    </row>
    <row r="129" spans="1:8" ht="17.25" customHeight="1" x14ac:dyDescent="0.3">
      <c r="A129" s="1028"/>
      <c r="B129" s="1027"/>
      <c r="C129" s="1027"/>
      <c r="D129" s="1027"/>
      <c r="E129" s="1024" t="s">
        <v>318</v>
      </c>
      <c r="F129" s="1024"/>
      <c r="G129" s="379">
        <f>IF($D$12&gt;=30,$D$12-30,0)</f>
        <v>335</v>
      </c>
      <c r="H129" s="375"/>
    </row>
    <row r="130" spans="1:8" ht="17.25" customHeight="1" x14ac:dyDescent="0.3">
      <c r="A130" s="1028"/>
      <c r="B130" s="1027"/>
      <c r="C130" s="1027"/>
      <c r="D130" s="1027"/>
      <c r="E130" s="1024" t="s">
        <v>28</v>
      </c>
      <c r="F130" s="1024"/>
      <c r="G130" s="379">
        <f>G127*G128</f>
        <v>383.53751999999997</v>
      </c>
      <c r="H130" s="373">
        <f>TRUNC(SUM(G130:G130),2)</f>
        <v>383.53</v>
      </c>
    </row>
    <row r="131" spans="1:8" ht="17.25" customHeight="1" x14ac:dyDescent="0.3">
      <c r="A131" s="1028"/>
      <c r="B131" s="1027"/>
      <c r="C131" s="1027"/>
      <c r="D131" s="1027"/>
      <c r="E131" s="1024" t="s">
        <v>320</v>
      </c>
      <c r="F131" s="1024"/>
      <c r="G131" s="379">
        <f>G127*G129</f>
        <v>4282.8356399999993</v>
      </c>
      <c r="H131" s="373">
        <f>TRUNC(SUM(G131:G131),2)</f>
        <v>4282.83</v>
      </c>
    </row>
    <row r="132" spans="1:8" ht="3.95" customHeight="1" x14ac:dyDescent="0.3">
      <c r="A132" s="1028"/>
      <c r="B132" s="612"/>
      <c r="C132" s="612"/>
      <c r="D132" s="612"/>
      <c r="E132" s="612"/>
      <c r="F132" s="612"/>
      <c r="G132" s="612"/>
      <c r="H132" s="612"/>
    </row>
    <row r="133" spans="1:8" ht="17.25" customHeight="1" x14ac:dyDescent="0.3">
      <c r="A133" s="1028"/>
      <c r="B133" s="1027" t="s">
        <v>262</v>
      </c>
      <c r="C133" s="1027"/>
      <c r="D133" s="1027"/>
      <c r="E133" s="1024" t="s">
        <v>21</v>
      </c>
      <c r="F133" s="1024"/>
      <c r="G133" s="379">
        <f>G124</f>
        <v>14.5</v>
      </c>
      <c r="H133" s="375"/>
    </row>
    <row r="134" spans="1:8" ht="17.25" customHeight="1" x14ac:dyDescent="0.3">
      <c r="A134" s="1028"/>
      <c r="B134" s="1027"/>
      <c r="C134" s="1027"/>
      <c r="D134" s="1027"/>
      <c r="E134" s="1024" t="s">
        <v>22</v>
      </c>
      <c r="F134" s="1024"/>
      <c r="G134" s="379">
        <f>G125</f>
        <v>10653.82</v>
      </c>
      <c r="H134" s="373">
        <f>TRUNC(SUM(G134:G134),2)</f>
        <v>10653.82</v>
      </c>
    </row>
    <row r="135" spans="1:8" ht="17.25" customHeight="1" x14ac:dyDescent="0.3">
      <c r="A135" s="1028"/>
      <c r="B135" s="1027"/>
      <c r="C135" s="1027"/>
      <c r="D135" s="1027"/>
      <c r="E135" s="1024" t="s">
        <v>263</v>
      </c>
      <c r="F135" s="1024"/>
      <c r="G135" s="384">
        <v>5.0000000000000001E-4</v>
      </c>
      <c r="H135" s="375"/>
    </row>
    <row r="136" spans="1:8" ht="17.25" customHeight="1" x14ac:dyDescent="0.3">
      <c r="A136" s="1028"/>
      <c r="B136" s="1027"/>
      <c r="C136" s="1027"/>
      <c r="D136" s="1027"/>
      <c r="E136" s="1024" t="s">
        <v>1046</v>
      </c>
      <c r="F136" s="1024"/>
      <c r="G136" s="379">
        <f>G135*G134</f>
        <v>5.3269099999999998</v>
      </c>
      <c r="H136" s="373">
        <f>TRUNC(SUM(G136:G136),2)</f>
        <v>5.32</v>
      </c>
    </row>
    <row r="137" spans="1:8" ht="17.25" customHeight="1" x14ac:dyDescent="0.3">
      <c r="A137" s="1028"/>
      <c r="B137" s="1027"/>
      <c r="C137" s="1027"/>
      <c r="D137" s="1027"/>
      <c r="E137" s="1024" t="s">
        <v>25</v>
      </c>
      <c r="F137" s="1024"/>
      <c r="G137" s="379">
        <f>IF($D$12&gt;=30,30,$D$12)</f>
        <v>30</v>
      </c>
      <c r="H137" s="375"/>
    </row>
    <row r="138" spans="1:8" ht="17.25" customHeight="1" x14ac:dyDescent="0.3">
      <c r="A138" s="1028"/>
      <c r="B138" s="1027"/>
      <c r="C138" s="1027"/>
      <c r="D138" s="1027"/>
      <c r="E138" s="1024" t="s">
        <v>318</v>
      </c>
      <c r="F138" s="1024"/>
      <c r="G138" s="379">
        <f>IF($D$12&gt;=30,$D$12-30,0)</f>
        <v>335</v>
      </c>
      <c r="H138" s="375"/>
    </row>
    <row r="139" spans="1:8" ht="17.25" customHeight="1" x14ac:dyDescent="0.3">
      <c r="A139" s="1028"/>
      <c r="B139" s="1027"/>
      <c r="C139" s="1027"/>
      <c r="D139" s="1027"/>
      <c r="E139" s="1024" t="s">
        <v>28</v>
      </c>
      <c r="F139" s="1024"/>
      <c r="G139" s="379">
        <f>G137*G136</f>
        <v>159.8073</v>
      </c>
      <c r="H139" s="373">
        <f>TRUNC(SUM(G139:G139),2)</f>
        <v>159.80000000000001</v>
      </c>
    </row>
    <row r="140" spans="1:8" ht="17.25" customHeight="1" x14ac:dyDescent="0.3">
      <c r="A140" s="1028"/>
      <c r="B140" s="1027"/>
      <c r="C140" s="1027"/>
      <c r="D140" s="1027"/>
      <c r="E140" s="1024" t="s">
        <v>320</v>
      </c>
      <c r="F140" s="1024"/>
      <c r="G140" s="379">
        <f>G138*G136</f>
        <v>1784.51485</v>
      </c>
      <c r="H140" s="373">
        <f>TRUNC(SUM(G140:G140),2)</f>
        <v>1784.51</v>
      </c>
    </row>
    <row r="141" spans="1:8" ht="3.95" customHeight="1" x14ac:dyDescent="0.3">
      <c r="A141" s="1028"/>
      <c r="B141" s="612"/>
      <c r="C141" s="612"/>
      <c r="D141" s="612"/>
      <c r="E141" s="612"/>
      <c r="F141" s="612"/>
      <c r="G141" s="612"/>
      <c r="H141" s="612"/>
    </row>
    <row r="142" spans="1:8" ht="47.45" customHeight="1" x14ac:dyDescent="0.3">
      <c r="A142" s="1028"/>
      <c r="B142" s="1071" t="s">
        <v>264</v>
      </c>
      <c r="C142" s="1071"/>
      <c r="D142" s="1071"/>
      <c r="E142" s="1065" t="s">
        <v>311</v>
      </c>
      <c r="F142" s="1065"/>
      <c r="G142" s="380" t="s">
        <v>13</v>
      </c>
      <c r="H142" s="375"/>
    </row>
    <row r="143" spans="1:8" x14ac:dyDescent="0.3">
      <c r="A143" s="1028"/>
      <c r="B143" s="1070" t="s">
        <v>112</v>
      </c>
      <c r="C143" s="1070"/>
      <c r="D143" s="1070"/>
      <c r="E143" s="1024" t="s">
        <v>21</v>
      </c>
      <c r="F143" s="1024"/>
      <c r="G143" s="379">
        <f>G133</f>
        <v>14.5</v>
      </c>
      <c r="H143" s="375"/>
    </row>
    <row r="144" spans="1:8" x14ac:dyDescent="0.3">
      <c r="A144" s="1028"/>
      <c r="B144" s="1070"/>
      <c r="C144" s="1070"/>
      <c r="D144" s="1070"/>
      <c r="E144" s="1024" t="s">
        <v>22</v>
      </c>
      <c r="F144" s="1024"/>
      <c r="G144" s="379">
        <f>G134</f>
        <v>10653.82</v>
      </c>
      <c r="H144" s="373">
        <f>TRUNC(SUM(G144:G144),2)</f>
        <v>10653.82</v>
      </c>
    </row>
    <row r="145" spans="1:8" x14ac:dyDescent="0.3">
      <c r="A145" s="1028"/>
      <c r="B145" s="1070"/>
      <c r="C145" s="1070"/>
      <c r="D145" s="1070"/>
      <c r="E145" s="1024" t="s">
        <v>949</v>
      </c>
      <c r="F145" s="1024"/>
      <c r="G145" s="379">
        <v>0.03</v>
      </c>
      <c r="H145" s="375"/>
    </row>
    <row r="146" spans="1:8" x14ac:dyDescent="0.3">
      <c r="A146" s="1028"/>
      <c r="B146" s="1070"/>
      <c r="C146" s="1070"/>
      <c r="D146" s="1070"/>
      <c r="E146" s="1024" t="s">
        <v>23</v>
      </c>
      <c r="F146" s="1024"/>
      <c r="G146" s="379">
        <f>G144*G145</f>
        <v>319.6146</v>
      </c>
      <c r="H146" s="373">
        <f>TRUNC(SUM(G146:G146),2)</f>
        <v>319.61</v>
      </c>
    </row>
    <row r="147" spans="1:8" x14ac:dyDescent="0.3">
      <c r="A147" s="1028"/>
      <c r="B147" s="1070"/>
      <c r="C147" s="1070"/>
      <c r="D147" s="1070"/>
      <c r="E147" s="1024" t="s">
        <v>1153</v>
      </c>
      <c r="F147" s="1024"/>
      <c r="G147" s="379">
        <v>2.5548000000000002</v>
      </c>
      <c r="H147" s="375"/>
    </row>
    <row r="148" spans="1:8" ht="14.45" customHeight="1" x14ac:dyDescent="0.3">
      <c r="A148" s="1028"/>
      <c r="B148" s="1070"/>
      <c r="C148" s="1070"/>
      <c r="D148" s="1070"/>
      <c r="E148" s="1024" t="s">
        <v>985</v>
      </c>
      <c r="F148" s="1024"/>
      <c r="G148" s="379">
        <f>G146*G147</f>
        <v>816.55138008000006</v>
      </c>
      <c r="H148" s="373">
        <f>TRUNC(SUM(G148:G148),2)</f>
        <v>816.55</v>
      </c>
    </row>
    <row r="149" spans="1:8" x14ac:dyDescent="0.3">
      <c r="A149" s="1028"/>
      <c r="B149" s="1070" t="s">
        <v>266</v>
      </c>
      <c r="C149" s="1070"/>
      <c r="D149" s="1070"/>
      <c r="E149" s="1024" t="s">
        <v>25</v>
      </c>
      <c r="F149" s="1024"/>
      <c r="G149" s="379">
        <f>IF($D$11&gt;=30,30,$D$11)</f>
        <v>4.5</v>
      </c>
      <c r="H149" s="375"/>
    </row>
    <row r="150" spans="1:8" x14ac:dyDescent="0.3">
      <c r="A150" s="1028"/>
      <c r="B150" s="1070"/>
      <c r="C150" s="1070"/>
      <c r="D150" s="1070"/>
      <c r="E150" s="1024" t="s">
        <v>318</v>
      </c>
      <c r="F150" s="1024"/>
      <c r="G150" s="379">
        <f>IF($D$11&gt;=30,$D$11-30,0)</f>
        <v>0</v>
      </c>
      <c r="H150" s="375"/>
    </row>
    <row r="151" spans="1:8" x14ac:dyDescent="0.3">
      <c r="A151" s="1028"/>
      <c r="B151" s="1070"/>
      <c r="C151" s="1070"/>
      <c r="D151" s="1070"/>
      <c r="E151" s="1024" t="s">
        <v>28</v>
      </c>
      <c r="F151" s="1024"/>
      <c r="G151" s="379">
        <f>G148*G149</f>
        <v>3674.4812103600002</v>
      </c>
      <c r="H151" s="373">
        <f>TRUNC(SUM(G151:G151),2)</f>
        <v>3674.48</v>
      </c>
    </row>
    <row r="152" spans="1:8" x14ac:dyDescent="0.3">
      <c r="A152" s="1028"/>
      <c r="B152" s="1070"/>
      <c r="C152" s="1070"/>
      <c r="D152" s="1070"/>
      <c r="E152" s="1024" t="s">
        <v>986</v>
      </c>
      <c r="F152" s="1024"/>
      <c r="G152" s="379">
        <f>G150*G148</f>
        <v>0</v>
      </c>
      <c r="H152" s="373">
        <f>TRUNC(SUM(G152:G152),2)</f>
        <v>0</v>
      </c>
    </row>
    <row r="153" spans="1:8" ht="3.95" customHeight="1" x14ac:dyDescent="0.3">
      <c r="A153" s="620"/>
      <c r="B153" s="625"/>
      <c r="C153" s="625"/>
      <c r="D153" s="625"/>
      <c r="E153" s="613"/>
      <c r="F153" s="613"/>
      <c r="G153" s="614"/>
      <c r="H153" s="615"/>
    </row>
    <row r="154" spans="1:8" ht="30.6" customHeight="1" x14ac:dyDescent="0.3">
      <c r="A154" s="1067" t="s">
        <v>267</v>
      </c>
      <c r="B154" s="1026" t="s">
        <v>269</v>
      </c>
      <c r="C154" s="1026"/>
      <c r="D154" s="1026"/>
      <c r="E154" s="1024" t="s">
        <v>268</v>
      </c>
      <c r="F154" s="1024"/>
      <c r="G154" s="378">
        <v>1490.08</v>
      </c>
      <c r="H154" s="373">
        <f>TRUNC(SUM(G154:G154),2)</f>
        <v>1490.08</v>
      </c>
    </row>
    <row r="155" spans="1:8" ht="30.6" hidden="1" customHeight="1" x14ac:dyDescent="0.3">
      <c r="A155" s="1068"/>
      <c r="B155" s="1026"/>
      <c r="C155" s="1026"/>
      <c r="D155" s="1026"/>
      <c r="E155" s="1024" t="s">
        <v>1298</v>
      </c>
      <c r="F155" s="1024"/>
      <c r="G155" s="378"/>
      <c r="H155" s="373">
        <f>TRUNC(SUM(G155:G155),2)</f>
        <v>0</v>
      </c>
    </row>
    <row r="156" spans="1:8" ht="30.6" customHeight="1" x14ac:dyDescent="0.3">
      <c r="A156" s="1068"/>
      <c r="B156" s="1026"/>
      <c r="C156" s="1026"/>
      <c r="D156" s="1026"/>
      <c r="E156" s="1039" t="s">
        <v>100</v>
      </c>
      <c r="F156" s="1023"/>
      <c r="G156" s="378">
        <v>1235.24</v>
      </c>
      <c r="H156" s="373">
        <f>TRUNC(SUM(G156:G156),2)</f>
        <v>1235.24</v>
      </c>
    </row>
    <row r="157" spans="1:8" x14ac:dyDescent="0.3">
      <c r="A157" s="1068"/>
      <c r="B157" s="1057" t="s">
        <v>270</v>
      </c>
      <c r="C157" s="1058"/>
      <c r="D157" s="1059"/>
      <c r="E157" s="1024" t="s">
        <v>117</v>
      </c>
      <c r="F157" s="1024"/>
      <c r="G157" s="378">
        <f>7.02+7.59+7.78</f>
        <v>22.39</v>
      </c>
      <c r="H157" s="373">
        <f>TRUNC(SUM(G157:G157),2)</f>
        <v>22.39</v>
      </c>
    </row>
    <row r="158" spans="1:8" ht="15" customHeight="1" x14ac:dyDescent="0.3">
      <c r="A158" s="1068"/>
      <c r="B158" s="1026" t="s">
        <v>62</v>
      </c>
      <c r="C158" s="1026"/>
      <c r="D158" s="1026"/>
      <c r="E158" s="1024" t="s">
        <v>64</v>
      </c>
      <c r="F158" s="1024"/>
      <c r="G158" s="385">
        <f>IF(G22=0.45,(((15+10)/2)*12)+(10*15)+((12+10)/2)*30)/10000</f>
        <v>6.3E-2</v>
      </c>
      <c r="H158" s="375"/>
    </row>
    <row r="159" spans="1:8" ht="15" customHeight="1" x14ac:dyDescent="0.3">
      <c r="A159" s="1068"/>
      <c r="B159" s="1026"/>
      <c r="C159" s="1026"/>
      <c r="D159" s="1026"/>
      <c r="E159" s="1024" t="s">
        <v>1297</v>
      </c>
      <c r="F159" s="1024"/>
      <c r="G159" s="385">
        <f>(((((10*10)+(((15+13)/2)*5)+(((12+10)/2)*(45-15)))/10000)))</f>
        <v>0.05</v>
      </c>
      <c r="H159" s="375"/>
    </row>
    <row r="160" spans="1:8" x14ac:dyDescent="0.3">
      <c r="A160" s="1068"/>
      <c r="B160" s="1026"/>
      <c r="C160" s="1026"/>
      <c r="D160" s="1026"/>
      <c r="E160" s="1024" t="s">
        <v>65</v>
      </c>
      <c r="F160" s="1024"/>
      <c r="G160" s="385">
        <f>IF(G23=0.13,((((13+10)/2)*12)+(10*13))/10000)</f>
        <v>2.6800000000000001E-2</v>
      </c>
      <c r="H160" s="375"/>
    </row>
    <row r="161" spans="1:17" x14ac:dyDescent="0.3">
      <c r="A161" s="1068"/>
      <c r="B161" s="1026"/>
      <c r="C161" s="1026"/>
      <c r="D161" s="1026"/>
      <c r="E161" s="1024" t="s">
        <v>29</v>
      </c>
      <c r="F161" s="1024"/>
      <c r="G161" s="386">
        <f>(((12+10)/2)*30)/10000</f>
        <v>3.3000000000000002E-2</v>
      </c>
      <c r="H161" s="375"/>
    </row>
    <row r="162" spans="1:17" x14ac:dyDescent="0.3">
      <c r="A162" s="1068"/>
      <c r="B162" s="1026"/>
      <c r="C162" s="1026"/>
      <c r="D162" s="1026"/>
      <c r="E162" s="1024" t="s">
        <v>12</v>
      </c>
      <c r="F162" s="1024"/>
      <c r="G162" s="386">
        <v>0.83599999999999997</v>
      </c>
      <c r="H162" s="375"/>
    </row>
    <row r="163" spans="1:17" x14ac:dyDescent="0.3">
      <c r="A163" s="1068"/>
      <c r="B163" s="1026"/>
      <c r="C163" s="1026"/>
      <c r="D163" s="1026"/>
      <c r="E163" s="1024" t="s">
        <v>27</v>
      </c>
      <c r="F163" s="1024"/>
      <c r="G163" s="379">
        <v>1.6</v>
      </c>
      <c r="H163" s="375"/>
    </row>
    <row r="164" spans="1:17" x14ac:dyDescent="0.3">
      <c r="A164" s="1068"/>
      <c r="B164" s="1026"/>
      <c r="C164" s="1026"/>
      <c r="D164" s="1026"/>
      <c r="E164" s="1024" t="s">
        <v>25</v>
      </c>
      <c r="F164" s="1024"/>
      <c r="G164" s="379">
        <f>IF($B$11&gt;=30,30,$B$11)</f>
        <v>22.5</v>
      </c>
      <c r="H164" s="375"/>
    </row>
    <row r="165" spans="1:17" x14ac:dyDescent="0.3">
      <c r="A165" s="1068"/>
      <c r="B165" s="1026"/>
      <c r="C165" s="1026"/>
      <c r="D165" s="1026"/>
      <c r="E165" s="1024" t="s">
        <v>318</v>
      </c>
      <c r="F165" s="1024"/>
      <c r="G165" s="379">
        <f>IF($B$11&gt;=30,$B$11-G164,0)</f>
        <v>0</v>
      </c>
      <c r="H165" s="375"/>
    </row>
    <row r="166" spans="1:17" x14ac:dyDescent="0.3">
      <c r="A166" s="1068"/>
      <c r="B166" s="1026"/>
      <c r="C166" s="1026"/>
      <c r="D166" s="1026"/>
      <c r="E166" s="1024" t="s">
        <v>28</v>
      </c>
      <c r="F166" s="1024"/>
      <c r="G166" s="379">
        <f>ROUND((((G154*G158)+(G155*G159)+(G156*G160)+(G157*G161))*G162*G163)*G164,2)</f>
        <v>3843.81</v>
      </c>
      <c r="H166" s="373">
        <f>TRUNC(SUM(G166:G166),2)</f>
        <v>3843.81</v>
      </c>
    </row>
    <row r="167" spans="1:17" x14ac:dyDescent="0.3">
      <c r="A167" s="1068"/>
      <c r="B167" s="1026"/>
      <c r="C167" s="1026"/>
      <c r="D167" s="1026"/>
      <c r="E167" s="1024" t="s">
        <v>320</v>
      </c>
      <c r="F167" s="1024"/>
      <c r="G167" s="379">
        <f>ROUND((((G154*G158)+(G155*G159)+(G156*G160)+(G157*G161))*G162*G163)*G165,2)</f>
        <v>0</v>
      </c>
      <c r="H167" s="373">
        <f>TRUNC(SUM(G167:G167),2)</f>
        <v>0</v>
      </c>
    </row>
    <row r="168" spans="1:17" x14ac:dyDescent="0.3">
      <c r="A168" s="1068"/>
      <c r="B168" s="1026"/>
      <c r="C168" s="1026"/>
      <c r="D168" s="1026"/>
      <c r="E168" s="1024" t="s">
        <v>75</v>
      </c>
      <c r="F168" s="1024"/>
      <c r="G168" s="387">
        <f>G166/G163</f>
        <v>2402.3812499999999</v>
      </c>
      <c r="H168" s="373">
        <f>TRUNC(SUM(G168:G168),2)</f>
        <v>2402.38</v>
      </c>
    </row>
    <row r="169" spans="1:17" x14ac:dyDescent="0.3">
      <c r="A169" s="1068"/>
      <c r="B169" s="1026"/>
      <c r="C169" s="1026"/>
      <c r="D169" s="1026"/>
      <c r="E169" s="1024" t="s">
        <v>914</v>
      </c>
      <c r="F169" s="1024"/>
      <c r="G169" s="387">
        <f>G167/G163</f>
        <v>0</v>
      </c>
      <c r="H169" s="373">
        <f>TRUNC(SUM(G169:G169),2)</f>
        <v>0</v>
      </c>
    </row>
    <row r="170" spans="1:17" ht="3.95" customHeight="1" x14ac:dyDescent="0.3">
      <c r="A170" s="1068"/>
      <c r="B170" s="625"/>
      <c r="C170" s="625"/>
      <c r="D170" s="625"/>
      <c r="E170" s="613"/>
      <c r="F170" s="613"/>
      <c r="G170" s="614"/>
      <c r="H170" s="615"/>
    </row>
    <row r="171" spans="1:17" ht="31.5" customHeight="1" x14ac:dyDescent="0.3">
      <c r="A171" s="1068"/>
      <c r="B171" s="1057" t="s">
        <v>1302</v>
      </c>
      <c r="C171" s="1058"/>
      <c r="D171" s="1059"/>
      <c r="E171" s="1024" t="s">
        <v>1303</v>
      </c>
      <c r="F171" s="1024"/>
      <c r="G171" s="387">
        <f>SUM(G154:G156)/12</f>
        <v>227.10999999999999</v>
      </c>
      <c r="H171" s="373">
        <f>TRUNC(SUM(G171:G171),2)</f>
        <v>227.11</v>
      </c>
    </row>
    <row r="172" spans="1:17" ht="3.95" customHeight="1" x14ac:dyDescent="0.3">
      <c r="A172" s="1068"/>
      <c r="B172" s="625"/>
      <c r="C172" s="625"/>
      <c r="D172" s="625"/>
      <c r="E172" s="613"/>
      <c r="F172" s="613"/>
      <c r="G172" s="614"/>
      <c r="H172" s="615"/>
    </row>
    <row r="173" spans="1:17" x14ac:dyDescent="0.3">
      <c r="A173" s="1068"/>
      <c r="B173" s="1057" t="s">
        <v>1067</v>
      </c>
      <c r="C173" s="1058"/>
      <c r="D173" s="1059"/>
      <c r="E173" s="1024" t="s">
        <v>22</v>
      </c>
      <c r="F173" s="1024"/>
      <c r="G173" s="378">
        <v>3494</v>
      </c>
      <c r="H173" s="373">
        <f>TRUNC(SUM(G173:G173),2)</f>
        <v>3494</v>
      </c>
      <c r="J173" s="777"/>
      <c r="K173" s="777"/>
      <c r="L173" s="777"/>
      <c r="M173" s="777"/>
      <c r="N173" s="777"/>
      <c r="O173" s="777"/>
      <c r="P173" s="777"/>
      <c r="Q173" s="777"/>
    </row>
    <row r="174" spans="1:17" x14ac:dyDescent="0.3">
      <c r="A174" s="1068"/>
      <c r="B174" s="959"/>
      <c r="C174" s="960"/>
      <c r="D174" s="961"/>
      <c r="E174" s="1039" t="s">
        <v>1317</v>
      </c>
      <c r="F174" s="1023"/>
      <c r="G174" s="669">
        <v>2.5000000000000001E-2</v>
      </c>
      <c r="H174" s="373">
        <f>TRUNC(SUM(G174:G174),2)</f>
        <v>0.02</v>
      </c>
    </row>
    <row r="175" spans="1:17" x14ac:dyDescent="0.3">
      <c r="A175" s="1068"/>
      <c r="B175" s="959"/>
      <c r="C175" s="960"/>
      <c r="D175" s="961"/>
      <c r="E175" s="1039" t="s">
        <v>1046</v>
      </c>
      <c r="F175" s="1023"/>
      <c r="G175" s="379">
        <f>G174*G173</f>
        <v>87.350000000000009</v>
      </c>
      <c r="H175" s="373">
        <f>TRUNC(SUM(G175:G175),2)</f>
        <v>87.35</v>
      </c>
    </row>
    <row r="176" spans="1:17" x14ac:dyDescent="0.3">
      <c r="A176" s="1068"/>
      <c r="B176" s="959"/>
      <c r="C176" s="960"/>
      <c r="D176" s="961"/>
      <c r="E176" s="1039" t="s">
        <v>1318</v>
      </c>
      <c r="F176" s="1023"/>
      <c r="G176" s="379">
        <f>G175*1.3</f>
        <v>113.55500000000002</v>
      </c>
      <c r="H176" s="373">
        <f>TRUNC(SUM(G176:G176),2)</f>
        <v>113.55</v>
      </c>
    </row>
    <row r="177" spans="1:8" x14ac:dyDescent="0.3">
      <c r="A177" s="1068"/>
      <c r="B177" s="959"/>
      <c r="C177" s="960"/>
      <c r="D177" s="961"/>
      <c r="E177" s="1024" t="s">
        <v>25</v>
      </c>
      <c r="F177" s="1024"/>
      <c r="G177" s="379">
        <f>'16-DMT'!H19</f>
        <v>5</v>
      </c>
      <c r="H177" s="375"/>
    </row>
    <row r="178" spans="1:8" x14ac:dyDescent="0.3">
      <c r="A178" s="1069"/>
      <c r="B178" s="962"/>
      <c r="C178" s="963"/>
      <c r="D178" s="964"/>
      <c r="E178" s="1024" t="s">
        <v>28</v>
      </c>
      <c r="F178" s="1024"/>
      <c r="G178" s="379">
        <f>G176*G175</f>
        <v>9919.0292500000032</v>
      </c>
      <c r="H178" s="373">
        <f>TRUNC(SUM(G178:G178),2)</f>
        <v>9919.02</v>
      </c>
    </row>
  </sheetData>
  <mergeCells count="209">
    <mergeCell ref="B85:B89"/>
    <mergeCell ref="B102:B109"/>
    <mergeCell ref="E120:F120"/>
    <mergeCell ref="E147:F147"/>
    <mergeCell ref="E122:F122"/>
    <mergeCell ref="E146:F146"/>
    <mergeCell ref="B80:B84"/>
    <mergeCell ref="E49:F49"/>
    <mergeCell ref="E50:F50"/>
    <mergeCell ref="E51:F51"/>
    <mergeCell ref="E52:F52"/>
    <mergeCell ref="E53:F53"/>
    <mergeCell ref="E54:F54"/>
    <mergeCell ref="E55:F55"/>
    <mergeCell ref="E56:F56"/>
    <mergeCell ref="E57:F57"/>
    <mergeCell ref="E62:F62"/>
    <mergeCell ref="B124:D131"/>
    <mergeCell ref="E105:F105"/>
    <mergeCell ref="C85:D85"/>
    <mergeCell ref="E124:F124"/>
    <mergeCell ref="E131:F131"/>
    <mergeCell ref="A68:D70"/>
    <mergeCell ref="E69:F69"/>
    <mergeCell ref="E21:F21"/>
    <mergeCell ref="C81:D81"/>
    <mergeCell ref="E80:F80"/>
    <mergeCell ref="E81:F81"/>
    <mergeCell ref="C82:D84"/>
    <mergeCell ref="E82:F82"/>
    <mergeCell ref="G5:H5"/>
    <mergeCell ref="E28:F28"/>
    <mergeCell ref="E29:F29"/>
    <mergeCell ref="E30:F30"/>
    <mergeCell ref="E61:F61"/>
    <mergeCell ref="E76:F76"/>
    <mergeCell ref="E78:F78"/>
    <mergeCell ref="E77:F77"/>
    <mergeCell ref="C72:D75"/>
    <mergeCell ref="E40:F40"/>
    <mergeCell ref="E41:F41"/>
    <mergeCell ref="E42:F42"/>
    <mergeCell ref="E43:F43"/>
    <mergeCell ref="E44:F44"/>
    <mergeCell ref="E58:F58"/>
    <mergeCell ref="E59:F59"/>
    <mergeCell ref="E60:F60"/>
    <mergeCell ref="G6:H8"/>
    <mergeCell ref="A15:F15"/>
    <mergeCell ref="E18:F18"/>
    <mergeCell ref="E173:F173"/>
    <mergeCell ref="E174:F174"/>
    <mergeCell ref="E175:F175"/>
    <mergeCell ref="E176:F176"/>
    <mergeCell ref="E177:F177"/>
    <mergeCell ref="E178:F178"/>
    <mergeCell ref="B173:D178"/>
    <mergeCell ref="A154:A178"/>
    <mergeCell ref="B157:D157"/>
    <mergeCell ref="E157:F157"/>
    <mergeCell ref="E159:F159"/>
    <mergeCell ref="E155:F155"/>
    <mergeCell ref="E169:F169"/>
    <mergeCell ref="B171:D171"/>
    <mergeCell ref="E171:F171"/>
    <mergeCell ref="E154:F154"/>
    <mergeCell ref="B154:D156"/>
    <mergeCell ref="B158:D169"/>
    <mergeCell ref="E165:F165"/>
    <mergeCell ref="E166:F166"/>
    <mergeCell ref="E168:F168"/>
    <mergeCell ref="E156:F156"/>
    <mergeCell ref="E164:F164"/>
    <mergeCell ref="E167:F167"/>
    <mergeCell ref="M65:M66"/>
    <mergeCell ref="M67:M68"/>
    <mergeCell ref="M69:M70"/>
    <mergeCell ref="E110:F110"/>
    <mergeCell ref="E75:F75"/>
    <mergeCell ref="E107:F107"/>
    <mergeCell ref="E135:F135"/>
    <mergeCell ref="E97:F97"/>
    <mergeCell ref="E98:F98"/>
    <mergeCell ref="E99:F99"/>
    <mergeCell ref="E100:F100"/>
    <mergeCell ref="E134:F134"/>
    <mergeCell ref="E137:F137"/>
    <mergeCell ref="E140:F140"/>
    <mergeCell ref="E125:F125"/>
    <mergeCell ref="E126:F126"/>
    <mergeCell ref="E128:F128"/>
    <mergeCell ref="E111:F111"/>
    <mergeCell ref="E133:F133"/>
    <mergeCell ref="E139:F139"/>
    <mergeCell ref="E138:F138"/>
    <mergeCell ref="E151:F151"/>
    <mergeCell ref="C114:D114"/>
    <mergeCell ref="C97:D97"/>
    <mergeCell ref="C98:D100"/>
    <mergeCell ref="E96:F96"/>
    <mergeCell ref="E158:F158"/>
    <mergeCell ref="E160:F160"/>
    <mergeCell ref="E162:F162"/>
    <mergeCell ref="E163:F163"/>
    <mergeCell ref="E161:F161"/>
    <mergeCell ref="B149:D152"/>
    <mergeCell ref="E150:F150"/>
    <mergeCell ref="E149:F149"/>
    <mergeCell ref="E152:F152"/>
    <mergeCell ref="B142:D142"/>
    <mergeCell ref="E142:F142"/>
    <mergeCell ref="E148:F148"/>
    <mergeCell ref="B143:D148"/>
    <mergeCell ref="C93:D95"/>
    <mergeCell ref="E93:F93"/>
    <mergeCell ref="E94:F94"/>
    <mergeCell ref="E95:F95"/>
    <mergeCell ref="A102:A122"/>
    <mergeCell ref="B110:B122"/>
    <mergeCell ref="C110:D113"/>
    <mergeCell ref="A72:A100"/>
    <mergeCell ref="A64:D67"/>
    <mergeCell ref="E104:F104"/>
    <mergeCell ref="E103:F103"/>
    <mergeCell ref="E102:F102"/>
    <mergeCell ref="E83:F83"/>
    <mergeCell ref="E84:F84"/>
    <mergeCell ref="C87:D89"/>
    <mergeCell ref="C102:D105"/>
    <mergeCell ref="C96:D96"/>
    <mergeCell ref="C76:D76"/>
    <mergeCell ref="C77:D79"/>
    <mergeCell ref="E72:F72"/>
    <mergeCell ref="E73:F73"/>
    <mergeCell ref="E79:F79"/>
    <mergeCell ref="E74:F74"/>
    <mergeCell ref="E117:F117"/>
    <mergeCell ref="A124:A152"/>
    <mergeCell ref="B72:B79"/>
    <mergeCell ref="A16:F16"/>
    <mergeCell ref="E68:F68"/>
    <mergeCell ref="E145:F145"/>
    <mergeCell ref="E70:F70"/>
    <mergeCell ref="E25:F25"/>
    <mergeCell ref="E19:F19"/>
    <mergeCell ref="E20:F20"/>
    <mergeCell ref="E22:F22"/>
    <mergeCell ref="E23:F23"/>
    <mergeCell ref="E24:F24"/>
    <mergeCell ref="E65:F65"/>
    <mergeCell ref="E66:F66"/>
    <mergeCell ref="E67:F67"/>
    <mergeCell ref="E106:F106"/>
    <mergeCell ref="E114:F114"/>
    <mergeCell ref="E108:F108"/>
    <mergeCell ref="E109:F109"/>
    <mergeCell ref="E26:F26"/>
    <mergeCell ref="E118:F118"/>
    <mergeCell ref="E127:F127"/>
    <mergeCell ref="E143:F143"/>
    <mergeCell ref="E144:F144"/>
    <mergeCell ref="E38:F38"/>
    <mergeCell ref="E63:F63"/>
    <mergeCell ref="E130:F130"/>
    <mergeCell ref="E115:F115"/>
    <mergeCell ref="E119:F119"/>
    <mergeCell ref="E116:F116"/>
    <mergeCell ref="E121:F121"/>
    <mergeCell ref="E136:F136"/>
    <mergeCell ref="B133:D140"/>
    <mergeCell ref="C115:D122"/>
    <mergeCell ref="C106:D109"/>
    <mergeCell ref="C91:D91"/>
    <mergeCell ref="E91:F91"/>
    <mergeCell ref="C92:D92"/>
    <mergeCell ref="E92:F92"/>
    <mergeCell ref="E87:F87"/>
    <mergeCell ref="E86:F86"/>
    <mergeCell ref="E112:F112"/>
    <mergeCell ref="E113:F113"/>
    <mergeCell ref="C80:D80"/>
    <mergeCell ref="E88:F88"/>
    <mergeCell ref="E89:F89"/>
    <mergeCell ref="E85:F85"/>
    <mergeCell ref="C86:D86"/>
    <mergeCell ref="A10:D10"/>
    <mergeCell ref="E27:F27"/>
    <mergeCell ref="B91:B100"/>
    <mergeCell ref="E129:F129"/>
    <mergeCell ref="D1:F1"/>
    <mergeCell ref="D2:F2"/>
    <mergeCell ref="D3:F3"/>
    <mergeCell ref="A1:C3"/>
    <mergeCell ref="E17:F17"/>
    <mergeCell ref="A4:H4"/>
    <mergeCell ref="E35:F35"/>
    <mergeCell ref="E36:F36"/>
    <mergeCell ref="E37:F37"/>
    <mergeCell ref="A25:D63"/>
    <mergeCell ref="A17:D24"/>
    <mergeCell ref="E46:F46"/>
    <mergeCell ref="E47:F47"/>
    <mergeCell ref="E48:F48"/>
    <mergeCell ref="E31:F31"/>
    <mergeCell ref="E32:F32"/>
    <mergeCell ref="E33:F33"/>
    <mergeCell ref="E34:F34"/>
    <mergeCell ref="E45:F45"/>
    <mergeCell ref="E39:F39"/>
  </mergeCells>
  <phoneticPr fontId="3" type="noConversion"/>
  <conditionalFormatting sqref="G177:H177 G17:H129 G130 H130:H131 G132:H138 G139 H139:H140 G174:G176 H172:H176 G141:H171">
    <cfRule type="cellIs" dxfId="36" priority="4" operator="lessThan">
      <formula>0</formula>
    </cfRule>
  </conditionalFormatting>
  <conditionalFormatting sqref="G172:G173">
    <cfRule type="cellIs" dxfId="35" priority="2" operator="lessThan">
      <formula>0</formula>
    </cfRule>
  </conditionalFormatting>
  <conditionalFormatting sqref="H178">
    <cfRule type="cellIs" dxfId="34" priority="1" operator="lessThan">
      <formula>0</formula>
    </cfRule>
  </conditionalFormatting>
  <printOptions horizontalCentered="1"/>
  <pageMargins left="0.19685039370078741" right="0.23622047244094491" top="0.55118110236220474" bottom="0.55118110236220474" header="0.31496062992125984" footer="0.31496062992125984"/>
  <pageSetup paperSize="9" scale="49" fitToWidth="0" fitToHeight="2" orientation="landscape" r:id="rId1"/>
  <headerFooter>
    <oddFooter>Página &amp;P de &amp;N</oddFooter>
  </headerFooter>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0">
    <tabColor rgb="FF006F71"/>
    <pageSetUpPr fitToPage="1"/>
  </sheetPr>
  <dimension ref="A1:R178"/>
  <sheetViews>
    <sheetView showGridLines="0" topLeftCell="A10" zoomScaleNormal="100" workbookViewId="0">
      <selection activeCell="G66" sqref="G66"/>
    </sheetView>
  </sheetViews>
  <sheetFormatPr defaultColWidth="9.140625" defaultRowHeight="16.5" x14ac:dyDescent="0.3"/>
  <cols>
    <col min="1" max="1" width="14.28515625" style="192" customWidth="1"/>
    <col min="2" max="2" width="9.28515625" style="192" customWidth="1"/>
    <col min="3" max="3" width="13.42578125" style="192" customWidth="1"/>
    <col min="4" max="4" width="14.28515625" style="192" customWidth="1"/>
    <col min="5" max="5" width="18.140625" style="192" customWidth="1"/>
    <col min="6" max="6" width="41.85546875" style="192" customWidth="1"/>
    <col min="7" max="8" width="13.42578125" style="192" customWidth="1"/>
    <col min="9" max="9" width="14.7109375" style="192" customWidth="1"/>
    <col min="10" max="10" width="14" style="192" customWidth="1"/>
    <col min="11" max="11" width="9" style="192" customWidth="1"/>
    <col min="12" max="12" width="6" style="192" bestFit="1" customWidth="1"/>
    <col min="13" max="15" width="9.140625" style="192"/>
    <col min="16" max="16" width="34.140625" style="192" bestFit="1" customWidth="1"/>
    <col min="17" max="19" width="9.140625" style="192"/>
    <col min="20" max="20" width="12.140625" style="192" customWidth="1"/>
    <col min="21" max="16384" width="9.140625" style="192"/>
  </cols>
  <sheetData>
    <row r="1" spans="1:10" ht="18" customHeight="1" x14ac:dyDescent="0.3">
      <c r="A1" s="1013" t="s">
        <v>1112</v>
      </c>
      <c r="B1" s="1014"/>
      <c r="C1" s="1014"/>
      <c r="D1" s="1042" t="str">
        <f>N.GOV</f>
        <v>GOVERNO DO ESTADO DE MATO GROSSO DO SUL</v>
      </c>
      <c r="E1" s="1042"/>
      <c r="F1" s="1042"/>
      <c r="G1" s="343"/>
      <c r="H1" s="343"/>
      <c r="I1" s="291"/>
      <c r="J1" s="248"/>
    </row>
    <row r="2" spans="1:10" x14ac:dyDescent="0.3">
      <c r="A2" s="1015"/>
      <c r="B2" s="1016"/>
      <c r="C2" s="1016"/>
      <c r="D2" s="1043" t="str" cm="1">
        <f t="array" aca="1" ref="D2" ca="1">N.PREFEITURA</f>
        <v>PREFEITURA MUNICIPAL DE NAVIRAÍ</v>
      </c>
      <c r="E2" s="1043"/>
      <c r="F2" s="1043"/>
      <c r="G2" s="468"/>
      <c r="H2" s="468"/>
      <c r="I2" s="208"/>
      <c r="J2" s="282"/>
    </row>
    <row r="3" spans="1:10" x14ac:dyDescent="0.3">
      <c r="A3" s="1017"/>
      <c r="B3" s="1018"/>
      <c r="C3" s="1018"/>
      <c r="D3" s="1044" t="str" cm="1">
        <f t="array" aca="1" ref="D3" ca="1">N.SECRETARIA</f>
        <v>SECRETARIA DE PLANEJAMENTO</v>
      </c>
      <c r="E3" s="1044"/>
      <c r="F3" s="1044"/>
      <c r="G3" s="442"/>
      <c r="H3" s="442"/>
      <c r="I3" s="294"/>
      <c r="J3" s="334"/>
    </row>
    <row r="4" spans="1:10" ht="20.45" customHeight="1" x14ac:dyDescent="0.3">
      <c r="A4" s="1060" t="s">
        <v>114</v>
      </c>
      <c r="B4" s="1061"/>
      <c r="C4" s="1061"/>
      <c r="D4" s="1061"/>
      <c r="E4" s="1061"/>
      <c r="F4" s="1061"/>
      <c r="G4" s="1061"/>
      <c r="H4" s="1061"/>
      <c r="I4" s="1061"/>
      <c r="J4" s="1062"/>
    </row>
    <row r="5" spans="1:10" ht="14.45" customHeight="1" x14ac:dyDescent="0.3">
      <c r="A5" s="193" t="s">
        <v>811</v>
      </c>
      <c r="B5" s="548" t="str">
        <f>N.DESCRICAO</f>
        <v>INFRAESTRUTURA URBANA – PAVIMENTAÇÃO ASFÁLTICA, DRENAGEM, E SINALIZAÇÃO VIÁRIA NO ACESSO AO CEMITERIO MUNICIPAL DE NAVIRAÍ/ MS</v>
      </c>
      <c r="C5" s="194"/>
      <c r="D5" s="194"/>
      <c r="E5" s="194"/>
      <c r="F5" s="194"/>
      <c r="G5" s="194"/>
      <c r="H5" s="194"/>
      <c r="I5" s="1047" t="s">
        <v>305</v>
      </c>
      <c r="J5" s="1048"/>
    </row>
    <row r="6" spans="1:10" ht="14.45" customHeight="1" x14ac:dyDescent="0.3">
      <c r="A6" s="193" t="s">
        <v>799</v>
      </c>
      <c r="B6" s="548" t="str">
        <f ca="1">N.MUNICIPIO</f>
        <v>NAVIRAÍ</v>
      </c>
      <c r="C6" s="194"/>
      <c r="D6" s="194"/>
      <c r="E6" s="194"/>
      <c r="F6" s="194"/>
      <c r="G6" s="194"/>
      <c r="H6" s="194"/>
      <c r="I6" s="959" t="str">
        <f>"  _________________________________                                   "&amp;N.Engenheiro&amp;"                                                "&amp;N.CREA</f>
        <v xml:space="preserve">  _________________________________                                   FÁBIO MARQUES RIBEIRO                                                ENGENHEIRO CIVIL - 15.276 D/MS</v>
      </c>
      <c r="J6" s="961"/>
    </row>
    <row r="7" spans="1:10" ht="14.45" customHeight="1" x14ac:dyDescent="0.3">
      <c r="A7" s="193" t="s">
        <v>798</v>
      </c>
      <c r="B7" s="548" t="str" cm="1">
        <f t="array" ref="B7">N.LOCAL</f>
        <v>AVENIDA JOÃO RIGONATO</v>
      </c>
      <c r="C7" s="194"/>
      <c r="D7" s="194"/>
      <c r="E7" s="194"/>
      <c r="F7" s="194"/>
      <c r="G7" s="194"/>
      <c r="H7" s="194"/>
      <c r="I7" s="959"/>
      <c r="J7" s="961"/>
    </row>
    <row r="8" spans="1:10" ht="14.45" customHeight="1" x14ac:dyDescent="0.3">
      <c r="A8" s="193" t="s">
        <v>813</v>
      </c>
      <c r="B8" s="548" t="str" cm="1">
        <f t="array" ref="B8">N.BASE</f>
        <v>AGESUL(SETEMBRO/2025)/SINAPI(SETEMBRO/2025)</v>
      </c>
      <c r="C8" s="194"/>
      <c r="D8" s="194"/>
      <c r="E8" s="194"/>
      <c r="F8" s="194"/>
      <c r="G8" s="205"/>
      <c r="H8" s="205"/>
      <c r="I8" s="962"/>
      <c r="J8" s="964"/>
    </row>
    <row r="9" spans="1:10" ht="14.45" customHeight="1" x14ac:dyDescent="0.3">
      <c r="A9" s="283"/>
      <c r="B9" s="207"/>
      <c r="C9" s="207"/>
      <c r="D9" s="207"/>
      <c r="E9" s="207"/>
      <c r="F9" s="207"/>
      <c r="G9" s="207"/>
      <c r="H9" s="207"/>
      <c r="I9" s="207"/>
      <c r="J9" s="284"/>
    </row>
    <row r="10" spans="1:10" x14ac:dyDescent="0.3">
      <c r="A10" s="791" t="s">
        <v>19</v>
      </c>
      <c r="B10" s="792"/>
      <c r="C10" s="792"/>
      <c r="D10" s="793"/>
      <c r="I10" s="217"/>
      <c r="J10" s="285"/>
    </row>
    <row r="11" spans="1:10" x14ac:dyDescent="0.3">
      <c r="A11" s="218" t="s">
        <v>0</v>
      </c>
      <c r="B11" s="219">
        <f>VALUE('16-DMT'!H10)</f>
        <v>22.5</v>
      </c>
      <c r="C11" s="220" t="s">
        <v>13</v>
      </c>
      <c r="D11" s="221">
        <f>'16-DMT'!H14</f>
        <v>4.5</v>
      </c>
      <c r="I11" s="217"/>
      <c r="J11" s="285"/>
    </row>
    <row r="12" spans="1:10" x14ac:dyDescent="0.3">
      <c r="A12" s="220" t="s">
        <v>1</v>
      </c>
      <c r="B12" s="221">
        <f>'16-DMT'!H11</f>
        <v>5.8</v>
      </c>
      <c r="C12" s="220" t="s">
        <v>69</v>
      </c>
      <c r="D12" s="221">
        <f>VALUE('16-DMT'!H15)</f>
        <v>365</v>
      </c>
      <c r="F12" s="182"/>
      <c r="G12" s="182"/>
      <c r="H12" s="182"/>
      <c r="I12" s="182"/>
      <c r="J12" s="285"/>
    </row>
    <row r="13" spans="1:10" x14ac:dyDescent="0.3">
      <c r="A13" s="220" t="s">
        <v>109</v>
      </c>
      <c r="B13" s="221">
        <f>VALUE('16-DMT'!H12)</f>
        <v>5.8</v>
      </c>
      <c r="C13" s="220" t="s">
        <v>115</v>
      </c>
      <c r="D13" s="221">
        <f>VALUE('16-DMT'!H16)</f>
        <v>22.5</v>
      </c>
      <c r="F13" s="182"/>
      <c r="G13" s="182"/>
      <c r="H13" s="182"/>
      <c r="I13" s="182"/>
      <c r="J13" s="285"/>
    </row>
    <row r="14" spans="1:10" x14ac:dyDescent="0.3">
      <c r="A14" s="220" t="s">
        <v>99</v>
      </c>
      <c r="B14" s="221">
        <f>'16-DMT'!H12</f>
        <v>5.8</v>
      </c>
      <c r="D14" s="182"/>
      <c r="E14" s="182"/>
      <c r="F14" s="182"/>
      <c r="G14" s="182"/>
      <c r="H14" s="182"/>
      <c r="I14" s="182"/>
      <c r="J14" s="285"/>
    </row>
    <row r="15" spans="1:10" ht="11.25" customHeight="1" x14ac:dyDescent="0.3">
      <c r="A15" s="1053"/>
      <c r="B15" s="1054"/>
      <c r="C15" s="1054"/>
      <c r="D15" s="1054"/>
      <c r="E15" s="1054"/>
      <c r="F15" s="1054"/>
      <c r="G15" s="370"/>
      <c r="H15" s="370"/>
      <c r="I15" s="370"/>
      <c r="J15" s="371"/>
    </row>
    <row r="16" spans="1:10" ht="45.75" customHeight="1" x14ac:dyDescent="0.3">
      <c r="A16" s="1055" t="s">
        <v>8</v>
      </c>
      <c r="B16" s="1055"/>
      <c r="C16" s="1055"/>
      <c r="D16" s="1055"/>
      <c r="E16" s="1055"/>
      <c r="F16" s="1055"/>
      <c r="G16" s="610" t="s">
        <v>1397</v>
      </c>
      <c r="H16" s="610" t="s">
        <v>1398</v>
      </c>
      <c r="I16" s="610" t="s">
        <v>1399</v>
      </c>
      <c r="J16" s="609" t="s">
        <v>3</v>
      </c>
    </row>
    <row r="17" spans="1:18" x14ac:dyDescent="0.3">
      <c r="A17" s="1056" t="s">
        <v>112</v>
      </c>
      <c r="B17" s="1056"/>
      <c r="C17" s="1056"/>
      <c r="D17" s="1056"/>
      <c r="E17" s="1024" t="s">
        <v>316</v>
      </c>
      <c r="F17" s="1024"/>
      <c r="G17" s="373" t="s">
        <v>989</v>
      </c>
      <c r="H17" s="373" t="s">
        <v>989</v>
      </c>
      <c r="I17" s="373" t="s">
        <v>989</v>
      </c>
      <c r="J17" s="374"/>
    </row>
    <row r="18" spans="1:18" x14ac:dyDescent="0.3">
      <c r="A18" s="1056"/>
      <c r="B18" s="1056"/>
      <c r="C18" s="1056"/>
      <c r="D18" s="1056"/>
      <c r="E18" s="1024" t="s">
        <v>317</v>
      </c>
      <c r="F18" s="1024"/>
      <c r="G18" s="373" t="s">
        <v>1400</v>
      </c>
      <c r="H18" s="373" t="s">
        <v>1401</v>
      </c>
      <c r="I18" s="373" t="s">
        <v>1402</v>
      </c>
      <c r="J18" s="375"/>
      <c r="P18" s="192" t="s">
        <v>1304</v>
      </c>
      <c r="Q18" s="192">
        <v>10653.82</v>
      </c>
      <c r="R18" s="192">
        <v>14.5</v>
      </c>
    </row>
    <row r="19" spans="1:18" x14ac:dyDescent="0.3">
      <c r="A19" s="1056"/>
      <c r="B19" s="1056"/>
      <c r="C19" s="1056"/>
      <c r="D19" s="1056"/>
      <c r="E19" s="1024" t="s">
        <v>20</v>
      </c>
      <c r="F19" s="1024"/>
      <c r="G19" s="373">
        <f>8*20+11.558</f>
        <v>171.55799999999999</v>
      </c>
      <c r="H19" s="373">
        <f>12*20+14.506</f>
        <v>254.506</v>
      </c>
      <c r="I19" s="373">
        <f>7*20+18.799</f>
        <v>158.79900000000001</v>
      </c>
      <c r="J19" s="373">
        <f>TRUNC(SUM(G19:I19),2)</f>
        <v>584.86</v>
      </c>
      <c r="P19" s="192" t="s">
        <v>1397</v>
      </c>
      <c r="Q19" s="192">
        <v>1727.6371999999999</v>
      </c>
      <c r="R19" s="192">
        <v>9</v>
      </c>
    </row>
    <row r="20" spans="1:18" x14ac:dyDescent="0.3">
      <c r="A20" s="1056"/>
      <c r="B20" s="1056"/>
      <c r="C20" s="1056"/>
      <c r="D20" s="1056"/>
      <c r="E20" s="1024" t="s">
        <v>265</v>
      </c>
      <c r="F20" s="1024"/>
      <c r="G20" s="376" t="s">
        <v>1034</v>
      </c>
      <c r="H20" s="376" t="s">
        <v>1034</v>
      </c>
      <c r="I20" s="376" t="s">
        <v>1034</v>
      </c>
      <c r="J20" s="377"/>
      <c r="P20" s="192" t="s">
        <v>1398</v>
      </c>
      <c r="Q20" s="192">
        <v>2066.9684000000002</v>
      </c>
      <c r="R20" s="192">
        <v>9</v>
      </c>
    </row>
    <row r="21" spans="1:18" x14ac:dyDescent="0.3">
      <c r="A21" s="1056"/>
      <c r="B21" s="1056"/>
      <c r="C21" s="1056"/>
      <c r="D21" s="1056"/>
      <c r="E21" s="1024" t="s">
        <v>70</v>
      </c>
      <c r="F21" s="1024"/>
      <c r="G21" s="378">
        <v>9</v>
      </c>
      <c r="H21" s="378">
        <v>9</v>
      </c>
      <c r="I21" s="378">
        <v>5.8</v>
      </c>
      <c r="J21" s="377"/>
      <c r="P21" s="192" t="s">
        <v>1399</v>
      </c>
      <c r="Q21" s="192">
        <v>926.05579999999998</v>
      </c>
      <c r="R21" s="192">
        <v>5.8</v>
      </c>
    </row>
    <row r="22" spans="1:18" x14ac:dyDescent="0.3">
      <c r="A22" s="1056"/>
      <c r="B22" s="1056"/>
      <c r="C22" s="1056"/>
      <c r="D22" s="1056"/>
      <c r="E22" s="1024" t="s">
        <v>61</v>
      </c>
      <c r="F22" s="1024"/>
      <c r="G22" s="379">
        <v>0.45</v>
      </c>
      <c r="H22" s="379">
        <v>0.45</v>
      </c>
      <c r="I22" s="379">
        <v>0.45</v>
      </c>
      <c r="J22" s="377"/>
      <c r="Q22" s="192">
        <f>SUM(Q18:Q21)</f>
        <v>15374.481399999999</v>
      </c>
    </row>
    <row r="23" spans="1:18" x14ac:dyDescent="0.3">
      <c r="A23" s="1056"/>
      <c r="B23" s="1056"/>
      <c r="C23" s="1056"/>
      <c r="D23" s="1056"/>
      <c r="E23" s="1024" t="s">
        <v>71</v>
      </c>
      <c r="F23" s="1024"/>
      <c r="G23" s="379">
        <v>0.13</v>
      </c>
      <c r="H23" s="379">
        <v>0.13</v>
      </c>
      <c r="I23" s="379">
        <v>0.13</v>
      </c>
      <c r="J23" s="377"/>
    </row>
    <row r="24" spans="1:18" x14ac:dyDescent="0.3">
      <c r="A24" s="1056"/>
      <c r="B24" s="1056"/>
      <c r="C24" s="1056"/>
      <c r="D24" s="1056"/>
      <c r="E24" s="1024" t="s">
        <v>22</v>
      </c>
      <c r="F24" s="1024"/>
      <c r="G24" s="379">
        <v>1727.6371999999999</v>
      </c>
      <c r="H24" s="379">
        <v>2066.9684000000002</v>
      </c>
      <c r="I24" s="379">
        <v>926.05579999999998</v>
      </c>
      <c r="J24" s="373">
        <f t="shared" ref="J24:J66" si="0">TRUNC(SUM(G24:I24),2)</f>
        <v>4720.66</v>
      </c>
    </row>
    <row r="25" spans="1:18" ht="13.5" hidden="1" customHeight="1" x14ac:dyDescent="0.3">
      <c r="A25" s="1063" t="s">
        <v>60</v>
      </c>
      <c r="B25" s="1063"/>
      <c r="C25" s="1063"/>
      <c r="D25" s="1063"/>
      <c r="E25" s="1024" t="s">
        <v>250</v>
      </c>
      <c r="F25" s="1024"/>
      <c r="G25" s="373"/>
      <c r="H25" s="373"/>
      <c r="I25" s="373"/>
      <c r="J25" s="373">
        <f t="shared" si="0"/>
        <v>0</v>
      </c>
    </row>
    <row r="26" spans="1:18" hidden="1" x14ac:dyDescent="0.3">
      <c r="A26" s="1063"/>
      <c r="B26" s="1063"/>
      <c r="C26" s="1063"/>
      <c r="D26" s="1063"/>
      <c r="E26" s="1024" t="s">
        <v>251</v>
      </c>
      <c r="F26" s="1024"/>
      <c r="G26" s="379">
        <v>40.479999999999997</v>
      </c>
      <c r="H26" s="379">
        <v>40.479999999999997</v>
      </c>
      <c r="I26" s="379">
        <v>40.479999999999997</v>
      </c>
      <c r="J26" s="373">
        <f t="shared" si="0"/>
        <v>121.44</v>
      </c>
    </row>
    <row r="27" spans="1:18" hidden="1" x14ac:dyDescent="0.3">
      <c r="A27" s="1063"/>
      <c r="B27" s="1063"/>
      <c r="C27" s="1063"/>
      <c r="D27" s="1063"/>
      <c r="E27" s="1024" t="s">
        <v>252</v>
      </c>
      <c r="F27" s="1024"/>
      <c r="G27" s="379">
        <f>G25*G26</f>
        <v>0</v>
      </c>
      <c r="H27" s="379">
        <f>H25*H26</f>
        <v>0</v>
      </c>
      <c r="I27" s="379">
        <f>I25*I26</f>
        <v>0</v>
      </c>
      <c r="J27" s="373">
        <f t="shared" si="0"/>
        <v>0</v>
      </c>
    </row>
    <row r="28" spans="1:18" hidden="1" x14ac:dyDescent="0.3">
      <c r="A28" s="1063"/>
      <c r="B28" s="1063"/>
      <c r="C28" s="1063"/>
      <c r="D28" s="1063"/>
      <c r="E28" s="1024" t="s">
        <v>362</v>
      </c>
      <c r="F28" s="1024"/>
      <c r="G28" s="373"/>
      <c r="H28" s="373"/>
      <c r="I28" s="373"/>
      <c r="J28" s="373">
        <f t="shared" si="0"/>
        <v>0</v>
      </c>
    </row>
    <row r="29" spans="1:18" hidden="1" x14ac:dyDescent="0.3">
      <c r="A29" s="1063"/>
      <c r="B29" s="1063"/>
      <c r="C29" s="1063"/>
      <c r="D29" s="1063"/>
      <c r="E29" s="1024" t="s">
        <v>363</v>
      </c>
      <c r="F29" s="1024"/>
      <c r="G29" s="379">
        <v>99.08</v>
      </c>
      <c r="H29" s="379">
        <v>99.08</v>
      </c>
      <c r="I29" s="379">
        <v>99.08</v>
      </c>
      <c r="J29" s="373">
        <f t="shared" si="0"/>
        <v>297.24</v>
      </c>
    </row>
    <row r="30" spans="1:18" hidden="1" x14ac:dyDescent="0.3">
      <c r="A30" s="1063"/>
      <c r="B30" s="1063"/>
      <c r="C30" s="1063"/>
      <c r="D30" s="1063"/>
      <c r="E30" s="1024" t="s">
        <v>364</v>
      </c>
      <c r="F30" s="1024"/>
      <c r="G30" s="379">
        <f>G28*G29</f>
        <v>0</v>
      </c>
      <c r="H30" s="379">
        <f>H28*H29</f>
        <v>0</v>
      </c>
      <c r="I30" s="379">
        <f>I28*I29</f>
        <v>0</v>
      </c>
      <c r="J30" s="373">
        <f t="shared" si="0"/>
        <v>0</v>
      </c>
    </row>
    <row r="31" spans="1:18" hidden="1" x14ac:dyDescent="0.3">
      <c r="A31" s="1063"/>
      <c r="B31" s="1063"/>
      <c r="C31" s="1063"/>
      <c r="D31" s="1063"/>
      <c r="E31" s="1024" t="s">
        <v>365</v>
      </c>
      <c r="F31" s="1024"/>
      <c r="G31" s="373"/>
      <c r="H31" s="373"/>
      <c r="I31" s="373"/>
      <c r="J31" s="373">
        <f t="shared" si="0"/>
        <v>0</v>
      </c>
    </row>
    <row r="32" spans="1:18" hidden="1" x14ac:dyDescent="0.3">
      <c r="A32" s="1063"/>
      <c r="B32" s="1063"/>
      <c r="C32" s="1063"/>
      <c r="D32" s="1063"/>
      <c r="E32" s="1024" t="s">
        <v>366</v>
      </c>
      <c r="F32" s="1024"/>
      <c r="G32" s="379">
        <v>83.45</v>
      </c>
      <c r="H32" s="379">
        <v>83.45</v>
      </c>
      <c r="I32" s="379">
        <v>83.45</v>
      </c>
      <c r="J32" s="373">
        <f t="shared" si="0"/>
        <v>250.35</v>
      </c>
    </row>
    <row r="33" spans="1:10" hidden="1" x14ac:dyDescent="0.3">
      <c r="A33" s="1063"/>
      <c r="B33" s="1063"/>
      <c r="C33" s="1063"/>
      <c r="D33" s="1063"/>
      <c r="E33" s="1024" t="s">
        <v>367</v>
      </c>
      <c r="F33" s="1024"/>
      <c r="G33" s="379">
        <f>G31*G32</f>
        <v>0</v>
      </c>
      <c r="H33" s="379">
        <f>H31*H32</f>
        <v>0</v>
      </c>
      <c r="I33" s="379">
        <f>I31*I32</f>
        <v>0</v>
      </c>
      <c r="J33" s="373">
        <f t="shared" si="0"/>
        <v>0</v>
      </c>
    </row>
    <row r="34" spans="1:10" hidden="1" x14ac:dyDescent="0.3">
      <c r="A34" s="1063"/>
      <c r="B34" s="1063"/>
      <c r="C34" s="1063"/>
      <c r="D34" s="1063"/>
      <c r="E34" s="1024" t="s">
        <v>990</v>
      </c>
      <c r="F34" s="1024"/>
      <c r="G34" s="373"/>
      <c r="H34" s="373"/>
      <c r="I34" s="373"/>
      <c r="J34" s="373">
        <f t="shared" si="0"/>
        <v>0</v>
      </c>
    </row>
    <row r="35" spans="1:10" hidden="1" x14ac:dyDescent="0.3">
      <c r="A35" s="1063"/>
      <c r="B35" s="1063"/>
      <c r="C35" s="1063"/>
      <c r="D35" s="1063"/>
      <c r="E35" s="1024" t="s">
        <v>991</v>
      </c>
      <c r="F35" s="1024"/>
      <c r="G35" s="379">
        <v>53.67</v>
      </c>
      <c r="H35" s="379">
        <v>53.67</v>
      </c>
      <c r="I35" s="379">
        <v>53.67</v>
      </c>
      <c r="J35" s="373">
        <f t="shared" si="0"/>
        <v>161.01</v>
      </c>
    </row>
    <row r="36" spans="1:10" hidden="1" x14ac:dyDescent="0.3">
      <c r="A36" s="1063"/>
      <c r="B36" s="1063"/>
      <c r="C36" s="1063"/>
      <c r="D36" s="1063"/>
      <c r="E36" s="1024" t="s">
        <v>992</v>
      </c>
      <c r="F36" s="1024"/>
      <c r="G36" s="379">
        <f>G34*G35</f>
        <v>0</v>
      </c>
      <c r="H36" s="379">
        <f>H34*H35</f>
        <v>0</v>
      </c>
      <c r="I36" s="379">
        <f>I34*I35</f>
        <v>0</v>
      </c>
      <c r="J36" s="373">
        <f t="shared" si="0"/>
        <v>0</v>
      </c>
    </row>
    <row r="37" spans="1:10" hidden="1" x14ac:dyDescent="0.3">
      <c r="A37" s="1063"/>
      <c r="B37" s="1063"/>
      <c r="C37" s="1063"/>
      <c r="D37" s="1063"/>
      <c r="E37" s="1024" t="s">
        <v>993</v>
      </c>
      <c r="F37" s="1024"/>
      <c r="G37" s="373"/>
      <c r="H37" s="373"/>
      <c r="I37" s="373"/>
      <c r="J37" s="373">
        <f t="shared" si="0"/>
        <v>0</v>
      </c>
    </row>
    <row r="38" spans="1:10" hidden="1" x14ac:dyDescent="0.3">
      <c r="A38" s="1063"/>
      <c r="B38" s="1063"/>
      <c r="C38" s="1063"/>
      <c r="D38" s="1063"/>
      <c r="E38" s="1024" t="s">
        <v>994</v>
      </c>
      <c r="F38" s="1024"/>
      <c r="G38" s="379">
        <v>69.84</v>
      </c>
      <c r="H38" s="379">
        <v>69.84</v>
      </c>
      <c r="I38" s="379">
        <v>69.84</v>
      </c>
      <c r="J38" s="373">
        <f t="shared" si="0"/>
        <v>209.52</v>
      </c>
    </row>
    <row r="39" spans="1:10" hidden="1" x14ac:dyDescent="0.3">
      <c r="A39" s="1063"/>
      <c r="B39" s="1063"/>
      <c r="C39" s="1063"/>
      <c r="D39" s="1063"/>
      <c r="E39" s="1024" t="s">
        <v>995</v>
      </c>
      <c r="F39" s="1024"/>
      <c r="G39" s="379">
        <f>G37*G38</f>
        <v>0</v>
      </c>
      <c r="H39" s="379">
        <f>H37*H38</f>
        <v>0</v>
      </c>
      <c r="I39" s="379">
        <f>I37*I38</f>
        <v>0</v>
      </c>
      <c r="J39" s="373">
        <f t="shared" si="0"/>
        <v>0</v>
      </c>
    </row>
    <row r="40" spans="1:10" hidden="1" x14ac:dyDescent="0.3">
      <c r="A40" s="1063"/>
      <c r="B40" s="1063"/>
      <c r="C40" s="1063"/>
      <c r="D40" s="1063"/>
      <c r="E40" s="1024" t="s">
        <v>996</v>
      </c>
      <c r="F40" s="1024"/>
      <c r="G40" s="373"/>
      <c r="H40" s="373"/>
      <c r="I40" s="373"/>
      <c r="J40" s="373">
        <f t="shared" si="0"/>
        <v>0</v>
      </c>
    </row>
    <row r="41" spans="1:10" hidden="1" x14ac:dyDescent="0.3">
      <c r="A41" s="1063"/>
      <c r="B41" s="1063"/>
      <c r="C41" s="1063"/>
      <c r="D41" s="1063"/>
      <c r="E41" s="1024" t="s">
        <v>997</v>
      </c>
      <c r="F41" s="1024"/>
      <c r="G41" s="379">
        <v>196.11</v>
      </c>
      <c r="H41" s="379">
        <v>196.11</v>
      </c>
      <c r="I41" s="379">
        <v>196.11</v>
      </c>
      <c r="J41" s="373">
        <f t="shared" si="0"/>
        <v>588.33000000000004</v>
      </c>
    </row>
    <row r="42" spans="1:10" hidden="1" x14ac:dyDescent="0.3">
      <c r="A42" s="1063"/>
      <c r="B42" s="1063"/>
      <c r="C42" s="1063"/>
      <c r="D42" s="1063"/>
      <c r="E42" s="1024" t="s">
        <v>998</v>
      </c>
      <c r="F42" s="1024"/>
      <c r="G42" s="379">
        <f>G40*G41</f>
        <v>0</v>
      </c>
      <c r="H42" s="379">
        <f>H40*H41</f>
        <v>0</v>
      </c>
      <c r="I42" s="379">
        <f>I40*I41</f>
        <v>0</v>
      </c>
      <c r="J42" s="373">
        <f t="shared" si="0"/>
        <v>0</v>
      </c>
    </row>
    <row r="43" spans="1:10" hidden="1" x14ac:dyDescent="0.3">
      <c r="A43" s="1063"/>
      <c r="B43" s="1063"/>
      <c r="C43" s="1063"/>
      <c r="D43" s="1063"/>
      <c r="E43" s="1024" t="s">
        <v>999</v>
      </c>
      <c r="F43" s="1024"/>
      <c r="G43" s="373"/>
      <c r="H43" s="373"/>
      <c r="I43" s="373"/>
      <c r="J43" s="373">
        <f t="shared" si="0"/>
        <v>0</v>
      </c>
    </row>
    <row r="44" spans="1:10" hidden="1" x14ac:dyDescent="0.3">
      <c r="A44" s="1063"/>
      <c r="B44" s="1063"/>
      <c r="C44" s="1063"/>
      <c r="D44" s="1063"/>
      <c r="E44" s="1024" t="s">
        <v>1000</v>
      </c>
      <c r="F44" s="1024"/>
      <c r="G44" s="379">
        <v>98.66</v>
      </c>
      <c r="H44" s="379">
        <v>98.66</v>
      </c>
      <c r="I44" s="379">
        <v>98.66</v>
      </c>
      <c r="J44" s="373">
        <f t="shared" si="0"/>
        <v>295.98</v>
      </c>
    </row>
    <row r="45" spans="1:10" hidden="1" x14ac:dyDescent="0.3">
      <c r="A45" s="1063"/>
      <c r="B45" s="1063"/>
      <c r="C45" s="1063"/>
      <c r="D45" s="1063"/>
      <c r="E45" s="1024" t="s">
        <v>1001</v>
      </c>
      <c r="F45" s="1024"/>
      <c r="G45" s="379">
        <f>G43*G44</f>
        <v>0</v>
      </c>
      <c r="H45" s="379">
        <f>H43*H44</f>
        <v>0</v>
      </c>
      <c r="I45" s="379">
        <f>I43*I44</f>
        <v>0</v>
      </c>
      <c r="J45" s="373">
        <f t="shared" si="0"/>
        <v>0</v>
      </c>
    </row>
    <row r="46" spans="1:10" hidden="1" x14ac:dyDescent="0.3">
      <c r="A46" s="1063"/>
      <c r="B46" s="1063"/>
      <c r="C46" s="1063"/>
      <c r="D46" s="1063"/>
      <c r="E46" s="1024" t="s">
        <v>1002</v>
      </c>
      <c r="F46" s="1024"/>
      <c r="G46" s="373"/>
      <c r="H46" s="373"/>
      <c r="I46" s="373"/>
      <c r="J46" s="373">
        <f t="shared" si="0"/>
        <v>0</v>
      </c>
    </row>
    <row r="47" spans="1:10" hidden="1" x14ac:dyDescent="0.3">
      <c r="A47" s="1063"/>
      <c r="B47" s="1063"/>
      <c r="C47" s="1063"/>
      <c r="D47" s="1063"/>
      <c r="E47" s="1024" t="s">
        <v>1003</v>
      </c>
      <c r="F47" s="1024"/>
      <c r="G47" s="379">
        <v>207.36</v>
      </c>
      <c r="H47" s="379">
        <v>207.36</v>
      </c>
      <c r="I47" s="379">
        <v>207.36</v>
      </c>
      <c r="J47" s="373">
        <f t="shared" si="0"/>
        <v>622.08000000000004</v>
      </c>
    </row>
    <row r="48" spans="1:10" hidden="1" x14ac:dyDescent="0.3">
      <c r="A48" s="1063"/>
      <c r="B48" s="1063"/>
      <c r="C48" s="1063"/>
      <c r="D48" s="1063"/>
      <c r="E48" s="1024" t="s">
        <v>1004</v>
      </c>
      <c r="F48" s="1024"/>
      <c r="G48" s="379">
        <f>G46*G47</f>
        <v>0</v>
      </c>
      <c r="H48" s="379">
        <f>H46*H47</f>
        <v>0</v>
      </c>
      <c r="I48" s="379">
        <f>I46*I47</f>
        <v>0</v>
      </c>
      <c r="J48" s="373">
        <f t="shared" si="0"/>
        <v>0</v>
      </c>
    </row>
    <row r="49" spans="1:10" hidden="1" x14ac:dyDescent="0.3">
      <c r="A49" s="1063"/>
      <c r="B49" s="1063"/>
      <c r="C49" s="1063"/>
      <c r="D49" s="1063"/>
      <c r="E49" s="1024" t="s">
        <v>1005</v>
      </c>
      <c r="F49" s="1024"/>
      <c r="G49" s="373"/>
      <c r="H49" s="373"/>
      <c r="I49" s="373"/>
      <c r="J49" s="373">
        <f t="shared" si="0"/>
        <v>0</v>
      </c>
    </row>
    <row r="50" spans="1:10" hidden="1" x14ac:dyDescent="0.3">
      <c r="A50" s="1063"/>
      <c r="B50" s="1063"/>
      <c r="C50" s="1063"/>
      <c r="D50" s="1063"/>
      <c r="E50" s="1024" t="s">
        <v>1006</v>
      </c>
      <c r="F50" s="1024"/>
      <c r="G50" s="379">
        <v>116.69</v>
      </c>
      <c r="H50" s="379">
        <v>116.69</v>
      </c>
      <c r="I50" s="379">
        <v>116.69</v>
      </c>
      <c r="J50" s="373">
        <f t="shared" si="0"/>
        <v>350.07</v>
      </c>
    </row>
    <row r="51" spans="1:10" hidden="1" x14ac:dyDescent="0.3">
      <c r="A51" s="1063"/>
      <c r="B51" s="1063"/>
      <c r="C51" s="1063"/>
      <c r="D51" s="1063"/>
      <c r="E51" s="1024" t="s">
        <v>1007</v>
      </c>
      <c r="F51" s="1024"/>
      <c r="G51" s="379">
        <f>G49*G50</f>
        <v>0</v>
      </c>
      <c r="H51" s="379">
        <f>H49*H50</f>
        <v>0</v>
      </c>
      <c r="I51" s="379">
        <f>I49*I50</f>
        <v>0</v>
      </c>
      <c r="J51" s="373">
        <f t="shared" si="0"/>
        <v>0</v>
      </c>
    </row>
    <row r="52" spans="1:10" hidden="1" x14ac:dyDescent="0.3">
      <c r="A52" s="1063"/>
      <c r="B52" s="1063"/>
      <c r="C52" s="1063"/>
      <c r="D52" s="1063"/>
      <c r="E52" s="1024" t="s">
        <v>1008</v>
      </c>
      <c r="F52" s="1024"/>
      <c r="G52" s="373"/>
      <c r="H52" s="373"/>
      <c r="I52" s="373"/>
      <c r="J52" s="373">
        <f t="shared" si="0"/>
        <v>0</v>
      </c>
    </row>
    <row r="53" spans="1:10" hidden="1" x14ac:dyDescent="0.3">
      <c r="A53" s="1063"/>
      <c r="B53" s="1063"/>
      <c r="C53" s="1063"/>
      <c r="D53" s="1063"/>
      <c r="E53" s="1024" t="s">
        <v>1009</v>
      </c>
      <c r="F53" s="1024"/>
      <c r="G53" s="379">
        <v>223.24</v>
      </c>
      <c r="H53" s="379">
        <v>223.24</v>
      </c>
      <c r="I53" s="379">
        <v>223.24</v>
      </c>
      <c r="J53" s="373">
        <f t="shared" si="0"/>
        <v>669.72</v>
      </c>
    </row>
    <row r="54" spans="1:10" hidden="1" x14ac:dyDescent="0.3">
      <c r="A54" s="1063"/>
      <c r="B54" s="1063"/>
      <c r="C54" s="1063"/>
      <c r="D54" s="1063"/>
      <c r="E54" s="1024" t="s">
        <v>1010</v>
      </c>
      <c r="F54" s="1024"/>
      <c r="G54" s="379">
        <f>G52*G53</f>
        <v>0</v>
      </c>
      <c r="H54" s="379">
        <f>H52*H53</f>
        <v>0</v>
      </c>
      <c r="I54" s="379">
        <f>I52*I53</f>
        <v>0</v>
      </c>
      <c r="J54" s="373">
        <f t="shared" si="0"/>
        <v>0</v>
      </c>
    </row>
    <row r="55" spans="1:10" hidden="1" x14ac:dyDescent="0.3">
      <c r="A55" s="1063"/>
      <c r="B55" s="1063"/>
      <c r="C55" s="1063"/>
      <c r="D55" s="1063"/>
      <c r="E55" s="1024" t="s">
        <v>1011</v>
      </c>
      <c r="F55" s="1024"/>
      <c r="G55" s="373"/>
      <c r="H55" s="373"/>
      <c r="I55" s="373"/>
      <c r="J55" s="373">
        <f t="shared" si="0"/>
        <v>0</v>
      </c>
    </row>
    <row r="56" spans="1:10" hidden="1" x14ac:dyDescent="0.3">
      <c r="A56" s="1063"/>
      <c r="B56" s="1063"/>
      <c r="C56" s="1063"/>
      <c r="D56" s="1063"/>
      <c r="E56" s="1024" t="s">
        <v>1012</v>
      </c>
      <c r="F56" s="1024"/>
      <c r="G56" s="379">
        <v>74.86</v>
      </c>
      <c r="H56" s="379">
        <v>74.86</v>
      </c>
      <c r="I56" s="379">
        <v>74.86</v>
      </c>
      <c r="J56" s="373">
        <f t="shared" si="0"/>
        <v>224.58</v>
      </c>
    </row>
    <row r="57" spans="1:10" hidden="1" x14ac:dyDescent="0.3">
      <c r="A57" s="1063"/>
      <c r="B57" s="1063"/>
      <c r="C57" s="1063"/>
      <c r="D57" s="1063"/>
      <c r="E57" s="1024" t="s">
        <v>1013</v>
      </c>
      <c r="F57" s="1024"/>
      <c r="G57" s="379">
        <f>G55*G56</f>
        <v>0</v>
      </c>
      <c r="H57" s="379">
        <f>H55*H56</f>
        <v>0</v>
      </c>
      <c r="I57" s="379">
        <f>I55*I56</f>
        <v>0</v>
      </c>
      <c r="J57" s="373">
        <f t="shared" si="0"/>
        <v>0</v>
      </c>
    </row>
    <row r="58" spans="1:10" hidden="1" x14ac:dyDescent="0.3">
      <c r="A58" s="1063"/>
      <c r="B58" s="1063"/>
      <c r="C58" s="1063"/>
      <c r="D58" s="1063"/>
      <c r="E58" s="1024" t="s">
        <v>1014</v>
      </c>
      <c r="F58" s="1024"/>
      <c r="G58" s="373"/>
      <c r="H58" s="373"/>
      <c r="I58" s="373"/>
      <c r="J58" s="373">
        <f t="shared" si="0"/>
        <v>0</v>
      </c>
    </row>
    <row r="59" spans="1:10" hidden="1" x14ac:dyDescent="0.3">
      <c r="A59" s="1063"/>
      <c r="B59" s="1063"/>
      <c r="C59" s="1063"/>
      <c r="D59" s="1063"/>
      <c r="E59" s="1024" t="s">
        <v>1015</v>
      </c>
      <c r="F59" s="1024"/>
      <c r="G59" s="379">
        <v>23.2</v>
      </c>
      <c r="H59" s="379">
        <v>23.2</v>
      </c>
      <c r="I59" s="379">
        <v>23.2</v>
      </c>
      <c r="J59" s="373">
        <f t="shared" si="0"/>
        <v>69.599999999999994</v>
      </c>
    </row>
    <row r="60" spans="1:10" hidden="1" x14ac:dyDescent="0.3">
      <c r="A60" s="1063"/>
      <c r="B60" s="1063"/>
      <c r="C60" s="1063"/>
      <c r="D60" s="1063"/>
      <c r="E60" s="1024" t="s">
        <v>1016</v>
      </c>
      <c r="F60" s="1024"/>
      <c r="G60" s="379">
        <f>G58*G59</f>
        <v>0</v>
      </c>
      <c r="H60" s="379">
        <f>H58*H59</f>
        <v>0</v>
      </c>
      <c r="I60" s="379">
        <f>I58*I59</f>
        <v>0</v>
      </c>
      <c r="J60" s="373">
        <f t="shared" si="0"/>
        <v>0</v>
      </c>
    </row>
    <row r="61" spans="1:10" hidden="1" x14ac:dyDescent="0.3">
      <c r="A61" s="1063"/>
      <c r="B61" s="1063"/>
      <c r="C61" s="1063"/>
      <c r="D61" s="1063"/>
      <c r="E61" s="1039" t="s">
        <v>1017</v>
      </c>
      <c r="F61" s="1023"/>
      <c r="G61" s="373"/>
      <c r="H61" s="373"/>
      <c r="I61" s="373"/>
      <c r="J61" s="373">
        <f t="shared" si="0"/>
        <v>0</v>
      </c>
    </row>
    <row r="62" spans="1:10" hidden="1" x14ac:dyDescent="0.3">
      <c r="A62" s="1063"/>
      <c r="B62" s="1063"/>
      <c r="C62" s="1063"/>
      <c r="D62" s="1063"/>
      <c r="E62" s="1039" t="s">
        <v>1018</v>
      </c>
      <c r="F62" s="1023"/>
      <c r="G62" s="379">
        <v>112.14</v>
      </c>
      <c r="H62" s="379">
        <v>112.14</v>
      </c>
      <c r="I62" s="379">
        <v>112.14</v>
      </c>
      <c r="J62" s="373">
        <f t="shared" si="0"/>
        <v>336.42</v>
      </c>
    </row>
    <row r="63" spans="1:10" hidden="1" x14ac:dyDescent="0.3">
      <c r="A63" s="1063"/>
      <c r="B63" s="1063"/>
      <c r="C63" s="1063"/>
      <c r="D63" s="1063"/>
      <c r="E63" s="1039" t="s">
        <v>1019</v>
      </c>
      <c r="F63" s="1023"/>
      <c r="G63" s="379">
        <f>G61*G62</f>
        <v>0</v>
      </c>
      <c r="H63" s="379">
        <f>H61*H62</f>
        <v>0</v>
      </c>
      <c r="I63" s="379">
        <f>I61*I62</f>
        <v>0</v>
      </c>
      <c r="J63" s="373">
        <f t="shared" si="0"/>
        <v>0</v>
      </c>
    </row>
    <row r="64" spans="1:10" hidden="1" x14ac:dyDescent="0.3">
      <c r="A64" s="1063" t="s">
        <v>258</v>
      </c>
      <c r="B64" s="1063"/>
      <c r="C64" s="1063"/>
      <c r="D64" s="1063"/>
      <c r="E64" s="388"/>
      <c r="F64" s="389" t="s">
        <v>20</v>
      </c>
      <c r="G64" s="373">
        <v>0</v>
      </c>
      <c r="H64" s="373">
        <v>0</v>
      </c>
      <c r="I64" s="373">
        <v>0</v>
      </c>
      <c r="J64" s="373">
        <f t="shared" si="0"/>
        <v>0</v>
      </c>
    </row>
    <row r="65" spans="1:15" hidden="1" x14ac:dyDescent="0.3">
      <c r="A65" s="1063"/>
      <c r="B65" s="1063"/>
      <c r="C65" s="1063"/>
      <c r="D65" s="1063"/>
      <c r="E65" s="1024" t="s">
        <v>21</v>
      </c>
      <c r="F65" s="1024"/>
      <c r="G65" s="373"/>
      <c r="H65" s="373"/>
      <c r="I65" s="373"/>
      <c r="J65" s="373">
        <f t="shared" si="0"/>
        <v>0</v>
      </c>
      <c r="L65" s="655"/>
      <c r="M65" s="655"/>
      <c r="N65" s="655"/>
      <c r="O65" s="828"/>
    </row>
    <row r="66" spans="1:15" x14ac:dyDescent="0.3">
      <c r="A66" s="1063"/>
      <c r="B66" s="1063"/>
      <c r="C66" s="1063"/>
      <c r="D66" s="1063"/>
      <c r="E66" s="1024" t="s">
        <v>22</v>
      </c>
      <c r="F66" s="1024"/>
      <c r="G66" s="379"/>
      <c r="H66" s="379"/>
      <c r="I66" s="379"/>
      <c r="J66" s="373">
        <f t="shared" si="0"/>
        <v>0</v>
      </c>
      <c r="L66" s="655"/>
      <c r="M66" s="655"/>
      <c r="N66" s="655"/>
      <c r="O66" s="828"/>
    </row>
    <row r="67" spans="1:15" hidden="1" x14ac:dyDescent="0.3">
      <c r="A67" s="1063"/>
      <c r="B67" s="1063"/>
      <c r="C67" s="1063"/>
      <c r="D67" s="1063"/>
      <c r="E67" s="1024" t="s">
        <v>259</v>
      </c>
      <c r="F67" s="1024"/>
      <c r="G67" s="378">
        <v>0</v>
      </c>
      <c r="H67" s="378">
        <v>0</v>
      </c>
      <c r="I67" s="378">
        <v>0</v>
      </c>
      <c r="J67" s="373">
        <f>TRUNC(SUM(I67:I67),2)</f>
        <v>0</v>
      </c>
      <c r="L67" s="655"/>
      <c r="M67" s="656"/>
      <c r="N67" s="656"/>
      <c r="O67" s="828"/>
    </row>
    <row r="68" spans="1:15" hidden="1" x14ac:dyDescent="0.3">
      <c r="A68" s="1063" t="s">
        <v>9</v>
      </c>
      <c r="B68" s="1063"/>
      <c r="C68" s="1063"/>
      <c r="D68" s="1063"/>
      <c r="E68" s="1024" t="s">
        <v>238</v>
      </c>
      <c r="F68" s="1024"/>
      <c r="G68" s="373"/>
      <c r="H68" s="373"/>
      <c r="I68" s="373"/>
      <c r="J68" s="373">
        <f>TRUNC(SUM(I68:I68),2)</f>
        <v>0</v>
      </c>
      <c r="L68" s="655"/>
      <c r="M68" s="655"/>
      <c r="N68" s="655"/>
      <c r="O68" s="828"/>
    </row>
    <row r="69" spans="1:15" hidden="1" x14ac:dyDescent="0.3">
      <c r="A69" s="1063"/>
      <c r="B69" s="1063"/>
      <c r="C69" s="1063"/>
      <c r="D69" s="1063"/>
      <c r="E69" s="1024" t="s">
        <v>239</v>
      </c>
      <c r="F69" s="1024"/>
      <c r="G69" s="378"/>
      <c r="H69" s="378"/>
      <c r="I69" s="378"/>
      <c r="J69" s="373">
        <f>TRUNC(SUM(I69:I69),2)</f>
        <v>0</v>
      </c>
      <c r="L69" s="655"/>
      <c r="M69" s="655"/>
      <c r="N69" s="657"/>
      <c r="O69" s="828"/>
    </row>
    <row r="70" spans="1:15" ht="14.25" hidden="1" customHeight="1" x14ac:dyDescent="0.3">
      <c r="A70" s="1063"/>
      <c r="B70" s="1063"/>
      <c r="C70" s="1063"/>
      <c r="D70" s="1063"/>
      <c r="E70" s="1024" t="s">
        <v>22</v>
      </c>
      <c r="F70" s="1024"/>
      <c r="G70" s="379">
        <f>ROUND(G68*G69,2)</f>
        <v>0</v>
      </c>
      <c r="H70" s="379">
        <f>ROUND(H68*H69,2)</f>
        <v>0</v>
      </c>
      <c r="I70" s="379">
        <f>ROUND(I68*I69,2)</f>
        <v>0</v>
      </c>
      <c r="J70" s="373">
        <f>TRUNC(SUM(I70:I70),2)</f>
        <v>0</v>
      </c>
      <c r="L70" s="655"/>
      <c r="M70" s="655"/>
      <c r="N70" s="655"/>
      <c r="O70" s="828"/>
    </row>
    <row r="71" spans="1:15" ht="3.95" customHeight="1" x14ac:dyDescent="0.3">
      <c r="A71" s="611"/>
      <c r="B71" s="612"/>
      <c r="C71" s="612"/>
      <c r="D71" s="612"/>
      <c r="E71" s="613"/>
      <c r="F71" s="613"/>
      <c r="G71" s="614"/>
      <c r="H71" s="614"/>
      <c r="I71" s="614"/>
      <c r="J71" s="614"/>
      <c r="L71" s="655"/>
      <c r="M71" s="655"/>
      <c r="N71" s="655"/>
      <c r="O71" s="223"/>
    </row>
    <row r="72" spans="1:15" ht="14.25" hidden="1" customHeight="1" x14ac:dyDescent="0.3">
      <c r="A72" s="1033" t="s">
        <v>6</v>
      </c>
      <c r="B72" s="1064" t="s">
        <v>257</v>
      </c>
      <c r="C72" s="1066" t="s">
        <v>244</v>
      </c>
      <c r="D72" s="1066"/>
      <c r="E72" s="1024" t="s">
        <v>21</v>
      </c>
      <c r="F72" s="1024"/>
      <c r="G72" s="379">
        <f>G21</f>
        <v>9</v>
      </c>
      <c r="H72" s="379">
        <f>H21</f>
        <v>9</v>
      </c>
      <c r="I72" s="379">
        <f>I21</f>
        <v>5.8</v>
      </c>
      <c r="J72" s="375"/>
      <c r="L72" s="655"/>
      <c r="M72" s="655"/>
      <c r="N72" s="655"/>
    </row>
    <row r="73" spans="1:15" ht="14.25" hidden="1" customHeight="1" x14ac:dyDescent="0.3">
      <c r="A73" s="1034"/>
      <c r="B73" s="1064"/>
      <c r="C73" s="1066"/>
      <c r="D73" s="1066"/>
      <c r="E73" s="1024" t="s">
        <v>22</v>
      </c>
      <c r="F73" s="1024"/>
      <c r="G73" s="379">
        <v>6087.3109999999997</v>
      </c>
      <c r="H73" s="379">
        <v>6087.3109999999997</v>
      </c>
      <c r="I73" s="379">
        <v>6087.3109999999997</v>
      </c>
      <c r="J73" s="373">
        <f>TRUNC(SUM(I73:I73),2)</f>
        <v>6087.31</v>
      </c>
      <c r="L73" s="655"/>
      <c r="M73" s="655"/>
      <c r="N73" s="655"/>
    </row>
    <row r="74" spans="1:15" ht="14.25" hidden="1" customHeight="1" x14ac:dyDescent="0.3">
      <c r="A74" s="1034"/>
      <c r="B74" s="1064"/>
      <c r="C74" s="1066"/>
      <c r="D74" s="1066"/>
      <c r="E74" s="1024" t="s">
        <v>249</v>
      </c>
      <c r="F74" s="1024"/>
      <c r="G74" s="375">
        <v>0.1</v>
      </c>
      <c r="H74" s="375">
        <v>0.1</v>
      </c>
      <c r="I74" s="375">
        <v>0.1</v>
      </c>
      <c r="J74" s="375"/>
      <c r="L74" s="655"/>
      <c r="M74" s="655"/>
      <c r="N74" s="655"/>
    </row>
    <row r="75" spans="1:15" ht="14.25" hidden="1" customHeight="1" x14ac:dyDescent="0.3">
      <c r="A75" s="1034"/>
      <c r="B75" s="1064"/>
      <c r="C75" s="1066"/>
      <c r="D75" s="1066"/>
      <c r="E75" s="1024" t="s">
        <v>23</v>
      </c>
      <c r="F75" s="1024"/>
      <c r="G75" s="379">
        <f>G73*G74</f>
        <v>608.73109999999997</v>
      </c>
      <c r="H75" s="379">
        <f>H73*H74</f>
        <v>608.73109999999997</v>
      </c>
      <c r="I75" s="379">
        <f>I73*I74</f>
        <v>608.73109999999997</v>
      </c>
      <c r="J75" s="373">
        <f>TRUNC(SUM(I75:I75),2)</f>
        <v>608.73</v>
      </c>
      <c r="L75" s="655"/>
    </row>
    <row r="76" spans="1:15" ht="14.25" hidden="1" customHeight="1" x14ac:dyDescent="0.3">
      <c r="A76" s="1034"/>
      <c r="B76" s="1064"/>
      <c r="C76" s="1066" t="s">
        <v>245</v>
      </c>
      <c r="D76" s="1066"/>
      <c r="E76" s="1024" t="s">
        <v>944</v>
      </c>
      <c r="F76" s="1024"/>
      <c r="G76" s="379">
        <f>G75*(1+G77)</f>
        <v>791.35042999999996</v>
      </c>
      <c r="H76" s="379">
        <f>H75*(1+H77)</f>
        <v>791.35042999999996</v>
      </c>
      <c r="I76" s="379">
        <f>I75*(1+I77)</f>
        <v>791.35042999999996</v>
      </c>
      <c r="J76" s="373">
        <f>TRUNC(SUM(I76:I76),2)</f>
        <v>791.35</v>
      </c>
      <c r="L76" s="655"/>
      <c r="M76" s="655"/>
      <c r="N76" s="655"/>
      <c r="O76" s="656"/>
    </row>
    <row r="77" spans="1:15" ht="14.25" hidden="1" customHeight="1" x14ac:dyDescent="0.3">
      <c r="A77" s="1034"/>
      <c r="B77" s="1064"/>
      <c r="C77" s="1026" t="s">
        <v>246</v>
      </c>
      <c r="D77" s="1026"/>
      <c r="E77" s="1024" t="s">
        <v>24</v>
      </c>
      <c r="F77" s="1024"/>
      <c r="G77" s="381">
        <v>0.3</v>
      </c>
      <c r="H77" s="381">
        <v>0.3</v>
      </c>
      <c r="I77" s="381">
        <v>0.3</v>
      </c>
      <c r="J77" s="375"/>
      <c r="L77" s="655"/>
      <c r="M77" s="655"/>
      <c r="N77" s="655"/>
    </row>
    <row r="78" spans="1:15" ht="14.25" hidden="1" customHeight="1" x14ac:dyDescent="0.3">
      <c r="A78" s="1034"/>
      <c r="B78" s="1064"/>
      <c r="C78" s="1026"/>
      <c r="D78" s="1026"/>
      <c r="E78" s="1024" t="s">
        <v>25</v>
      </c>
      <c r="F78" s="1024"/>
      <c r="G78" s="379">
        <f>$B$12</f>
        <v>5.8</v>
      </c>
      <c r="H78" s="379">
        <f>$B$12</f>
        <v>5.8</v>
      </c>
      <c r="I78" s="379">
        <f>$B$12</f>
        <v>5.8</v>
      </c>
      <c r="J78" s="375"/>
      <c r="L78" s="655"/>
      <c r="M78" s="655"/>
      <c r="N78" s="655"/>
    </row>
    <row r="79" spans="1:15" ht="14.25" hidden="1" customHeight="1" x14ac:dyDescent="0.3">
      <c r="A79" s="1034"/>
      <c r="B79" s="1064"/>
      <c r="C79" s="1026"/>
      <c r="D79" s="1026"/>
      <c r="E79" s="1024" t="s">
        <v>26</v>
      </c>
      <c r="F79" s="1024"/>
      <c r="G79" s="379">
        <f>G76*G78</f>
        <v>4589.8324939999993</v>
      </c>
      <c r="H79" s="379">
        <f>H76*H78</f>
        <v>4589.8324939999993</v>
      </c>
      <c r="I79" s="379">
        <f>I76*I78</f>
        <v>4589.8324939999993</v>
      </c>
      <c r="J79" s="373">
        <f>TRUNC(SUM(I79:I79),2)</f>
        <v>4589.83</v>
      </c>
    </row>
    <row r="80" spans="1:15" ht="14.25" customHeight="1" x14ac:dyDescent="0.3">
      <c r="A80" s="1034"/>
      <c r="B80" s="1028" t="s">
        <v>247</v>
      </c>
      <c r="C80" s="1066" t="s">
        <v>244</v>
      </c>
      <c r="D80" s="1066"/>
      <c r="E80" s="1072" t="s">
        <v>416</v>
      </c>
      <c r="F80" s="1072"/>
      <c r="G80" s="379">
        <f>'8-MOVIMENTO TERRA- HARRY AMORY'!C13</f>
        <v>659.11</v>
      </c>
      <c r="H80" s="379">
        <f>'8-MOVIMENTO TERRA- HARRY AMORY'!C14</f>
        <v>864.67</v>
      </c>
      <c r="I80" s="379">
        <f>'8-MOVIMENTO TERRA- HARRY AMORY'!C15</f>
        <v>374.97</v>
      </c>
      <c r="J80" s="373">
        <f>TRUNC(SUM(G80:I80),2)</f>
        <v>1898.75</v>
      </c>
    </row>
    <row r="81" spans="1:10" ht="14.25" customHeight="1" x14ac:dyDescent="0.3">
      <c r="A81" s="1034"/>
      <c r="B81" s="1028"/>
      <c r="C81" s="1066" t="s">
        <v>245</v>
      </c>
      <c r="D81" s="1066"/>
      <c r="E81" s="1024" t="s">
        <v>945</v>
      </c>
      <c r="F81" s="1024"/>
      <c r="G81" s="379">
        <f>G80*(1+G82)</f>
        <v>856.84300000000007</v>
      </c>
      <c r="H81" s="379">
        <f>H80*(1+H82)</f>
        <v>1124.0709999999999</v>
      </c>
      <c r="I81" s="379">
        <f>I80*(1+I82)</f>
        <v>487.46100000000007</v>
      </c>
      <c r="J81" s="373">
        <f>TRUNC(SUM(G81:I81),2)</f>
        <v>2468.37</v>
      </c>
    </row>
    <row r="82" spans="1:10" ht="14.25" customHeight="1" x14ac:dyDescent="0.3">
      <c r="A82" s="1034"/>
      <c r="B82" s="1028"/>
      <c r="C82" s="1026" t="s">
        <v>246</v>
      </c>
      <c r="D82" s="1026"/>
      <c r="E82" s="1024" t="s">
        <v>24</v>
      </c>
      <c r="F82" s="1024"/>
      <c r="G82" s="381">
        <v>0.3</v>
      </c>
      <c r="H82" s="381">
        <v>0.3</v>
      </c>
      <c r="I82" s="381">
        <v>0.3</v>
      </c>
      <c r="J82" s="381"/>
    </row>
    <row r="83" spans="1:10" ht="14.25" customHeight="1" x14ac:dyDescent="0.3">
      <c r="A83" s="1034"/>
      <c r="B83" s="1028"/>
      <c r="C83" s="1026"/>
      <c r="D83" s="1026"/>
      <c r="E83" s="1024" t="s">
        <v>25</v>
      </c>
      <c r="F83" s="1024"/>
      <c r="G83" s="379">
        <f>G78</f>
        <v>5.8</v>
      </c>
      <c r="H83" s="379">
        <f>H78</f>
        <v>5.8</v>
      </c>
      <c r="I83" s="379">
        <f>I78</f>
        <v>5.8</v>
      </c>
      <c r="J83" s="379"/>
    </row>
    <row r="84" spans="1:10" ht="14.25" customHeight="1" x14ac:dyDescent="0.3">
      <c r="A84" s="1034"/>
      <c r="B84" s="1028"/>
      <c r="C84" s="1026"/>
      <c r="D84" s="1026"/>
      <c r="E84" s="1024" t="s">
        <v>26</v>
      </c>
      <c r="F84" s="1024"/>
      <c r="G84" s="379">
        <f>G83*G81</f>
        <v>4969.6894000000002</v>
      </c>
      <c r="H84" s="379">
        <f>H83*H81</f>
        <v>6519.6117999999997</v>
      </c>
      <c r="I84" s="379">
        <f>I83*I81</f>
        <v>2827.2738000000004</v>
      </c>
      <c r="J84" s="373">
        <f>TRUNC(SUM(G84:I84),2)</f>
        <v>14316.57</v>
      </c>
    </row>
    <row r="85" spans="1:10" x14ac:dyDescent="0.3">
      <c r="A85" s="1034"/>
      <c r="B85" s="1028" t="s">
        <v>248</v>
      </c>
      <c r="C85" s="1026" t="s">
        <v>248</v>
      </c>
      <c r="D85" s="1026"/>
      <c r="E85" s="1024" t="s">
        <v>416</v>
      </c>
      <c r="F85" s="1024"/>
      <c r="G85" s="379">
        <f>'8-MOVIMENTO TERRA- HARRY AMORY'!F13</f>
        <v>116.3</v>
      </c>
      <c r="H85" s="379">
        <f>'8-MOVIMENTO TERRA- HARRY AMORY'!F14</f>
        <v>14.81</v>
      </c>
      <c r="I85" s="379">
        <f>'8-MOVIMENTO TERRA- HARRY AMORY'!F15</f>
        <v>0</v>
      </c>
      <c r="J85" s="373">
        <f>TRUNC(SUM(G85:I85),2)</f>
        <v>131.11000000000001</v>
      </c>
    </row>
    <row r="86" spans="1:10" x14ac:dyDescent="0.3">
      <c r="A86" s="1034"/>
      <c r="B86" s="1028"/>
      <c r="C86" s="1066" t="s">
        <v>10</v>
      </c>
      <c r="D86" s="1066"/>
      <c r="E86" s="1024" t="s">
        <v>946</v>
      </c>
      <c r="F86" s="1024"/>
      <c r="G86" s="379">
        <f>G85*(1+G87)</f>
        <v>151.19</v>
      </c>
      <c r="H86" s="379">
        <f>H85*(1+H87)</f>
        <v>19.253</v>
      </c>
      <c r="I86" s="379">
        <f>I85*(1+I87)</f>
        <v>0</v>
      </c>
      <c r="J86" s="373">
        <f>TRUNC(SUM(G86:I86),2)</f>
        <v>170.44</v>
      </c>
    </row>
    <row r="87" spans="1:10" x14ac:dyDescent="0.3">
      <c r="A87" s="1034"/>
      <c r="B87" s="1028"/>
      <c r="C87" s="1026" t="s">
        <v>246</v>
      </c>
      <c r="D87" s="1026"/>
      <c r="E87" s="1024" t="s">
        <v>24</v>
      </c>
      <c r="F87" s="1024"/>
      <c r="G87" s="382">
        <v>0.3</v>
      </c>
      <c r="H87" s="382">
        <v>0.3</v>
      </c>
      <c r="I87" s="382">
        <v>0.3</v>
      </c>
      <c r="J87" s="375"/>
    </row>
    <row r="88" spans="1:10" x14ac:dyDescent="0.3">
      <c r="A88" s="1034"/>
      <c r="B88" s="1028"/>
      <c r="C88" s="1026"/>
      <c r="D88" s="1026"/>
      <c r="E88" s="1024" t="s">
        <v>25</v>
      </c>
      <c r="F88" s="1024"/>
      <c r="G88" s="379">
        <f>$B$13</f>
        <v>5.8</v>
      </c>
      <c r="H88" s="379">
        <f>$B$13</f>
        <v>5.8</v>
      </c>
      <c r="I88" s="379">
        <f>$B$13</f>
        <v>5.8</v>
      </c>
      <c r="J88" s="375"/>
    </row>
    <row r="89" spans="1:10" x14ac:dyDescent="0.3">
      <c r="A89" s="1034"/>
      <c r="B89" s="1028"/>
      <c r="C89" s="1026"/>
      <c r="D89" s="1026"/>
      <c r="E89" s="1024" t="s">
        <v>26</v>
      </c>
      <c r="F89" s="1024"/>
      <c r="G89" s="379">
        <f>G86*G88</f>
        <v>876.90199999999993</v>
      </c>
      <c r="H89" s="379">
        <f>H86*H88</f>
        <v>111.6674</v>
      </c>
      <c r="I89" s="379">
        <f>I86*I88</f>
        <v>0</v>
      </c>
      <c r="J89" s="373">
        <f>TRUNC(SUM(G89:I89),2)</f>
        <v>988.56</v>
      </c>
    </row>
    <row r="90" spans="1:10" ht="3.95" customHeight="1" x14ac:dyDescent="0.3">
      <c r="A90" s="1034"/>
      <c r="B90" s="621"/>
      <c r="C90" s="621"/>
      <c r="D90" s="621"/>
      <c r="E90" s="621"/>
      <c r="F90" s="621"/>
      <c r="G90" s="621"/>
      <c r="H90" s="621"/>
      <c r="I90" s="621"/>
      <c r="J90" s="621"/>
    </row>
    <row r="91" spans="1:10" ht="35.25" customHeight="1" x14ac:dyDescent="0.3">
      <c r="A91" s="1034"/>
      <c r="B91" s="1033" t="s">
        <v>1396</v>
      </c>
      <c r="C91" s="1026" t="s">
        <v>247</v>
      </c>
      <c r="D91" s="1026"/>
      <c r="E91" s="1024" t="s">
        <v>23</v>
      </c>
      <c r="F91" s="1024"/>
      <c r="G91" s="379">
        <f>IF(G80-G85&lt;0,0,G80-G85)</f>
        <v>542.81000000000006</v>
      </c>
      <c r="H91" s="379">
        <f>IF(H80-H85&lt;0,0,H80-H85)</f>
        <v>849.86</v>
      </c>
      <c r="I91" s="379">
        <f>IF(I80-I85&lt;0,0,I80-I85)</f>
        <v>374.97</v>
      </c>
      <c r="J91" s="373">
        <f>TRUNC(SUM(G91:I91),2)</f>
        <v>1767.64</v>
      </c>
    </row>
    <row r="92" spans="1:10" x14ac:dyDescent="0.3">
      <c r="A92" s="1034"/>
      <c r="B92" s="1034"/>
      <c r="C92" s="1066" t="s">
        <v>10</v>
      </c>
      <c r="D92" s="1066"/>
      <c r="E92" s="1024" t="s">
        <v>946</v>
      </c>
      <c r="F92" s="1024"/>
      <c r="G92" s="379">
        <f>G93*G91+G91</f>
        <v>705.65300000000002</v>
      </c>
      <c r="H92" s="379">
        <f t="shared" ref="H92:I92" si="1">H93*H91+H91</f>
        <v>1104.818</v>
      </c>
      <c r="I92" s="379">
        <f t="shared" si="1"/>
        <v>487.46100000000001</v>
      </c>
      <c r="J92" s="373">
        <f>TRUNC(SUM(G92:I92),2)</f>
        <v>2297.9299999999998</v>
      </c>
    </row>
    <row r="93" spans="1:10" x14ac:dyDescent="0.3">
      <c r="A93" s="1034"/>
      <c r="B93" s="1034"/>
      <c r="C93" s="1026" t="s">
        <v>246</v>
      </c>
      <c r="D93" s="1026"/>
      <c r="E93" s="1024" t="s">
        <v>24</v>
      </c>
      <c r="F93" s="1024"/>
      <c r="G93" s="381">
        <v>0.3</v>
      </c>
      <c r="H93" s="381">
        <v>0.3</v>
      </c>
      <c r="I93" s="381">
        <v>0.3</v>
      </c>
      <c r="J93" s="375"/>
    </row>
    <row r="94" spans="1:10" x14ac:dyDescent="0.3">
      <c r="A94" s="1034"/>
      <c r="B94" s="1034"/>
      <c r="C94" s="1026"/>
      <c r="D94" s="1026"/>
      <c r="E94" s="1024" t="s">
        <v>25</v>
      </c>
      <c r="F94" s="1024"/>
      <c r="G94" s="379">
        <f>$B$12</f>
        <v>5.8</v>
      </c>
      <c r="H94" s="379">
        <f>$B$12</f>
        <v>5.8</v>
      </c>
      <c r="I94" s="379">
        <f>B12</f>
        <v>5.8</v>
      </c>
      <c r="J94" s="375"/>
    </row>
    <row r="95" spans="1:10" x14ac:dyDescent="0.3">
      <c r="A95" s="1034"/>
      <c r="B95" s="1034"/>
      <c r="C95" s="1026"/>
      <c r="D95" s="1026"/>
      <c r="E95" s="1024" t="s">
        <v>26</v>
      </c>
      <c r="F95" s="1024"/>
      <c r="G95" s="379">
        <f>G94*G92</f>
        <v>4092.7874000000002</v>
      </c>
      <c r="H95" s="379">
        <f>H94*H92</f>
        <v>6407.9443999999994</v>
      </c>
      <c r="I95" s="379">
        <f>I94*I92</f>
        <v>2827.2737999999999</v>
      </c>
      <c r="J95" s="373">
        <f>TRUNC(SUM(G95:I95),2)</f>
        <v>13328</v>
      </c>
    </row>
    <row r="96" spans="1:10" x14ac:dyDescent="0.3">
      <c r="A96" s="1034"/>
      <c r="B96" s="1034"/>
      <c r="C96" s="1026" t="s">
        <v>248</v>
      </c>
      <c r="D96" s="1026"/>
      <c r="E96" s="1024" t="s">
        <v>23</v>
      </c>
      <c r="F96" s="1024"/>
      <c r="G96" s="379">
        <f>IF(G85-G80&lt;0,0,G85-G80)</f>
        <v>0</v>
      </c>
      <c r="H96" s="379">
        <f>IF(H85-H80&lt;0,0,H85-H80)</f>
        <v>0</v>
      </c>
      <c r="I96" s="379">
        <f>IF(I85-I80&lt;0,0,I85-I80)</f>
        <v>0</v>
      </c>
      <c r="J96" s="373">
        <f>TRUNC(SUM(G96:I96),2)</f>
        <v>0</v>
      </c>
    </row>
    <row r="97" spans="1:10" x14ac:dyDescent="0.3">
      <c r="A97" s="1034"/>
      <c r="B97" s="1034"/>
      <c r="C97" s="1066" t="s">
        <v>10</v>
      </c>
      <c r="D97" s="1066"/>
      <c r="E97" s="1024" t="s">
        <v>946</v>
      </c>
      <c r="F97" s="1024"/>
      <c r="G97" s="379">
        <f>G98*G96</f>
        <v>0</v>
      </c>
      <c r="H97" s="379">
        <f>H98*H96</f>
        <v>0</v>
      </c>
      <c r="I97" s="379">
        <f>I98*I96</f>
        <v>0</v>
      </c>
      <c r="J97" s="373">
        <f>TRUNC(SUM(G97:I97),2)</f>
        <v>0</v>
      </c>
    </row>
    <row r="98" spans="1:10" x14ac:dyDescent="0.3">
      <c r="A98" s="1034"/>
      <c r="B98" s="1034"/>
      <c r="C98" s="1026" t="s">
        <v>246</v>
      </c>
      <c r="D98" s="1026"/>
      <c r="E98" s="1024" t="s">
        <v>24</v>
      </c>
      <c r="F98" s="1024"/>
      <c r="G98" s="381">
        <v>0.3</v>
      </c>
      <c r="H98" s="381">
        <v>0.3</v>
      </c>
      <c r="I98" s="381">
        <v>0.3</v>
      </c>
      <c r="J98" s="375"/>
    </row>
    <row r="99" spans="1:10" x14ac:dyDescent="0.3">
      <c r="A99" s="1034"/>
      <c r="B99" s="1034"/>
      <c r="C99" s="1026"/>
      <c r="D99" s="1026"/>
      <c r="E99" s="1024" t="s">
        <v>25</v>
      </c>
      <c r="F99" s="1024"/>
      <c r="G99" s="379">
        <f>$B$14</f>
        <v>5.8</v>
      </c>
      <c r="H99" s="379">
        <f>$B$14</f>
        <v>5.8</v>
      </c>
      <c r="I99" s="379">
        <f>B13</f>
        <v>5.8</v>
      </c>
      <c r="J99" s="375"/>
    </row>
    <row r="100" spans="1:10" x14ac:dyDescent="0.3">
      <c r="A100" s="1035"/>
      <c r="B100" s="1034"/>
      <c r="C100" s="1026"/>
      <c r="D100" s="1026"/>
      <c r="E100" s="1024" t="s">
        <v>26</v>
      </c>
      <c r="F100" s="1024"/>
      <c r="G100" s="379">
        <f>G99*G96</f>
        <v>0</v>
      </c>
      <c r="H100" s="379">
        <f>H99*H96</f>
        <v>0</v>
      </c>
      <c r="I100" s="379">
        <f>I99*I96</f>
        <v>0</v>
      </c>
      <c r="J100" s="373">
        <f>TRUNC(SUM(G100:I100),2)</f>
        <v>0</v>
      </c>
    </row>
    <row r="101" spans="1:10" ht="3.95" customHeight="1" x14ac:dyDescent="0.3">
      <c r="A101" s="620"/>
      <c r="B101" s="621"/>
      <c r="C101" s="622"/>
      <c r="D101" s="622"/>
      <c r="E101" s="613"/>
      <c r="F101" s="613"/>
      <c r="G101" s="614"/>
      <c r="H101" s="614"/>
      <c r="I101" s="614"/>
      <c r="J101" s="615"/>
    </row>
    <row r="102" spans="1:10" ht="15" customHeight="1" x14ac:dyDescent="0.3">
      <c r="A102" s="1028" t="s">
        <v>260</v>
      </c>
      <c r="B102" s="1028" t="s">
        <v>178</v>
      </c>
      <c r="C102" s="1066" t="s">
        <v>244</v>
      </c>
      <c r="D102" s="1066"/>
      <c r="E102" s="1024" t="s">
        <v>21</v>
      </c>
      <c r="F102" s="1024"/>
      <c r="G102" s="379">
        <f>G21+(0.65*2)</f>
        <v>10.3</v>
      </c>
      <c r="H102" s="379">
        <f>H21+(0.65*2)</f>
        <v>10.3</v>
      </c>
      <c r="I102" s="379">
        <f>I21+(0.65*2)</f>
        <v>7.1</v>
      </c>
      <c r="J102" s="373">
        <f>TRUNC(SUM(G102:I102),2)</f>
        <v>27.7</v>
      </c>
    </row>
    <row r="103" spans="1:10" ht="15" customHeight="1" x14ac:dyDescent="0.3">
      <c r="A103" s="1028"/>
      <c r="B103" s="1028"/>
      <c r="C103" s="1066"/>
      <c r="D103" s="1066"/>
      <c r="E103" s="1024" t="s">
        <v>22</v>
      </c>
      <c r="F103" s="1024"/>
      <c r="G103" s="379">
        <f>G24+((0.65*2)*G19)</f>
        <v>1950.6625999999999</v>
      </c>
      <c r="H103" s="379">
        <f>H24+((0.65*2)*H19)</f>
        <v>2397.8262000000004</v>
      </c>
      <c r="I103" s="379">
        <f>I24+((0.65*2)*I19)</f>
        <v>1132.4945</v>
      </c>
      <c r="J103" s="373">
        <f>TRUNC(SUM(G103:I103),2)</f>
        <v>5480.98</v>
      </c>
    </row>
    <row r="104" spans="1:10" ht="15" customHeight="1" x14ac:dyDescent="0.3">
      <c r="A104" s="1028"/>
      <c r="B104" s="1028"/>
      <c r="C104" s="1066"/>
      <c r="D104" s="1066"/>
      <c r="E104" s="1024" t="s">
        <v>249</v>
      </c>
      <c r="F104" s="1024"/>
      <c r="G104" s="373">
        <v>0</v>
      </c>
      <c r="H104" s="373">
        <v>0</v>
      </c>
      <c r="I104" s="373">
        <v>0</v>
      </c>
      <c r="J104" s="375"/>
    </row>
    <row r="105" spans="1:10" x14ac:dyDescent="0.3">
      <c r="A105" s="1028"/>
      <c r="B105" s="1028"/>
      <c r="C105" s="1066"/>
      <c r="D105" s="1066"/>
      <c r="E105" s="1024" t="s">
        <v>902</v>
      </c>
      <c r="F105" s="1024"/>
      <c r="G105" s="379">
        <f>G103*G104</f>
        <v>0</v>
      </c>
      <c r="H105" s="379">
        <f>H103*H104</f>
        <v>0</v>
      </c>
      <c r="I105" s="379">
        <f>I103*I104</f>
        <v>0</v>
      </c>
      <c r="J105" s="373">
        <f>TRUNC(SUM(G105:I105),2)</f>
        <v>0</v>
      </c>
    </row>
    <row r="106" spans="1:10" ht="15" customHeight="1" x14ac:dyDescent="0.3">
      <c r="A106" s="1028"/>
      <c r="B106" s="1028"/>
      <c r="C106" s="1026" t="s">
        <v>246</v>
      </c>
      <c r="D106" s="1026"/>
      <c r="E106" s="1024" t="s">
        <v>24</v>
      </c>
      <c r="F106" s="1024"/>
      <c r="G106" s="381">
        <v>0.3</v>
      </c>
      <c r="H106" s="381">
        <v>0.3</v>
      </c>
      <c r="I106" s="381">
        <v>0.3</v>
      </c>
      <c r="J106" s="375"/>
    </row>
    <row r="107" spans="1:10" ht="15" customHeight="1" x14ac:dyDescent="0.3">
      <c r="A107" s="1028"/>
      <c r="B107" s="1028"/>
      <c r="C107" s="1026"/>
      <c r="D107" s="1026"/>
      <c r="E107" s="1024" t="s">
        <v>947</v>
      </c>
      <c r="F107" s="1024"/>
      <c r="G107" s="379">
        <f>G105*(G106+1)</f>
        <v>0</v>
      </c>
      <c r="H107" s="379">
        <f>H105*(H106+1)</f>
        <v>0</v>
      </c>
      <c r="I107" s="379">
        <f>I105*(I106+1)</f>
        <v>0</v>
      </c>
      <c r="J107" s="373">
        <f>TRUNC(SUM(G107:I107),2)</f>
        <v>0</v>
      </c>
    </row>
    <row r="108" spans="1:10" ht="15" customHeight="1" x14ac:dyDescent="0.3">
      <c r="A108" s="1028"/>
      <c r="B108" s="1028"/>
      <c r="C108" s="1026"/>
      <c r="D108" s="1026"/>
      <c r="E108" s="1024" t="s">
        <v>25</v>
      </c>
      <c r="F108" s="1024"/>
      <c r="G108" s="379">
        <f>$B$13</f>
        <v>5.8</v>
      </c>
      <c r="H108" s="379">
        <f>$B$13</f>
        <v>5.8</v>
      </c>
      <c r="I108" s="379">
        <f>$B$13</f>
        <v>5.8</v>
      </c>
      <c r="J108" s="375"/>
    </row>
    <row r="109" spans="1:10" ht="15" customHeight="1" x14ac:dyDescent="0.3">
      <c r="A109" s="1028"/>
      <c r="B109" s="1028"/>
      <c r="C109" s="1026"/>
      <c r="D109" s="1026"/>
      <c r="E109" s="1024" t="s">
        <v>26</v>
      </c>
      <c r="F109" s="1024"/>
      <c r="G109" s="379">
        <f>G107*G108</f>
        <v>0</v>
      </c>
      <c r="H109" s="379">
        <f>H107*H108</f>
        <v>0</v>
      </c>
      <c r="I109" s="379">
        <f>I107*I108</f>
        <v>0</v>
      </c>
      <c r="J109" s="373">
        <f>TRUNC(SUM(G109:I109),2)</f>
        <v>0</v>
      </c>
    </row>
    <row r="110" spans="1:10" ht="14.45" customHeight="1" x14ac:dyDescent="0.3">
      <c r="A110" s="1028"/>
      <c r="B110" s="1064" t="s">
        <v>11</v>
      </c>
      <c r="C110" s="1066" t="s">
        <v>244</v>
      </c>
      <c r="D110" s="1066"/>
      <c r="E110" s="1024" t="s">
        <v>21</v>
      </c>
      <c r="F110" s="1024"/>
      <c r="G110" s="379">
        <f>G21+(0.55*2)</f>
        <v>10.1</v>
      </c>
      <c r="H110" s="379">
        <f>H21+(0.55*2)</f>
        <v>10.1</v>
      </c>
      <c r="I110" s="379">
        <f>I21+(0.55*2)</f>
        <v>6.9</v>
      </c>
      <c r="J110" s="373">
        <f>TRUNC(SUM(G110:I110),2)</f>
        <v>27.1</v>
      </c>
    </row>
    <row r="111" spans="1:10" x14ac:dyDescent="0.3">
      <c r="A111" s="1028"/>
      <c r="B111" s="1064"/>
      <c r="C111" s="1066"/>
      <c r="D111" s="1066"/>
      <c r="E111" s="1024" t="s">
        <v>22</v>
      </c>
      <c r="F111" s="1024"/>
      <c r="G111" s="379">
        <f>G24+((0.55*2)*G19)</f>
        <v>1916.3509999999999</v>
      </c>
      <c r="H111" s="379">
        <f>H24+((0.55*2)*H19)</f>
        <v>2346.9250000000002</v>
      </c>
      <c r="I111" s="379">
        <f>I24+((0.55*2)*I19)</f>
        <v>1100.7347</v>
      </c>
      <c r="J111" s="373">
        <f>TRUNC(SUM(G111:I111),2)</f>
        <v>5364.01</v>
      </c>
    </row>
    <row r="112" spans="1:10" x14ac:dyDescent="0.3">
      <c r="A112" s="1028"/>
      <c r="B112" s="1064"/>
      <c r="C112" s="1066"/>
      <c r="D112" s="1066"/>
      <c r="E112" s="1024" t="s">
        <v>249</v>
      </c>
      <c r="F112" s="1024"/>
      <c r="G112" s="373">
        <v>0.15</v>
      </c>
      <c r="H112" s="373">
        <v>0.15</v>
      </c>
      <c r="I112" s="373">
        <v>0.15</v>
      </c>
      <c r="J112" s="375"/>
    </row>
    <row r="113" spans="1:12" ht="13.5" customHeight="1" x14ac:dyDescent="0.3">
      <c r="A113" s="1028"/>
      <c r="B113" s="1064"/>
      <c r="C113" s="1066"/>
      <c r="D113" s="1066"/>
      <c r="E113" s="1024" t="s">
        <v>979</v>
      </c>
      <c r="F113" s="1024"/>
      <c r="G113" s="379">
        <f>G111*G112</f>
        <v>287.45264999999995</v>
      </c>
      <c r="H113" s="379">
        <f>H111*H112</f>
        <v>352.03874999999999</v>
      </c>
      <c r="I113" s="379">
        <f>I111*I112</f>
        <v>165.11020499999998</v>
      </c>
      <c r="J113" s="373">
        <f>TRUNC(SUM(G113:I113),2)</f>
        <v>804.6</v>
      </c>
    </row>
    <row r="114" spans="1:12" ht="53.45" customHeight="1" x14ac:dyDescent="0.3">
      <c r="A114" s="1028"/>
      <c r="B114" s="1064"/>
      <c r="C114" s="1066" t="s">
        <v>264</v>
      </c>
      <c r="D114" s="1066"/>
      <c r="E114" s="1065" t="s">
        <v>903</v>
      </c>
      <c r="F114" s="1065"/>
      <c r="G114" s="220" t="s">
        <v>116</v>
      </c>
      <c r="H114" s="220" t="s">
        <v>116</v>
      </c>
      <c r="I114" s="220" t="s">
        <v>116</v>
      </c>
      <c r="J114" s="383"/>
    </row>
    <row r="115" spans="1:12" x14ac:dyDescent="0.3">
      <c r="A115" s="1028"/>
      <c r="B115" s="1064"/>
      <c r="C115" s="1026" t="s">
        <v>904</v>
      </c>
      <c r="D115" s="1026"/>
      <c r="E115" s="1024" t="s">
        <v>23</v>
      </c>
      <c r="F115" s="1024"/>
      <c r="G115" s="379">
        <f>G113</f>
        <v>287.45264999999995</v>
      </c>
      <c r="H115" s="379">
        <f>H113</f>
        <v>352.03874999999999</v>
      </c>
      <c r="I115" s="379">
        <f>I113</f>
        <v>165.11020499999998</v>
      </c>
      <c r="J115" s="373">
        <f>TRUNC(SUM(G115:I115),2)</f>
        <v>804.6</v>
      </c>
    </row>
    <row r="116" spans="1:12" ht="15" customHeight="1" x14ac:dyDescent="0.3">
      <c r="A116" s="1028"/>
      <c r="B116" s="1064"/>
      <c r="C116" s="1026"/>
      <c r="D116" s="1026"/>
      <c r="E116" s="1024" t="s">
        <v>27</v>
      </c>
      <c r="F116" s="1024"/>
      <c r="G116" s="379">
        <v>1.6</v>
      </c>
      <c r="H116" s="379">
        <v>1.6</v>
      </c>
      <c r="I116" s="379">
        <v>1.6</v>
      </c>
      <c r="J116" s="375"/>
    </row>
    <row r="117" spans="1:12" ht="15" customHeight="1" x14ac:dyDescent="0.3">
      <c r="A117" s="1028"/>
      <c r="B117" s="1064"/>
      <c r="C117" s="1026"/>
      <c r="D117" s="1026"/>
      <c r="E117" s="1024" t="s">
        <v>24</v>
      </c>
      <c r="F117" s="1024"/>
      <c r="G117" s="544">
        <v>0.3</v>
      </c>
      <c r="H117" s="544">
        <v>0.3</v>
      </c>
      <c r="I117" s="544">
        <v>0.3</v>
      </c>
      <c r="J117" s="375"/>
    </row>
    <row r="118" spans="1:12" ht="15" customHeight="1" x14ac:dyDescent="0.3">
      <c r="A118" s="1028"/>
      <c r="B118" s="1064"/>
      <c r="C118" s="1026"/>
      <c r="D118" s="1026"/>
      <c r="E118" s="1024" t="s">
        <v>948</v>
      </c>
      <c r="F118" s="1024"/>
      <c r="G118" s="373">
        <f>G115*G117+G115</f>
        <v>373.68844499999994</v>
      </c>
      <c r="H118" s="373">
        <f t="shared" ref="H118:I118" si="2">H115*H117+H115</f>
        <v>457.650375</v>
      </c>
      <c r="I118" s="373">
        <f t="shared" si="2"/>
        <v>214.64326649999998</v>
      </c>
      <c r="J118" s="373">
        <f>TRUNC(SUM(G118:I118),2)</f>
        <v>1045.98</v>
      </c>
      <c r="L118" s="658"/>
    </row>
    <row r="119" spans="1:12" ht="15" customHeight="1" x14ac:dyDescent="0.3">
      <c r="A119" s="1028"/>
      <c r="B119" s="1064"/>
      <c r="C119" s="1026"/>
      <c r="D119" s="1026"/>
      <c r="E119" s="1024" t="s">
        <v>25</v>
      </c>
      <c r="F119" s="1024"/>
      <c r="G119" s="379">
        <f>IF($D$13&gt;=30,30,$D$13)</f>
        <v>22.5</v>
      </c>
      <c r="H119" s="379">
        <f>IF($D$13&gt;=30,30,$D$13)</f>
        <v>22.5</v>
      </c>
      <c r="I119" s="379">
        <f>IF($D$13&gt;=30,30,$D$13)</f>
        <v>22.5</v>
      </c>
      <c r="J119" s="375"/>
    </row>
    <row r="120" spans="1:12" ht="15" customHeight="1" x14ac:dyDescent="0.3">
      <c r="A120" s="1028"/>
      <c r="B120" s="1064"/>
      <c r="C120" s="1026"/>
      <c r="D120" s="1026"/>
      <c r="E120" s="1024" t="s">
        <v>318</v>
      </c>
      <c r="F120" s="1024"/>
      <c r="G120" s="379">
        <f>IF($D$13&gt;=30,$D$13-30,0)</f>
        <v>0</v>
      </c>
      <c r="H120" s="379">
        <f>IF($D$13&gt;=30,$D$13-30,0)</f>
        <v>0</v>
      </c>
      <c r="I120" s="379">
        <f>IF($D$13&gt;=30,$D$13-30,0)</f>
        <v>0</v>
      </c>
      <c r="J120" s="375"/>
    </row>
    <row r="121" spans="1:12" ht="15" customHeight="1" x14ac:dyDescent="0.3">
      <c r="A121" s="1028"/>
      <c r="B121" s="1064"/>
      <c r="C121" s="1026"/>
      <c r="D121" s="1026"/>
      <c r="E121" s="1024" t="s">
        <v>26</v>
      </c>
      <c r="F121" s="1024"/>
      <c r="G121" s="379">
        <f>(G118)*G119</f>
        <v>8407.9900124999986</v>
      </c>
      <c r="H121" s="379">
        <f>(H118)*H119</f>
        <v>10297.133437500001</v>
      </c>
      <c r="I121" s="379">
        <f>(I118)*I119</f>
        <v>4829.4734962499997</v>
      </c>
      <c r="J121" s="373">
        <f>TRUNC(SUM(G121:I121),2)</f>
        <v>23534.59</v>
      </c>
    </row>
    <row r="122" spans="1:12" x14ac:dyDescent="0.3">
      <c r="A122" s="1028"/>
      <c r="B122" s="1064"/>
      <c r="C122" s="1026"/>
      <c r="D122" s="1026"/>
      <c r="E122" s="1024" t="s">
        <v>319</v>
      </c>
      <c r="F122" s="1024"/>
      <c r="G122" s="379">
        <f>(G118)*G120</f>
        <v>0</v>
      </c>
      <c r="H122" s="379">
        <f>(H118)*H120</f>
        <v>0</v>
      </c>
      <c r="I122" s="379">
        <f>(I118)*I120</f>
        <v>0</v>
      </c>
      <c r="J122" s="373">
        <f>TRUNC(SUM(G122:I122),2)</f>
        <v>0</v>
      </c>
    </row>
    <row r="123" spans="1:12" ht="3.95" customHeight="1" x14ac:dyDescent="0.3">
      <c r="A123" s="623"/>
      <c r="B123" s="621"/>
      <c r="C123" s="624"/>
      <c r="D123" s="624"/>
      <c r="E123" s="612"/>
      <c r="F123" s="612"/>
      <c r="G123" s="614"/>
      <c r="H123" s="614"/>
      <c r="I123" s="614"/>
      <c r="J123" s="615"/>
    </row>
    <row r="124" spans="1:12" x14ac:dyDescent="0.3">
      <c r="A124" s="1028" t="s">
        <v>915</v>
      </c>
      <c r="B124" s="1027" t="s">
        <v>261</v>
      </c>
      <c r="C124" s="1027"/>
      <c r="D124" s="1027"/>
      <c r="E124" s="1024" t="s">
        <v>21</v>
      </c>
      <c r="F124" s="1024"/>
      <c r="G124" s="379">
        <f>G21</f>
        <v>9</v>
      </c>
      <c r="H124" s="379">
        <f>H21</f>
        <v>9</v>
      </c>
      <c r="I124" s="379">
        <f>I21</f>
        <v>5.8</v>
      </c>
      <c r="J124" s="375"/>
    </row>
    <row r="125" spans="1:12" ht="17.25" customHeight="1" x14ac:dyDescent="0.3">
      <c r="A125" s="1028"/>
      <c r="B125" s="1027"/>
      <c r="C125" s="1027"/>
      <c r="D125" s="1027"/>
      <c r="E125" s="1024" t="s">
        <v>22</v>
      </c>
      <c r="F125" s="1024"/>
      <c r="G125" s="379">
        <f>G24</f>
        <v>1727.6371999999999</v>
      </c>
      <c r="H125" s="379">
        <f>H24</f>
        <v>2066.9684000000002</v>
      </c>
      <c r="I125" s="379">
        <f>I24</f>
        <v>926.05579999999998</v>
      </c>
      <c r="J125" s="373">
        <f>TRUNC(SUM(G125:I125),2)</f>
        <v>4720.66</v>
      </c>
    </row>
    <row r="126" spans="1:12" ht="17.25" customHeight="1" x14ac:dyDescent="0.3">
      <c r="A126" s="1028"/>
      <c r="B126" s="1027"/>
      <c r="C126" s="1027"/>
      <c r="D126" s="1027"/>
      <c r="E126" s="1024" t="s">
        <v>263</v>
      </c>
      <c r="F126" s="1024"/>
      <c r="G126" s="384">
        <v>1.1999999999999999E-3</v>
      </c>
      <c r="H126" s="384">
        <v>1.1999999999999999E-3</v>
      </c>
      <c r="I126" s="384">
        <v>1.1999999999999999E-3</v>
      </c>
      <c r="J126" s="375"/>
    </row>
    <row r="127" spans="1:12" ht="17.25" customHeight="1" x14ac:dyDescent="0.3">
      <c r="A127" s="1028"/>
      <c r="B127" s="1027"/>
      <c r="C127" s="1027"/>
      <c r="D127" s="1027"/>
      <c r="E127" s="1024" t="s">
        <v>1046</v>
      </c>
      <c r="F127" s="1024"/>
      <c r="G127" s="379">
        <f>G126*G125</f>
        <v>2.0731646399999999</v>
      </c>
      <c r="H127" s="379">
        <f>H126*H125</f>
        <v>2.4803620799999999</v>
      </c>
      <c r="I127" s="379">
        <f>I126*I125</f>
        <v>1.1112669599999998</v>
      </c>
      <c r="J127" s="373">
        <f>TRUNC(SUM(G127:I127),2)</f>
        <v>5.66</v>
      </c>
    </row>
    <row r="128" spans="1:12" ht="17.25" customHeight="1" x14ac:dyDescent="0.3">
      <c r="A128" s="1028"/>
      <c r="B128" s="1027"/>
      <c r="C128" s="1027"/>
      <c r="D128" s="1027"/>
      <c r="E128" s="1024" t="s">
        <v>25</v>
      </c>
      <c r="F128" s="1024"/>
      <c r="G128" s="379">
        <f>IF($D$12&gt;=30,30,$D$12)</f>
        <v>30</v>
      </c>
      <c r="H128" s="379">
        <f>IF($D$12&gt;=30,30,$D$12)</f>
        <v>30</v>
      </c>
      <c r="I128" s="379">
        <f>IF($D$12&gt;=30,30,$D$12)</f>
        <v>30</v>
      </c>
      <c r="J128" s="375"/>
    </row>
    <row r="129" spans="1:10" ht="17.25" customHeight="1" x14ac:dyDescent="0.3">
      <c r="A129" s="1028"/>
      <c r="B129" s="1027"/>
      <c r="C129" s="1027"/>
      <c r="D129" s="1027"/>
      <c r="E129" s="1024" t="s">
        <v>318</v>
      </c>
      <c r="F129" s="1024"/>
      <c r="G129" s="379">
        <f>IF($D$12&gt;=30,$D$12-30,0)</f>
        <v>335</v>
      </c>
      <c r="H129" s="379">
        <f>IF($D$12&gt;=30,$D$12-30,0)</f>
        <v>335</v>
      </c>
      <c r="I129" s="379">
        <f>IF($D$12&gt;=30,$D$12-30,0)</f>
        <v>335</v>
      </c>
      <c r="J129" s="375"/>
    </row>
    <row r="130" spans="1:10" ht="17.25" customHeight="1" x14ac:dyDescent="0.3">
      <c r="A130" s="1028"/>
      <c r="B130" s="1027"/>
      <c r="C130" s="1027"/>
      <c r="D130" s="1027"/>
      <c r="E130" s="1024" t="s">
        <v>28</v>
      </c>
      <c r="F130" s="1024"/>
      <c r="G130" s="379">
        <f>G127*G128</f>
        <v>62.194939199999993</v>
      </c>
      <c r="H130" s="379">
        <f>H127*H128</f>
        <v>74.410862399999999</v>
      </c>
      <c r="I130" s="379">
        <f>I127*I128</f>
        <v>33.338008799999997</v>
      </c>
      <c r="J130" s="373">
        <f>TRUNC(SUM(G130:I130),2)</f>
        <v>169.94</v>
      </c>
    </row>
    <row r="131" spans="1:10" ht="17.25" customHeight="1" x14ac:dyDescent="0.3">
      <c r="A131" s="1028"/>
      <c r="B131" s="1027"/>
      <c r="C131" s="1027"/>
      <c r="D131" s="1027"/>
      <c r="E131" s="1024" t="s">
        <v>320</v>
      </c>
      <c r="F131" s="1024"/>
      <c r="G131" s="379">
        <f>G127*G129</f>
        <v>694.51015439999992</v>
      </c>
      <c r="H131" s="379">
        <f>H127*H129</f>
        <v>830.92129679999994</v>
      </c>
      <c r="I131" s="379">
        <f>I127*I129</f>
        <v>372.27443159999996</v>
      </c>
      <c r="J131" s="373">
        <f>TRUNC(SUM(G131:I131),2)</f>
        <v>1897.7</v>
      </c>
    </row>
    <row r="132" spans="1:10" ht="3.95" customHeight="1" x14ac:dyDescent="0.3">
      <c r="A132" s="1028"/>
      <c r="B132" s="612"/>
      <c r="C132" s="612"/>
      <c r="D132" s="612"/>
      <c r="E132" s="612"/>
      <c r="F132" s="612"/>
      <c r="G132" s="612"/>
      <c r="H132" s="612"/>
      <c r="I132" s="612"/>
      <c r="J132" s="612"/>
    </row>
    <row r="133" spans="1:10" ht="17.25" customHeight="1" x14ac:dyDescent="0.3">
      <c r="A133" s="1028"/>
      <c r="B133" s="1027" t="s">
        <v>262</v>
      </c>
      <c r="C133" s="1027"/>
      <c r="D133" s="1027"/>
      <c r="E133" s="1024" t="s">
        <v>21</v>
      </c>
      <c r="F133" s="1024"/>
      <c r="G133" s="379">
        <f t="shared" ref="G133:I134" si="3">G124</f>
        <v>9</v>
      </c>
      <c r="H133" s="379">
        <f t="shared" si="3"/>
        <v>9</v>
      </c>
      <c r="I133" s="379">
        <f t="shared" si="3"/>
        <v>5.8</v>
      </c>
      <c r="J133" s="375"/>
    </row>
    <row r="134" spans="1:10" ht="17.25" customHeight="1" x14ac:dyDescent="0.3">
      <c r="A134" s="1028"/>
      <c r="B134" s="1027"/>
      <c r="C134" s="1027"/>
      <c r="D134" s="1027"/>
      <c r="E134" s="1024" t="s">
        <v>22</v>
      </c>
      <c r="F134" s="1024"/>
      <c r="G134" s="379">
        <f t="shared" si="3"/>
        <v>1727.6371999999999</v>
      </c>
      <c r="H134" s="379">
        <f t="shared" si="3"/>
        <v>2066.9684000000002</v>
      </c>
      <c r="I134" s="379">
        <f t="shared" si="3"/>
        <v>926.05579999999998</v>
      </c>
      <c r="J134" s="373">
        <f>TRUNC(SUM(G134:I134),2)</f>
        <v>4720.66</v>
      </c>
    </row>
    <row r="135" spans="1:10" ht="17.25" customHeight="1" x14ac:dyDescent="0.3">
      <c r="A135" s="1028"/>
      <c r="B135" s="1027"/>
      <c r="C135" s="1027"/>
      <c r="D135" s="1027"/>
      <c r="E135" s="1024" t="s">
        <v>263</v>
      </c>
      <c r="F135" s="1024"/>
      <c r="G135" s="384">
        <v>5.0000000000000001E-4</v>
      </c>
      <c r="H135" s="384">
        <v>5.0000000000000001E-4</v>
      </c>
      <c r="I135" s="384">
        <v>5.0000000000000001E-4</v>
      </c>
      <c r="J135" s="375"/>
    </row>
    <row r="136" spans="1:10" ht="17.25" customHeight="1" x14ac:dyDescent="0.3">
      <c r="A136" s="1028"/>
      <c r="B136" s="1027"/>
      <c r="C136" s="1027"/>
      <c r="D136" s="1027"/>
      <c r="E136" s="1024" t="s">
        <v>1046</v>
      </c>
      <c r="F136" s="1024"/>
      <c r="G136" s="379">
        <f>G135*G134</f>
        <v>0.86381859999999999</v>
      </c>
      <c r="H136" s="379">
        <f>H135*H134</f>
        <v>1.0334842000000002</v>
      </c>
      <c r="I136" s="379">
        <f>I135*I134</f>
        <v>0.46302789999999999</v>
      </c>
      <c r="J136" s="373">
        <f>TRUNC(SUM(G136:I136),2)</f>
        <v>2.36</v>
      </c>
    </row>
    <row r="137" spans="1:10" ht="17.25" customHeight="1" x14ac:dyDescent="0.3">
      <c r="A137" s="1028"/>
      <c r="B137" s="1027"/>
      <c r="C137" s="1027"/>
      <c r="D137" s="1027"/>
      <c r="E137" s="1024" t="s">
        <v>25</v>
      </c>
      <c r="F137" s="1024"/>
      <c r="G137" s="379">
        <f>IF($D$12&gt;=30,30,$D$12)</f>
        <v>30</v>
      </c>
      <c r="H137" s="379">
        <f>IF($D$12&gt;=30,30,$D$12)</f>
        <v>30</v>
      </c>
      <c r="I137" s="379">
        <f>IF($D$12&gt;=30,30,$D$12)</f>
        <v>30</v>
      </c>
      <c r="J137" s="375"/>
    </row>
    <row r="138" spans="1:10" ht="17.25" customHeight="1" x14ac:dyDescent="0.3">
      <c r="A138" s="1028"/>
      <c r="B138" s="1027"/>
      <c r="C138" s="1027"/>
      <c r="D138" s="1027"/>
      <c r="E138" s="1024" t="s">
        <v>318</v>
      </c>
      <c r="F138" s="1024"/>
      <c r="G138" s="379">
        <f>IF($D$12&gt;=30,$D$12-30,0)</f>
        <v>335</v>
      </c>
      <c r="H138" s="379">
        <f>IF($D$12&gt;=30,$D$12-30,0)</f>
        <v>335</v>
      </c>
      <c r="I138" s="379">
        <f>IF($D$12&gt;=30,$D$12-30,0)</f>
        <v>335</v>
      </c>
      <c r="J138" s="375"/>
    </row>
    <row r="139" spans="1:10" ht="17.25" customHeight="1" x14ac:dyDescent="0.3">
      <c r="A139" s="1028"/>
      <c r="B139" s="1027"/>
      <c r="C139" s="1027"/>
      <c r="D139" s="1027"/>
      <c r="E139" s="1024" t="s">
        <v>28</v>
      </c>
      <c r="F139" s="1024"/>
      <c r="G139" s="379">
        <f>G137*G136</f>
        <v>25.914558</v>
      </c>
      <c r="H139" s="379">
        <f>H137*H136</f>
        <v>31.004526000000006</v>
      </c>
      <c r="I139" s="379">
        <f>I137*I136</f>
        <v>13.890836999999999</v>
      </c>
      <c r="J139" s="373">
        <f>TRUNC(SUM(G139:I139),2)</f>
        <v>70.8</v>
      </c>
    </row>
    <row r="140" spans="1:10" ht="17.25" customHeight="1" x14ac:dyDescent="0.3">
      <c r="A140" s="1028"/>
      <c r="B140" s="1027"/>
      <c r="C140" s="1027"/>
      <c r="D140" s="1027"/>
      <c r="E140" s="1024" t="s">
        <v>320</v>
      </c>
      <c r="F140" s="1024"/>
      <c r="G140" s="379">
        <f>G138*G136</f>
        <v>289.379231</v>
      </c>
      <c r="H140" s="379">
        <f>H138*H136</f>
        <v>346.21720700000009</v>
      </c>
      <c r="I140" s="379">
        <f>I138*I136</f>
        <v>155.11434650000001</v>
      </c>
      <c r="J140" s="373">
        <f>TRUNC(SUM(G140:I140),2)</f>
        <v>790.71</v>
      </c>
    </row>
    <row r="141" spans="1:10" ht="3.95" customHeight="1" x14ac:dyDescent="0.3">
      <c r="A141" s="1028"/>
      <c r="B141" s="612"/>
      <c r="C141" s="612"/>
      <c r="D141" s="612"/>
      <c r="E141" s="612"/>
      <c r="F141" s="612"/>
      <c r="G141" s="612"/>
      <c r="H141" s="612"/>
      <c r="I141" s="612"/>
      <c r="J141" s="612"/>
    </row>
    <row r="142" spans="1:10" ht="47.45" customHeight="1" x14ac:dyDescent="0.3">
      <c r="A142" s="1028"/>
      <c r="B142" s="1071" t="s">
        <v>264</v>
      </c>
      <c r="C142" s="1071"/>
      <c r="D142" s="1071"/>
      <c r="E142" s="1065" t="s">
        <v>311</v>
      </c>
      <c r="F142" s="1065"/>
      <c r="G142" s="380" t="s">
        <v>13</v>
      </c>
      <c r="H142" s="380" t="s">
        <v>13</v>
      </c>
      <c r="I142" s="380" t="s">
        <v>13</v>
      </c>
      <c r="J142" s="375"/>
    </row>
    <row r="143" spans="1:10" x14ac:dyDescent="0.3">
      <c r="A143" s="1028"/>
      <c r="B143" s="1070" t="s">
        <v>112</v>
      </c>
      <c r="C143" s="1070"/>
      <c r="D143" s="1070"/>
      <c r="E143" s="1024" t="s">
        <v>21</v>
      </c>
      <c r="F143" s="1024"/>
      <c r="G143" s="379">
        <f t="shared" ref="G143:I144" si="4">G133</f>
        <v>9</v>
      </c>
      <c r="H143" s="379">
        <f t="shared" si="4"/>
        <v>9</v>
      </c>
      <c r="I143" s="379">
        <f t="shared" si="4"/>
        <v>5.8</v>
      </c>
      <c r="J143" s="375"/>
    </row>
    <row r="144" spans="1:10" x14ac:dyDescent="0.3">
      <c r="A144" s="1028"/>
      <c r="B144" s="1070"/>
      <c r="C144" s="1070"/>
      <c r="D144" s="1070"/>
      <c r="E144" s="1024" t="s">
        <v>22</v>
      </c>
      <c r="F144" s="1024"/>
      <c r="G144" s="379">
        <f t="shared" si="4"/>
        <v>1727.6371999999999</v>
      </c>
      <c r="H144" s="379">
        <f t="shared" si="4"/>
        <v>2066.9684000000002</v>
      </c>
      <c r="I144" s="379">
        <f t="shared" si="4"/>
        <v>926.05579999999998</v>
      </c>
      <c r="J144" s="373">
        <f>TRUNC(SUM(G144:I144),2)</f>
        <v>4720.66</v>
      </c>
    </row>
    <row r="145" spans="1:10" x14ac:dyDescent="0.3">
      <c r="A145" s="1028"/>
      <c r="B145" s="1070"/>
      <c r="C145" s="1070"/>
      <c r="D145" s="1070"/>
      <c r="E145" s="1024" t="s">
        <v>949</v>
      </c>
      <c r="F145" s="1024"/>
      <c r="G145" s="379">
        <v>0.03</v>
      </c>
      <c r="H145" s="379">
        <v>0.03</v>
      </c>
      <c r="I145" s="379">
        <v>0.03</v>
      </c>
      <c r="J145" s="375"/>
    </row>
    <row r="146" spans="1:10" x14ac:dyDescent="0.3">
      <c r="A146" s="1028"/>
      <c r="B146" s="1070"/>
      <c r="C146" s="1070"/>
      <c r="D146" s="1070"/>
      <c r="E146" s="1024" t="s">
        <v>23</v>
      </c>
      <c r="F146" s="1024"/>
      <c r="G146" s="379">
        <f>G144*G145</f>
        <v>51.829115999999992</v>
      </c>
      <c r="H146" s="379">
        <f>H144*H145</f>
        <v>62.009052000000004</v>
      </c>
      <c r="I146" s="379">
        <f>I144*I145</f>
        <v>27.781673999999999</v>
      </c>
      <c r="J146" s="373">
        <f>TRUNC(SUM(G146:I146),2)</f>
        <v>141.61000000000001</v>
      </c>
    </row>
    <row r="147" spans="1:10" x14ac:dyDescent="0.3">
      <c r="A147" s="1028"/>
      <c r="B147" s="1070"/>
      <c r="C147" s="1070"/>
      <c r="D147" s="1070"/>
      <c r="E147" s="1024" t="s">
        <v>1153</v>
      </c>
      <c r="F147" s="1024"/>
      <c r="G147" s="379">
        <v>2.5548000000000002</v>
      </c>
      <c r="H147" s="379">
        <v>2.5548000000000002</v>
      </c>
      <c r="I147" s="379">
        <v>2.5548000000000002</v>
      </c>
      <c r="J147" s="375"/>
    </row>
    <row r="148" spans="1:10" ht="14.45" customHeight="1" x14ac:dyDescent="0.3">
      <c r="A148" s="1028"/>
      <c r="B148" s="1070"/>
      <c r="C148" s="1070"/>
      <c r="D148" s="1070"/>
      <c r="E148" s="1024" t="s">
        <v>985</v>
      </c>
      <c r="F148" s="1024"/>
      <c r="G148" s="379">
        <f>G146*G147</f>
        <v>132.41302555679999</v>
      </c>
      <c r="H148" s="379">
        <f>H146*H147</f>
        <v>158.42072604960003</v>
      </c>
      <c r="I148" s="379">
        <f>I146*I147</f>
        <v>70.976620735200001</v>
      </c>
      <c r="J148" s="373">
        <f>TRUNC(SUM(G148:I148),2)</f>
        <v>361.81</v>
      </c>
    </row>
    <row r="149" spans="1:10" x14ac:dyDescent="0.3">
      <c r="A149" s="1028"/>
      <c r="B149" s="1070" t="s">
        <v>266</v>
      </c>
      <c r="C149" s="1070"/>
      <c r="D149" s="1070"/>
      <c r="E149" s="1024" t="s">
        <v>25</v>
      </c>
      <c r="F149" s="1024"/>
      <c r="G149" s="379">
        <f>IF($D$11&gt;=30,30,$D$11)</f>
        <v>4.5</v>
      </c>
      <c r="H149" s="379">
        <f>IF($D$11&gt;=30,30,$D$11)</f>
        <v>4.5</v>
      </c>
      <c r="I149" s="379">
        <f>IF($D$11&gt;=30,30,$D$11)</f>
        <v>4.5</v>
      </c>
      <c r="J149" s="375"/>
    </row>
    <row r="150" spans="1:10" x14ac:dyDescent="0.3">
      <c r="A150" s="1028"/>
      <c r="B150" s="1070"/>
      <c r="C150" s="1070"/>
      <c r="D150" s="1070"/>
      <c r="E150" s="1024" t="s">
        <v>318</v>
      </c>
      <c r="F150" s="1024"/>
      <c r="G150" s="379">
        <f>IF($D$11&gt;=30,$D$11-30,0)</f>
        <v>0</v>
      </c>
      <c r="H150" s="379">
        <f>IF($D$11&gt;=30,$D$11-30,0)</f>
        <v>0</v>
      </c>
      <c r="I150" s="379">
        <f>IF($D$11&gt;=30,$D$11-30,0)</f>
        <v>0</v>
      </c>
      <c r="J150" s="375"/>
    </row>
    <row r="151" spans="1:10" x14ac:dyDescent="0.3">
      <c r="A151" s="1028"/>
      <c r="B151" s="1070"/>
      <c r="C151" s="1070"/>
      <c r="D151" s="1070"/>
      <c r="E151" s="1024" t="s">
        <v>28</v>
      </c>
      <c r="F151" s="1024"/>
      <c r="G151" s="379">
        <f>G148*G149</f>
        <v>595.85861500559997</v>
      </c>
      <c r="H151" s="379">
        <f>H148*H149</f>
        <v>712.89326722320016</v>
      </c>
      <c r="I151" s="379">
        <f>I148*I149</f>
        <v>319.39479330839998</v>
      </c>
      <c r="J151" s="373">
        <f>TRUNC(SUM(G151:I151),2)</f>
        <v>1628.14</v>
      </c>
    </row>
    <row r="152" spans="1:10" x14ac:dyDescent="0.3">
      <c r="A152" s="1028"/>
      <c r="B152" s="1070"/>
      <c r="C152" s="1070"/>
      <c r="D152" s="1070"/>
      <c r="E152" s="1024" t="s">
        <v>986</v>
      </c>
      <c r="F152" s="1024"/>
      <c r="G152" s="379">
        <f>G150*G148</f>
        <v>0</v>
      </c>
      <c r="H152" s="379">
        <f>H150*H148</f>
        <v>0</v>
      </c>
      <c r="I152" s="379">
        <f>I150*I148</f>
        <v>0</v>
      </c>
      <c r="J152" s="373">
        <f>TRUNC(SUM(G152:I152),2)</f>
        <v>0</v>
      </c>
    </row>
    <row r="153" spans="1:10" ht="3.95" customHeight="1" x14ac:dyDescent="0.3">
      <c r="A153" s="620"/>
      <c r="B153" s="625"/>
      <c r="C153" s="625"/>
      <c r="D153" s="625"/>
      <c r="E153" s="613"/>
      <c r="F153" s="613"/>
      <c r="G153" s="614"/>
      <c r="H153" s="614"/>
      <c r="I153" s="614"/>
      <c r="J153" s="615"/>
    </row>
    <row r="154" spans="1:10" ht="30.6" customHeight="1" x14ac:dyDescent="0.3">
      <c r="A154" s="1067" t="s">
        <v>267</v>
      </c>
      <c r="B154" s="1026" t="s">
        <v>269</v>
      </c>
      <c r="C154" s="1026"/>
      <c r="D154" s="1026"/>
      <c r="E154" s="1024" t="s">
        <v>268</v>
      </c>
      <c r="F154" s="1024"/>
      <c r="G154" s="378">
        <v>354.51929999999999</v>
      </c>
      <c r="H154" s="378">
        <v>460.09410000000003</v>
      </c>
      <c r="I154" s="378">
        <v>319.7681</v>
      </c>
      <c r="J154" s="373">
        <f>TRUNC(SUM(G154:I154),2)</f>
        <v>1134.3800000000001</v>
      </c>
    </row>
    <row r="155" spans="1:10" ht="30.6" hidden="1" customHeight="1" x14ac:dyDescent="0.3">
      <c r="A155" s="1068"/>
      <c r="B155" s="1026"/>
      <c r="C155" s="1026"/>
      <c r="D155" s="1026"/>
      <c r="E155" s="1024" t="s">
        <v>1298</v>
      </c>
      <c r="F155" s="1024"/>
      <c r="G155" s="378"/>
      <c r="H155" s="378"/>
      <c r="I155" s="378"/>
      <c r="J155" s="373">
        <f>TRUNC(SUM(G155:I155),2)</f>
        <v>0</v>
      </c>
    </row>
    <row r="156" spans="1:10" ht="30.6" customHeight="1" x14ac:dyDescent="0.3">
      <c r="A156" s="1068"/>
      <c r="B156" s="1026"/>
      <c r="C156" s="1026"/>
      <c r="D156" s="1026"/>
      <c r="E156" s="1039" t="s">
        <v>100</v>
      </c>
      <c r="F156" s="1023"/>
      <c r="G156" s="378"/>
      <c r="H156" s="378"/>
      <c r="I156" s="378"/>
      <c r="J156" s="373">
        <f>TRUNC(SUM(G156:I156),2)</f>
        <v>0</v>
      </c>
    </row>
    <row r="157" spans="1:10" x14ac:dyDescent="0.3">
      <c r="A157" s="1068"/>
      <c r="B157" s="1057" t="s">
        <v>270</v>
      </c>
      <c r="C157" s="1058"/>
      <c r="D157" s="1059"/>
      <c r="E157" s="1024" t="s">
        <v>117</v>
      </c>
      <c r="F157" s="1024"/>
      <c r="G157" s="378"/>
      <c r="H157" s="378">
        <v>9</v>
      </c>
      <c r="I157" s="378">
        <v>5.8</v>
      </c>
      <c r="J157" s="373">
        <f>TRUNC(SUM(G157:I157),2)</f>
        <v>14.8</v>
      </c>
    </row>
    <row r="158" spans="1:10" ht="15" customHeight="1" x14ac:dyDescent="0.3">
      <c r="A158" s="1068"/>
      <c r="B158" s="1026" t="s">
        <v>62</v>
      </c>
      <c r="C158" s="1026"/>
      <c r="D158" s="1026"/>
      <c r="E158" s="1024" t="s">
        <v>64</v>
      </c>
      <c r="F158" s="1024"/>
      <c r="G158" s="385">
        <f>IF(G22=0.45,(((15+10)/2)*12)+(10*15)+((12+10)/2)*30)/10000</f>
        <v>6.3E-2</v>
      </c>
      <c r="H158" s="385">
        <f>IF(H22=0.45,(((15+10)/2)*12)+(10*15)+((12+10)/2)*30)/10000</f>
        <v>6.3E-2</v>
      </c>
      <c r="I158" s="385">
        <f>IF(I22=0.45,(((15+10)/2)*12)+(10*15)+((12+10)/2)*30)/10000</f>
        <v>6.3E-2</v>
      </c>
      <c r="J158" s="375"/>
    </row>
    <row r="159" spans="1:10" ht="15" customHeight="1" x14ac:dyDescent="0.3">
      <c r="A159" s="1068"/>
      <c r="B159" s="1026"/>
      <c r="C159" s="1026"/>
      <c r="D159" s="1026"/>
      <c r="E159" s="1024" t="s">
        <v>1297</v>
      </c>
      <c r="F159" s="1024"/>
      <c r="G159" s="385">
        <f>(((((10*10)+(((15+13)/2)*5)+(((12+10)/2)*(45-15)))/10000)))</f>
        <v>0.05</v>
      </c>
      <c r="H159" s="385">
        <f>(((((10*10)+(((15+13)/2)*5)+(((12+10)/2)*(45-15)))/10000)))</f>
        <v>0.05</v>
      </c>
      <c r="I159" s="385">
        <f>(((((10*10)+(((15+13)/2)*5)+(((12+10)/2)*(45-15)))/10000)))</f>
        <v>0.05</v>
      </c>
      <c r="J159" s="375"/>
    </row>
    <row r="160" spans="1:10" x14ac:dyDescent="0.3">
      <c r="A160" s="1068"/>
      <c r="B160" s="1026"/>
      <c r="C160" s="1026"/>
      <c r="D160" s="1026"/>
      <c r="E160" s="1024" t="s">
        <v>65</v>
      </c>
      <c r="F160" s="1024"/>
      <c r="G160" s="385">
        <f>IF(G23=0.13,((((13+10)/2)*12)+(10*13))/10000)</f>
        <v>2.6800000000000001E-2</v>
      </c>
      <c r="H160" s="385">
        <f>IF(H23=0.13,((((13+10)/2)*12)+(10*13))/10000)</f>
        <v>2.6800000000000001E-2</v>
      </c>
      <c r="I160" s="385">
        <f>IF(I23=0.13,((((13+10)/2)*12)+(10*13))/10000)</f>
        <v>2.6800000000000001E-2</v>
      </c>
      <c r="J160" s="375"/>
    </row>
    <row r="161" spans="1:14" x14ac:dyDescent="0.3">
      <c r="A161" s="1068"/>
      <c r="B161" s="1026"/>
      <c r="C161" s="1026"/>
      <c r="D161" s="1026"/>
      <c r="E161" s="1024" t="s">
        <v>29</v>
      </c>
      <c r="F161" s="1024"/>
      <c r="G161" s="386">
        <f>(((12+10)/2)*30)/10000</f>
        <v>3.3000000000000002E-2</v>
      </c>
      <c r="H161" s="386">
        <f>(((12+10)/2)*30)/10000</f>
        <v>3.3000000000000002E-2</v>
      </c>
      <c r="I161" s="386">
        <f>(((12+10)/2)*30)/10000</f>
        <v>3.3000000000000002E-2</v>
      </c>
      <c r="J161" s="375"/>
    </row>
    <row r="162" spans="1:14" x14ac:dyDescent="0.3">
      <c r="A162" s="1068"/>
      <c r="B162" s="1026"/>
      <c r="C162" s="1026"/>
      <c r="D162" s="1026"/>
      <c r="E162" s="1024" t="s">
        <v>12</v>
      </c>
      <c r="F162" s="1024"/>
      <c r="G162" s="386">
        <v>0.83599999999999997</v>
      </c>
      <c r="H162" s="386">
        <v>0.83599999999999997</v>
      </c>
      <c r="I162" s="386">
        <v>0.83599999999999997</v>
      </c>
      <c r="J162" s="375"/>
    </row>
    <row r="163" spans="1:14" x14ac:dyDescent="0.3">
      <c r="A163" s="1068"/>
      <c r="B163" s="1026"/>
      <c r="C163" s="1026"/>
      <c r="D163" s="1026"/>
      <c r="E163" s="1024" t="s">
        <v>27</v>
      </c>
      <c r="F163" s="1024"/>
      <c r="G163" s="379">
        <v>1.6</v>
      </c>
      <c r="H163" s="379">
        <v>1.6</v>
      </c>
      <c r="I163" s="379">
        <v>1.6</v>
      </c>
      <c r="J163" s="375"/>
    </row>
    <row r="164" spans="1:14" x14ac:dyDescent="0.3">
      <c r="A164" s="1068"/>
      <c r="B164" s="1026"/>
      <c r="C164" s="1026"/>
      <c r="D164" s="1026"/>
      <c r="E164" s="1024" t="s">
        <v>25</v>
      </c>
      <c r="F164" s="1024"/>
      <c r="G164" s="379">
        <f>IF($B$11&gt;=30,30,$B$11)</f>
        <v>22.5</v>
      </c>
      <c r="H164" s="379">
        <f>IF($B$11&gt;=30,30,$B$11)</f>
        <v>22.5</v>
      </c>
      <c r="I164" s="379">
        <f>IF($B$11&gt;=30,30,$B$11)</f>
        <v>22.5</v>
      </c>
      <c r="J164" s="375"/>
    </row>
    <row r="165" spans="1:14" x14ac:dyDescent="0.3">
      <c r="A165" s="1068"/>
      <c r="B165" s="1026"/>
      <c r="C165" s="1026"/>
      <c r="D165" s="1026"/>
      <c r="E165" s="1024" t="s">
        <v>318</v>
      </c>
      <c r="F165" s="1024"/>
      <c r="G165" s="379">
        <f>IF($B$11&gt;=30,$B$11-G164,0)</f>
        <v>0</v>
      </c>
      <c r="H165" s="379">
        <f>IF($B$11&gt;=30,$B$11-H164,0)</f>
        <v>0</v>
      </c>
      <c r="I165" s="379">
        <f>IF($B$11&gt;=30,$B$11-I164,0)</f>
        <v>0</v>
      </c>
      <c r="J165" s="375"/>
    </row>
    <row r="166" spans="1:14" x14ac:dyDescent="0.3">
      <c r="A166" s="1068"/>
      <c r="B166" s="1026"/>
      <c r="C166" s="1026"/>
      <c r="D166" s="1026"/>
      <c r="E166" s="1024" t="s">
        <v>28</v>
      </c>
      <c r="F166" s="1024"/>
      <c r="G166" s="379">
        <f>ROUND((((G154*G158)+(G155*G159)+(G156*G160)+(G157*G161))*G162*G163)*G164,2)</f>
        <v>672.19</v>
      </c>
      <c r="H166" s="379">
        <f>ROUND((((H154*H158)+(H155*H159)+(H156*H160)+(H157*H161))*H162*H163)*H164,2)</f>
        <v>881.3</v>
      </c>
      <c r="I166" s="379">
        <f>ROUND((((I154*I158)+(I155*I159)+(I156*I160)+(I157*I161))*I162*I163)*I164,2)</f>
        <v>612.05999999999995</v>
      </c>
      <c r="J166" s="373">
        <f>TRUNC(SUM(G166:I166),2)</f>
        <v>2165.5500000000002</v>
      </c>
    </row>
    <row r="167" spans="1:14" x14ac:dyDescent="0.3">
      <c r="A167" s="1068"/>
      <c r="B167" s="1026"/>
      <c r="C167" s="1026"/>
      <c r="D167" s="1026"/>
      <c r="E167" s="1024" t="s">
        <v>320</v>
      </c>
      <c r="F167" s="1024"/>
      <c r="G167" s="379">
        <f>ROUND((((G154*G158)+(G155*G159)+(G156*G160)+(G157*G161))*G162*G163)*G165,2)</f>
        <v>0</v>
      </c>
      <c r="H167" s="379">
        <f>ROUND((((H154*H158)+(H155*H159)+(H156*H160)+(H157*H161))*H162*H163)*H165,2)</f>
        <v>0</v>
      </c>
      <c r="I167" s="379">
        <f>ROUND((((I154*I158)+(I155*I159)+(I156*I160)+(I157*I161))*I162*I163)*I165,2)</f>
        <v>0</v>
      </c>
      <c r="J167" s="373">
        <f>TRUNC(SUM(G167:I167),2)</f>
        <v>0</v>
      </c>
    </row>
    <row r="168" spans="1:14" x14ac:dyDescent="0.3">
      <c r="A168" s="1068"/>
      <c r="B168" s="1026"/>
      <c r="C168" s="1026"/>
      <c r="D168" s="1026"/>
      <c r="E168" s="1024" t="s">
        <v>75</v>
      </c>
      <c r="F168" s="1024"/>
      <c r="G168" s="387">
        <f>G166/G163</f>
        <v>420.11875000000003</v>
      </c>
      <c r="H168" s="387">
        <f>H166/H163</f>
        <v>550.81249999999989</v>
      </c>
      <c r="I168" s="387">
        <f>I166/I163</f>
        <v>382.53749999999997</v>
      </c>
      <c r="J168" s="373">
        <f>TRUNC(SUM(G168:I168),2)</f>
        <v>1353.46</v>
      </c>
    </row>
    <row r="169" spans="1:14" x14ac:dyDescent="0.3">
      <c r="A169" s="1068"/>
      <c r="B169" s="1026"/>
      <c r="C169" s="1026"/>
      <c r="D169" s="1026"/>
      <c r="E169" s="1024" t="s">
        <v>914</v>
      </c>
      <c r="F169" s="1024"/>
      <c r="G169" s="387">
        <f>G167/G163</f>
        <v>0</v>
      </c>
      <c r="H169" s="387">
        <f>H167/H163</f>
        <v>0</v>
      </c>
      <c r="I169" s="387">
        <f>I167/I163</f>
        <v>0</v>
      </c>
      <c r="J169" s="373">
        <f>TRUNC(SUM(G169:I169),2)</f>
        <v>0</v>
      </c>
    </row>
    <row r="170" spans="1:14" ht="3.95" customHeight="1" x14ac:dyDescent="0.3">
      <c r="A170" s="1068"/>
      <c r="B170" s="625"/>
      <c r="C170" s="625"/>
      <c r="D170" s="625"/>
      <c r="E170" s="613"/>
      <c r="F170" s="613"/>
      <c r="G170" s="614"/>
      <c r="H170" s="614"/>
      <c r="I170" s="614"/>
      <c r="J170" s="615"/>
    </row>
    <row r="171" spans="1:14" ht="31.5" customHeight="1" x14ac:dyDescent="0.3">
      <c r="A171" s="1068"/>
      <c r="B171" s="1057" t="s">
        <v>1302</v>
      </c>
      <c r="C171" s="1058"/>
      <c r="D171" s="1059"/>
      <c r="E171" s="1024" t="s">
        <v>1303</v>
      </c>
      <c r="F171" s="1024"/>
      <c r="G171" s="387">
        <f>SUM(G154:G156)/12</f>
        <v>29.543274999999998</v>
      </c>
      <c r="H171" s="387">
        <f>SUM(H154:H156)/12</f>
        <v>38.341175</v>
      </c>
      <c r="I171" s="387">
        <f>SUM(I154:I156)/12</f>
        <v>26.647341666666666</v>
      </c>
      <c r="J171" s="373">
        <f>TRUNC(SUM(G171:I171),2)</f>
        <v>94.53</v>
      </c>
    </row>
    <row r="172" spans="1:14" ht="3.95" customHeight="1" x14ac:dyDescent="0.3">
      <c r="A172" s="1068"/>
      <c r="B172" s="625"/>
      <c r="C172" s="625"/>
      <c r="D172" s="625"/>
      <c r="E172" s="613"/>
      <c r="F172" s="613"/>
      <c r="G172" s="614"/>
      <c r="H172" s="614"/>
      <c r="I172" s="614"/>
      <c r="J172" s="615"/>
    </row>
    <row r="173" spans="1:14" x14ac:dyDescent="0.3">
      <c r="A173" s="1068"/>
      <c r="B173" s="1057" t="s">
        <v>1067</v>
      </c>
      <c r="C173" s="1058"/>
      <c r="D173" s="1059"/>
      <c r="E173" s="1024" t="s">
        <v>22</v>
      </c>
      <c r="F173" s="1024"/>
      <c r="G173" s="378">
        <v>376.78100000000001</v>
      </c>
      <c r="H173" s="378"/>
      <c r="I173" s="378"/>
      <c r="J173" s="373">
        <f>TRUNC(SUM(G173:I173),2)</f>
        <v>376.78</v>
      </c>
      <c r="N173" s="192">
        <v>3728.53</v>
      </c>
    </row>
    <row r="174" spans="1:14" x14ac:dyDescent="0.3">
      <c r="A174" s="1068"/>
      <c r="B174" s="959"/>
      <c r="C174" s="960"/>
      <c r="D174" s="961"/>
      <c r="E174" s="1039" t="s">
        <v>1317</v>
      </c>
      <c r="F174" s="1023"/>
      <c r="G174" s="669">
        <v>2.5000000000000001E-2</v>
      </c>
      <c r="H174" s="669">
        <v>2.5000000000000001E-2</v>
      </c>
      <c r="I174" s="669">
        <v>2.5000000000000001E-2</v>
      </c>
      <c r="J174" s="373">
        <f>TRUNC(SUM(G174:I174),2)</f>
        <v>7.0000000000000007E-2</v>
      </c>
    </row>
    <row r="175" spans="1:14" x14ac:dyDescent="0.3">
      <c r="A175" s="1068"/>
      <c r="B175" s="959"/>
      <c r="C175" s="960"/>
      <c r="D175" s="961"/>
      <c r="E175" s="1039" t="s">
        <v>1046</v>
      </c>
      <c r="F175" s="1023"/>
      <c r="G175" s="379">
        <f>G174*G173</f>
        <v>9.4195250000000001</v>
      </c>
      <c r="H175" s="379">
        <f>H174*H173</f>
        <v>0</v>
      </c>
      <c r="I175" s="379">
        <f>I174*I173</f>
        <v>0</v>
      </c>
      <c r="J175" s="373">
        <f>TRUNC(SUM(G175:I175),2)</f>
        <v>9.41</v>
      </c>
    </row>
    <row r="176" spans="1:14" x14ac:dyDescent="0.3">
      <c r="A176" s="1068"/>
      <c r="B176" s="959"/>
      <c r="C176" s="960"/>
      <c r="D176" s="961"/>
      <c r="E176" s="1039" t="s">
        <v>1318</v>
      </c>
      <c r="F176" s="1023"/>
      <c r="G176" s="379">
        <f>G175*1.3</f>
        <v>12.2453825</v>
      </c>
      <c r="H176" s="379">
        <f>H175*1.3</f>
        <v>0</v>
      </c>
      <c r="I176" s="379">
        <f>I175*1.3</f>
        <v>0</v>
      </c>
      <c r="J176" s="373">
        <f>TRUNC(SUM(G176:I176),2)</f>
        <v>12.24</v>
      </c>
    </row>
    <row r="177" spans="1:10" x14ac:dyDescent="0.3">
      <c r="A177" s="1068"/>
      <c r="B177" s="959"/>
      <c r="C177" s="960"/>
      <c r="D177" s="961"/>
      <c r="E177" s="1024" t="s">
        <v>25</v>
      </c>
      <c r="F177" s="1024"/>
      <c r="G177" s="379">
        <f>'16-DMT'!F19</f>
        <v>0</v>
      </c>
      <c r="H177" s="379">
        <f>'16-DMT'!G19</f>
        <v>0</v>
      </c>
      <c r="I177" s="379">
        <f>'16-DMT'!H19</f>
        <v>5</v>
      </c>
      <c r="J177" s="375"/>
    </row>
    <row r="178" spans="1:10" x14ac:dyDescent="0.3">
      <c r="A178" s="1069"/>
      <c r="B178" s="962"/>
      <c r="C178" s="963"/>
      <c r="D178" s="964"/>
      <c r="E178" s="1024" t="s">
        <v>28</v>
      </c>
      <c r="F178" s="1024"/>
      <c r="G178" s="379">
        <f>G176*G175</f>
        <v>115.34568659331251</v>
      </c>
      <c r="H178" s="379">
        <f>H176*H175</f>
        <v>0</v>
      </c>
      <c r="I178" s="379">
        <f>I176*I175</f>
        <v>0</v>
      </c>
      <c r="J178" s="373">
        <f>TRUNC(SUM(G178:I178),2)</f>
        <v>115.34</v>
      </c>
    </row>
  </sheetData>
  <mergeCells count="209">
    <mergeCell ref="A1:C3"/>
    <mergeCell ref="D1:F1"/>
    <mergeCell ref="D2:F2"/>
    <mergeCell ref="D3:F3"/>
    <mergeCell ref="A4:J4"/>
    <mergeCell ref="I5:J5"/>
    <mergeCell ref="I6:J8"/>
    <mergeCell ref="A10:D10"/>
    <mergeCell ref="A15:F15"/>
    <mergeCell ref="A16:F16"/>
    <mergeCell ref="A17:D24"/>
    <mergeCell ref="E17:F17"/>
    <mergeCell ref="E18:F18"/>
    <mergeCell ref="E19:F19"/>
    <mergeCell ref="E20:F20"/>
    <mergeCell ref="E21:F21"/>
    <mergeCell ref="E31:F31"/>
    <mergeCell ref="E32:F32"/>
    <mergeCell ref="E33:F33"/>
    <mergeCell ref="E34:F34"/>
    <mergeCell ref="E35:F35"/>
    <mergeCell ref="E36:F36"/>
    <mergeCell ref="E22:F22"/>
    <mergeCell ref="E23:F23"/>
    <mergeCell ref="E24:F24"/>
    <mergeCell ref="E25:F25"/>
    <mergeCell ref="E26:F26"/>
    <mergeCell ref="E27:F27"/>
    <mergeCell ref="E28:F28"/>
    <mergeCell ref="E29:F29"/>
    <mergeCell ref="E30:F30"/>
    <mergeCell ref="E43:F43"/>
    <mergeCell ref="E44:F44"/>
    <mergeCell ref="E45:F45"/>
    <mergeCell ref="E46:F46"/>
    <mergeCell ref="E47:F47"/>
    <mergeCell ref="E48:F48"/>
    <mergeCell ref="E37:F37"/>
    <mergeCell ref="E38:F38"/>
    <mergeCell ref="E39:F39"/>
    <mergeCell ref="E40:F40"/>
    <mergeCell ref="E41:F41"/>
    <mergeCell ref="E42:F42"/>
    <mergeCell ref="E55:F55"/>
    <mergeCell ref="E56:F56"/>
    <mergeCell ref="E57:F57"/>
    <mergeCell ref="E58:F58"/>
    <mergeCell ref="E59:F59"/>
    <mergeCell ref="E60:F60"/>
    <mergeCell ref="E49:F49"/>
    <mergeCell ref="E50:F50"/>
    <mergeCell ref="E51:F51"/>
    <mergeCell ref="E52:F52"/>
    <mergeCell ref="E53:F53"/>
    <mergeCell ref="E54:F54"/>
    <mergeCell ref="O69:O70"/>
    <mergeCell ref="E70:F70"/>
    <mergeCell ref="A72:A100"/>
    <mergeCell ref="B72:B79"/>
    <mergeCell ref="C72:D75"/>
    <mergeCell ref="E72:F72"/>
    <mergeCell ref="E73:F73"/>
    <mergeCell ref="E74:F74"/>
    <mergeCell ref="E61:F61"/>
    <mergeCell ref="E62:F62"/>
    <mergeCell ref="E63:F63"/>
    <mergeCell ref="A64:D67"/>
    <mergeCell ref="E65:F65"/>
    <mergeCell ref="O65:O66"/>
    <mergeCell ref="E66:F66"/>
    <mergeCell ref="E67:F67"/>
    <mergeCell ref="O67:O68"/>
    <mergeCell ref="A68:D70"/>
    <mergeCell ref="A25:D63"/>
    <mergeCell ref="E75:F75"/>
    <mergeCell ref="C76:D76"/>
    <mergeCell ref="E76:F76"/>
    <mergeCell ref="C77:D79"/>
    <mergeCell ref="E77:F77"/>
    <mergeCell ref="E78:F78"/>
    <mergeCell ref="E79:F79"/>
    <mergeCell ref="E68:F68"/>
    <mergeCell ref="E69:F69"/>
    <mergeCell ref="B80:B84"/>
    <mergeCell ref="C80:D80"/>
    <mergeCell ref="E80:F80"/>
    <mergeCell ref="C81:D81"/>
    <mergeCell ref="E81:F81"/>
    <mergeCell ref="C82:D84"/>
    <mergeCell ref="E82:F82"/>
    <mergeCell ref="E83:F83"/>
    <mergeCell ref="E84:F84"/>
    <mergeCell ref="B85:B89"/>
    <mergeCell ref="C85:D85"/>
    <mergeCell ref="E85:F85"/>
    <mergeCell ref="C86:D86"/>
    <mergeCell ref="E86:F86"/>
    <mergeCell ref="C87:D89"/>
    <mergeCell ref="E87:F87"/>
    <mergeCell ref="E88:F88"/>
    <mergeCell ref="E89:F89"/>
    <mergeCell ref="E96:F96"/>
    <mergeCell ref="C97:D97"/>
    <mergeCell ref="E97:F97"/>
    <mergeCell ref="C98:D100"/>
    <mergeCell ref="E98:F98"/>
    <mergeCell ref="E99:F99"/>
    <mergeCell ref="E100:F100"/>
    <mergeCell ref="B91:B100"/>
    <mergeCell ref="C91:D91"/>
    <mergeCell ref="E91:F91"/>
    <mergeCell ref="C92:D92"/>
    <mergeCell ref="E92:F92"/>
    <mergeCell ref="C93:D95"/>
    <mergeCell ref="E93:F93"/>
    <mergeCell ref="E94:F94"/>
    <mergeCell ref="E95:F95"/>
    <mergeCell ref="C96:D96"/>
    <mergeCell ref="A102:A122"/>
    <mergeCell ref="B102:B109"/>
    <mergeCell ref="C102:D105"/>
    <mergeCell ref="E102:F102"/>
    <mergeCell ref="E103:F103"/>
    <mergeCell ref="E104:F104"/>
    <mergeCell ref="E105:F105"/>
    <mergeCell ref="C106:D109"/>
    <mergeCell ref="E106:F106"/>
    <mergeCell ref="E107:F107"/>
    <mergeCell ref="E108:F108"/>
    <mergeCell ref="E109:F109"/>
    <mergeCell ref="B110:B122"/>
    <mergeCell ref="C110:D113"/>
    <mergeCell ref="E110:F110"/>
    <mergeCell ref="E111:F111"/>
    <mergeCell ref="E112:F112"/>
    <mergeCell ref="E113:F113"/>
    <mergeCell ref="C114:D114"/>
    <mergeCell ref="E114:F114"/>
    <mergeCell ref="C115:D122"/>
    <mergeCell ref="E115:F115"/>
    <mergeCell ref="E116:F116"/>
    <mergeCell ref="E117:F117"/>
    <mergeCell ref="E118:F118"/>
    <mergeCell ref="E119:F119"/>
    <mergeCell ref="E120:F120"/>
    <mergeCell ref="E121:F121"/>
    <mergeCell ref="E122:F122"/>
    <mergeCell ref="B133:D140"/>
    <mergeCell ref="E133:F133"/>
    <mergeCell ref="E134:F134"/>
    <mergeCell ref="E135:F135"/>
    <mergeCell ref="E136:F136"/>
    <mergeCell ref="E137:F137"/>
    <mergeCell ref="E138:F138"/>
    <mergeCell ref="E139:F139"/>
    <mergeCell ref="E140:F140"/>
    <mergeCell ref="B142:D142"/>
    <mergeCell ref="E142:F142"/>
    <mergeCell ref="B143:D148"/>
    <mergeCell ref="E143:F143"/>
    <mergeCell ref="E144:F144"/>
    <mergeCell ref="E145:F145"/>
    <mergeCell ref="E146:F146"/>
    <mergeCell ref="E147:F147"/>
    <mergeCell ref="E148:F148"/>
    <mergeCell ref="B149:D152"/>
    <mergeCell ref="E149:F149"/>
    <mergeCell ref="E150:F150"/>
    <mergeCell ref="E151:F151"/>
    <mergeCell ref="E152:F152"/>
    <mergeCell ref="A154:A178"/>
    <mergeCell ref="B154:D156"/>
    <mergeCell ref="E154:F154"/>
    <mergeCell ref="E155:F155"/>
    <mergeCell ref="E156:F156"/>
    <mergeCell ref="A124:A152"/>
    <mergeCell ref="B124:D131"/>
    <mergeCell ref="E124:F124"/>
    <mergeCell ref="E125:F125"/>
    <mergeCell ref="E126:F126"/>
    <mergeCell ref="E127:F127"/>
    <mergeCell ref="E128:F128"/>
    <mergeCell ref="E129:F129"/>
    <mergeCell ref="E130:F130"/>
    <mergeCell ref="E131:F131"/>
    <mergeCell ref="B157:D157"/>
    <mergeCell ref="E157:F157"/>
    <mergeCell ref="B158:D169"/>
    <mergeCell ref="E158:F158"/>
    <mergeCell ref="E159:F159"/>
    <mergeCell ref="E160:F160"/>
    <mergeCell ref="E161:F161"/>
    <mergeCell ref="E162:F162"/>
    <mergeCell ref="E163:F163"/>
    <mergeCell ref="E164:F164"/>
    <mergeCell ref="B173:D178"/>
    <mergeCell ref="E173:F173"/>
    <mergeCell ref="E174:F174"/>
    <mergeCell ref="E175:F175"/>
    <mergeCell ref="E176:F176"/>
    <mergeCell ref="E177:F177"/>
    <mergeCell ref="E178:F178"/>
    <mergeCell ref="E165:F165"/>
    <mergeCell ref="E166:F166"/>
    <mergeCell ref="E167:F167"/>
    <mergeCell ref="E168:F168"/>
    <mergeCell ref="E169:F169"/>
    <mergeCell ref="B171:D171"/>
    <mergeCell ref="E171:F171"/>
  </mergeCells>
  <conditionalFormatting sqref="I177:J177 I130 I139 I174:I176 H132:H139 H174:H177 H20:J20 J130:J131 I132:J138 J139:J140 H141:J171 J172:J176 J17:J19 J21 H22:J23 H25:J90 J24 H97:H98 H100:H117 H93 I93:J94 I97:J117 J91:J92 I119:J129 J118 H119:H130 J95:J96">
    <cfRule type="cellIs" dxfId="33" priority="17" operator="lessThan">
      <formula>0</formula>
    </cfRule>
  </conditionalFormatting>
  <conditionalFormatting sqref="I172:I173">
    <cfRule type="cellIs" dxfId="32" priority="16" operator="lessThan">
      <formula>0</formula>
    </cfRule>
  </conditionalFormatting>
  <conditionalFormatting sqref="G20 G132:G139 G174:G177 G141:G171 G22:G23 G25:G130 H92:I92 H118:I118">
    <cfRule type="cellIs" dxfId="31" priority="14" operator="lessThan">
      <formula>0</formula>
    </cfRule>
  </conditionalFormatting>
  <conditionalFormatting sqref="G172:G173">
    <cfRule type="cellIs" dxfId="30" priority="13" operator="lessThan">
      <formula>0</formula>
    </cfRule>
  </conditionalFormatting>
  <conditionalFormatting sqref="H172:H173">
    <cfRule type="cellIs" dxfId="29" priority="12" operator="lessThan">
      <formula>0</formula>
    </cfRule>
  </conditionalFormatting>
  <conditionalFormatting sqref="J178">
    <cfRule type="cellIs" dxfId="28" priority="11" operator="lessThan">
      <formula>0</formula>
    </cfRule>
  </conditionalFormatting>
  <conditionalFormatting sqref="G17:I19">
    <cfRule type="cellIs" dxfId="27" priority="10" operator="lessThan">
      <formula>0</formula>
    </cfRule>
  </conditionalFormatting>
  <conditionalFormatting sqref="G21:I21">
    <cfRule type="cellIs" dxfId="26" priority="9" operator="lessThan">
      <formula>0</formula>
    </cfRule>
  </conditionalFormatting>
  <conditionalFormatting sqref="G24:I24">
    <cfRule type="cellIs" dxfId="25" priority="8" operator="lessThan">
      <formula>0</formula>
    </cfRule>
  </conditionalFormatting>
  <conditionalFormatting sqref="H94">
    <cfRule type="cellIs" dxfId="24" priority="7" operator="lessThan">
      <formula>0</formula>
    </cfRule>
  </conditionalFormatting>
  <conditionalFormatting sqref="H95:I95">
    <cfRule type="cellIs" dxfId="23" priority="6" operator="lessThan">
      <formula>0</formula>
    </cfRule>
  </conditionalFormatting>
  <conditionalFormatting sqref="H99">
    <cfRule type="cellIs" dxfId="22" priority="5" operator="lessThan">
      <formula>0</formula>
    </cfRule>
  </conditionalFormatting>
  <conditionalFormatting sqref="H91">
    <cfRule type="cellIs" dxfId="21" priority="4" operator="lessThan">
      <formula>0</formula>
    </cfRule>
  </conditionalFormatting>
  <conditionalFormatting sqref="I91">
    <cfRule type="cellIs" dxfId="20" priority="3" operator="lessThan">
      <formula>0</formula>
    </cfRule>
  </conditionalFormatting>
  <conditionalFormatting sqref="H96">
    <cfRule type="cellIs" dxfId="19" priority="2" operator="lessThan">
      <formula>0</formula>
    </cfRule>
  </conditionalFormatting>
  <conditionalFormatting sqref="I96">
    <cfRule type="cellIs" dxfId="18" priority="1" operator="lessThan">
      <formula>0</formula>
    </cfRule>
  </conditionalFormatting>
  <printOptions horizontalCentered="1"/>
  <pageMargins left="0.19685039370078741" right="0.23622047244094491" top="0.55118110236220474" bottom="0.55118110236220474" header="0.31496062992125984" footer="0.31496062992125984"/>
  <pageSetup paperSize="9" scale="49" fitToWidth="0" fitToHeight="2" orientation="landscape" r:id="rId1"/>
  <headerFooter>
    <oddFooter>Página &amp;P de &amp;N</oddFoot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1">
    <tabColor rgb="FF006F71"/>
    <pageSetUpPr fitToPage="1"/>
  </sheetPr>
  <dimension ref="A1:AQ144"/>
  <sheetViews>
    <sheetView showGridLines="0" topLeftCell="A110" zoomScale="85" zoomScaleNormal="85" workbookViewId="0">
      <selection activeCell="A9" sqref="A9:B9"/>
    </sheetView>
  </sheetViews>
  <sheetFormatPr defaultColWidth="9.140625" defaultRowHeight="16.5" x14ac:dyDescent="0.3"/>
  <cols>
    <col min="1" max="1" width="14.28515625" style="192" customWidth="1"/>
    <col min="2" max="2" width="11.5703125" style="192" customWidth="1"/>
    <col min="3" max="3" width="4.42578125" style="192" customWidth="1"/>
    <col min="4" max="4" width="9.28515625" style="192" customWidth="1"/>
    <col min="5" max="5" width="19.85546875" style="192" customWidth="1"/>
    <col min="6" max="6" width="31" style="192" customWidth="1"/>
    <col min="7" max="7" width="13.140625" style="192" customWidth="1"/>
    <col min="8" max="15" width="13.5703125" style="192" customWidth="1"/>
    <col min="16" max="16" width="17.85546875" style="192" customWidth="1"/>
    <col min="17" max="17" width="13.5703125" style="192" customWidth="1"/>
    <col min="18" max="18" width="16.140625" style="192" customWidth="1"/>
    <col min="19" max="33" width="13.5703125" style="192" customWidth="1"/>
    <col min="34" max="34" width="12.85546875" style="192" bestFit="1" customWidth="1"/>
    <col min="35" max="35" width="14.7109375" style="192" customWidth="1"/>
    <col min="36" max="36" width="9.140625" style="192"/>
    <col min="37" max="37" width="9.7109375" style="192" bestFit="1" customWidth="1"/>
    <col min="38" max="38" width="1.28515625" style="192" customWidth="1"/>
    <col min="39" max="39" width="9.5703125" style="192" bestFit="1" customWidth="1"/>
    <col min="40" max="40" width="1.5703125" style="192" customWidth="1"/>
    <col min="41" max="41" width="9.5703125" style="192" bestFit="1" customWidth="1"/>
    <col min="42" max="16384" width="9.140625" style="192"/>
  </cols>
  <sheetData>
    <row r="1" spans="1:43" ht="14.45" customHeight="1" x14ac:dyDescent="0.3">
      <c r="A1" s="276"/>
      <c r="B1" s="291"/>
      <c r="C1" s="335" t="str">
        <f>N.GOV</f>
        <v>GOVERNO DO ESTADO DE MATO GROSSO DO SUL</v>
      </c>
      <c r="D1" s="335"/>
      <c r="E1" s="335"/>
      <c r="F1" s="335"/>
      <c r="G1" s="335"/>
      <c r="H1" s="335"/>
      <c r="I1" s="335"/>
      <c r="J1" s="335"/>
      <c r="K1" s="335"/>
      <c r="L1" s="335"/>
      <c r="M1" s="335"/>
      <c r="N1" s="335"/>
      <c r="O1" s="335"/>
      <c r="P1" s="335"/>
      <c r="Q1" s="335"/>
      <c r="R1" s="335"/>
      <c r="S1" s="335"/>
      <c r="T1" s="335"/>
      <c r="U1" s="335"/>
      <c r="V1" s="335"/>
      <c r="W1" s="335"/>
      <c r="X1" s="335"/>
      <c r="Y1" s="335"/>
      <c r="Z1" s="335"/>
      <c r="AA1" s="335"/>
      <c r="AB1" s="335"/>
      <c r="AC1" s="335"/>
      <c r="AD1" s="335"/>
      <c r="AE1" s="335"/>
      <c r="AF1" s="335"/>
      <c r="AG1" s="335"/>
      <c r="AH1" s="289"/>
      <c r="AI1" s="311"/>
    </row>
    <row r="2" spans="1:43" ht="13.5" customHeight="1" x14ac:dyDescent="0.3">
      <c r="A2" s="279"/>
      <c r="B2" s="208"/>
      <c r="C2" s="263" t="str" cm="1">
        <f t="array" aca="1" ref="C2" ca="1">N.PREFEITURA</f>
        <v>PREFEITURA MUNICIPAL DE NAVIRAÍ</v>
      </c>
      <c r="D2" s="263"/>
      <c r="E2" s="263"/>
      <c r="F2" s="263"/>
      <c r="G2" s="263"/>
      <c r="H2" s="468"/>
      <c r="I2" s="468"/>
      <c r="J2" s="468"/>
      <c r="K2" s="468"/>
      <c r="L2" s="468"/>
      <c r="M2" s="468"/>
      <c r="N2" s="468"/>
      <c r="O2" s="468"/>
      <c r="P2" s="468"/>
      <c r="Q2" s="468"/>
      <c r="R2" s="468"/>
      <c r="S2" s="468"/>
      <c r="T2" s="468"/>
      <c r="U2" s="468"/>
      <c r="V2" s="468"/>
      <c r="W2" s="468"/>
      <c r="X2" s="468"/>
      <c r="Y2" s="468"/>
      <c r="Z2" s="468"/>
      <c r="AA2" s="468"/>
      <c r="AB2" s="468"/>
      <c r="AC2" s="468"/>
      <c r="AD2" s="468"/>
      <c r="AE2" s="468"/>
      <c r="AF2" s="468"/>
      <c r="AG2" s="468"/>
      <c r="AH2" s="935"/>
      <c r="AI2" s="936"/>
      <c r="AO2" s="935"/>
      <c r="AP2" s="935"/>
      <c r="AQ2" s="935"/>
    </row>
    <row r="3" spans="1:43" ht="16.5" customHeight="1" x14ac:dyDescent="0.3">
      <c r="A3" s="293"/>
      <c r="B3" s="294"/>
      <c r="C3" s="442" t="str" cm="1">
        <f t="array" aca="1" ref="C3" ca="1">N.SECRETARIA</f>
        <v>SECRETARIA DE PLANEJAMENTO</v>
      </c>
      <c r="D3" s="442"/>
      <c r="E3" s="442"/>
      <c r="F3" s="442"/>
      <c r="G3" s="442"/>
      <c r="H3" s="442"/>
      <c r="I3" s="442"/>
      <c r="J3" s="442"/>
      <c r="K3" s="442"/>
      <c r="L3" s="442"/>
      <c r="M3" s="442"/>
      <c r="N3" s="442"/>
      <c r="O3" s="442"/>
      <c r="P3" s="442"/>
      <c r="Q3" s="442"/>
      <c r="R3" s="442"/>
      <c r="S3" s="442"/>
      <c r="T3" s="442"/>
      <c r="U3" s="442"/>
      <c r="V3" s="442"/>
      <c r="W3" s="442"/>
      <c r="X3" s="442"/>
      <c r="Y3" s="442"/>
      <c r="Z3" s="442"/>
      <c r="AA3" s="442"/>
      <c r="AB3" s="442"/>
      <c r="AC3" s="442"/>
      <c r="AD3" s="442"/>
      <c r="AE3" s="442"/>
      <c r="AF3" s="442"/>
      <c r="AG3" s="442"/>
      <c r="AH3" s="937"/>
      <c r="AI3" s="938"/>
      <c r="AO3" s="1106"/>
      <c r="AP3" s="1106"/>
      <c r="AQ3" s="1106"/>
    </row>
    <row r="4" spans="1:43" ht="20.45" customHeight="1" x14ac:dyDescent="0.3">
      <c r="A4" s="626"/>
      <c r="B4" s="627" t="s">
        <v>1127</v>
      </c>
      <c r="C4" s="627"/>
      <c r="D4" s="627"/>
      <c r="E4" s="627"/>
      <c r="F4" s="627"/>
      <c r="G4" s="627"/>
      <c r="H4" s="627"/>
      <c r="I4" s="627"/>
      <c r="J4" s="627"/>
      <c r="K4" s="627"/>
      <c r="L4" s="627"/>
      <c r="M4" s="627"/>
      <c r="N4" s="627"/>
      <c r="O4" s="627"/>
      <c r="P4" s="627"/>
      <c r="Q4" s="627"/>
      <c r="R4" s="627"/>
      <c r="S4" s="627"/>
      <c r="T4" s="627"/>
      <c r="U4" s="627"/>
      <c r="V4" s="627"/>
      <c r="W4" s="627"/>
      <c r="X4" s="627"/>
      <c r="Y4" s="627"/>
      <c r="Z4" s="627"/>
      <c r="AA4" s="627"/>
      <c r="AB4" s="627"/>
      <c r="AC4" s="627"/>
      <c r="AD4" s="627"/>
      <c r="AE4" s="627"/>
      <c r="AF4" s="627"/>
      <c r="AG4" s="627"/>
      <c r="AH4" s="627"/>
      <c r="AI4" s="628"/>
    </row>
    <row r="5" spans="1:43" x14ac:dyDescent="0.3">
      <c r="A5" s="281" t="s">
        <v>811</v>
      </c>
      <c r="B5" s="552" t="str">
        <f>N.DESCRICAO</f>
        <v>INFRAESTRUTURA URBANA – PAVIMENTAÇÃO ASFÁLTICA, DRENAGEM, E SINALIZAÇÃO VIÁRIA NO ACESSO AO CEMITERIO MUNICIPAL DE NAVIRAÍ/ MS</v>
      </c>
      <c r="C5" s="229"/>
      <c r="D5" s="230"/>
      <c r="E5" s="230"/>
      <c r="F5" s="230"/>
      <c r="G5" s="230"/>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0"/>
      <c r="AG5" s="230"/>
      <c r="AH5" s="1113" t="s">
        <v>305</v>
      </c>
      <c r="AI5" s="1114"/>
    </row>
    <row r="6" spans="1:43" x14ac:dyDescent="0.3">
      <c r="A6" s="259" t="s">
        <v>799</v>
      </c>
      <c r="B6" s="553" t="str">
        <f ca="1">N.MUNICIPIO</f>
        <v>NAVIRAÍ</v>
      </c>
      <c r="C6" s="227"/>
      <c r="D6" s="226"/>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1109" t="str">
        <f>"  ______________________                   "&amp;N.Engenheiro&amp;"                                 "&amp;N.CREA</f>
        <v xml:space="preserve">  ______________________                   FÁBIO MARQUES RIBEIRO                                 ENGENHEIRO CIVIL - 15.276 D/MS</v>
      </c>
      <c r="AI6" s="1110"/>
    </row>
    <row r="7" spans="1:43" ht="24" customHeight="1" x14ac:dyDescent="0.3">
      <c r="A7" s="259" t="s">
        <v>798</v>
      </c>
      <c r="B7" s="553" t="str" cm="1">
        <f t="array" ref="B7">N.LOCAL</f>
        <v>AVENIDA JOÃO RIGONATO</v>
      </c>
      <c r="C7" s="226"/>
      <c r="D7" s="226"/>
      <c r="E7" s="226"/>
      <c r="F7" s="226"/>
      <c r="G7" s="226"/>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6"/>
      <c r="AG7" s="226"/>
      <c r="AH7" s="1111"/>
      <c r="AI7" s="1112"/>
    </row>
    <row r="8" spans="1:43" ht="20.100000000000001" customHeight="1" x14ac:dyDescent="0.3">
      <c r="A8" s="286"/>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7"/>
    </row>
    <row r="9" spans="1:43" ht="20.100000000000001" customHeight="1" x14ac:dyDescent="0.3">
      <c r="A9" s="1107" t="s">
        <v>283</v>
      </c>
      <c r="B9" s="1108"/>
      <c r="C9" s="288"/>
      <c r="D9" s="1115" t="s">
        <v>281</v>
      </c>
      <c r="E9" s="1116"/>
      <c r="F9" s="1117"/>
      <c r="H9" s="288"/>
      <c r="I9" s="288"/>
      <c r="J9" s="288"/>
      <c r="K9" s="288"/>
      <c r="L9" s="288"/>
      <c r="M9" s="288"/>
      <c r="N9" s="288"/>
      <c r="O9" s="288"/>
      <c r="P9" s="288"/>
      <c r="Q9" s="288"/>
      <c r="R9" s="288"/>
      <c r="S9" s="288"/>
      <c r="T9" s="288"/>
      <c r="U9" s="288"/>
      <c r="V9" s="288"/>
      <c r="W9" s="288"/>
      <c r="X9" s="288"/>
      <c r="Y9" s="288"/>
      <c r="Z9" s="288"/>
      <c r="AA9" s="288"/>
      <c r="AB9" s="288"/>
      <c r="AC9" s="288"/>
      <c r="AD9" s="288"/>
      <c r="AE9" s="288"/>
      <c r="AF9" s="288"/>
      <c r="AG9" s="288"/>
      <c r="AH9" s="288"/>
      <c r="AI9" s="280"/>
    </row>
    <row r="10" spans="1:43" ht="20.100000000000001" customHeight="1" x14ac:dyDescent="0.3">
      <c r="A10" s="336" t="s">
        <v>279</v>
      </c>
      <c r="B10" s="231">
        <f>VALUE('16-DMT'!H17)</f>
        <v>100</v>
      </c>
      <c r="C10" s="337"/>
      <c r="D10" s="233" t="s">
        <v>905</v>
      </c>
      <c r="E10" s="234">
        <v>0.18</v>
      </c>
      <c r="F10" s="235" t="s">
        <v>282</v>
      </c>
      <c r="AI10" s="300"/>
    </row>
    <row r="11" spans="1:43" ht="20.100000000000001" customHeight="1" x14ac:dyDescent="0.3">
      <c r="A11" s="338" t="s">
        <v>1291</v>
      </c>
      <c r="B11" s="231">
        <f>VALUE('16-DMT'!H11)</f>
        <v>5.8</v>
      </c>
      <c r="C11" s="337"/>
      <c r="D11" s="233" t="s">
        <v>906</v>
      </c>
      <c r="E11" s="234">
        <v>0.35</v>
      </c>
      <c r="F11" s="235" t="s">
        <v>282</v>
      </c>
      <c r="AI11" s="300"/>
    </row>
    <row r="12" spans="1:43" ht="20.100000000000001" customHeight="1" x14ac:dyDescent="0.3">
      <c r="A12" s="339" t="s">
        <v>280</v>
      </c>
      <c r="B12" s="232">
        <f>VALUE('16-DMT'!H16)</f>
        <v>22.5</v>
      </c>
      <c r="C12" s="217"/>
      <c r="D12" s="233" t="s">
        <v>907</v>
      </c>
      <c r="E12" s="234">
        <v>0.54</v>
      </c>
      <c r="F12" s="235" t="s">
        <v>282</v>
      </c>
      <c r="AI12" s="300"/>
      <c r="AQ12" s="659"/>
    </row>
    <row r="13" spans="1:43" ht="20.100000000000001" customHeight="1" x14ac:dyDescent="0.3">
      <c r="A13" s="338" t="s">
        <v>1290</v>
      </c>
      <c r="B13" s="231">
        <f>VALUE('16-DMT'!H12)</f>
        <v>5.8</v>
      </c>
      <c r="C13" s="228"/>
      <c r="D13" s="233" t="s">
        <v>908</v>
      </c>
      <c r="E13" s="236">
        <v>0.8</v>
      </c>
      <c r="F13" s="235" t="s">
        <v>282</v>
      </c>
      <c r="K13" s="225"/>
      <c r="L13" s="225"/>
      <c r="M13" s="225"/>
      <c r="N13" s="225"/>
      <c r="O13" s="225"/>
      <c r="P13" s="225"/>
      <c r="Q13" s="225"/>
      <c r="R13" s="225"/>
      <c r="S13" s="225"/>
      <c r="T13" s="225"/>
      <c r="U13" s="225"/>
      <c r="V13" s="225"/>
      <c r="W13" s="225"/>
      <c r="X13" s="225"/>
      <c r="Y13" s="225"/>
      <c r="Z13" s="225"/>
      <c r="AA13" s="225"/>
      <c r="AB13" s="225"/>
      <c r="AC13" s="225"/>
      <c r="AD13" s="225"/>
      <c r="AE13" s="225"/>
      <c r="AF13" s="225"/>
      <c r="AG13" s="225"/>
      <c r="AH13" s="225"/>
      <c r="AI13" s="300"/>
      <c r="AQ13" s="659"/>
    </row>
    <row r="14" spans="1:43" ht="20.100000000000001" customHeight="1" x14ac:dyDescent="0.3">
      <c r="A14" s="338" t="s">
        <v>1308</v>
      </c>
      <c r="B14" s="231">
        <f>'16-DMT'!H19</f>
        <v>5</v>
      </c>
      <c r="D14" s="233" t="s">
        <v>909</v>
      </c>
      <c r="E14" s="236">
        <v>1.3</v>
      </c>
      <c r="F14" s="235" t="s">
        <v>282</v>
      </c>
      <c r="K14" s="225"/>
      <c r="L14" s="225"/>
      <c r="M14" s="225"/>
      <c r="N14" s="225"/>
      <c r="O14" s="225"/>
      <c r="P14" s="225"/>
      <c r="Q14" s="225"/>
      <c r="R14" s="225"/>
      <c r="S14" s="225"/>
      <c r="T14" s="225"/>
      <c r="U14" s="225"/>
      <c r="V14" s="225"/>
      <c r="W14" s="225"/>
      <c r="X14" s="225"/>
      <c r="Y14" s="225"/>
      <c r="Z14" s="225"/>
      <c r="AA14" s="225"/>
      <c r="AB14" s="225"/>
      <c r="AC14" s="225"/>
      <c r="AD14" s="225"/>
      <c r="AE14" s="225"/>
      <c r="AF14" s="225"/>
      <c r="AG14" s="225"/>
      <c r="AI14" s="300"/>
      <c r="AQ14" s="659"/>
    </row>
    <row r="15" spans="1:43" ht="20.100000000000001" customHeight="1" x14ac:dyDescent="0.3">
      <c r="A15" s="298"/>
      <c r="D15" s="233" t="s">
        <v>910</v>
      </c>
      <c r="E15" s="236">
        <v>1.93</v>
      </c>
      <c r="F15" s="235" t="s">
        <v>282</v>
      </c>
      <c r="H15" s="223"/>
      <c r="I15" s="223"/>
      <c r="J15" s="223"/>
      <c r="K15" s="223"/>
      <c r="L15" s="223"/>
      <c r="M15" s="223"/>
      <c r="N15" s="223"/>
      <c r="O15" s="223"/>
      <c r="P15" s="223"/>
      <c r="Q15" s="223"/>
      <c r="R15" s="223"/>
      <c r="S15" s="223"/>
      <c r="T15" s="223"/>
      <c r="U15" s="223"/>
      <c r="V15" s="223"/>
      <c r="W15" s="223"/>
      <c r="X15" s="223"/>
      <c r="Y15" s="223"/>
      <c r="Z15" s="223"/>
      <c r="AA15" s="223"/>
      <c r="AB15" s="223"/>
      <c r="AC15" s="223"/>
      <c r="AD15" s="223"/>
      <c r="AE15" s="223"/>
      <c r="AF15" s="223"/>
      <c r="AG15" s="223"/>
      <c r="AI15" s="300"/>
      <c r="AQ15" s="659"/>
    </row>
    <row r="16" spans="1:43" s="350" customFormat="1" ht="42" customHeight="1" x14ac:dyDescent="0.25">
      <c r="A16" s="523"/>
      <c r="G16" s="1092" t="s">
        <v>1304</v>
      </c>
      <c r="H16" s="1093"/>
      <c r="I16" s="1093"/>
      <c r="J16" s="1093"/>
      <c r="K16" s="1093"/>
      <c r="L16" s="1093"/>
      <c r="M16" s="1093"/>
      <c r="N16" s="1093"/>
      <c r="O16" s="1093"/>
      <c r="P16" s="1093"/>
      <c r="Q16" s="1093"/>
      <c r="R16" s="1093"/>
      <c r="S16" s="1093"/>
      <c r="T16" s="1094"/>
      <c r="U16" s="1092" t="s">
        <v>1495</v>
      </c>
      <c r="V16" s="1093"/>
      <c r="W16" s="1094"/>
      <c r="X16" s="1095" t="s">
        <v>814</v>
      </c>
      <c r="Y16" s="1095"/>
      <c r="Z16" s="1095"/>
      <c r="AA16" s="1092" t="s">
        <v>1398</v>
      </c>
      <c r="AB16" s="1093"/>
      <c r="AC16" s="1094"/>
      <c r="AD16" s="1092" t="s">
        <v>1496</v>
      </c>
      <c r="AE16" s="1093"/>
      <c r="AF16" s="1094"/>
      <c r="AG16" s="750" t="s">
        <v>814</v>
      </c>
      <c r="AI16" s="524"/>
      <c r="AQ16" s="660"/>
    </row>
    <row r="17" spans="1:37" ht="21" customHeight="1" x14ac:dyDescent="0.3">
      <c r="A17" s="1096" t="s">
        <v>2</v>
      </c>
      <c r="B17" s="1097"/>
      <c r="C17" s="1097"/>
      <c r="D17" s="1097"/>
      <c r="E17" s="1097"/>
      <c r="F17" s="1098"/>
      <c r="G17" s="629" t="s">
        <v>1020</v>
      </c>
      <c r="H17" s="629" t="s">
        <v>1021</v>
      </c>
      <c r="I17" s="629" t="s">
        <v>1022</v>
      </c>
      <c r="J17" s="629" t="s">
        <v>1023</v>
      </c>
      <c r="K17" s="629" t="s">
        <v>1024</v>
      </c>
      <c r="L17" s="629" t="s">
        <v>1025</v>
      </c>
      <c r="M17" s="629" t="s">
        <v>1026</v>
      </c>
      <c r="N17" s="629" t="s">
        <v>1027</v>
      </c>
      <c r="O17" s="629" t="s">
        <v>1028</v>
      </c>
      <c r="P17" s="629" t="s">
        <v>1029</v>
      </c>
      <c r="Q17" s="629" t="s">
        <v>1030</v>
      </c>
      <c r="R17" s="629" t="s">
        <v>1031</v>
      </c>
      <c r="S17" s="629" t="s">
        <v>1032</v>
      </c>
      <c r="T17" s="629" t="s">
        <v>1337</v>
      </c>
      <c r="U17" s="629" t="s">
        <v>1456</v>
      </c>
      <c r="V17" s="629" t="s">
        <v>1457</v>
      </c>
      <c r="W17" s="629" t="s">
        <v>1458</v>
      </c>
      <c r="X17" s="629" t="s">
        <v>1459</v>
      </c>
      <c r="Y17" s="629" t="s">
        <v>1460</v>
      </c>
      <c r="Z17" s="629" t="s">
        <v>1461</v>
      </c>
      <c r="AA17" s="629" t="s">
        <v>1462</v>
      </c>
      <c r="AB17" s="629" t="s">
        <v>1463</v>
      </c>
      <c r="AC17" s="629" t="s">
        <v>1464</v>
      </c>
      <c r="AD17" s="629" t="s">
        <v>1465</v>
      </c>
      <c r="AE17" s="629" t="s">
        <v>1466</v>
      </c>
      <c r="AF17" s="629" t="s">
        <v>1467</v>
      </c>
      <c r="AG17" s="629" t="s">
        <v>1468</v>
      </c>
      <c r="AH17" s="630" t="s">
        <v>1072</v>
      </c>
      <c r="AI17" s="609" t="s">
        <v>3</v>
      </c>
    </row>
    <row r="18" spans="1:37" ht="21" hidden="1" customHeight="1" x14ac:dyDescent="0.3">
      <c r="A18" s="475"/>
      <c r="B18" s="472"/>
      <c r="C18" s="472"/>
      <c r="D18" s="472"/>
      <c r="E18" s="472"/>
      <c r="F18" s="473"/>
      <c r="G18" s="223" t="str">
        <f>IFERROR(VLOOKUP(G17,BANCO_DRENAGEM!$L$2:$S$345,8,0),"")</f>
        <v>I</v>
      </c>
      <c r="H18" s="223" t="str">
        <f>IFERROR(VLOOKUP(H17,BANCO_DRENAGEM!$L$2:$S$345,8,0),"")</f>
        <v>I</v>
      </c>
      <c r="I18" s="223" t="str">
        <f>IFERROR(VLOOKUP(I17,BANCO_DRENAGEM!$L$2:$S$345,8,0),"")</f>
        <v>I</v>
      </c>
      <c r="J18" s="223" t="str">
        <f>IFERROR(VLOOKUP(J17,BANCO_DRENAGEM!$L$2:$S$345,8,0),"")</f>
        <v>I</v>
      </c>
      <c r="K18" s="223" t="str">
        <f>IFERROR(VLOOKUP(K17,BANCO_DRENAGEM!$L$2:$S$345,8,0),"")</f>
        <v>I</v>
      </c>
      <c r="L18" s="223" t="str">
        <f>IFERROR(VLOOKUP(L17,BANCO_DRENAGEM!$L$2:$S$345,8,0),"")</f>
        <v>I</v>
      </c>
      <c r="M18" s="223" t="str">
        <f>IFERROR(VLOOKUP(M17,BANCO_DRENAGEM!$L$2:$S$345,8,0),"")</f>
        <v>I</v>
      </c>
      <c r="N18" s="223" t="str">
        <f>IFERROR(VLOOKUP(N17,BANCO_DRENAGEM!$L$2:$S$345,8,0),"")</f>
        <v>I</v>
      </c>
      <c r="O18" s="223" t="str">
        <f>IFERROR(VLOOKUP(O17,BANCO_DRENAGEM!$L$2:$S$345,8,0),"")</f>
        <v>I</v>
      </c>
      <c r="P18" s="223" t="str">
        <f>IFERROR(VLOOKUP(P17,BANCO_DRENAGEM!$L$2:$S$345,8,0),"")</f>
        <v>I</v>
      </c>
      <c r="Q18" s="223" t="str">
        <f>IFERROR(VLOOKUP(Q17,BANCO_DRENAGEM!$L$2:$S$345,8,0),"")</f>
        <v>I</v>
      </c>
      <c r="R18" s="223" t="str">
        <f>IFERROR(VLOOKUP(R17,BANCO_DRENAGEM!$L$2:$S$345,8,0),"")</f>
        <v>I</v>
      </c>
      <c r="S18" s="223" t="str">
        <f>IFERROR(VLOOKUP(S17,BANCO_DRENAGEM!$L$2:$S$345,8,0),"")</f>
        <v>I</v>
      </c>
      <c r="T18" s="223" t="str">
        <f>IFERROR(VLOOKUP(T17,BANCO_DRENAGEM!$L$2:$S$345,8,0),"")</f>
        <v>I</v>
      </c>
      <c r="U18" s="223" t="str">
        <f>IFERROR(VLOOKUP(U17,BANCO_DRENAGEM!$L$2:$S$345,8,0),"")</f>
        <v>I</v>
      </c>
      <c r="V18" s="223" t="str">
        <f>IFERROR(VLOOKUP(V17,BANCO_DRENAGEM!$L$2:$S$345,8,0),"")</f>
        <v>I</v>
      </c>
      <c r="W18" s="223" t="str">
        <f>IFERROR(VLOOKUP(W17,BANCO_DRENAGEM!$L$2:$S$345,8,0),"")</f>
        <v>I</v>
      </c>
      <c r="X18" s="223" t="str">
        <f>IFERROR(VLOOKUP(X17,BANCO_DRENAGEM!$L$2:$S$345,8,0),"")</f>
        <v>I</v>
      </c>
      <c r="Y18" s="223" t="str">
        <f>IFERROR(VLOOKUP(Y17,BANCO_DRENAGEM!$L$2:$S$345,8,0),"")</f>
        <v>I</v>
      </c>
      <c r="Z18" s="223" t="str">
        <f>IFERROR(VLOOKUP(Z17,BANCO_DRENAGEM!$L$2:$S$345,8,0),"")</f>
        <v>I</v>
      </c>
      <c r="AA18" s="223" t="str">
        <f>IFERROR(VLOOKUP(AA17,BANCO_DRENAGEM!$L$2:$S$345,8,0),"")</f>
        <v>I</v>
      </c>
      <c r="AB18" s="223" t="str">
        <f>IFERROR(VLOOKUP(AB17,BANCO_DRENAGEM!$L$2:$S$345,8,0),"")</f>
        <v>I</v>
      </c>
      <c r="AC18" s="223" t="str">
        <f>IFERROR(VLOOKUP(AC17,BANCO_DRENAGEM!$L$2:$S$345,8,0),"")</f>
        <v>I</v>
      </c>
      <c r="AD18" s="223" t="str">
        <f>IFERROR(VLOOKUP(AD17,BANCO_DRENAGEM!$L$2:$S$345,8,0),"")</f>
        <v>I</v>
      </c>
      <c r="AE18" s="223" t="str">
        <f>IFERROR(VLOOKUP(AE17,BANCO_DRENAGEM!$L$2:$S$345,8,0),"")</f>
        <v>I</v>
      </c>
      <c r="AF18" s="223" t="str">
        <f>IFERROR(VLOOKUP(AF17,BANCO_DRENAGEM!$L$2:$S$345,8,0),"")</f>
        <v>I</v>
      </c>
      <c r="AG18" s="223" t="str">
        <f>IFERROR(VLOOKUP(AG17,BANCO_DRENAGEM!$L$2:$S$345,8,0),"")</f>
        <v>I</v>
      </c>
      <c r="AH18" s="223" t="str">
        <f>IFERROR(VLOOKUP(AH17,BANCO_DRENAGEM!$L$2:$S$345,8,0),"")</f>
        <v/>
      </c>
      <c r="AI18" s="372"/>
    </row>
    <row r="19" spans="1:37" ht="21" hidden="1" customHeight="1" x14ac:dyDescent="0.3">
      <c r="A19" s="475"/>
      <c r="B19" s="472"/>
      <c r="C19" s="472"/>
      <c r="D19" s="472"/>
      <c r="E19" s="472"/>
      <c r="F19" s="473"/>
      <c r="G19" s="223" t="str">
        <f>IFERROR(VLOOKUP(G17,BANCO_DRENAGEM!$L$2:$S$345,7,0),"")</f>
        <v>REDE 01</v>
      </c>
      <c r="H19" s="223" t="str">
        <f>IFERROR(VLOOKUP(H17,BANCO_DRENAGEM!$L$2:$S$345,7,0),"")</f>
        <v>REDE 01</v>
      </c>
      <c r="I19" s="223" t="str">
        <f>IFERROR(VLOOKUP(I17,BANCO_DRENAGEM!$L$2:$S$345,7,0),"")</f>
        <v>REDE 01</v>
      </c>
      <c r="J19" s="223" t="str">
        <f>IFERROR(VLOOKUP(J17,BANCO_DRENAGEM!$L$2:$S$345,7,0),"")</f>
        <v>REDE 01</v>
      </c>
      <c r="K19" s="223" t="str">
        <f>IFERROR(VLOOKUP(K17,BANCO_DRENAGEM!$L$2:$S$345,7,0),"")</f>
        <v>REDE 01</v>
      </c>
      <c r="L19" s="223" t="str">
        <f>IFERROR(VLOOKUP(L17,BANCO_DRENAGEM!$L$2:$S$345,7,0),"")</f>
        <v>REDE 01</v>
      </c>
      <c r="M19" s="223" t="str">
        <f>IFERROR(VLOOKUP(M17,BANCO_DRENAGEM!$L$2:$S$345,7,0),"")</f>
        <v>REDE 01</v>
      </c>
      <c r="N19" s="223" t="str">
        <f>IFERROR(VLOOKUP(N17,BANCO_DRENAGEM!$L$2:$S$345,7,0),"")</f>
        <v>REDE 01</v>
      </c>
      <c r="O19" s="223" t="str">
        <f>IFERROR(VLOOKUP(O17,BANCO_DRENAGEM!$L$2:$S$345,7,0),"")</f>
        <v>REDE 01</v>
      </c>
      <c r="P19" s="223" t="str">
        <f>IFERROR(VLOOKUP(P17,BANCO_DRENAGEM!$L$2:$S$345,7,0),"")</f>
        <v>REDE 01</v>
      </c>
      <c r="Q19" s="223" t="str">
        <f>IFERROR(VLOOKUP(Q17,BANCO_DRENAGEM!$L$2:$S$345,7,0),"")</f>
        <v>REDE 01</v>
      </c>
      <c r="R19" s="223" t="str">
        <f>IFERROR(VLOOKUP(R17,BANCO_DRENAGEM!$L$2:$S$345,7,0),"")</f>
        <v>REDE 01</v>
      </c>
      <c r="S19" s="223" t="str">
        <f>IFERROR(VLOOKUP(S17,BANCO_DRENAGEM!$L$2:$S$345,7,0),"")</f>
        <v>REDE 01</v>
      </c>
      <c r="T19" s="223" t="str">
        <f>IFERROR(VLOOKUP(T17,BANCO_DRENAGEM!$L$2:$S$345,7,0),"")</f>
        <v>REDE 01</v>
      </c>
      <c r="U19" s="223" t="str">
        <f>IFERROR(VLOOKUP(U17,BANCO_DRENAGEM!$L$2:$S$345,7,0),"")</f>
        <v>REDE 02 - IMPLANTAÇÃO</v>
      </c>
      <c r="V19" s="223" t="str">
        <f>IFERROR(VLOOKUP(V17,BANCO_DRENAGEM!$L$2:$S$345,7,0),"")</f>
        <v>REDE 02 - IMPLANTAÇÃO</v>
      </c>
      <c r="W19" s="223" t="str">
        <f>IFERROR(VLOOKUP(W17,BANCO_DRENAGEM!$L$2:$S$345,7,0),"")</f>
        <v>REDE 02 - IMPLANTAÇÃO</v>
      </c>
      <c r="X19" s="223" t="str">
        <f>IFERROR(VLOOKUP(X17,BANCO_DRENAGEM!$L$2:$S$345,7,0),"")</f>
        <v>REDE 02 - IMPLANTAÇÃO</v>
      </c>
      <c r="Y19" s="223" t="str">
        <f>IFERROR(VLOOKUP(Y17,BANCO_DRENAGEM!$L$2:$S$345,7,0),"")</f>
        <v>REDE 02 - IMPLANTAÇÃO</v>
      </c>
      <c r="Z19" s="223" t="str">
        <f>IFERROR(VLOOKUP(Z17,BANCO_DRENAGEM!$L$2:$S$345,7,0),"")</f>
        <v>REDE 02 - IMPLANTAÇÃO</v>
      </c>
      <c r="AA19" s="223" t="str">
        <f>IFERROR(VLOOKUP(AA17,BANCO_DRENAGEM!$L$2:$S$345,7,0),"")</f>
        <v>REDE 02 - IMPLANTAÇÃO</v>
      </c>
      <c r="AB19" s="223" t="str">
        <f>IFERROR(VLOOKUP(AB17,BANCO_DRENAGEM!$L$2:$S$345,7,0),"")</f>
        <v>REDE 02 - IMPLANTAÇÃO</v>
      </c>
      <c r="AC19" s="223" t="str">
        <f>IFERROR(VLOOKUP(AC17,BANCO_DRENAGEM!$L$2:$S$345,7,0),"")</f>
        <v>REDE 02 - IMPLANTAÇÃO</v>
      </c>
      <c r="AD19" s="223" t="str">
        <f>IFERROR(VLOOKUP(AD17,BANCO_DRENAGEM!$L$2:$S$345,7,0),"")</f>
        <v>REDE 02 - IMPLANTAÇÃO</v>
      </c>
      <c r="AE19" s="223" t="str">
        <f>IFERROR(VLOOKUP(AE17,BANCO_DRENAGEM!$L$2:$S$345,7,0),"")</f>
        <v>REDE 02 - IMPLANTAÇÃO</v>
      </c>
      <c r="AF19" s="223" t="str">
        <f>IFERROR(VLOOKUP(AF17,BANCO_DRENAGEM!$L$2:$S$345,7,0),"")</f>
        <v>REDE 02 - IMPLANTAÇÃO</v>
      </c>
      <c r="AG19" s="223" t="str">
        <f>IFERROR(VLOOKUP(AG17,BANCO_DRENAGEM!$L$2:$S$345,7,0),"")</f>
        <v>REDE 02 - IMPLANTAÇÃO</v>
      </c>
      <c r="AH19" s="223" t="str">
        <f>IFERROR(VLOOKUP(AH17,BANCO_DRENAGEM!$L$2:$S$345,7,0),"")</f>
        <v/>
      </c>
      <c r="AI19" s="372"/>
    </row>
    <row r="20" spans="1:37" ht="15" customHeight="1" x14ac:dyDescent="0.3">
      <c r="A20" s="1084" t="s">
        <v>112</v>
      </c>
      <c r="B20" s="1083" t="s">
        <v>110</v>
      </c>
      <c r="C20" s="1083"/>
      <c r="D20" s="1083"/>
      <c r="E20" s="1083"/>
      <c r="F20" s="1083"/>
      <c r="G20" s="394" cm="1">
        <f t="array" ref="G20">IF(OR(LEFT(G17,6)="TRECHO",LEFT(G17,7)="RTRECHO"),INDEX(BANCO_DRENAGEM!$L$2:$AA$345,MATCH(G17&amp;G19&amp;G18,BANCO_DRENAGEM!$L$2:$L$345&amp;BANCO_DRENAGEM!$R$2:$R$345&amp;BANCO_DRENAGEM!$S$2:$S$345,0),3),IF(G17="BIGODE 40",SUMIFS(BANCO_DRENAGEM!$N$3:$N$345,BANCO_DRENAGEM!$T$3:$T$345,G17),IF(G17="RBIGODE 40",SUMIFS(BANCO_DRENAGEM!$N$3:$N$345,BANCO_DRENAGEM!$T$3:$T$345,G17),IF(G17="BIGODE 60",SUMIFS(BANCO_DRENAGEM!$N$3:$N$345,BANCO_DRENAGEM!$T$3:$T$345,G17)))))</f>
        <v>104.07695134604538</v>
      </c>
      <c r="H20" s="394" cm="1">
        <f t="array" ref="H20">IF(OR(LEFT(H17,6)="TRECHO",LEFT(H17,7)="RTRECHO"),INDEX(BANCO_DRENAGEM!$L$2:$AA$345,MATCH(H17&amp;H19&amp;H18,BANCO_DRENAGEM!$L$2:$L$345&amp;BANCO_DRENAGEM!$R$2:$R$345&amp;BANCO_DRENAGEM!$S$2:$S$345,0),3),IF(H17="BIGODE 40",SUMIFS(BANCO_DRENAGEM!$N$3:$N$345,BANCO_DRENAGEM!$T$3:$T$345,H17),IF(H17="RBIGODE 40",SUMIFS(BANCO_DRENAGEM!$N$3:$N$345,BANCO_DRENAGEM!$T$3:$T$345,H17),IF(H17="BIGODE 60",SUMIFS(BANCO_DRENAGEM!$N$3:$N$345,BANCO_DRENAGEM!$T$3:$T$345,H17)))))</f>
        <v>100.00124998988291</v>
      </c>
      <c r="I20" s="394" cm="1">
        <f t="array" ref="I20">IF(OR(LEFT(I17,6)="TRECHO",LEFT(I17,7)="RTRECHO"),INDEX(BANCO_DRENAGEM!$L$2:$AA$345,MATCH(I17&amp;I19&amp;I18,BANCO_DRENAGEM!$L$2:$L$345&amp;BANCO_DRENAGEM!$R$2:$R$345&amp;BANCO_DRENAGEM!$S$2:$S$345,0),3),IF(I17="BIGODE 40",SUMIFS(BANCO_DRENAGEM!$N$3:$N$345,BANCO_DRENAGEM!$T$3:$T$345,I17),IF(I17="RBIGODE 40",SUMIFS(BANCO_DRENAGEM!$N$3:$N$345,BANCO_DRENAGEM!$T$3:$T$345,I17),IF(I17="BIGODE 60",SUMIFS(BANCO_DRENAGEM!$N$3:$N$345,BANCO_DRENAGEM!$T$3:$T$345,I17)))))</f>
        <v>75.682252456145349</v>
      </c>
      <c r="J20" s="394" cm="1">
        <f t="array" ref="J20">IF(OR(LEFT(J17,6)="TRECHO",LEFT(J17,7)="RTRECHO"),INDEX(BANCO_DRENAGEM!$L$2:$AA$345,MATCH(J17&amp;J19&amp;J18,BANCO_DRENAGEM!$L$2:$L$345&amp;BANCO_DRENAGEM!$R$2:$R$345&amp;BANCO_DRENAGEM!$S$2:$S$345,0),3),IF(J17="BIGODE 40",SUMIFS(BANCO_DRENAGEM!$N$3:$N$345,BANCO_DRENAGEM!$T$3:$T$345,J17),IF(J17="RBIGODE 40",SUMIFS(BANCO_DRENAGEM!$N$3:$N$345,BANCO_DRENAGEM!$T$3:$T$345,J17),IF(J17="BIGODE 60",SUMIFS(BANCO_DRENAGEM!$N$3:$N$345,BANCO_DRENAGEM!$T$3:$T$345,J17)))))</f>
        <v>74.186027241059335</v>
      </c>
      <c r="K20" s="394" cm="1">
        <f t="array" ref="K20">IF(OR(LEFT(K17,6)="TRECHO",LEFT(K17,7)="RTRECHO"),INDEX(BANCO_DRENAGEM!$L$2:$AA$345,MATCH(K17&amp;K19&amp;K18,BANCO_DRENAGEM!$L$2:$L$345&amp;BANCO_DRENAGEM!$R$2:$R$345&amp;BANCO_DRENAGEM!$S$2:$S$345,0),3),IF(K17="BIGODE 40",SUMIFS(BANCO_DRENAGEM!$N$3:$N$345,BANCO_DRENAGEM!$T$3:$T$345,K17),IF(K17="RBIGODE 40",SUMIFS(BANCO_DRENAGEM!$N$3:$N$345,BANCO_DRENAGEM!$T$3:$T$345,K17),IF(K17="BIGODE 60",SUMIFS(BANCO_DRENAGEM!$N$3:$N$345,BANCO_DRENAGEM!$T$3:$T$345,K17)))))</f>
        <v>105.59711317333395</v>
      </c>
      <c r="L20" s="394" cm="1">
        <f t="array" ref="L20">IF(OR(LEFT(L17,6)="TRECHO",LEFT(L17,7)="RTRECHO"),INDEX(BANCO_DRENAGEM!$L$2:$AA$345,MATCH(L17&amp;L19&amp;L18,BANCO_DRENAGEM!$L$2:$L$345&amp;BANCO_DRENAGEM!$R$2:$R$345&amp;BANCO_DRENAGEM!$S$2:$S$345,0),3),IF(L17="BIGODE 40",SUMIFS(BANCO_DRENAGEM!$N$3:$N$345,BANCO_DRENAGEM!$T$3:$T$345,L17),IF(L17="RBIGODE 40",SUMIFS(BANCO_DRENAGEM!$N$3:$N$345,BANCO_DRENAGEM!$T$3:$T$345,L17),IF(L17="BIGODE 60",SUMIFS(BANCO_DRENAGEM!$N$3:$N$345,BANCO_DRENAGEM!$T$3:$T$345,L17)))))</f>
        <v>67.822457856286164</v>
      </c>
      <c r="M20" s="394" cm="1">
        <f t="array" ref="M20">IF(OR(LEFT(M17,6)="TRECHO",LEFT(M17,7)="RTRECHO"),INDEX(BANCO_DRENAGEM!$L$2:$AA$345,MATCH(M17&amp;M19&amp;M18,BANCO_DRENAGEM!$L$2:$L$345&amp;BANCO_DRENAGEM!$R$2:$R$345&amp;BANCO_DRENAGEM!$S$2:$S$345,0),3),IF(M17="BIGODE 40",SUMIFS(BANCO_DRENAGEM!$N$3:$N$345,BANCO_DRENAGEM!$T$3:$T$345,M17),IF(M17="RBIGODE 40",SUMIFS(BANCO_DRENAGEM!$N$3:$N$345,BANCO_DRENAGEM!$T$3:$T$345,M17),IF(M17="BIGODE 60",SUMIFS(BANCO_DRENAGEM!$N$3:$N$345,BANCO_DRENAGEM!$T$3:$T$345,M17)))))</f>
        <v>77.291469817183355</v>
      </c>
      <c r="N20" s="394" cm="1">
        <f t="array" ref="N20">IF(OR(LEFT(N17,6)="TRECHO",LEFT(N17,7)="RTRECHO"),INDEX(BANCO_DRENAGEM!$L$2:$AA$345,MATCH(N17&amp;N19&amp;N18,BANCO_DRENAGEM!$L$2:$L$345&amp;BANCO_DRENAGEM!$R$2:$R$345&amp;BANCO_DRENAGEM!$S$2:$S$345,0),3),IF(N17="BIGODE 40",SUMIFS(BANCO_DRENAGEM!$N$3:$N$345,BANCO_DRENAGEM!$T$3:$T$345,N17),IF(N17="RBIGODE 40",SUMIFS(BANCO_DRENAGEM!$N$3:$N$345,BANCO_DRENAGEM!$T$3:$T$345,N17),IF(N17="BIGODE 60",SUMIFS(BANCO_DRENAGEM!$N$3:$N$345,BANCO_DRENAGEM!$T$3:$T$345,N17)))))</f>
        <v>92.573076973220182</v>
      </c>
      <c r="O20" s="394" cm="1">
        <f t="array" ref="O20">IF(OR(LEFT(O17,6)="TRECHO",LEFT(O17,7)="RTRECHO"),INDEX(BANCO_DRENAGEM!$L$2:$AA$345,MATCH(O17&amp;O19&amp;O18,BANCO_DRENAGEM!$L$2:$L$345&amp;BANCO_DRENAGEM!$R$2:$R$345&amp;BANCO_DRENAGEM!$S$2:$S$345,0),3),IF(O17="BIGODE 40",SUMIFS(BANCO_DRENAGEM!$N$3:$N$345,BANCO_DRENAGEM!$T$3:$T$345,O17),IF(O17="RBIGODE 40",SUMIFS(BANCO_DRENAGEM!$N$3:$N$345,BANCO_DRENAGEM!$T$3:$T$345,O17),IF(O17="BIGODE 60",SUMIFS(BANCO_DRENAGEM!$N$3:$N$345,BANCO_DRENAGEM!$T$3:$T$345,O17)))))</f>
        <v>63.449029014396061</v>
      </c>
      <c r="P20" s="394" cm="1">
        <f t="array" ref="P20">IF(OR(LEFT(P17,6)="TRECHO",LEFT(P17,7)="RTRECHO"),INDEX(BANCO_DRENAGEM!$L$2:$AA$345,MATCH(P17&amp;P19&amp;P18,BANCO_DRENAGEM!$L$2:$L$345&amp;BANCO_DRENAGEM!$R$2:$R$345&amp;BANCO_DRENAGEM!$S$2:$S$345,0),3),IF(P17="BIGODE 40",SUMIFS(BANCO_DRENAGEM!$N$3:$N$345,BANCO_DRENAGEM!$T$3:$T$345,P17),IF(P17="RBIGODE 40",SUMIFS(BANCO_DRENAGEM!$N$3:$N$345,BANCO_DRENAGEM!$T$3:$T$345,P17),IF(P17="BIGODE 60",SUMIFS(BANCO_DRENAGEM!$N$3:$N$345,BANCO_DRENAGEM!$T$3:$T$345,P17)))))</f>
        <v>37.16153264359545</v>
      </c>
      <c r="Q20" s="394" cm="1">
        <f t="array" ref="Q20">IF(OR(LEFT(Q17,6)="TRECHO",LEFT(Q17,7)="RTRECHO"),INDEX(BANCO_DRENAGEM!$L$2:$AA$345,MATCH(Q17&amp;Q19&amp;Q18,BANCO_DRENAGEM!$L$2:$L$345&amp;BANCO_DRENAGEM!$R$2:$R$345&amp;BANCO_DRENAGEM!$S$2:$S$345,0),3),IF(Q17="BIGODE 40",SUMIFS(BANCO_DRENAGEM!$N$3:$N$345,BANCO_DRENAGEM!$T$3:$T$345,Q17),IF(Q17="RBIGODE 40",SUMIFS(BANCO_DRENAGEM!$N$3:$N$345,BANCO_DRENAGEM!$T$3:$T$345,Q17),IF(Q17="BIGODE 60",SUMIFS(BANCO_DRENAGEM!$N$3:$N$345,BANCO_DRENAGEM!$T$3:$T$345,Q17)))))</f>
        <v>18.741659678224813</v>
      </c>
      <c r="R20" s="394" cm="1">
        <f t="array" ref="R20">IF(OR(LEFT(R17,6)="TRECHO",LEFT(R17,7)="RTRECHO"),INDEX(BANCO_DRENAGEM!$L$2:$AA$345,MATCH(R17&amp;R19&amp;R18,BANCO_DRENAGEM!$L$2:$L$345&amp;BANCO_DRENAGEM!$R$2:$R$345&amp;BANCO_DRENAGEM!$S$2:$S$345,0),3),IF(R17="BIGODE 40",SUMIFS(BANCO_DRENAGEM!$N$3:$N$345,BANCO_DRENAGEM!$T$3:$T$345,R17),IF(R17="RBIGODE 40",SUMIFS(BANCO_DRENAGEM!$N$3:$N$345,BANCO_DRENAGEM!$T$3:$T$345,R17),IF(R17="BIGODE 60",SUMIFS(BANCO_DRENAGEM!$N$3:$N$345,BANCO_DRENAGEM!$T$3:$T$345,R17)))))</f>
        <v>18.016735576820516</v>
      </c>
      <c r="S20" s="394" cm="1">
        <f t="array" ref="S20">IF(OR(LEFT(S17,6)="TRECHO",LEFT(S17,7)="RTRECHO"),INDEX(BANCO_DRENAGEM!$L$2:$AA$345,MATCH(S17&amp;S19&amp;S18,BANCO_DRENAGEM!$L$2:$L$345&amp;BANCO_DRENAGEM!$R$2:$R$345&amp;BANCO_DRENAGEM!$S$2:$S$345,0),3),IF(S17="BIGODE 40",SUMIFS(BANCO_DRENAGEM!$N$3:$N$345,BANCO_DRENAGEM!$T$3:$T$345,S17),IF(S17="RBIGODE 40",SUMIFS(BANCO_DRENAGEM!$N$3:$N$345,BANCO_DRENAGEM!$T$3:$T$345,S17),IF(S17="BIGODE 60",SUMIFS(BANCO_DRENAGEM!$N$3:$N$345,BANCO_DRENAGEM!$T$3:$T$345,S17)))))</f>
        <v>9.2069482811286871</v>
      </c>
      <c r="T20" s="394" cm="1">
        <f t="array" ref="T20">IF(OR(LEFT(T17,6)="TRECHO",LEFT(T17,7)="RTRECHO"),INDEX(BANCO_DRENAGEM!$L$2:$AA$345,MATCH(T17&amp;T19&amp;T18,BANCO_DRENAGEM!$L$2:$L$345&amp;BANCO_DRENAGEM!$R$2:$R$345&amp;BANCO_DRENAGEM!$S$2:$S$345,0),3),IF(T17="BIGODE 40",SUMIFS(BANCO_DRENAGEM!$N$3:$N$345,BANCO_DRENAGEM!$T$3:$T$345,T17),IF(T17="RBIGODE 40",SUMIFS(BANCO_DRENAGEM!$N$3:$N$345,BANCO_DRENAGEM!$T$3:$T$345,T17),IF(T17="BIGODE 60",SUMIFS(BANCO_DRENAGEM!$N$3:$N$345,BANCO_DRENAGEM!$T$3:$T$345,T17)))))</f>
        <v>25.197350689401301</v>
      </c>
      <c r="U20" s="394" cm="1">
        <f t="array" ref="U20">IF(OR(LEFT(U17,6)="TRECHO",LEFT(U17,7)="RTRECHO"),INDEX(BANCO_DRENAGEM!$L$2:$AA$345,MATCH(U17&amp;U19&amp;U18,BANCO_DRENAGEM!$L$2:$L$345&amp;BANCO_DRENAGEM!$R$2:$R$345&amp;BANCO_DRENAGEM!$S$2:$S$345,0),3),IF(U17="BIGODE 40",SUMIFS(BANCO_DRENAGEM!$N$3:$N$345,BANCO_DRENAGEM!$T$3:$T$345,U17),IF(U17="RBIGODE 40",SUMIFS(BANCO_DRENAGEM!$N$3:$N$345,BANCO_DRENAGEM!$T$3:$T$345,U17),IF(U17="BIGODE 60",SUMIFS(BANCO_DRENAGEM!$N$3:$N$345,BANCO_DRENAGEM!$T$3:$T$345,U17)))))</f>
        <v>40.298617813790543</v>
      </c>
      <c r="V20" s="394" cm="1">
        <f t="array" ref="V20">IF(OR(LEFT(V17,6)="TRECHO",LEFT(V17,7)="RTRECHO"),INDEX(BANCO_DRENAGEM!$L$2:$AA$345,MATCH(V17&amp;V19&amp;V18,BANCO_DRENAGEM!$L$2:$L$345&amp;BANCO_DRENAGEM!$R$2:$R$345&amp;BANCO_DRENAGEM!$S$2:$S$345,0),3),IF(V17="BIGODE 40",SUMIFS(BANCO_DRENAGEM!$N$3:$N$345,BANCO_DRENAGEM!$T$3:$T$345,V17),IF(V17="RBIGODE 40",SUMIFS(BANCO_DRENAGEM!$N$3:$N$345,BANCO_DRENAGEM!$T$3:$T$345,V17),IF(V17="BIGODE 60",SUMIFS(BANCO_DRENAGEM!$N$3:$N$345,BANCO_DRENAGEM!$T$3:$T$345,V17)))))</f>
        <v>39.438931157359548</v>
      </c>
      <c r="W20" s="394" cm="1">
        <f t="array" ref="W20">IF(OR(LEFT(W17,6)="TRECHO",LEFT(W17,7)="RTRECHO"),INDEX(BANCO_DRENAGEM!$L$2:$AA$345,MATCH(W17&amp;W19&amp;W18,BANCO_DRENAGEM!$L$2:$L$345&amp;BANCO_DRENAGEM!$R$2:$R$345&amp;BANCO_DRENAGEM!$S$2:$S$345,0),3),IF(W17="BIGODE 40",SUMIFS(BANCO_DRENAGEM!$N$3:$N$345,BANCO_DRENAGEM!$T$3:$T$345,W17),IF(W17="RBIGODE 40",SUMIFS(BANCO_DRENAGEM!$N$3:$N$345,BANCO_DRENAGEM!$T$3:$T$345,W17),IF(W17="BIGODE 60",SUMIFS(BANCO_DRENAGEM!$N$3:$N$345,BANCO_DRENAGEM!$T$3:$T$345,W17)))))</f>
        <v>24.62086946550124</v>
      </c>
      <c r="X20" s="394" cm="1">
        <f t="array" ref="X20">IF(OR(LEFT(X17,6)="TRECHO",LEFT(X17,7)="RTRECHO"),INDEX(BANCO_DRENAGEM!$L$2:$AA$345,MATCH(X17&amp;X19&amp;X18,BANCO_DRENAGEM!$L$2:$L$345&amp;BANCO_DRENAGEM!$R$2:$R$345&amp;BANCO_DRENAGEM!$S$2:$S$345,0),3),IF(X17="BIGODE 40",SUMIFS(BANCO_DRENAGEM!$N$3:$N$345,BANCO_DRENAGEM!$T$3:$T$345,X17),IF(X17="RBIGODE 40",SUMIFS(BANCO_DRENAGEM!$N$3:$N$345,BANCO_DRENAGEM!$T$3:$T$345,X17),IF(X17="BIGODE 60",SUMIFS(BANCO_DRENAGEM!$N$3:$N$345,BANCO_DRENAGEM!$T$3:$T$345,X17)))))</f>
        <v>51.089150956595439</v>
      </c>
      <c r="Y20" s="394" cm="1">
        <f t="array" ref="Y20">IF(OR(LEFT(Y17,6)="TRECHO",LEFT(Y17,7)="RTRECHO"),INDEX(BANCO_DRENAGEM!$L$2:$AA$345,MATCH(Y17&amp;Y19&amp;Y18,BANCO_DRENAGEM!$L$2:$L$345&amp;BANCO_DRENAGEM!$R$2:$R$345&amp;BANCO_DRENAGEM!$S$2:$S$345,0),3),IF(Y17="BIGODE 40",SUMIFS(BANCO_DRENAGEM!$N$3:$N$345,BANCO_DRENAGEM!$T$3:$T$345,Y17),IF(Y17="RBIGODE 40",SUMIFS(BANCO_DRENAGEM!$N$3:$N$345,BANCO_DRENAGEM!$T$3:$T$345,Y17),IF(Y17="BIGODE 60",SUMIFS(BANCO_DRENAGEM!$N$3:$N$345,BANCO_DRENAGEM!$T$3:$T$345,Y17)))))</f>
        <v>55.624490112185782</v>
      </c>
      <c r="Z20" s="394" cm="1">
        <f t="array" ref="Z20">IF(OR(LEFT(Z17,6)="TRECHO",LEFT(Z17,7)="RTRECHO"),INDEX(BANCO_DRENAGEM!$L$2:$AA$345,MATCH(Z17&amp;Z19&amp;Z18,BANCO_DRENAGEM!$L$2:$L$345&amp;BANCO_DRENAGEM!$R$2:$R$345&amp;BANCO_DRENAGEM!$S$2:$S$345,0),3),IF(Z17="BIGODE 40",SUMIFS(BANCO_DRENAGEM!$N$3:$N$345,BANCO_DRENAGEM!$T$3:$T$345,Z17),IF(Z17="RBIGODE 40",SUMIFS(BANCO_DRENAGEM!$N$3:$N$345,BANCO_DRENAGEM!$T$3:$T$345,Z17),IF(Z17="BIGODE 60",SUMIFS(BANCO_DRENAGEM!$N$3:$N$345,BANCO_DRENAGEM!$T$3:$T$345,Z17)))))</f>
        <v>52.328189980666899</v>
      </c>
      <c r="AA20" s="394" cm="1">
        <f t="array" ref="AA20">IF(OR(LEFT(AA17,6)="TRECHO",LEFT(AA17,7)="RTRECHO"),INDEX(BANCO_DRENAGEM!$L$2:$AA$345,MATCH(AA17&amp;AA19&amp;AA18,BANCO_DRENAGEM!$L$2:$L$345&amp;BANCO_DRENAGEM!$R$2:$R$345&amp;BANCO_DRENAGEM!$S$2:$S$345,0),3),IF(AA17="BIGODE 40",SUMIFS(BANCO_DRENAGEM!$N$3:$N$345,BANCO_DRENAGEM!$T$3:$T$345,AA17),IF(AA17="RBIGODE 40",SUMIFS(BANCO_DRENAGEM!$N$3:$N$345,BANCO_DRENAGEM!$T$3:$T$345,AA17),IF(AA17="BIGODE 60",SUMIFS(BANCO_DRENAGEM!$N$3:$N$345,BANCO_DRENAGEM!$T$3:$T$345,AA17)))))</f>
        <v>40.007178138969365</v>
      </c>
      <c r="AB20" s="394" cm="1">
        <f t="array" ref="AB20">IF(OR(LEFT(AB17,6)="TRECHO",LEFT(AB17,7)="RTRECHO"),INDEX(BANCO_DRENAGEM!$L$2:$AA$345,MATCH(AB17&amp;AB19&amp;AB18,BANCO_DRENAGEM!$L$2:$L$345&amp;BANCO_DRENAGEM!$R$2:$R$345&amp;BANCO_DRENAGEM!$S$2:$S$345,0),3),IF(AB17="BIGODE 40",SUMIFS(BANCO_DRENAGEM!$N$3:$N$345,BANCO_DRENAGEM!$T$3:$T$345,AB17),IF(AB17="RBIGODE 40",SUMIFS(BANCO_DRENAGEM!$N$3:$N$345,BANCO_DRENAGEM!$T$3:$T$345,AB17),IF(AB17="BIGODE 60",SUMIFS(BANCO_DRENAGEM!$N$3:$N$345,BANCO_DRENAGEM!$T$3:$T$345,AB17)))))</f>
        <v>40.053036114200324</v>
      </c>
      <c r="AC20" s="394" cm="1">
        <f t="array" ref="AC20">IF(OR(LEFT(AC17,6)="TRECHO",LEFT(AC17,7)="RTRECHO"),INDEX(BANCO_DRENAGEM!$L$2:$AA$345,MATCH(AC17&amp;AC19&amp;AC18,BANCO_DRENAGEM!$L$2:$L$345&amp;BANCO_DRENAGEM!$R$2:$R$345&amp;BANCO_DRENAGEM!$S$2:$S$345,0),3),IF(AC17="BIGODE 40",SUMIFS(BANCO_DRENAGEM!$N$3:$N$345,BANCO_DRENAGEM!$T$3:$T$345,AC17),IF(AC17="RBIGODE 40",SUMIFS(BANCO_DRENAGEM!$N$3:$N$345,BANCO_DRENAGEM!$T$3:$T$345,AC17),IF(AC17="BIGODE 60",SUMIFS(BANCO_DRENAGEM!$N$3:$N$345,BANCO_DRENAGEM!$T$3:$T$345,AC17)))))</f>
        <v>30.42026797647711</v>
      </c>
      <c r="AD20" s="394" cm="1">
        <f t="array" ref="AD20">IF(OR(LEFT(AD17,6)="TRECHO",LEFT(AD17,7)="RTRECHO"),INDEX(BANCO_DRENAGEM!$L$2:$AA$345,MATCH(AD17&amp;AD19&amp;AD18,BANCO_DRENAGEM!$L$2:$L$345&amp;BANCO_DRENAGEM!$R$2:$R$345&amp;BANCO_DRENAGEM!$S$2:$S$345,0),3),IF(AD17="BIGODE 40",SUMIFS(BANCO_DRENAGEM!$N$3:$N$345,BANCO_DRENAGEM!$T$3:$T$345,AD17),IF(AD17="RBIGODE 40",SUMIFS(BANCO_DRENAGEM!$N$3:$N$345,BANCO_DRENAGEM!$T$3:$T$345,AD17),IF(AD17="BIGODE 60",SUMIFS(BANCO_DRENAGEM!$N$3:$N$345,BANCO_DRENAGEM!$T$3:$T$345,AD17)))))</f>
        <v>41.497854393647877</v>
      </c>
      <c r="AE20" s="394" cm="1">
        <f t="array" ref="AE20">IF(OR(LEFT(AE17,6)="TRECHO",LEFT(AE17,7)="RTRECHO"),INDEX(BANCO_DRENAGEM!$L$2:$AA$345,MATCH(AE17&amp;AE19&amp;AE18,BANCO_DRENAGEM!$L$2:$L$345&amp;BANCO_DRENAGEM!$R$2:$R$345&amp;BANCO_DRENAGEM!$S$2:$S$345,0),3),IF(AE17="BIGODE 40",SUMIFS(BANCO_DRENAGEM!$N$3:$N$345,BANCO_DRENAGEM!$T$3:$T$345,AE17),IF(AE17="RBIGODE 40",SUMIFS(BANCO_DRENAGEM!$N$3:$N$345,BANCO_DRENAGEM!$T$3:$T$345,AE17),IF(AE17="BIGODE 60",SUMIFS(BANCO_DRENAGEM!$N$3:$N$345,BANCO_DRENAGEM!$T$3:$T$345,AE17)))))</f>
        <v>40.020372368011294</v>
      </c>
      <c r="AF20" s="394" cm="1">
        <f t="array" ref="AF20">IF(OR(LEFT(AF17,6)="TRECHO",LEFT(AF17,7)="RTRECHO"),INDEX(BANCO_DRENAGEM!$L$2:$AA$345,MATCH(AF17&amp;AF19&amp;AF18,BANCO_DRENAGEM!$L$2:$L$345&amp;BANCO_DRENAGEM!$R$2:$R$345&amp;BANCO_DRENAGEM!$S$2:$S$345,0),3),IF(AF17="BIGODE 40",SUMIFS(BANCO_DRENAGEM!$N$3:$N$345,BANCO_DRENAGEM!$T$3:$T$345,AF17),IF(AF17="RBIGODE 40",SUMIFS(BANCO_DRENAGEM!$N$3:$N$345,BANCO_DRENAGEM!$T$3:$T$345,AF17),IF(AF17="BIGODE 60",SUMIFS(BANCO_DRENAGEM!$N$3:$N$345,BANCO_DRENAGEM!$T$3:$T$345,AF17)))))</f>
        <v>40.015252104471486</v>
      </c>
      <c r="AG20" s="394" cm="1">
        <f t="array" ref="AG20">IF(OR(LEFT(AG17,6)="TRECHO",LEFT(AG17,7)="RTRECHO"),INDEX(BANCO_DRENAGEM!$L$2:$AA$345,MATCH(AG17&amp;AG19&amp;AG18,BANCO_DRENAGEM!$L$2:$L$345&amp;BANCO_DRENAGEM!$R$2:$R$345&amp;BANCO_DRENAGEM!$S$2:$S$345,0),3),IF(AG17="BIGODE 40",SUMIFS(BANCO_DRENAGEM!$N$3:$N$345,BANCO_DRENAGEM!$T$3:$T$345,AG17),IF(AG17="RBIGODE 40",SUMIFS(BANCO_DRENAGEM!$N$3:$N$345,BANCO_DRENAGEM!$T$3:$T$345,AG17),IF(AG17="BIGODE 60",SUMIFS(BANCO_DRENAGEM!$N$3:$N$345,BANCO_DRENAGEM!$T$3:$T$345,AG17)))))</f>
        <v>40</v>
      </c>
      <c r="AH20" s="394" cm="1">
        <f t="array" ref="AH20">IF(OR(LEFT(AH17,6)="TRECHO",LEFT(AH17,7)="RTRECHO"),INDEX(BANCO_DRENAGEM!$L$2:$AA$345,MATCH(AH17&amp;AH19&amp;AH18,BANCO_DRENAGEM!$L$2:$L$345&amp;BANCO_DRENAGEM!$R$2:$R$345&amp;BANCO_DRENAGEM!$S$2:$S$345,0),3),IF(AH17="BIGODE 40",SUMIFS(BANCO_DRENAGEM!$N$3:$N$345,BANCO_DRENAGEM!$T$3:$T$345,AH17),IF(AH17="RBIGODE 40",SUMIFS(BANCO_DRENAGEM!$N$3:$N$345,BANCO_DRENAGEM!$T$3:$T$345,AH17),IF(AH17="BIGODE 60",SUMIFS(BANCO_DRENAGEM!$N$3:$N$345,BANCO_DRENAGEM!$T$3:$T$345,AH17)))))</f>
        <v>257.65824466617789</v>
      </c>
      <c r="AI20" s="383">
        <f>TRUNC(SUM(G20:AH20),2)</f>
        <v>1662.07</v>
      </c>
    </row>
    <row r="21" spans="1:37" ht="15" customHeight="1" x14ac:dyDescent="0.3">
      <c r="A21" s="1085"/>
      <c r="B21" s="1083" t="s">
        <v>113</v>
      </c>
      <c r="C21" s="1083"/>
      <c r="D21" s="1083"/>
      <c r="E21" s="1083"/>
      <c r="F21" s="1083"/>
      <c r="G21" s="395">
        <f>G20+G22</f>
        <v>104.07695134604538</v>
      </c>
      <c r="H21" s="395">
        <f>H20+H22</f>
        <v>100.00124998988291</v>
      </c>
      <c r="I21" s="395">
        <f>I20+I22</f>
        <v>75.682252456145349</v>
      </c>
      <c r="J21" s="395">
        <f>J20+J22</f>
        <v>74.186027241059335</v>
      </c>
      <c r="K21" s="395">
        <f>K20+K22</f>
        <v>105.59711317333395</v>
      </c>
      <c r="L21" s="395">
        <f t="shared" ref="L21:T21" si="0">L20+L22</f>
        <v>67.822457856286164</v>
      </c>
      <c r="M21" s="395">
        <f t="shared" si="0"/>
        <v>77.291469817183355</v>
      </c>
      <c r="N21" s="395">
        <f t="shared" si="0"/>
        <v>92.573076973220182</v>
      </c>
      <c r="O21" s="395">
        <f t="shared" si="0"/>
        <v>63.449029014396061</v>
      </c>
      <c r="P21" s="395">
        <f t="shared" si="0"/>
        <v>37.16153264359545</v>
      </c>
      <c r="Q21" s="395">
        <f t="shared" si="0"/>
        <v>18.741659678224813</v>
      </c>
      <c r="R21" s="395">
        <f t="shared" si="0"/>
        <v>18.016735576820516</v>
      </c>
      <c r="S21" s="395">
        <f t="shared" si="0"/>
        <v>9.2069482811286871</v>
      </c>
      <c r="T21" s="395">
        <f t="shared" si="0"/>
        <v>25.197350689401301</v>
      </c>
      <c r="U21" s="395">
        <f t="shared" ref="U21:AF21" si="1">U20+U22</f>
        <v>40.298617813790543</v>
      </c>
      <c r="V21" s="395">
        <f t="shared" si="1"/>
        <v>39.438931157359548</v>
      </c>
      <c r="W21" s="395">
        <f t="shared" si="1"/>
        <v>24.62086946550124</v>
      </c>
      <c r="X21" s="395">
        <f t="shared" si="1"/>
        <v>51.089150956595439</v>
      </c>
      <c r="Y21" s="395">
        <f t="shared" si="1"/>
        <v>55.624490112185782</v>
      </c>
      <c r="Z21" s="395">
        <f t="shared" si="1"/>
        <v>52.328189980666899</v>
      </c>
      <c r="AA21" s="395">
        <f t="shared" si="1"/>
        <v>40.007178138969365</v>
      </c>
      <c r="AB21" s="395">
        <f t="shared" si="1"/>
        <v>40.053036114200324</v>
      </c>
      <c r="AC21" s="395">
        <f t="shared" si="1"/>
        <v>30.42026797647711</v>
      </c>
      <c r="AD21" s="395">
        <f t="shared" si="1"/>
        <v>41.497854393647877</v>
      </c>
      <c r="AE21" s="395">
        <f t="shared" si="1"/>
        <v>40.020372368011294</v>
      </c>
      <c r="AF21" s="395">
        <f t="shared" si="1"/>
        <v>40.015252104471486</v>
      </c>
      <c r="AG21" s="395">
        <f>AG20+AG22</f>
        <v>40</v>
      </c>
      <c r="AH21" s="395">
        <f>AH20+AH22</f>
        <v>257.65824466617789</v>
      </c>
      <c r="AI21" s="396">
        <f>TRUNC(SUM(G21:AH21),2)</f>
        <v>1662.07</v>
      </c>
    </row>
    <row r="22" spans="1:37" ht="15" customHeight="1" x14ac:dyDescent="0.3">
      <c r="A22" s="1085"/>
      <c r="B22" s="1083" t="s">
        <v>111</v>
      </c>
      <c r="C22" s="1083"/>
      <c r="D22" s="1083"/>
      <c r="E22" s="1083"/>
      <c r="F22" s="1083"/>
      <c r="G22" s="394"/>
      <c r="H22" s="394"/>
      <c r="I22" s="394"/>
      <c r="J22" s="394"/>
      <c r="K22" s="394"/>
      <c r="L22" s="394"/>
      <c r="M22" s="394"/>
      <c r="N22" s="394"/>
      <c r="O22" s="394"/>
      <c r="P22" s="394"/>
      <c r="Q22" s="394"/>
      <c r="R22" s="394"/>
      <c r="S22" s="394"/>
      <c r="T22" s="394"/>
      <c r="U22" s="394"/>
      <c r="V22" s="394"/>
      <c r="W22" s="394"/>
      <c r="X22" s="394"/>
      <c r="Y22" s="394"/>
      <c r="Z22" s="394"/>
      <c r="AA22" s="394"/>
      <c r="AB22" s="394"/>
      <c r="AC22" s="394"/>
      <c r="AD22" s="394"/>
      <c r="AE22" s="394"/>
      <c r="AF22" s="394"/>
      <c r="AG22" s="394"/>
      <c r="AH22" s="394"/>
      <c r="AI22" s="383">
        <f>TRUNC(SUM(G22:AH22),2)</f>
        <v>0</v>
      </c>
    </row>
    <row r="23" spans="1:37" ht="15" customHeight="1" x14ac:dyDescent="0.3">
      <c r="A23" s="1085"/>
      <c r="B23" s="1083" t="s">
        <v>370</v>
      </c>
      <c r="C23" s="1083"/>
      <c r="D23" s="1083"/>
      <c r="E23" s="1083"/>
      <c r="F23" s="1083"/>
      <c r="G23" s="395">
        <f>G21*0.3</f>
        <v>31.223085403813613</v>
      </c>
      <c r="H23" s="395">
        <f>H21*0.3</f>
        <v>30.000374996964872</v>
      </c>
      <c r="I23" s="395">
        <f>I21*0.3</f>
        <v>22.704675736843605</v>
      </c>
      <c r="J23" s="395">
        <f>J21*0.3</f>
        <v>22.255808172317799</v>
      </c>
      <c r="K23" s="395">
        <f>K21*0.3</f>
        <v>31.679133952000186</v>
      </c>
      <c r="L23" s="395">
        <f t="shared" ref="L23:T23" si="2">L21*0.3</f>
        <v>20.34673735688585</v>
      </c>
      <c r="M23" s="395">
        <f t="shared" si="2"/>
        <v>23.187440945155007</v>
      </c>
      <c r="N23" s="395">
        <f t="shared" si="2"/>
        <v>27.771923091966055</v>
      </c>
      <c r="O23" s="395">
        <f t="shared" si="2"/>
        <v>19.034708704318817</v>
      </c>
      <c r="P23" s="395">
        <f t="shared" si="2"/>
        <v>11.148459793078635</v>
      </c>
      <c r="Q23" s="395">
        <f t="shared" si="2"/>
        <v>5.622497903467444</v>
      </c>
      <c r="R23" s="395">
        <f t="shared" si="2"/>
        <v>5.4050206730461543</v>
      </c>
      <c r="S23" s="395">
        <f t="shared" si="2"/>
        <v>2.7620844843386059</v>
      </c>
      <c r="T23" s="395">
        <f t="shared" si="2"/>
        <v>7.5592052068203897</v>
      </c>
      <c r="U23" s="395">
        <f t="shared" ref="U23:AF23" si="3">U21*0.3</f>
        <v>12.089585344137163</v>
      </c>
      <c r="V23" s="395">
        <f t="shared" si="3"/>
        <v>11.831679347207864</v>
      </c>
      <c r="W23" s="395">
        <f t="shared" si="3"/>
        <v>7.3862608396503715</v>
      </c>
      <c r="X23" s="395">
        <f t="shared" si="3"/>
        <v>15.326745286978632</v>
      </c>
      <c r="Y23" s="395">
        <f t="shared" si="3"/>
        <v>16.687347033655733</v>
      </c>
      <c r="Z23" s="395">
        <f t="shared" si="3"/>
        <v>15.698456994200068</v>
      </c>
      <c r="AA23" s="395">
        <f t="shared" si="3"/>
        <v>12.00215344169081</v>
      </c>
      <c r="AB23" s="395">
        <f t="shared" si="3"/>
        <v>12.015910834260097</v>
      </c>
      <c r="AC23" s="395">
        <f t="shared" si="3"/>
        <v>9.1260803929431322</v>
      </c>
      <c r="AD23" s="395">
        <f t="shared" si="3"/>
        <v>12.449356318094363</v>
      </c>
      <c r="AE23" s="395">
        <f t="shared" si="3"/>
        <v>12.006111710403388</v>
      </c>
      <c r="AF23" s="395">
        <f t="shared" si="3"/>
        <v>12.004575631341446</v>
      </c>
      <c r="AG23" s="395">
        <f>AG21*0.3</f>
        <v>12</v>
      </c>
      <c r="AH23" s="395">
        <f>AH21*0.3</f>
        <v>77.297473399853359</v>
      </c>
      <c r="AI23" s="396">
        <f>TRUNC(SUM(G23:AH23),2)</f>
        <v>498.62</v>
      </c>
    </row>
    <row r="24" spans="1:37" ht="15" customHeight="1" x14ac:dyDescent="0.3">
      <c r="A24" s="1085"/>
      <c r="B24" s="1083" t="s">
        <v>4</v>
      </c>
      <c r="C24" s="1083"/>
      <c r="D24" s="1083"/>
      <c r="E24" s="1083"/>
      <c r="F24" s="1083"/>
      <c r="G24" s="397">
        <v>1</v>
      </c>
      <c r="H24" s="397">
        <v>1</v>
      </c>
      <c r="I24" s="397">
        <v>1</v>
      </c>
      <c r="J24" s="397">
        <v>1</v>
      </c>
      <c r="K24" s="397">
        <v>1</v>
      </c>
      <c r="L24" s="397">
        <v>1</v>
      </c>
      <c r="M24" s="397">
        <v>1</v>
      </c>
      <c r="N24" s="397">
        <v>1</v>
      </c>
      <c r="O24" s="397">
        <v>1</v>
      </c>
      <c r="P24" s="397">
        <v>1</v>
      </c>
      <c r="Q24" s="397">
        <v>1</v>
      </c>
      <c r="R24" s="397">
        <v>1</v>
      </c>
      <c r="S24" s="397">
        <v>1</v>
      </c>
      <c r="T24" s="397">
        <v>1</v>
      </c>
      <c r="U24" s="397">
        <v>1</v>
      </c>
      <c r="V24" s="397">
        <v>1</v>
      </c>
      <c r="W24" s="397">
        <v>1</v>
      </c>
      <c r="X24" s="397">
        <v>1</v>
      </c>
      <c r="Y24" s="397">
        <v>1</v>
      </c>
      <c r="Z24" s="397">
        <v>1</v>
      </c>
      <c r="AA24" s="397">
        <v>1</v>
      </c>
      <c r="AB24" s="397">
        <v>1</v>
      </c>
      <c r="AC24" s="397">
        <v>1</v>
      </c>
      <c r="AD24" s="397">
        <v>1</v>
      </c>
      <c r="AE24" s="397">
        <v>1</v>
      </c>
      <c r="AF24" s="397">
        <v>1</v>
      </c>
      <c r="AG24" s="397">
        <v>1</v>
      </c>
      <c r="AH24" s="397">
        <v>1</v>
      </c>
      <c r="AI24" s="398"/>
    </row>
    <row r="25" spans="1:37" ht="15" customHeight="1" x14ac:dyDescent="0.3">
      <c r="A25" s="1085"/>
      <c r="B25" s="1083" t="s">
        <v>30</v>
      </c>
      <c r="C25" s="1083"/>
      <c r="D25" s="1083"/>
      <c r="E25" s="1083"/>
      <c r="F25" s="1083"/>
      <c r="G25" s="394" cm="1">
        <f t="array" ref="G25">IF(OR(LEFT(G17,6)="TRECHO",LEFT(G17,7)="RTRECHO"),INDEX(BANCO_DRENAGEM!$L$2:$AA$345,MATCH(G17&amp;G19&amp;G18,BANCO_DRENAGEM!$L$2:$L$345&amp;BANCO_DRENAGEM!$R$2:$R$345&amp;BANCO_DRENAGEM!$S$2:$S$345,0),2),IF(G17="BIGODE 40",SUMIFS(BANCO_DRENAGEM!$N$3:$N$345,BANCO_DRENAGEM!$T$3:$T$345,G17),IF(G17="RBIGODE 40",SUMIFS(BANCO_DRENAGEM!$N$3:$N$345,BANCO_DRENAGEM!$T$3:$T$345,G17),IF(G17="BIGODE 60",SUMIFS(BANCO_DRENAGEM!$N$3:$N$345,BANCO_DRENAGEM!$T$3:$T$345,G17)))))/1000</f>
        <v>0.8</v>
      </c>
      <c r="H25" s="394" cm="1">
        <f t="array" ref="H25">IF(OR(LEFT(H17,6)="TRECHO",LEFT(H17,7)="RTRECHO"),INDEX(BANCO_DRENAGEM!$L$2:$AA$345,MATCH(H17&amp;H19&amp;H18,BANCO_DRENAGEM!$L$2:$L$345&amp;BANCO_DRENAGEM!$R$2:$R$345&amp;BANCO_DRENAGEM!$S$2:$S$345,0),2),IF(H17="BIGODE 40",SUMIFS(BANCO_DRENAGEM!$N$3:$N$345,BANCO_DRENAGEM!$T$3:$T$345,H17),IF(H17="RBIGODE 40",SUMIFS(BANCO_DRENAGEM!$N$3:$N$345,BANCO_DRENAGEM!$T$3:$T$345,H17),IF(H17="BIGODE 60",SUMIFS(BANCO_DRENAGEM!$N$3:$N$345,BANCO_DRENAGEM!$T$3:$T$345,H17)))))/1000</f>
        <v>0.8</v>
      </c>
      <c r="I25" s="394" cm="1">
        <f t="array" ref="I25">IF(OR(LEFT(I17,6)="TRECHO",LEFT(I17,7)="RTRECHO"),INDEX(BANCO_DRENAGEM!$L$2:$AA$345,MATCH(I17&amp;I19&amp;I18,BANCO_DRENAGEM!$L$2:$L$345&amp;BANCO_DRENAGEM!$R$2:$R$345&amp;BANCO_DRENAGEM!$S$2:$S$345,0),2),IF(I17="BIGODE 40",SUMIFS(BANCO_DRENAGEM!$N$3:$N$345,BANCO_DRENAGEM!$T$3:$T$345,I17),IF(I17="RBIGODE 40",SUMIFS(BANCO_DRENAGEM!$N$3:$N$345,BANCO_DRENAGEM!$T$3:$T$345,I17),IF(I17="BIGODE 60",SUMIFS(BANCO_DRENAGEM!$N$3:$N$345,BANCO_DRENAGEM!$T$3:$T$345,I17)))))/1000</f>
        <v>0.8</v>
      </c>
      <c r="J25" s="394" cm="1">
        <f t="array" ref="J25">IF(OR(LEFT(J17,6)="TRECHO",LEFT(J17,7)="RTRECHO"),INDEX(BANCO_DRENAGEM!$L$2:$AA$345,MATCH(J17&amp;J19&amp;J18,BANCO_DRENAGEM!$L$2:$L$345&amp;BANCO_DRENAGEM!$R$2:$R$345&amp;BANCO_DRENAGEM!$S$2:$S$345,0),2),IF(J17="BIGODE 40",SUMIFS(BANCO_DRENAGEM!$N$3:$N$345,BANCO_DRENAGEM!$T$3:$T$345,J17),IF(J17="RBIGODE 40",SUMIFS(BANCO_DRENAGEM!$N$3:$N$345,BANCO_DRENAGEM!$T$3:$T$345,J17),IF(J17="BIGODE 60",SUMIFS(BANCO_DRENAGEM!$N$3:$N$345,BANCO_DRENAGEM!$T$3:$T$345,J17)))))/1000</f>
        <v>0.8</v>
      </c>
      <c r="K25" s="394" cm="1">
        <f t="array" ref="K25">IF(OR(LEFT(K17,6)="TRECHO",LEFT(K17,7)="RTRECHO"),INDEX(BANCO_DRENAGEM!$L$2:$AA$345,MATCH(K17&amp;K19&amp;K18,BANCO_DRENAGEM!$L$2:$L$345&amp;BANCO_DRENAGEM!$R$2:$R$345&amp;BANCO_DRENAGEM!$S$2:$S$345,0),2),IF(K17="BIGODE 40",SUMIFS(BANCO_DRENAGEM!$N$3:$N$345,BANCO_DRENAGEM!$T$3:$T$345,K17),IF(K17="RBIGODE 40",SUMIFS(BANCO_DRENAGEM!$N$3:$N$345,BANCO_DRENAGEM!$T$3:$T$345,K17),IF(K17="BIGODE 60",SUMIFS(BANCO_DRENAGEM!$N$3:$N$345,BANCO_DRENAGEM!$T$3:$T$345,K17)))))/1000</f>
        <v>0.8</v>
      </c>
      <c r="L25" s="394" cm="1">
        <f t="array" ref="L25">IF(OR(LEFT(L17,6)="TRECHO",LEFT(L17,7)="RTRECHO"),INDEX(BANCO_DRENAGEM!$L$2:$AA$345,MATCH(L17&amp;L19&amp;L18,BANCO_DRENAGEM!$L$2:$L$345&amp;BANCO_DRENAGEM!$R$2:$R$345&amp;BANCO_DRENAGEM!$S$2:$S$345,0),2),IF(L17="BIGODE 40",SUMIFS(BANCO_DRENAGEM!$N$3:$N$345,BANCO_DRENAGEM!$T$3:$T$345,L17),IF(L17="RBIGODE 40",SUMIFS(BANCO_DRENAGEM!$N$3:$N$345,BANCO_DRENAGEM!$T$3:$T$345,L17),IF(L17="BIGODE 60",SUMIFS(BANCO_DRENAGEM!$N$3:$N$345,BANCO_DRENAGEM!$T$3:$T$345,L17)))))/1000</f>
        <v>0.8</v>
      </c>
      <c r="M25" s="394" cm="1">
        <f t="array" ref="M25">IF(OR(LEFT(M17,6)="TRECHO",LEFT(M17,7)="RTRECHO"),INDEX(BANCO_DRENAGEM!$L$2:$AA$345,MATCH(M17&amp;M19&amp;M18,BANCO_DRENAGEM!$L$2:$L$345&amp;BANCO_DRENAGEM!$R$2:$R$345&amp;BANCO_DRENAGEM!$S$2:$S$345,0),2),IF(M17="BIGODE 40",SUMIFS(BANCO_DRENAGEM!$N$3:$N$345,BANCO_DRENAGEM!$T$3:$T$345,M17),IF(M17="RBIGODE 40",SUMIFS(BANCO_DRENAGEM!$N$3:$N$345,BANCO_DRENAGEM!$T$3:$T$345,M17),IF(M17="BIGODE 60",SUMIFS(BANCO_DRENAGEM!$N$3:$N$345,BANCO_DRENAGEM!$T$3:$T$345,M17)))))/1000</f>
        <v>0.8</v>
      </c>
      <c r="N25" s="394" cm="1">
        <f t="array" ref="N25">IF(OR(LEFT(N17,6)="TRECHO",LEFT(N17,7)="RTRECHO"),INDEX(BANCO_DRENAGEM!$L$2:$AA$345,MATCH(N17&amp;N19&amp;N18,BANCO_DRENAGEM!$L$2:$L$345&amp;BANCO_DRENAGEM!$R$2:$R$345&amp;BANCO_DRENAGEM!$S$2:$S$345,0),2),IF(N17="BIGODE 40",SUMIFS(BANCO_DRENAGEM!$N$3:$N$345,BANCO_DRENAGEM!$T$3:$T$345,N17),IF(N17="RBIGODE 40",SUMIFS(BANCO_DRENAGEM!$N$3:$N$345,BANCO_DRENAGEM!$T$3:$T$345,N17),IF(N17="BIGODE 60",SUMIFS(BANCO_DRENAGEM!$N$3:$N$345,BANCO_DRENAGEM!$T$3:$T$345,N17)))))/1000</f>
        <v>0.8</v>
      </c>
      <c r="O25" s="394" cm="1">
        <f t="array" ref="O25">IF(OR(LEFT(O17,6)="TRECHO",LEFT(O17,7)="RTRECHO"),INDEX(BANCO_DRENAGEM!$L$2:$AA$345,MATCH(O17&amp;O19&amp;O18,BANCO_DRENAGEM!$L$2:$L$345&amp;BANCO_DRENAGEM!$R$2:$R$345&amp;BANCO_DRENAGEM!$S$2:$S$345,0),2),IF(O17="BIGODE 40",SUMIFS(BANCO_DRENAGEM!$N$3:$N$345,BANCO_DRENAGEM!$T$3:$T$345,O17),IF(O17="RBIGODE 40",SUMIFS(BANCO_DRENAGEM!$N$3:$N$345,BANCO_DRENAGEM!$T$3:$T$345,O17),IF(O17="BIGODE 60",SUMIFS(BANCO_DRENAGEM!$N$3:$N$345,BANCO_DRENAGEM!$T$3:$T$345,O17)))))/1000</f>
        <v>0.8</v>
      </c>
      <c r="P25" s="394" cm="1">
        <f t="array" ref="P25">IF(OR(LEFT(P17,6)="TRECHO",LEFT(P17,7)="RTRECHO"),INDEX(BANCO_DRENAGEM!$L$2:$AA$345,MATCH(P17&amp;P19&amp;P18,BANCO_DRENAGEM!$L$2:$L$345&amp;BANCO_DRENAGEM!$R$2:$R$345&amp;BANCO_DRENAGEM!$S$2:$S$345,0),2),IF(P17="BIGODE 40",SUMIFS(BANCO_DRENAGEM!$N$3:$N$345,BANCO_DRENAGEM!$T$3:$T$345,P17),IF(P17="RBIGODE 40",SUMIFS(BANCO_DRENAGEM!$N$3:$N$345,BANCO_DRENAGEM!$T$3:$T$345,P17),IF(P17="BIGODE 60",SUMIFS(BANCO_DRENAGEM!$N$3:$N$345,BANCO_DRENAGEM!$T$3:$T$345,P17)))))/1000</f>
        <v>0.8</v>
      </c>
      <c r="Q25" s="394" cm="1">
        <f t="array" ref="Q25">IF(OR(LEFT(Q17,6)="TRECHO",LEFT(Q17,7)="RTRECHO"),INDEX(BANCO_DRENAGEM!$L$2:$AA$345,MATCH(Q17&amp;Q19&amp;Q18,BANCO_DRENAGEM!$L$2:$L$345&amp;BANCO_DRENAGEM!$R$2:$R$345&amp;BANCO_DRENAGEM!$S$2:$S$345,0),2),IF(Q17="BIGODE 40",SUMIFS(BANCO_DRENAGEM!$N$3:$N$345,BANCO_DRENAGEM!$T$3:$T$345,Q17),IF(Q17="RBIGODE 40",SUMIFS(BANCO_DRENAGEM!$N$3:$N$345,BANCO_DRENAGEM!$T$3:$T$345,Q17),IF(Q17="BIGODE 60",SUMIFS(BANCO_DRENAGEM!$N$3:$N$345,BANCO_DRENAGEM!$T$3:$T$345,Q17)))))/1000</f>
        <v>0.6</v>
      </c>
      <c r="R25" s="394" cm="1">
        <f t="array" ref="R25">IF(OR(LEFT(R17,6)="TRECHO",LEFT(R17,7)="RTRECHO"),INDEX(BANCO_DRENAGEM!$L$2:$AA$345,MATCH(R17&amp;R19&amp;R18,BANCO_DRENAGEM!$L$2:$L$345&amp;BANCO_DRENAGEM!$R$2:$R$345&amp;BANCO_DRENAGEM!$S$2:$S$345,0),2),IF(R17="BIGODE 40",SUMIFS(BANCO_DRENAGEM!$N$3:$N$345,BANCO_DRENAGEM!$T$3:$T$345,R17),IF(R17="RBIGODE 40",SUMIFS(BANCO_DRENAGEM!$N$3:$N$345,BANCO_DRENAGEM!$T$3:$T$345,R17),IF(R17="BIGODE 60",SUMIFS(BANCO_DRENAGEM!$N$3:$N$345,BANCO_DRENAGEM!$T$3:$T$345,R17)))))/1000</f>
        <v>0.6</v>
      </c>
      <c r="S25" s="394" cm="1">
        <f t="array" ref="S25">IF(OR(LEFT(S17,6)="TRECHO",LEFT(S17,7)="RTRECHO"),INDEX(BANCO_DRENAGEM!$L$2:$AA$345,MATCH(S17&amp;S19&amp;S18,BANCO_DRENAGEM!$L$2:$L$345&amp;BANCO_DRENAGEM!$R$2:$R$345&amp;BANCO_DRENAGEM!$S$2:$S$345,0),2),IF(S17="BIGODE 40",SUMIFS(BANCO_DRENAGEM!$N$3:$N$345,BANCO_DRENAGEM!$T$3:$T$345,S17),IF(S17="RBIGODE 40",SUMIFS(BANCO_DRENAGEM!$N$3:$N$345,BANCO_DRENAGEM!$T$3:$T$345,S17),IF(S17="BIGODE 60",SUMIFS(BANCO_DRENAGEM!$N$3:$N$345,BANCO_DRENAGEM!$T$3:$T$345,S17)))))/1000</f>
        <v>0.6</v>
      </c>
      <c r="T25" s="394" cm="1">
        <f t="array" ref="T25">IF(OR(LEFT(T17,6)="TRECHO",LEFT(T17,7)="RTRECHO"),INDEX(BANCO_DRENAGEM!$L$2:$AA$345,MATCH(T17&amp;T19&amp;T18,BANCO_DRENAGEM!$L$2:$L$345&amp;BANCO_DRENAGEM!$R$2:$R$345&amp;BANCO_DRENAGEM!$S$2:$S$345,0),2),IF(T17="BIGODE 40",SUMIFS(BANCO_DRENAGEM!$N$3:$N$345,BANCO_DRENAGEM!$T$3:$T$345,T17),IF(T17="RBIGODE 40",SUMIFS(BANCO_DRENAGEM!$N$3:$N$345,BANCO_DRENAGEM!$T$3:$T$345,T17),IF(T17="BIGODE 60",SUMIFS(BANCO_DRENAGEM!$N$3:$N$345,BANCO_DRENAGEM!$T$3:$T$345,T17)))))/1000</f>
        <v>0.6</v>
      </c>
      <c r="U25" s="394" cm="1">
        <f t="array" ref="U25">IF(OR(LEFT(U17,6)="TRECHO",LEFT(U17,7)="RTRECHO"),INDEX(BANCO_DRENAGEM!$L$2:$AA$345,MATCH(U17&amp;U19&amp;U18,BANCO_DRENAGEM!$L$2:$L$345&amp;BANCO_DRENAGEM!$R$2:$R$345&amp;BANCO_DRENAGEM!$S$2:$S$345,0),2),IF(U17="BIGODE 40",SUMIFS(BANCO_DRENAGEM!$N$3:$N$345,BANCO_DRENAGEM!$T$3:$T$345,U17),IF(U17="RBIGODE 40",SUMIFS(BANCO_DRENAGEM!$N$3:$N$345,BANCO_DRENAGEM!$T$3:$T$345,U17),IF(U17="BIGODE 60",SUMIFS(BANCO_DRENAGEM!$N$3:$N$345,BANCO_DRENAGEM!$T$3:$T$345,U17)))))/1000</f>
        <v>0.6</v>
      </c>
      <c r="V25" s="394" cm="1">
        <f t="array" ref="V25">IF(OR(LEFT(V17,6)="TRECHO",LEFT(V17,7)="RTRECHO"),INDEX(BANCO_DRENAGEM!$L$2:$AA$345,MATCH(V17&amp;V19&amp;V18,BANCO_DRENAGEM!$L$2:$L$345&amp;BANCO_DRENAGEM!$R$2:$R$345&amp;BANCO_DRENAGEM!$S$2:$S$345,0),2),IF(V17="BIGODE 40",SUMIFS(BANCO_DRENAGEM!$N$3:$N$345,BANCO_DRENAGEM!$T$3:$T$345,V17),IF(V17="RBIGODE 40",SUMIFS(BANCO_DRENAGEM!$N$3:$N$345,BANCO_DRENAGEM!$T$3:$T$345,V17),IF(V17="BIGODE 60",SUMIFS(BANCO_DRENAGEM!$N$3:$N$345,BANCO_DRENAGEM!$T$3:$T$345,V17)))))/1000</f>
        <v>0.6</v>
      </c>
      <c r="W25" s="394" cm="1">
        <f t="array" ref="W25">IF(OR(LEFT(W17,6)="TRECHO",LEFT(W17,7)="RTRECHO"),INDEX(BANCO_DRENAGEM!$L$2:$AA$345,MATCH(W17&amp;W19&amp;W18,BANCO_DRENAGEM!$L$2:$L$345&amp;BANCO_DRENAGEM!$R$2:$R$345&amp;BANCO_DRENAGEM!$S$2:$S$345,0),2),IF(W17="BIGODE 40",SUMIFS(BANCO_DRENAGEM!$N$3:$N$345,BANCO_DRENAGEM!$T$3:$T$345,W17),IF(W17="RBIGODE 40",SUMIFS(BANCO_DRENAGEM!$N$3:$N$345,BANCO_DRENAGEM!$T$3:$T$345,W17),IF(W17="BIGODE 60",SUMIFS(BANCO_DRENAGEM!$N$3:$N$345,BANCO_DRENAGEM!$T$3:$T$345,W17)))))/1000</f>
        <v>0.6</v>
      </c>
      <c r="X25" s="394" cm="1">
        <f t="array" ref="X25">IF(OR(LEFT(X17,6)="TRECHO",LEFT(X17,7)="RTRECHO"),INDEX(BANCO_DRENAGEM!$L$2:$AA$345,MATCH(X17&amp;X19&amp;X18,BANCO_DRENAGEM!$L$2:$L$345&amp;BANCO_DRENAGEM!$R$2:$R$345&amp;BANCO_DRENAGEM!$S$2:$S$345,0),2),IF(X17="BIGODE 40",SUMIFS(BANCO_DRENAGEM!$N$3:$N$345,BANCO_DRENAGEM!$T$3:$T$345,X17),IF(X17="RBIGODE 40",SUMIFS(BANCO_DRENAGEM!$N$3:$N$345,BANCO_DRENAGEM!$T$3:$T$345,X17),IF(X17="BIGODE 60",SUMIFS(BANCO_DRENAGEM!$N$3:$N$345,BANCO_DRENAGEM!$T$3:$T$345,X17)))))/1000</f>
        <v>0.6</v>
      </c>
      <c r="Y25" s="394" cm="1">
        <f t="array" ref="Y25">IF(OR(LEFT(Y17,6)="TRECHO",LEFT(Y17,7)="RTRECHO"),INDEX(BANCO_DRENAGEM!$L$2:$AA$345,MATCH(Y17&amp;Y19&amp;Y18,BANCO_DRENAGEM!$L$2:$L$345&amp;BANCO_DRENAGEM!$R$2:$R$345&amp;BANCO_DRENAGEM!$S$2:$S$345,0),2),IF(Y17="BIGODE 40",SUMIFS(BANCO_DRENAGEM!$N$3:$N$345,BANCO_DRENAGEM!$T$3:$T$345,Y17),IF(Y17="RBIGODE 40",SUMIFS(BANCO_DRENAGEM!$N$3:$N$345,BANCO_DRENAGEM!$T$3:$T$345,Y17),IF(Y17="BIGODE 60",SUMIFS(BANCO_DRENAGEM!$N$3:$N$345,BANCO_DRENAGEM!$T$3:$T$345,Y17)))))/1000</f>
        <v>0.6</v>
      </c>
      <c r="Z25" s="394" cm="1">
        <f t="array" ref="Z25">IF(OR(LEFT(Z17,6)="TRECHO",LEFT(Z17,7)="RTRECHO"),INDEX(BANCO_DRENAGEM!$L$2:$AA$345,MATCH(Z17&amp;Z19&amp;Z18,BANCO_DRENAGEM!$L$2:$L$345&amp;BANCO_DRENAGEM!$R$2:$R$345&amp;BANCO_DRENAGEM!$S$2:$S$345,0),2),IF(Z17="BIGODE 40",SUMIFS(BANCO_DRENAGEM!$N$3:$N$345,BANCO_DRENAGEM!$T$3:$T$345,Z17),IF(Z17="RBIGODE 40",SUMIFS(BANCO_DRENAGEM!$N$3:$N$345,BANCO_DRENAGEM!$T$3:$T$345,Z17),IF(Z17="BIGODE 60",SUMIFS(BANCO_DRENAGEM!$N$3:$N$345,BANCO_DRENAGEM!$T$3:$T$345,Z17)))))/1000</f>
        <v>0.6</v>
      </c>
      <c r="AA25" s="394" cm="1">
        <f t="array" ref="AA25">IF(OR(LEFT(AA17,6)="TRECHO",LEFT(AA17,7)="RTRECHO"),INDEX(BANCO_DRENAGEM!$L$2:$AA$345,MATCH(AA17&amp;AA19&amp;AA18,BANCO_DRENAGEM!$L$2:$L$345&amp;BANCO_DRENAGEM!$R$2:$R$345&amp;BANCO_DRENAGEM!$S$2:$S$345,0),2),IF(AA17="BIGODE 40",SUMIFS(BANCO_DRENAGEM!$N$3:$N$345,BANCO_DRENAGEM!$T$3:$T$345,AA17),IF(AA17="RBIGODE 40",SUMIFS(BANCO_DRENAGEM!$N$3:$N$345,BANCO_DRENAGEM!$T$3:$T$345,AA17),IF(AA17="BIGODE 60",SUMIFS(BANCO_DRENAGEM!$N$3:$N$345,BANCO_DRENAGEM!$T$3:$T$345,AA17)))))/1000</f>
        <v>0.6</v>
      </c>
      <c r="AB25" s="394" cm="1">
        <f t="array" ref="AB25">IF(OR(LEFT(AB17,6)="TRECHO",LEFT(AB17,7)="RTRECHO"),INDEX(BANCO_DRENAGEM!$L$2:$AA$345,MATCH(AB17&amp;AB19&amp;AB18,BANCO_DRENAGEM!$L$2:$L$345&amp;BANCO_DRENAGEM!$R$2:$R$345&amp;BANCO_DRENAGEM!$S$2:$S$345,0),2),IF(AB17="BIGODE 40",SUMIFS(BANCO_DRENAGEM!$N$3:$N$345,BANCO_DRENAGEM!$T$3:$T$345,AB17),IF(AB17="RBIGODE 40",SUMIFS(BANCO_DRENAGEM!$N$3:$N$345,BANCO_DRENAGEM!$T$3:$T$345,AB17),IF(AB17="BIGODE 60",SUMIFS(BANCO_DRENAGEM!$N$3:$N$345,BANCO_DRENAGEM!$T$3:$T$345,AB17)))))/1000</f>
        <v>0.6</v>
      </c>
      <c r="AC25" s="394" cm="1">
        <f t="array" ref="AC25">IF(OR(LEFT(AC17,6)="TRECHO",LEFT(AC17,7)="RTRECHO"),INDEX(BANCO_DRENAGEM!$L$2:$AA$345,MATCH(AC17&amp;AC19&amp;AC18,BANCO_DRENAGEM!$L$2:$L$345&amp;BANCO_DRENAGEM!$R$2:$R$345&amp;BANCO_DRENAGEM!$S$2:$S$345,0),2),IF(AC17="BIGODE 40",SUMIFS(BANCO_DRENAGEM!$N$3:$N$345,BANCO_DRENAGEM!$T$3:$T$345,AC17),IF(AC17="RBIGODE 40",SUMIFS(BANCO_DRENAGEM!$N$3:$N$345,BANCO_DRENAGEM!$T$3:$T$345,AC17),IF(AC17="BIGODE 60",SUMIFS(BANCO_DRENAGEM!$N$3:$N$345,BANCO_DRENAGEM!$T$3:$T$345,AC17)))))/1000</f>
        <v>0.6</v>
      </c>
      <c r="AD25" s="394" cm="1">
        <f t="array" ref="AD25">IF(OR(LEFT(AD17,6)="TRECHO",LEFT(AD17,7)="RTRECHO"),INDEX(BANCO_DRENAGEM!$L$2:$AA$345,MATCH(AD17&amp;AD19&amp;AD18,BANCO_DRENAGEM!$L$2:$L$345&amp;BANCO_DRENAGEM!$R$2:$R$345&amp;BANCO_DRENAGEM!$S$2:$S$345,0),2),IF(AD17="BIGODE 40",SUMIFS(BANCO_DRENAGEM!$N$3:$N$345,BANCO_DRENAGEM!$T$3:$T$345,AD17),IF(AD17="RBIGODE 40",SUMIFS(BANCO_DRENAGEM!$N$3:$N$345,BANCO_DRENAGEM!$T$3:$T$345,AD17),IF(AD17="BIGODE 60",SUMIFS(BANCO_DRENAGEM!$N$3:$N$345,BANCO_DRENAGEM!$T$3:$T$345,AD17)))))/1000</f>
        <v>0.6</v>
      </c>
      <c r="AE25" s="394" cm="1">
        <f t="array" ref="AE25">IF(OR(LEFT(AE17,6)="TRECHO",LEFT(AE17,7)="RTRECHO"),INDEX(BANCO_DRENAGEM!$L$2:$AA$345,MATCH(AE17&amp;AE19&amp;AE18,BANCO_DRENAGEM!$L$2:$L$345&amp;BANCO_DRENAGEM!$R$2:$R$345&amp;BANCO_DRENAGEM!$S$2:$S$345,0),2),IF(AE17="BIGODE 40",SUMIFS(BANCO_DRENAGEM!$N$3:$N$345,BANCO_DRENAGEM!$T$3:$T$345,AE17),IF(AE17="RBIGODE 40",SUMIFS(BANCO_DRENAGEM!$N$3:$N$345,BANCO_DRENAGEM!$T$3:$T$345,AE17),IF(AE17="BIGODE 60",SUMIFS(BANCO_DRENAGEM!$N$3:$N$345,BANCO_DRENAGEM!$T$3:$T$345,AE17)))))/1000</f>
        <v>0.6</v>
      </c>
      <c r="AF25" s="394" cm="1">
        <f t="array" ref="AF25">IF(OR(LEFT(AF17,6)="TRECHO",LEFT(AF17,7)="RTRECHO"),INDEX(BANCO_DRENAGEM!$L$2:$AA$345,MATCH(AF17&amp;AF19&amp;AF18,BANCO_DRENAGEM!$L$2:$L$345&amp;BANCO_DRENAGEM!$R$2:$R$345&amp;BANCO_DRENAGEM!$S$2:$S$345,0),2),IF(AF17="BIGODE 40",SUMIFS(BANCO_DRENAGEM!$N$3:$N$345,BANCO_DRENAGEM!$T$3:$T$345,AF17),IF(AF17="RBIGODE 40",SUMIFS(BANCO_DRENAGEM!$N$3:$N$345,BANCO_DRENAGEM!$T$3:$T$345,AF17),IF(AF17="BIGODE 60",SUMIFS(BANCO_DRENAGEM!$N$3:$N$345,BANCO_DRENAGEM!$T$3:$T$345,AF17)))))/1000</f>
        <v>0.6</v>
      </c>
      <c r="AG25" s="394" cm="1">
        <f t="array" ref="AG25">IF(OR(LEFT(AG17,6)="TRECHO",LEFT(AG17,7)="RTRECHO"),INDEX(BANCO_DRENAGEM!$L$2:$AA$345,MATCH(AG17&amp;AG19&amp;AG18,BANCO_DRENAGEM!$L$2:$L$345&amp;BANCO_DRENAGEM!$R$2:$R$345&amp;BANCO_DRENAGEM!$S$2:$S$345,0),2),IF(AG17="BIGODE 40",SUMIFS(BANCO_DRENAGEM!$N$3:$N$345,BANCO_DRENAGEM!$T$3:$T$345,AG17),IF(AG17="RBIGODE 40",SUMIFS(BANCO_DRENAGEM!$N$3:$N$345,BANCO_DRENAGEM!$T$3:$T$345,AG17),IF(AG17="BIGODE 60",SUMIFS(BANCO_DRENAGEM!$N$3:$N$345,BANCO_DRENAGEM!$T$3:$T$345,AG17)))))/1000</f>
        <v>0.8</v>
      </c>
      <c r="AH25" s="394">
        <f>IF(LEFT(AH17,6)="TRECHO",VLOOKUP(AH17,BANCO_DRENAGEM!$L$2:$Q$80,2,0),IF(LEFT(AH17,6)="BIGODE",400,0))/1000</f>
        <v>0.4</v>
      </c>
      <c r="AI25" s="398"/>
    </row>
    <row r="26" spans="1:37" ht="15" customHeight="1" x14ac:dyDescent="0.3">
      <c r="A26" s="1085"/>
      <c r="B26" s="1083" t="s">
        <v>271</v>
      </c>
      <c r="C26" s="1083"/>
      <c r="D26" s="1083"/>
      <c r="E26" s="1083"/>
      <c r="F26" s="1083"/>
      <c r="G26" s="399" cm="1">
        <f t="array" ref="G26">IF(OR(LEFT(G17,6)="TRECHO",LEFT(G17,7)="RTRECHO"),INDEX(BANCO_DRENAGEM!$L$2:$AA$345,MATCH(G17&amp;G19&amp;G18,BANCO_DRENAGEM!$L$2:$L$345&amp;BANCO_DRENAGEM!$R$2:$R$345&amp;BANCO_DRENAGEM!$S$2:$S$345,0),5))</f>
        <v>357.74559705893387</v>
      </c>
      <c r="H26" s="399" cm="1">
        <f t="array" ref="H26">IF(OR(LEFT(H17,6)="TRECHO",LEFT(H17,7)="RTRECHO"),INDEX(BANCO_DRENAGEM!$L$2:$AA$345,MATCH(H17&amp;H19&amp;H18,BANCO_DRENAGEM!$L$2:$L$345&amp;BANCO_DRENAGEM!$R$2:$R$345&amp;BANCO_DRENAGEM!$S$2:$S$345,0),5))</f>
        <v>355.61624803491816</v>
      </c>
      <c r="I26" s="399" cm="1">
        <f t="array" ref="I26">IF(OR(LEFT(I17,6)="TRECHO",LEFT(I17,7)="RTRECHO"),INDEX(BANCO_DRENAGEM!$L$2:$AA$345,MATCH(I17&amp;I19&amp;I18,BANCO_DRENAGEM!$L$2:$L$345&amp;BANCO_DRENAGEM!$R$2:$R$345&amp;BANCO_DRENAGEM!$S$2:$S$345,0),5))</f>
        <v>351.329496824351</v>
      </c>
      <c r="J26" s="399" cm="1">
        <f t="array" ref="J26">IF(OR(LEFT(J17,6)="TRECHO",LEFT(J17,7)="RTRECHO"),INDEX(BANCO_DRENAGEM!$L$2:$AA$345,MATCH(J17&amp;J19&amp;J18,BANCO_DRENAGEM!$L$2:$L$345&amp;BANCO_DRENAGEM!$R$2:$R$345&amp;BANCO_DRENAGEM!$S$2:$S$345,0),5))</f>
        <v>348.68511471251406</v>
      </c>
      <c r="K26" s="399" cm="1">
        <f t="array" ref="K26">IF(OR(LEFT(K17,6)="TRECHO",LEFT(K17,7)="RTRECHO"),INDEX(BANCO_DRENAGEM!$L$2:$AA$345,MATCH(K17&amp;K19&amp;K18,BANCO_DRENAGEM!$L$2:$L$345&amp;BANCO_DRENAGEM!$R$2:$R$345&amp;BANCO_DRENAGEM!$S$2:$S$345,0),5))</f>
        <v>344.468512471005</v>
      </c>
      <c r="L26" s="399" cm="1">
        <f t="array" ref="L26">IF(OR(LEFT(L17,6)="TRECHO",LEFT(L17,7)="RTRECHO"),INDEX(BANCO_DRENAGEM!$L$2:$AA$345,MATCH(L17&amp;L19&amp;L18,BANCO_DRENAGEM!$L$2:$L$345&amp;BANCO_DRENAGEM!$R$2:$R$345&amp;BANCO_DRENAGEM!$S$2:$S$345,0),5))</f>
        <v>339.03090852007165</v>
      </c>
      <c r="M26" s="399" cm="1">
        <f t="array" ref="M26">IF(OR(LEFT(M17,6)="TRECHO",LEFT(M17,7)="RTRECHO"),INDEX(BANCO_DRENAGEM!$L$2:$AA$345,MATCH(M17&amp;M19&amp;M18,BANCO_DRENAGEM!$L$2:$L$345&amp;BANCO_DRENAGEM!$R$2:$R$345&amp;BANCO_DRENAGEM!$S$2:$S$345,0),5))</f>
        <v>336.28515724507741</v>
      </c>
      <c r="N26" s="399" cm="1">
        <f t="array" ref="N26">IF(OR(LEFT(N17,6)="TRECHO",LEFT(N17,7)="RTRECHO"),INDEX(BANCO_DRENAGEM!$L$2:$AA$345,MATCH(N17&amp;N19&amp;N18,BANCO_DRENAGEM!$L$2:$L$345&amp;BANCO_DRENAGEM!$R$2:$R$345&amp;BANCO_DRENAGEM!$S$2:$S$345,0),5))</f>
        <v>330.7138527164671</v>
      </c>
      <c r="O26" s="399" cm="1">
        <f t="array" ref="O26">IF(OR(LEFT(O17,6)="TRECHO",LEFT(O17,7)="RTRECHO"),INDEX(BANCO_DRENAGEM!$L$2:$AA$345,MATCH(O17&amp;O19&amp;O18,BANCO_DRENAGEM!$L$2:$L$345&amp;BANCO_DRENAGEM!$R$2:$R$345&amp;BANCO_DRENAGEM!$S$2:$S$345,0),5))</f>
        <v>323.79441987840198</v>
      </c>
      <c r="P26" s="399" cm="1">
        <f t="array" ref="P26">IF(OR(LEFT(P17,6)="TRECHO",LEFT(P17,7)="RTRECHO"),INDEX(BANCO_DRENAGEM!$L$2:$AA$345,MATCH(P17&amp;P19&amp;P18,BANCO_DRENAGEM!$L$2:$L$345&amp;BANCO_DRENAGEM!$R$2:$R$345&amp;BANCO_DRENAGEM!$S$2:$S$345,0),5))</f>
        <v>320.87595232855926</v>
      </c>
      <c r="Q26" s="399" cm="1">
        <f t="array" ref="Q26">IF(OR(LEFT(Q17,6)="TRECHO",LEFT(Q17,7)="RTRECHO"),INDEX(BANCO_DRENAGEM!$L$2:$AA$345,MATCH(Q17&amp;Q19&amp;Q18,BANCO_DRENAGEM!$L$2:$L$345&amp;BANCO_DRENAGEM!$R$2:$R$345&amp;BANCO_DRENAGEM!$S$2:$S$345,0),5))</f>
        <v>358.21521288097563</v>
      </c>
      <c r="R26" s="399" cm="1">
        <f t="array" ref="R26">IF(OR(LEFT(R17,6)="TRECHO",LEFT(R17,7)="RTRECHO"),INDEX(BANCO_DRENAGEM!$L$2:$AA$345,MATCH(R17&amp;R19&amp;R18,BANCO_DRENAGEM!$L$2:$L$345&amp;BANCO_DRENAGEM!$R$2:$R$345&amp;BANCO_DRENAGEM!$S$2:$S$345,0),5))</f>
        <v>358.59511984919925</v>
      </c>
      <c r="S26" s="399" cm="1">
        <f t="array" ref="S26">IF(OR(LEFT(S17,6)="TRECHO",LEFT(S17,7)="RTRECHO"),INDEX(BANCO_DRENAGEM!$L$2:$AA$345,MATCH(S17&amp;S19&amp;S18,BANCO_DRENAGEM!$L$2:$L$345&amp;BANCO_DRENAGEM!$R$2:$R$345&amp;BANCO_DRENAGEM!$S$2:$S$345,0),5))</f>
        <v>358.66379109730855</v>
      </c>
      <c r="T26" s="399" cm="1">
        <f t="array" ref="T26">IF(OR(LEFT(T17,6)="TRECHO",LEFT(T17,7)="RTRECHO"),INDEX(BANCO_DRENAGEM!$L$2:$AA$345,MATCH(T17&amp;T19&amp;T18,BANCO_DRENAGEM!$L$2:$L$345&amp;BANCO_DRENAGEM!$R$2:$R$345&amp;BANCO_DRENAGEM!$S$2:$S$345,0),5))</f>
        <v>360.36259456229755</v>
      </c>
      <c r="U26" s="399" cm="1">
        <f t="array" ref="U26">IF(OR(LEFT(U17,6)="TRECHO",LEFT(U17,7)="RTRECHO"),INDEX(BANCO_DRENAGEM!$L$2:$AA$345,MATCH(U17&amp;U19&amp;U18,BANCO_DRENAGEM!$L$2:$L$345&amp;BANCO_DRENAGEM!$R$2:$R$345&amp;BANCO_DRENAGEM!$S$2:$S$345,0),5))</f>
        <v>335.84227006996133</v>
      </c>
      <c r="V26" s="399" cm="1">
        <f t="array" ref="V26">IF(OR(LEFT(V17,6)="TRECHO",LEFT(V17,7)="RTRECHO"),INDEX(BANCO_DRENAGEM!$L$2:$AA$345,MATCH(V17&amp;V19&amp;V18,BANCO_DRENAGEM!$L$2:$L$345&amp;BANCO_DRENAGEM!$R$2:$R$345&amp;BANCO_DRENAGEM!$S$2:$S$345,0),5))</f>
        <v>335.43928389182344</v>
      </c>
      <c r="W26" s="399" cm="1">
        <f t="array" ref="W26">IF(OR(LEFT(W17,6)="TRECHO",LEFT(W17,7)="RTRECHO"),INDEX(BANCO_DRENAGEM!$L$2:$AA$345,MATCH(W17&amp;W19&amp;W18,BANCO_DRENAGEM!$L$2:$L$345&amp;BANCO_DRENAGEM!$R$2:$R$345&amp;BANCO_DRENAGEM!$S$2:$S$345,0),5))</f>
        <v>335.04489458024983</v>
      </c>
      <c r="X26" s="399" cm="1">
        <f t="array" ref="X26">IF(OR(LEFT(X17,6)="TRECHO",LEFT(X17,7)="RTRECHO"),INDEX(BANCO_DRENAGEM!$L$2:$AA$345,MATCH(X17&amp;X19&amp;X18,BANCO_DRENAGEM!$L$2:$L$345&amp;BANCO_DRENAGEM!$R$2:$R$345&amp;BANCO_DRENAGEM!$S$2:$S$345,0),5))</f>
        <v>334.79868588559481</v>
      </c>
      <c r="Y26" s="399" cm="1">
        <f t="array" ref="Y26">IF(OR(LEFT(Y17,6)="TRECHO",LEFT(Y17,7)="RTRECHO"),INDEX(BANCO_DRENAGEM!$L$2:$AA$345,MATCH(Y17&amp;Y19&amp;Y18,BANCO_DRENAGEM!$L$2:$L$345&amp;BANCO_DRENAGEM!$R$2:$R$345&amp;BANCO_DRENAGEM!$S$2:$S$345,0),5))</f>
        <v>332.25631381776105</v>
      </c>
      <c r="Z26" s="399" cm="1">
        <f t="array" ref="Z26">IF(OR(LEFT(Z17,6)="TRECHO",LEFT(Z17,7)="RTRECHO"),INDEX(BANCO_DRENAGEM!$L$2:$AA$345,MATCH(Z17&amp;Z19&amp;Z18,BANCO_DRENAGEM!$L$2:$L$345&amp;BANCO_DRENAGEM!$R$2:$R$345&amp;BANCO_DRENAGEM!$S$2:$S$345,0),5))</f>
        <v>329.02579641783194</v>
      </c>
      <c r="AA26" s="399" cm="1">
        <f t="array" ref="AA26">IF(OR(LEFT(AA17,6)="TRECHO",LEFT(AA17,7)="RTRECHO"),INDEX(BANCO_DRENAGEM!$L$2:$AA$345,MATCH(AA17&amp;AA19&amp;AA18,BANCO_DRENAGEM!$L$2:$L$345&amp;BANCO_DRENAGEM!$R$2:$R$345&amp;BANCO_DRENAGEM!$S$2:$S$345,0),5))</f>
        <v>329.95300994296394</v>
      </c>
      <c r="AB26" s="399" cm="1">
        <f t="array" ref="AB26">IF(OR(LEFT(AB17,6)="TRECHO",LEFT(AB17,7)="RTRECHO"),INDEX(BANCO_DRENAGEM!$L$2:$AA$345,MATCH(AB17&amp;AB19&amp;AB18,BANCO_DRENAGEM!$L$2:$L$345&amp;BANCO_DRENAGEM!$R$2:$R$345&amp;BANCO_DRENAGEM!$S$2:$S$345,0),5))</f>
        <v>328.56875657514195</v>
      </c>
      <c r="AC26" s="399" cm="1">
        <f t="array" ref="AC26">IF(OR(LEFT(AC17,6)="TRECHO",LEFT(AC17,7)="RTRECHO"),INDEX(BANCO_DRENAGEM!$L$2:$AA$345,MATCH(AC17&amp;AC19&amp;AC18,BANCO_DRENAGEM!$L$2:$L$345&amp;BANCO_DRENAGEM!$R$2:$R$345&amp;BANCO_DRENAGEM!$S$2:$S$345,0),5))</f>
        <v>326.20627681489623</v>
      </c>
      <c r="AD26" s="399" cm="1">
        <f t="array" ref="AD26">IF(OR(LEFT(AD17,6)="TRECHO",LEFT(AD17,7)="RTRECHO"),INDEX(BANCO_DRENAGEM!$L$2:$AA$345,MATCH(AD17&amp;AD19&amp;AD18,BANCO_DRENAGEM!$L$2:$L$345&amp;BANCO_DRENAGEM!$R$2:$R$345&amp;BANCO_DRENAGEM!$S$2:$S$345,0),5))</f>
        <v>324.83607385965217</v>
      </c>
      <c r="AE26" s="399" cm="1">
        <f t="array" ref="AE26">IF(OR(LEFT(AE17,6)="TRECHO",LEFT(AE17,7)="RTRECHO"),INDEX(BANCO_DRENAGEM!$L$2:$AA$345,MATCH(AE17&amp;AE19&amp;AE18,BANCO_DRENAGEM!$L$2:$L$345&amp;BANCO_DRENAGEM!$R$2:$R$345&amp;BANCO_DRENAGEM!$S$2:$S$345,0),5))</f>
        <v>322.5161599419198</v>
      </c>
      <c r="AF26" s="399" cm="1">
        <f t="array" ref="AF26">IF(OR(LEFT(AF17,6)="TRECHO",LEFT(AF17,7)="RTRECHO"),INDEX(BANCO_DRENAGEM!$L$2:$AA$345,MATCH(AF17&amp;AF19&amp;AF18,BANCO_DRENAGEM!$L$2:$L$345&amp;BANCO_DRENAGEM!$R$2:$R$345&amp;BANCO_DRENAGEM!$S$2:$S$345,0),5))</f>
        <v>320.94969122176815</v>
      </c>
      <c r="AG26" s="399" cm="1">
        <f t="array" ref="AG26">IF(OR(LEFT(AG17,6)="TRECHO",LEFT(AG17,7)="RTRECHO"),INDEX(BANCO_DRENAGEM!$L$2:$AA$345,MATCH(AG17&amp;AG19&amp;AG18,BANCO_DRENAGEM!$L$2:$L$345&amp;BANCO_DRENAGEM!$R$2:$R$345&amp;BANCO_DRENAGEM!$S$2:$S$345,0),5))</f>
        <v>321.35000000000002</v>
      </c>
      <c r="AH26" s="399"/>
      <c r="AI26" s="400">
        <v>291.358</v>
      </c>
    </row>
    <row r="27" spans="1:37" ht="15" customHeight="1" x14ac:dyDescent="0.3">
      <c r="A27" s="1085"/>
      <c r="B27" s="1083" t="s">
        <v>272</v>
      </c>
      <c r="C27" s="1083"/>
      <c r="D27" s="1083"/>
      <c r="E27" s="1083"/>
      <c r="F27" s="1083"/>
      <c r="G27" s="401" cm="1">
        <f t="array" ref="G27">IF(OR(LEFT(G17,6)="TRECHO",LEFT(G17,7)="RTRECHO"),INDEX(BANCO_DRENAGEM!$L$2:$AA$345,MATCH(G17&amp;G19&amp;G18,BANCO_DRENAGEM!$L$2:$L$345&amp;BANCO_DRENAGEM!$R$2:$R$345&amp;BANCO_DRENAGEM!$S$2:$S$345,0),6))</f>
        <v>355.62836251193909</v>
      </c>
      <c r="H27" s="401" cm="1">
        <f t="array" ref="H27">IF(OR(LEFT(H17,6)="TRECHO",LEFT(H17,7)="RTRECHO"),INDEX(BANCO_DRENAGEM!$L$2:$AA$345,MATCH(H17&amp;H19&amp;H18,BANCO_DRENAGEM!$L$2:$L$345&amp;BANCO_DRENAGEM!$R$2:$R$345&amp;BANCO_DRENAGEM!$S$2:$S$345,0),6))</f>
        <v>351.88312496401619</v>
      </c>
      <c r="I27" s="401" cm="1">
        <f t="array" ref="I27">IF(OR(LEFT(I17,6)="TRECHO",LEFT(I17,7)="RTRECHO"),INDEX(BANCO_DRENAGEM!$L$2:$AA$345,MATCH(I17&amp;I19&amp;I18,BANCO_DRENAGEM!$L$2:$L$345&amp;BANCO_DRENAGEM!$R$2:$R$345&amp;BANCO_DRENAGEM!$S$2:$S$345,0),6))</f>
        <v>348.79887973381472</v>
      </c>
      <c r="J27" s="401" cm="1">
        <f t="array" ref="J27">IF(OR(LEFT(J17,6)="TRECHO",LEFT(J17,7)="RTRECHO"),INDEX(BANCO_DRENAGEM!$L$2:$AA$345,MATCH(J17&amp;J19&amp;J18,BANCO_DRENAGEM!$L$2:$L$345&amp;BANCO_DRENAGEM!$R$2:$R$345&amp;BANCO_DRENAGEM!$S$2:$S$345,0),6))</f>
        <v>344.81697330221874</v>
      </c>
      <c r="K27" s="401" cm="1">
        <f t="array" ref="K27">IF(OR(LEFT(K17,6)="TRECHO",LEFT(K17,7)="RTRECHO"),INDEX(BANCO_DRENAGEM!$L$2:$AA$345,MATCH(K17&amp;K19&amp;K18,BANCO_DRENAGEM!$L$2:$L$345&amp;BANCO_DRENAGEM!$R$2:$R$345&amp;BANCO_DRENAGEM!$S$2:$S$345,0),6))</f>
        <v>339.1940612044362</v>
      </c>
      <c r="L27" s="401" cm="1">
        <f t="array" ref="L27">IF(OR(LEFT(L17,6)="TRECHO",LEFT(L17,7)="RTRECHO"),INDEX(BANCO_DRENAGEM!$L$2:$AA$345,MATCH(L17&amp;L19&amp;L18,BANCO_DRENAGEM!$L$2:$L$345&amp;BANCO_DRENAGEM!$R$2:$R$345&amp;BANCO_DRENAGEM!$S$2:$S$345,0),6))</f>
        <v>336.28515724507741</v>
      </c>
      <c r="M27" s="401" cm="1">
        <f t="array" ref="M27">IF(OR(LEFT(M17,6)="TRECHO",LEFT(M17,7)="RTRECHO"),INDEX(BANCO_DRENAGEM!$L$2:$AA$345,MATCH(M17&amp;M19&amp;M18,BANCO_DRENAGEM!$L$2:$L$345&amp;BANCO_DRENAGEM!$R$2:$R$345&amp;BANCO_DRENAGEM!$S$2:$S$345,0),6))</f>
        <v>330.71385271645806</v>
      </c>
      <c r="N27" s="401" cm="1">
        <f t="array" ref="N27">IF(OR(LEFT(N17,6)="TRECHO",LEFT(N17,7)="RTRECHO"),INDEX(BANCO_DRENAGEM!$L$2:$AA$345,MATCH(N17&amp;N19&amp;N18,BANCO_DRENAGEM!$L$2:$L$345&amp;BANCO_DRENAGEM!$R$2:$R$345&amp;BANCO_DRENAGEM!$S$2:$S$345,0),6))</f>
        <v>323.87945256197258</v>
      </c>
      <c r="O27" s="401" cm="1">
        <f t="array" ref="O27">IF(OR(LEFT(O17,6)="TRECHO",LEFT(O17,7)="RTRECHO"),INDEX(BANCO_DRENAGEM!$L$2:$AA$345,MATCH(O17&amp;O19&amp;O18,BANCO_DRENAGEM!$L$2:$L$345&amp;BANCO_DRENAGEM!$R$2:$R$345&amp;BANCO_DRENAGEM!$S$2:$S$345,0),6))</f>
        <v>320.87595232855926</v>
      </c>
      <c r="P27" s="401" cm="1">
        <f t="array" ref="P27">IF(OR(LEFT(P17,6)="TRECHO",LEFT(P17,7)="RTRECHO"),INDEX(BANCO_DRENAGEM!$L$2:$AA$345,MATCH(P17&amp;P19&amp;P18,BANCO_DRENAGEM!$L$2:$L$345&amp;BANCO_DRENAGEM!$R$2:$R$345&amp;BANCO_DRENAGEM!$S$2:$S$345,0),6))</f>
        <v>319.87363703187287</v>
      </c>
      <c r="Q27" s="401" cm="1">
        <f t="array" ref="Q27">IF(OR(LEFT(Q17,6)="TRECHO",LEFT(Q17,7)="RTRECHO"),INDEX(BANCO_DRENAGEM!$L$2:$AA$345,MATCH(Q17&amp;Q19&amp;Q18,BANCO_DRENAGEM!$L$2:$L$345&amp;BANCO_DRENAGEM!$R$2:$R$345&amp;BANCO_DRENAGEM!$S$2:$S$345,0),6))</f>
        <v>358.12150458258452</v>
      </c>
      <c r="R27" s="401" cm="1">
        <f t="array" ref="R27">IF(OR(LEFT(R17,6)="TRECHO",LEFT(R17,7)="RTRECHO"),INDEX(BANCO_DRENAGEM!$L$2:$AA$345,MATCH(R17&amp;R19&amp;R18,BANCO_DRENAGEM!$L$2:$L$345&amp;BANCO_DRENAGEM!$R$2:$R$345&amp;BANCO_DRENAGEM!$S$2:$S$345,0),6))</f>
        <v>357.95821354203719</v>
      </c>
      <c r="S27" s="401" cm="1">
        <f t="array" ref="S27">IF(OR(LEFT(S17,6)="TRECHO",LEFT(S17,7)="RTRECHO"),INDEX(BANCO_DRENAGEM!$L$2:$AA$345,MATCH(S17&amp;S19&amp;S18,BANCO_DRENAGEM!$L$2:$L$345&amp;BANCO_DRENAGEM!$R$2:$R$345&amp;BANCO_DRENAGEM!$S$2:$S$345,0),6))</f>
        <v>358.15214752493091</v>
      </c>
      <c r="T27" s="401" cm="1">
        <f t="array" ref="T27">IF(OR(LEFT(T17,6)="TRECHO",LEFT(T17,7)="RTRECHO"),INDEX(BANCO_DRENAGEM!$L$2:$AA$345,MATCH(T17&amp;T19&amp;T18,BANCO_DRENAGEM!$L$2:$L$345&amp;BANCO_DRENAGEM!$R$2:$R$345&amp;BANCO_DRENAGEM!$S$2:$S$345,0),6))</f>
        <v>359.92991972661173</v>
      </c>
      <c r="U27" s="401" cm="1">
        <f t="array" ref="U27">IF(OR(LEFT(U17,6)="TRECHO",LEFT(U17,7)="RTRECHO"),INDEX(BANCO_DRENAGEM!$L$2:$AA$345,MATCH(U17&amp;U19&amp;U18,BANCO_DRENAGEM!$L$2:$L$345&amp;BANCO_DRENAGEM!$R$2:$R$345&amp;BANCO_DRENAGEM!$S$2:$S$345,0),6))</f>
        <v>335.43928389182344</v>
      </c>
      <c r="V27" s="401" cm="1">
        <f t="array" ref="V27">IF(OR(LEFT(V17,6)="TRECHO",LEFT(V17,7)="RTRECHO"),INDEX(BANCO_DRENAGEM!$L$2:$AA$345,MATCH(V17&amp;V19&amp;V18,BANCO_DRENAGEM!$L$2:$L$345&amp;BANCO_DRENAGEM!$R$2:$R$345&amp;BANCO_DRENAGEM!$S$2:$S$345,0),6))</f>
        <v>335.04489458024983</v>
      </c>
      <c r="W27" s="401" cm="1">
        <f t="array" ref="W27">IF(OR(LEFT(W17,6)="TRECHO",LEFT(W17,7)="RTRECHO"),INDEX(BANCO_DRENAGEM!$L$2:$AA$345,MATCH(W17&amp;W19&amp;W18,BANCO_DRENAGEM!$L$2:$L$345&amp;BANCO_DRENAGEM!$R$2:$R$345&amp;BANCO_DRENAGEM!$S$2:$S$345,0),6))</f>
        <v>334.79868588559481</v>
      </c>
      <c r="X27" s="401" cm="1">
        <f t="array" ref="X27">IF(OR(LEFT(X17,6)="TRECHO",LEFT(X17,7)="RTRECHO"),INDEX(BANCO_DRENAGEM!$L$2:$AA$345,MATCH(X17&amp;X19&amp;X18,BANCO_DRENAGEM!$L$2:$L$345&amp;BANCO_DRENAGEM!$R$2:$R$345&amp;BANCO_DRENAGEM!$S$2:$S$345,0),6))</f>
        <v>332.9163135597409</v>
      </c>
      <c r="Y27" s="401" cm="1">
        <f t="array" ref="Y27">IF(OR(LEFT(Y17,6)="TRECHO",LEFT(Y17,7)="RTRECHO"),INDEX(BANCO_DRENAGEM!$L$2:$AA$345,MATCH(Y17&amp;Y19&amp;Y18,BANCO_DRENAGEM!$L$2:$L$345&amp;BANCO_DRENAGEM!$R$2:$R$345&amp;BANCO_DRENAGEM!$S$2:$S$345,0),6))</f>
        <v>329.77501600968918</v>
      </c>
      <c r="Z27" s="401" cm="1">
        <f t="array" ref="Z27">IF(OR(LEFT(Z17,6)="TRECHO",LEFT(Z17,7)="RTRECHO"),INDEX(BANCO_DRENAGEM!$L$2:$AA$345,MATCH(Z17&amp;Z19&amp;Z18,BANCO_DRENAGEM!$L$2:$L$345&amp;BANCO_DRENAGEM!$R$2:$R$345&amp;BANCO_DRENAGEM!$S$2:$S$345,0),6))</f>
        <v>326.20627681489623</v>
      </c>
      <c r="AA27" s="401" cm="1">
        <f t="array" ref="AA27">IF(OR(LEFT(AA17,6)="TRECHO",LEFT(AA17,7)="RTRECHO"),INDEX(BANCO_DRENAGEM!$L$2:$AA$345,MATCH(AA17&amp;AA19&amp;AA18,BANCO_DRENAGEM!$L$2:$L$345&amp;BANCO_DRENAGEM!$R$2:$R$345&amp;BANCO_DRENAGEM!$S$2:$S$345,0),6))</f>
        <v>329.22875631712833</v>
      </c>
      <c r="AB27" s="401" cm="1">
        <f t="array" ref="AB27">IF(OR(LEFT(AB17,6)="TRECHO",LEFT(AB17,7)="RTRECHO"),INDEX(BANCO_DRENAGEM!$L$2:$AA$345,MATCH(AB17&amp;AB19&amp;AB18,BANCO_DRENAGEM!$L$2:$L$345&amp;BANCO_DRENAGEM!$R$2:$R$345&amp;BANCO_DRENAGEM!$S$2:$S$345,0),6))</f>
        <v>326.95549640675347</v>
      </c>
      <c r="AC27" s="401" cm="1">
        <f t="array" ref="AC27">IF(OR(LEFT(AC17,6)="TRECHO",LEFT(AC17,7)="RTRECHO"),INDEX(BANCO_DRENAGEM!$L$2:$AA$345,MATCH(AC17&amp;AC19&amp;AC18,BANCO_DRENAGEM!$L$2:$L$345&amp;BANCO_DRENAGEM!$R$2:$R$345&amp;BANCO_DRENAGEM!$S$2:$S$345,0),6))</f>
        <v>325.90207413513144</v>
      </c>
      <c r="AD27" s="401" cm="1">
        <f t="array" ref="AD27">IF(OR(LEFT(AD17,6)="TRECHO",LEFT(AD17,7)="RTRECHO"),INDEX(BANCO_DRENAGEM!$L$2:$AA$345,MATCH(AD17&amp;AD19&amp;AD18,BANCO_DRENAGEM!$L$2:$L$345&amp;BANCO_DRENAGEM!$R$2:$R$345&amp;BANCO_DRENAGEM!$S$2:$S$345,0),6))</f>
        <v>323.17615968390623</v>
      </c>
      <c r="AE27" s="401" cm="1">
        <f t="array" ref="AE27">IF(OR(LEFT(AE17,6)="TRECHO",LEFT(AE17,7)="RTRECHO"),INDEX(BANCO_DRENAGEM!$L$2:$AA$345,MATCH(AE17&amp;AE19&amp;AE18,BANCO_DRENAGEM!$L$2:$L$345&amp;BANCO_DRENAGEM!$R$2:$R$345&amp;BANCO_DRENAGEM!$S$2:$S$345,0),6))</f>
        <v>321.60969096375453</v>
      </c>
      <c r="AF27" s="401" cm="1">
        <f t="array" ref="AF27">IF(OR(LEFT(AF17,6)="TRECHO",LEFT(AF17,7)="RTRECHO"),INDEX(BANCO_DRENAGEM!$L$2:$AA$345,MATCH(AF17&amp;AF19&amp;AF18,BANCO_DRENAGEM!$L$2:$L$345&amp;BANCO_DRENAGEM!$R$2:$R$345&amp;BANCO_DRENAGEM!$S$2:$S$345,0),6))</f>
        <v>319.54406818416129</v>
      </c>
      <c r="AG27" s="401" cm="1">
        <f t="array" ref="AG27">IF(OR(LEFT(AG17,6)="TRECHO",LEFT(AG17,7)="RTRECHO"),INDEX(BANCO_DRENAGEM!$L$2:$AA$345,MATCH(AG17&amp;AG19&amp;AG18,BANCO_DRENAGEM!$L$2:$L$345&amp;BANCO_DRENAGEM!$R$2:$R$345&amp;BANCO_DRENAGEM!$S$2:$S$345,0),6))</f>
        <v>318.79000000000002</v>
      </c>
      <c r="AH27" s="401"/>
      <c r="AI27" s="400">
        <v>289.62</v>
      </c>
      <c r="AK27" s="745"/>
    </row>
    <row r="28" spans="1:37" ht="15" hidden="1" customHeight="1" x14ac:dyDescent="0.3">
      <c r="A28" s="1085"/>
      <c r="B28" s="1083" t="s">
        <v>31</v>
      </c>
      <c r="C28" s="1083"/>
      <c r="D28" s="1083"/>
      <c r="E28" s="1083"/>
      <c r="F28" s="1083"/>
      <c r="G28" s="395" cm="1">
        <f t="array" ref="G28">IF(OR(LEFT(G17,6)="TRECHO",LEFT(G17,7)="RTRECHO"),INDEX(BANCO_DRENAGEM!$L$2:$AA$345,MATCH(G17&amp;G19&amp;G18,BANCO_DRENAGEM!$L$2:$L$345&amp;BANCO_DRENAGEM!$R$2:$R$345&amp;BANCO_DRENAGEM!$S$2:$S$345,0),14))</f>
        <v>2.7694871458714374</v>
      </c>
      <c r="H28" s="395" cm="1">
        <f t="array" ref="H28">IF(OR(LEFT(H17,6)="TRECHO",LEFT(H17,7)="RTRECHO"),INDEX(BANCO_DRENAGEM!$L$2:$AA$345,MATCH(H17&amp;H19&amp;H18,BANCO_DRENAGEM!$L$2:$L$345&amp;BANCO_DRENAGEM!$R$2:$R$345&amp;BANCO_DRENAGEM!$S$2:$S$345,0),14))</f>
        <v>2.3608051530582088</v>
      </c>
      <c r="I28" s="395" cm="1">
        <f t="array" ref="I28">IF(OR(LEFT(I17,6)="TRECHO",LEFT(I17,7)="RTRECHO"),INDEX(BANCO_DRENAGEM!$L$2:$AA$345,MATCH(I17&amp;I19&amp;I18,BANCO_DRENAGEM!$L$2:$L$345&amp;BANCO_DRENAGEM!$R$2:$R$345&amp;BANCO_DRENAGEM!$S$2:$S$345,0),14))</f>
        <v>3.3405981463396301</v>
      </c>
      <c r="J28" s="395" cm="1">
        <f t="array" ref="J28">IF(OR(LEFT(J17,6)="TRECHO",LEFT(J17,7)="RTRECHO"),INDEX(BANCO_DRENAGEM!$L$2:$AA$345,MATCH(J17&amp;J19&amp;J18,BANCO_DRENAGEM!$L$2:$L$345&amp;BANCO_DRENAGEM!$R$2:$R$345&amp;BANCO_DRENAGEM!$S$2:$S$345,0),14))</f>
        <v>2.3755749448004622</v>
      </c>
      <c r="K28" s="395" cm="1">
        <f t="array" ref="K28">IF(OR(LEFT(K17,6)="TRECHO",LEFT(K17,7)="RTRECHO"),INDEX(BANCO_DRENAGEM!$L$2:$AA$345,MATCH(K17&amp;K19&amp;K18,BANCO_DRENAGEM!$L$2:$L$345&amp;BANCO_DRENAGEM!$R$2:$R$345&amp;BANCO_DRENAGEM!$S$2:$S$345,0),14))</f>
        <v>2.8958151191473007</v>
      </c>
      <c r="L28" s="395" cm="1">
        <f t="array" ref="L28">IF(OR(LEFT(L17,6)="TRECHO",LEFT(L17,7)="RTRECHO"),INDEX(BANCO_DRENAGEM!$L$2:$AA$345,MATCH(L17&amp;L19&amp;L18,BANCO_DRENAGEM!$L$2:$L$345&amp;BANCO_DRENAGEM!$R$2:$R$345&amp;BANCO_DRENAGEM!$S$2:$S$345,0),14))</f>
        <v>3.0719044940547064</v>
      </c>
      <c r="M28" s="395" cm="1">
        <f t="array" ref="M28">IF(OR(LEFT(M17,6)="TRECHO",LEFT(M17,7)="RTRECHO"),INDEX(BANCO_DRENAGEM!$L$2:$AA$345,MATCH(M17&amp;M19&amp;M18,BANCO_DRENAGEM!$L$2:$L$345&amp;BANCO_DRENAGEM!$R$2:$R$345&amp;BANCO_DRENAGEM!$S$2:$S$345,0),14))</f>
        <v>2.0454106061718562</v>
      </c>
      <c r="N28" s="395" cm="1">
        <f t="array" ref="N28">IF(OR(LEFT(N17,6)="TRECHO",LEFT(N17,7)="RTRECHO"),INDEX(BANCO_DRENAGEM!$L$2:$AA$345,MATCH(N17&amp;N19&amp;N18,BANCO_DRENAGEM!$L$2:$L$345&amp;BANCO_DRENAGEM!$R$2:$R$345&amp;BANCO_DRENAGEM!$S$2:$S$345,0),14))</f>
        <v>1.7278781064785562</v>
      </c>
      <c r="O28" s="395" cm="1">
        <f t="array" ref="O28">IF(OR(LEFT(O17,6)="TRECHO",LEFT(O17,7)="RTRECHO"),INDEX(BANCO_DRENAGEM!$L$2:$AA$345,MATCH(O17&amp;O19&amp;O18,BANCO_DRENAGEM!$L$2:$L$345&amp;BANCO_DRENAGEM!$R$2:$R$345&amp;BANCO_DRENAGEM!$S$2:$S$345,0),14))</f>
        <v>1.8537449811091165</v>
      </c>
      <c r="P28" s="395" cm="1">
        <f t="array" ref="P28">IF(OR(LEFT(P17,6)="TRECHO",LEFT(P17,7)="RTRECHO"),INDEX(BANCO_DRENAGEM!$L$2:$AA$345,MATCH(P17&amp;P19&amp;P18,BANCO_DRENAGEM!$L$2:$L$345&amp;BANCO_DRENAGEM!$R$2:$R$345&amp;BANCO_DRENAGEM!$S$2:$S$345,0),14))</f>
        <v>2.5583935164846139</v>
      </c>
      <c r="Q28" s="395" cm="1">
        <f t="array" ref="Q28">IF(OR(LEFT(Q17,6)="TRECHO",LEFT(Q17,7)="RTRECHO"),INDEX(BANCO_DRENAGEM!$L$2:$AA$345,MATCH(Q17&amp;Q19&amp;Q18,BANCO_DRENAGEM!$L$2:$L$345&amp;BANCO_DRENAGEM!$R$2:$R$345&amp;BANCO_DRENAGEM!$S$2:$S$345,0),14))</f>
        <v>2.2147384959179703</v>
      </c>
      <c r="R28" s="395" cm="1">
        <f t="array" ref="R28">IF(OR(LEFT(R17,6)="TRECHO",LEFT(R17,7)="RTRECHO"),INDEX(BANCO_DRENAGEM!$L$2:$AA$345,MATCH(R17&amp;R19&amp;R18,BANCO_DRENAGEM!$L$2:$L$345&amp;BANCO_DRENAGEM!$R$2:$R$345&amp;BANCO_DRENAGEM!$S$2:$S$345,0),14))</f>
        <v>2.9591223422578992</v>
      </c>
      <c r="S28" s="395" cm="1">
        <f t="array" ref="S28">IF(OR(LEFT(S17,6)="TRECHO",LEFT(S17,7)="RTRECHO"),INDEX(BANCO_DRENAGEM!$L$2:$AA$345,MATCH(S17&amp;S19&amp;S18,BANCO_DRENAGEM!$L$2:$L$345&amp;BANCO_DRENAGEM!$R$2:$R$345&amp;BANCO_DRENAGEM!$S$2:$S$345,0),14))</f>
        <v>2.036192723474187</v>
      </c>
      <c r="T28" s="395" cm="1">
        <f t="array" ref="T28">IF(OR(LEFT(T17,6)="TRECHO",LEFT(T17,7)="RTRECHO"),INDEX(BANCO_DRENAGEM!$L$2:$AA$345,MATCH(T17&amp;T19&amp;T18,BANCO_DRENAGEM!$L$2:$L$345&amp;BANCO_DRENAGEM!$R$2:$R$345&amp;BANCO_DRENAGEM!$S$2:$S$345,0),14))</f>
        <v>1.6999999999999886</v>
      </c>
      <c r="U28" s="395" cm="1">
        <f t="array" ref="U28">IF(OR(LEFT(U17,6)="TRECHO",LEFT(U17,7)="RTRECHO"),INDEX(BANCO_DRENAGEM!$L$2:$AA$345,MATCH(U17&amp;U19&amp;U18,BANCO_DRENAGEM!$L$2:$L$345&amp;BANCO_DRENAGEM!$R$2:$R$345&amp;BANCO_DRENAGEM!$S$2:$S$345,0),14))</f>
        <v>1.3999999999999773</v>
      </c>
      <c r="V28" s="395" cm="1">
        <f t="array" ref="V28">IF(OR(LEFT(V17,6)="TRECHO",LEFT(V17,7)="RTRECHO"),INDEX(BANCO_DRENAGEM!$L$2:$AA$345,MATCH(V17&amp;V19&amp;V18,BANCO_DRENAGEM!$L$2:$L$345&amp;BANCO_DRENAGEM!$R$2:$R$345&amp;BANCO_DRENAGEM!$S$2:$S$345,0),14))</f>
        <v>1.7926903867345345</v>
      </c>
      <c r="W28" s="395" cm="1">
        <f t="array" ref="W28">IF(OR(LEFT(W17,6)="TRECHO",LEFT(W17,7)="RTRECHO"),INDEX(BANCO_DRENAGEM!$L$2:$AA$345,MATCH(W17&amp;W19&amp;W18,BANCO_DRENAGEM!$L$2:$L$345&amp;BANCO_DRENAGEM!$R$2:$R$345&amp;BANCO_DRENAGEM!$S$2:$S$345,0),14))</f>
        <v>2.1768428197112826</v>
      </c>
      <c r="X28" s="395" cm="1">
        <f t="array" ref="X28">IF(OR(LEFT(X17,6)="TRECHO",LEFT(X17,7)="RTRECHO"),INDEX(BANCO_DRENAGEM!$L$2:$AA$345,MATCH(X17&amp;X19&amp;X18,BANCO_DRENAGEM!$L$2:$L$345&amp;BANCO_DRENAGEM!$R$2:$R$345&amp;BANCO_DRENAGEM!$S$2:$S$345,0),14))</f>
        <v>2.2412769099345269</v>
      </c>
      <c r="Y28" s="395" cm="1">
        <f t="array" ref="Y28">IF(OR(LEFT(Y17,6)="TRECHO",LEFT(Y17,7)="RTRECHO"),INDEX(BANCO_DRENAGEM!$L$2:$AA$345,MATCH(Y17&amp;Y19&amp;Y18,BANCO_DRENAGEM!$L$2:$L$345&amp;BANCO_DRENAGEM!$R$2:$R$345&amp;BANCO_DRENAGEM!$S$2:$S$345,0),14))</f>
        <v>2.0599997419864167</v>
      </c>
      <c r="Z28" s="395" cm="1">
        <f t="array" ref="Z28">IF(OR(LEFT(Z17,6)="TRECHO",LEFT(Z17,7)="RTRECHO"),INDEX(BANCO_DRENAGEM!$L$2:$AA$345,MATCH(Z17&amp;Z19&amp;Z18,BANCO_DRENAGEM!$L$2:$L$345&amp;BANCO_DRENAGEM!$R$2:$R$345&amp;BANCO_DRENAGEM!$S$2:$S$345,0),14))</f>
        <v>2.149542192304807</v>
      </c>
      <c r="AA28" s="395" cm="1">
        <f t="array" ref="AA28">IF(OR(LEFT(AA17,6)="TRECHO",LEFT(AA17,7)="RTRECHO"),INDEX(BANCO_DRENAGEM!$L$2:$AA$345,MATCH(AA17&amp;AA19&amp;AA18,BANCO_DRENAGEM!$L$2:$L$345&amp;BANCO_DRENAGEM!$R$2:$R$345&amp;BANCO_DRENAGEM!$S$2:$S$345,0),14))</f>
        <v>2.1407599999569698</v>
      </c>
      <c r="AB28" s="395" cm="1">
        <f t="array" ref="AB28">IF(OR(LEFT(AB17,6)="TRECHO",LEFT(AB17,7)="RTRECHO"),INDEX(BANCO_DRENAGEM!$L$2:$AA$345,MATCH(AB17&amp;AB19&amp;AB18,BANCO_DRENAGEM!$L$2:$L$345&amp;BANCO_DRENAGEM!$R$2:$R$345&amp;BANCO_DRENAGEM!$S$2:$S$345,0),14))</f>
        <v>2.0599997419864167</v>
      </c>
      <c r="AC28" s="395" cm="1">
        <f t="array" ref="AC28">IF(OR(LEFT(AC17,6)="TRECHO",LEFT(AC17,7)="RTRECHO"),INDEX(BANCO_DRENAGEM!$L$2:$AA$345,MATCH(AC17&amp;AC19&amp;AC18,BANCO_DRENAGEM!$L$2:$L$345&amp;BANCO_DRENAGEM!$R$2:$R$345&amp;BANCO_DRENAGEM!$S$2:$S$345,0),14))</f>
        <v>2.1492195918572747</v>
      </c>
      <c r="AD28" s="395" cm="1">
        <f t="array" ref="AD28">IF(OR(LEFT(AD17,6)="TRECHO",LEFT(AD17,7)="RTRECHO"),INDEX(BANCO_DRENAGEM!$L$2:$AA$345,MATCH(AD17&amp;AD19&amp;AD18,BANCO_DRENAGEM!$L$2:$L$345&amp;BANCO_DRENAGEM!$R$2:$R$345&amp;BANCO_DRENAGEM!$S$2:$S$345,0),14))</f>
        <v>2.6244983657745706</v>
      </c>
      <c r="AE28" s="395" cm="1">
        <f t="array" ref="AE28">IF(OR(LEFT(AE17,6)="TRECHO",LEFT(AE17,7)="RTRECHO"),INDEX(BANCO_DRENAGEM!$L$2:$AA$345,MATCH(AE17&amp;AE19&amp;AE18,BANCO_DRENAGEM!$L$2:$L$345&amp;BANCO_DRENAGEM!$R$2:$R$345&amp;BANCO_DRENAGEM!$S$2:$S$345,0),14))</f>
        <v>2.262967270909769</v>
      </c>
      <c r="AF28" s="395" cm="1">
        <f t="array" ref="AF28">IF(OR(LEFT(AF17,6)="TRECHO",LEFT(AF17,7)="RTRECHO"),INDEX(BANCO_DRENAGEM!$L$2:$AA$345,MATCH(AF17&amp;AF19&amp;AF18,BANCO_DRENAGEM!$L$2:$L$345&amp;BANCO_DRENAGEM!$R$2:$R$345&amp;BANCO_DRENAGEM!$S$2:$S$345,0),14))</f>
        <v>1.9761607707843609</v>
      </c>
      <c r="AG28" s="395" cm="1">
        <f t="array" ref="AG28">IF(OR(LEFT(AG17,6)="TRECHO",LEFT(AG17,7)="RTRECHO"),INDEX(BANCO_DRENAGEM!$L$2:$AA$345,MATCH(AG17&amp;AG19&amp;AG18,BANCO_DRENAGEM!$L$2:$L$345&amp;BANCO_DRENAGEM!$R$2:$R$345&amp;BANCO_DRENAGEM!$S$2:$S$345,0),14))</f>
        <v>2.0086084696104649</v>
      </c>
      <c r="AH28" s="395"/>
      <c r="AI28" s="398"/>
    </row>
    <row r="29" spans="1:37" ht="15" customHeight="1" x14ac:dyDescent="0.3">
      <c r="A29" s="1085"/>
      <c r="B29" s="1083" t="s">
        <v>32</v>
      </c>
      <c r="C29" s="1083"/>
      <c r="D29" s="1083"/>
      <c r="E29" s="1083"/>
      <c r="F29" s="1083"/>
      <c r="G29" s="395">
        <f>G28</f>
        <v>2.7694871458714374</v>
      </c>
      <c r="H29" s="395">
        <f t="shared" ref="H29:AH29" si="4">H28</f>
        <v>2.3608051530582088</v>
      </c>
      <c r="I29" s="395">
        <f t="shared" si="4"/>
        <v>3.3405981463396301</v>
      </c>
      <c r="J29" s="395">
        <f t="shared" si="4"/>
        <v>2.3755749448004622</v>
      </c>
      <c r="K29" s="395">
        <f t="shared" si="4"/>
        <v>2.8958151191473007</v>
      </c>
      <c r="L29" s="395">
        <f t="shared" si="4"/>
        <v>3.0719044940547064</v>
      </c>
      <c r="M29" s="395">
        <f t="shared" si="4"/>
        <v>2.0454106061718562</v>
      </c>
      <c r="N29" s="395">
        <f t="shared" si="4"/>
        <v>1.7278781064785562</v>
      </c>
      <c r="O29" s="395">
        <f t="shared" si="4"/>
        <v>1.8537449811091165</v>
      </c>
      <c r="P29" s="395">
        <f t="shared" si="4"/>
        <v>2.5583935164846139</v>
      </c>
      <c r="Q29" s="395">
        <f t="shared" si="4"/>
        <v>2.2147384959179703</v>
      </c>
      <c r="R29" s="395">
        <f t="shared" si="4"/>
        <v>2.9591223422578992</v>
      </c>
      <c r="S29" s="395">
        <f t="shared" si="4"/>
        <v>2.036192723474187</v>
      </c>
      <c r="T29" s="395">
        <f t="shared" si="4"/>
        <v>1.6999999999999886</v>
      </c>
      <c r="U29" s="395">
        <f t="shared" ref="U29:AF29" si="5">U28</f>
        <v>1.3999999999999773</v>
      </c>
      <c r="V29" s="395">
        <f t="shared" si="5"/>
        <v>1.7926903867345345</v>
      </c>
      <c r="W29" s="395">
        <f t="shared" si="5"/>
        <v>2.1768428197112826</v>
      </c>
      <c r="X29" s="395">
        <f t="shared" si="5"/>
        <v>2.2412769099345269</v>
      </c>
      <c r="Y29" s="395">
        <f t="shared" si="5"/>
        <v>2.0599997419864167</v>
      </c>
      <c r="Z29" s="395">
        <f t="shared" si="5"/>
        <v>2.149542192304807</v>
      </c>
      <c r="AA29" s="395">
        <f t="shared" si="5"/>
        <v>2.1407599999569698</v>
      </c>
      <c r="AB29" s="395">
        <f t="shared" si="5"/>
        <v>2.0599997419864167</v>
      </c>
      <c r="AC29" s="395">
        <f t="shared" si="5"/>
        <v>2.1492195918572747</v>
      </c>
      <c r="AD29" s="395">
        <f t="shared" si="5"/>
        <v>2.6244983657745706</v>
      </c>
      <c r="AE29" s="395">
        <f t="shared" si="5"/>
        <v>2.262967270909769</v>
      </c>
      <c r="AF29" s="395">
        <f t="shared" si="5"/>
        <v>1.9761607707843609</v>
      </c>
      <c r="AG29" s="395">
        <f>AG28</f>
        <v>2.0086084696104649</v>
      </c>
      <c r="AH29" s="395">
        <f t="shared" si="4"/>
        <v>0</v>
      </c>
      <c r="AI29" s="398"/>
    </row>
    <row r="30" spans="1:37" ht="15" customHeight="1" x14ac:dyDescent="0.3">
      <c r="A30" s="1085"/>
      <c r="B30" s="1083" t="s">
        <v>33</v>
      </c>
      <c r="C30" s="1083"/>
      <c r="D30" s="1083"/>
      <c r="E30" s="1083"/>
      <c r="F30" s="1083"/>
      <c r="G30" s="394" cm="1">
        <f t="array" ref="G30">IF(OR(LEFT(G17,6)="TRECHO",LEFT(G17,7)="RTRECHO"),INDEX(BANCO_DRENAGEM!$L$2:$AA$345,MATCH(G17&amp;G19&amp;G18,BANCO_DRENAGEM!$L$2:$L$345&amp;BANCO_DRENAGEM!$R$2:$R$345&amp;BANCO_DRENAGEM!$S$2:$S$345,0),15))</f>
        <v>2.3608051530582088</v>
      </c>
      <c r="H30" s="394" cm="1">
        <f t="array" ref="H30">IF(OR(LEFT(H17,6)="TRECHO",LEFT(H17,7)="RTRECHO"),INDEX(BANCO_DRENAGEM!$L$2:$AA$345,MATCH(H17&amp;H19&amp;H18,BANCO_DRENAGEM!$L$2:$L$345&amp;BANCO_DRENAGEM!$R$2:$R$345&amp;BANCO_DRENAGEM!$S$2:$S$345,0),15))</f>
        <v>3.3405981463396301</v>
      </c>
      <c r="I30" s="394" cm="1">
        <f t="array" ref="I30">IF(OR(LEFT(I17,6)="TRECHO",LEFT(I17,7)="RTRECHO"),INDEX(BANCO_DRENAGEM!$L$2:$AA$345,MATCH(I17&amp;I19&amp;I18,BANCO_DRENAGEM!$L$2:$L$345&amp;BANCO_DRENAGEM!$R$2:$R$345&amp;BANCO_DRENAGEM!$S$2:$S$345,0),15))</f>
        <v>2.3755749448004622</v>
      </c>
      <c r="J30" s="394" cm="1">
        <f t="array" ref="J30">IF(OR(LEFT(J17,6)="TRECHO",LEFT(J17,7)="RTRECHO"),INDEX(BANCO_DRENAGEM!$L$2:$AA$345,MATCH(J17&amp;J19&amp;J18,BANCO_DRENAGEM!$L$2:$L$345&amp;BANCO_DRENAGEM!$R$2:$R$345&amp;BANCO_DRENAGEM!$S$2:$S$345,0),15))</f>
        <v>2.8958151191473007</v>
      </c>
      <c r="K30" s="394" cm="1">
        <f t="array" ref="K30">IF(OR(LEFT(K17,6)="TRECHO",LEFT(K17,7)="RTRECHO"),INDEX(BANCO_DRENAGEM!$L$2:$AA$345,MATCH(K17&amp;K19&amp;K18,BANCO_DRENAGEM!$L$2:$L$345&amp;BANCO_DRENAGEM!$R$2:$R$345&amp;BANCO_DRENAGEM!$S$2:$S$345,0),15))</f>
        <v>3.0719044940547064</v>
      </c>
      <c r="L30" s="394" cm="1">
        <f t="array" ref="L30">IF(OR(LEFT(L17,6)="TRECHO",LEFT(L17,7)="RTRECHO"),INDEX(BANCO_DRENAGEM!$L$2:$AA$345,MATCH(L17&amp;L19&amp;L18,BANCO_DRENAGEM!$L$2:$L$345&amp;BANCO_DRENAGEM!$R$2:$R$345&amp;BANCO_DRENAGEM!$S$2:$S$345,0),15))</f>
        <v>2.0454106061718562</v>
      </c>
      <c r="M30" s="394" cm="1">
        <f t="array" ref="M30">IF(OR(LEFT(M17,6)="TRECHO",LEFT(M17,7)="RTRECHO"),INDEX(BANCO_DRENAGEM!$L$2:$AA$345,MATCH(M17&amp;M19&amp;M18,BANCO_DRENAGEM!$L$2:$L$345&amp;BANCO_DRENAGEM!$R$2:$R$345&amp;BANCO_DRENAGEM!$S$2:$S$345,0),15))</f>
        <v>1.7278781064785562</v>
      </c>
      <c r="N30" s="394" cm="1">
        <f t="array" ref="N30">IF(OR(LEFT(N17,6)="TRECHO",LEFT(N17,7)="RTRECHO"),INDEX(BANCO_DRENAGEM!$L$2:$AA$345,MATCH(N17&amp;N19&amp;N18,BANCO_DRENAGEM!$L$2:$L$345&amp;BANCO_DRENAGEM!$R$2:$R$345&amp;BANCO_DRENAGEM!$S$2:$S$345,0),15))</f>
        <v>1.8537449811091165</v>
      </c>
      <c r="O30" s="394" cm="1">
        <f t="array" ref="O30">IF(OR(LEFT(O17,6)="TRECHO",LEFT(O17,7)="RTRECHO"),INDEX(BANCO_DRENAGEM!$L$2:$AA$345,MATCH(O17&amp;O19&amp;O18,BANCO_DRENAGEM!$L$2:$L$345&amp;BANCO_DRENAGEM!$R$2:$R$345&amp;BANCO_DRENAGEM!$S$2:$S$345,0),15))</f>
        <v>2.5583935164846139</v>
      </c>
      <c r="P30" s="394" cm="1">
        <f t="array" ref="P30">IF(OR(LEFT(P17,6)="TRECHO",LEFT(P17,7)="RTRECHO"),INDEX(BANCO_DRENAGEM!$L$2:$AA$345,MATCH(P17&amp;P19&amp;P18,BANCO_DRENAGEM!$L$2:$L$345&amp;BANCO_DRENAGEM!$R$2:$R$345&amp;BANCO_DRENAGEM!$S$2:$S$345,0),15))</f>
        <v>0.84963703187281681</v>
      </c>
      <c r="Q30" s="394" cm="1">
        <f t="array" ref="Q30">IF(OR(LEFT(Q17,6)="TRECHO",LEFT(Q17,7)="RTRECHO"),INDEX(BANCO_DRENAGEM!$L$2:$AA$345,MATCH(Q17&amp;Q19&amp;Q18,BANCO_DRENAGEM!$L$2:$L$345&amp;BANCO_DRENAGEM!$R$2:$R$345&amp;BANCO_DRENAGEM!$S$2:$S$345,0),15))</f>
        <v>2.7694871458714374</v>
      </c>
      <c r="R30" s="394" cm="1">
        <f t="array" ref="R30">IF(OR(LEFT(R17,6)="TRECHO",LEFT(R17,7)="RTRECHO"),INDEX(BANCO_DRENAGEM!$L$2:$AA$345,MATCH(R17&amp;R19&amp;R18,BANCO_DRENAGEM!$L$2:$L$345&amp;BANCO_DRENAGEM!$R$2:$R$345&amp;BANCO_DRENAGEM!$S$2:$S$345,0),15))</f>
        <v>2.7694871458714374</v>
      </c>
      <c r="S30" s="394" cm="1">
        <f t="array" ref="S30">IF(OR(LEFT(S17,6)="TRECHO",LEFT(S17,7)="RTRECHO"),INDEX(BANCO_DRENAGEM!$L$2:$AA$345,MATCH(S17&amp;S19&amp;S18,BANCO_DRENAGEM!$L$2:$L$345&amp;BANCO_DRENAGEM!$R$2:$R$345&amp;BANCO_DRENAGEM!$S$2:$S$345,0),15))</f>
        <v>2.7694871458714374</v>
      </c>
      <c r="T30" s="394" cm="1">
        <f t="array" ref="T30">IF(OR(LEFT(T17,6)="TRECHO",LEFT(T17,7)="RTRECHO"),INDEX(BANCO_DRENAGEM!$L$2:$AA$345,MATCH(T17&amp;T19&amp;T18,BANCO_DRENAGEM!$L$2:$L$345&amp;BANCO_DRENAGEM!$R$2:$R$345&amp;BANCO_DRENAGEM!$S$2:$S$345,0),15))</f>
        <v>1.6999999999999886</v>
      </c>
      <c r="U30" s="394" cm="1">
        <f t="array" ref="U30">IF(OR(LEFT(U17,6)="TRECHO",LEFT(U17,7)="RTRECHO"),INDEX(BANCO_DRENAGEM!$L$2:$AA$345,MATCH(U17&amp;U19&amp;U18,BANCO_DRENAGEM!$L$2:$L$345&amp;BANCO_DRENAGEM!$R$2:$R$345&amp;BANCO_DRENAGEM!$S$2:$S$345,0),15))</f>
        <v>1.7926903867345345</v>
      </c>
      <c r="V30" s="394" cm="1">
        <f t="array" ref="V30">IF(OR(LEFT(V17,6)="TRECHO",LEFT(V17,7)="RTRECHO"),INDEX(BANCO_DRENAGEM!$L$2:$AA$345,MATCH(V17&amp;V19&amp;V18,BANCO_DRENAGEM!$L$2:$L$345&amp;BANCO_DRENAGEM!$R$2:$R$345&amp;BANCO_DRENAGEM!$S$2:$S$345,0),15))</f>
        <v>2.1768428197112826</v>
      </c>
      <c r="W30" s="394" cm="1">
        <f t="array" ref="W30">IF(OR(LEFT(W17,6)="TRECHO",LEFT(W17,7)="RTRECHO"),INDEX(BANCO_DRENAGEM!$L$2:$AA$345,MATCH(W17&amp;W19&amp;W18,BANCO_DRENAGEM!$L$2:$L$345&amp;BANCO_DRENAGEM!$R$2:$R$345&amp;BANCO_DRENAGEM!$S$2:$S$345,0),15))</f>
        <v>2.2412769099345269</v>
      </c>
      <c r="X30" s="394" cm="1">
        <f t="array" ref="X30">IF(OR(LEFT(X17,6)="TRECHO",LEFT(X17,7)="RTRECHO"),INDEX(BANCO_DRENAGEM!$L$2:$AA$345,MATCH(X17&amp;X19&amp;X18,BANCO_DRENAGEM!$L$2:$L$345&amp;BANCO_DRENAGEM!$R$2:$R$345&amp;BANCO_DRENAGEM!$S$2:$S$345,0),15))</f>
        <v>2.0599997419864167</v>
      </c>
      <c r="Y30" s="394" cm="1">
        <f t="array" ref="Y30">IF(OR(LEFT(Y17,6)="TRECHO",LEFT(Y17,7)="RTRECHO"),INDEX(BANCO_DRENAGEM!$L$2:$AA$345,MATCH(Y17&amp;Y19&amp;Y18,BANCO_DRENAGEM!$L$2:$L$345&amp;BANCO_DRENAGEM!$R$2:$R$345&amp;BANCO_DRENAGEM!$S$2:$S$345,0),15))</f>
        <v>2.149542192304807</v>
      </c>
      <c r="Z30" s="394" cm="1">
        <f t="array" ref="Z30">IF(OR(LEFT(Z17,6)="TRECHO",LEFT(Z17,7)="RTRECHO"),INDEX(BANCO_DRENAGEM!$L$2:$AA$345,MATCH(Z17&amp;Z19&amp;Z18,BANCO_DRENAGEM!$L$2:$L$345&amp;BANCO_DRENAGEM!$R$2:$R$345&amp;BANCO_DRENAGEM!$S$2:$S$345,0),15))</f>
        <v>2.1492195918572747</v>
      </c>
      <c r="AA30" s="394" cm="1">
        <f t="array" ref="AA30">IF(OR(LEFT(AA17,6)="TRECHO",LEFT(AA17,7)="RTRECHO"),INDEX(BANCO_DRENAGEM!$L$2:$AA$345,MATCH(AA17&amp;AA19&amp;AA18,BANCO_DRENAGEM!$L$2:$L$345&amp;BANCO_DRENAGEM!$R$2:$R$345&amp;BANCO_DRENAGEM!$S$2:$S$345,0),15))</f>
        <v>2.0599997419864167</v>
      </c>
      <c r="AB30" s="394" cm="1">
        <f t="array" ref="AB30">IF(OR(LEFT(AB17,6)="TRECHO",LEFT(AB17,7)="RTRECHO"),INDEX(BANCO_DRENAGEM!$L$2:$AA$345,MATCH(AB17&amp;AB19&amp;AB18,BANCO_DRENAGEM!$L$2:$L$345&amp;BANCO_DRENAGEM!$R$2:$R$345&amp;BANCO_DRENAGEM!$S$2:$S$345,0),15))</f>
        <v>2.1492195918572747</v>
      </c>
      <c r="AC30" s="394" cm="1">
        <f t="array" ref="AC30">IF(OR(LEFT(AC17,6)="TRECHO",LEFT(AC17,7)="RTRECHO"),INDEX(BANCO_DRENAGEM!$L$2:$AA$345,MATCH(AC17&amp;AC19&amp;AC18,BANCO_DRENAGEM!$L$2:$L$345&amp;BANCO_DRENAGEM!$R$2:$R$345&amp;BANCO_DRENAGEM!$S$2:$S$345,0),15))</f>
        <v>2.6244983657745706</v>
      </c>
      <c r="AD30" s="394" cm="1">
        <f t="array" ref="AD30">IF(OR(LEFT(AD17,6)="TRECHO",LEFT(AD17,7)="RTRECHO"),INDEX(BANCO_DRENAGEM!$L$2:$AA$345,MATCH(AD17&amp;AD19&amp;AD18,BANCO_DRENAGEM!$L$2:$L$345&amp;BANCO_DRENAGEM!$R$2:$R$345&amp;BANCO_DRENAGEM!$S$2:$S$345,0),15))</f>
        <v>2.262967270909769</v>
      </c>
      <c r="AE30" s="394" cm="1">
        <f t="array" ref="AE30">IF(OR(LEFT(AE17,6)="TRECHO",LEFT(AE17,7)="RTRECHO"),INDEX(BANCO_DRENAGEM!$L$2:$AA$345,MATCH(AE17&amp;AE19&amp;AE18,BANCO_DRENAGEM!$L$2:$L$345&amp;BANCO_DRENAGEM!$R$2:$R$345&amp;BANCO_DRENAGEM!$S$2:$S$345,0),15))</f>
        <v>1.9761607707843609</v>
      </c>
      <c r="AF30" s="394" cm="1">
        <f t="array" ref="AF30">IF(OR(LEFT(AF17,6)="TRECHO",LEFT(AF17,7)="RTRECHO"),INDEX(BANCO_DRENAGEM!$L$2:$AA$345,MATCH(AF17&amp;AF19&amp;AF18,BANCO_DRENAGEM!$L$2:$L$345&amp;BANCO_DRENAGEM!$R$2:$R$345&amp;BANCO_DRENAGEM!$S$2:$S$345,0),15))</f>
        <v>2.0086084696104649</v>
      </c>
      <c r="AG30" s="394" cm="1">
        <f t="array" ref="AG30">IF(OR(LEFT(AG17,6)="TRECHO",LEFT(AG17,7)="RTRECHO"),INDEX(BANCO_DRENAGEM!$L$2:$AA$345,MATCH(AG17&amp;AG19&amp;AG18,BANCO_DRENAGEM!$L$2:$L$345&amp;BANCO_DRENAGEM!$R$2:$R$345&amp;BANCO_DRENAGEM!$S$2:$S$345,0),15))</f>
        <v>1.0099999999999909</v>
      </c>
      <c r="AH30" s="394"/>
      <c r="AI30" s="398"/>
    </row>
    <row r="31" spans="1:37" ht="15" customHeight="1" x14ac:dyDescent="0.3">
      <c r="A31" s="1085"/>
      <c r="B31" s="1083" t="s">
        <v>34</v>
      </c>
      <c r="C31" s="1083"/>
      <c r="D31" s="1083"/>
      <c r="E31" s="1083"/>
      <c r="F31" s="1083"/>
      <c r="G31" s="395">
        <f>G30+0</f>
        <v>2.3608051530582088</v>
      </c>
      <c r="H31" s="395">
        <f t="shared" ref="H31:T31" si="6">H30+0</f>
        <v>3.3405981463396301</v>
      </c>
      <c r="I31" s="395">
        <f t="shared" si="6"/>
        <v>2.3755749448004622</v>
      </c>
      <c r="J31" s="395">
        <f>J30</f>
        <v>2.8958151191473007</v>
      </c>
      <c r="K31" s="395">
        <f t="shared" si="6"/>
        <v>3.0719044940547064</v>
      </c>
      <c r="L31" s="395">
        <f t="shared" si="6"/>
        <v>2.0454106061718562</v>
      </c>
      <c r="M31" s="395">
        <f t="shared" si="6"/>
        <v>1.7278781064785562</v>
      </c>
      <c r="N31" s="395">
        <f t="shared" si="6"/>
        <v>1.8537449811091165</v>
      </c>
      <c r="O31" s="395">
        <f t="shared" si="6"/>
        <v>2.5583935164846139</v>
      </c>
      <c r="P31" s="395">
        <f t="shared" si="6"/>
        <v>0.84963703187281681</v>
      </c>
      <c r="Q31" s="395">
        <f t="shared" si="6"/>
        <v>2.7694871458714374</v>
      </c>
      <c r="R31" s="395">
        <f t="shared" si="6"/>
        <v>2.7694871458714374</v>
      </c>
      <c r="S31" s="395">
        <f t="shared" si="6"/>
        <v>2.7694871458714374</v>
      </c>
      <c r="T31" s="395">
        <f t="shared" si="6"/>
        <v>1.6999999999999886</v>
      </c>
      <c r="U31" s="395">
        <f t="shared" ref="U31:AF31" si="7">U30+0</f>
        <v>1.7926903867345345</v>
      </c>
      <c r="V31" s="395">
        <f t="shared" si="7"/>
        <v>2.1768428197112826</v>
      </c>
      <c r="W31" s="395">
        <f t="shared" si="7"/>
        <v>2.2412769099345269</v>
      </c>
      <c r="X31" s="395">
        <f t="shared" si="7"/>
        <v>2.0599997419864167</v>
      </c>
      <c r="Y31" s="395">
        <f t="shared" si="7"/>
        <v>2.149542192304807</v>
      </c>
      <c r="Z31" s="395">
        <f t="shared" si="7"/>
        <v>2.1492195918572747</v>
      </c>
      <c r="AA31" s="395">
        <f t="shared" si="7"/>
        <v>2.0599997419864167</v>
      </c>
      <c r="AB31" s="395">
        <f t="shared" si="7"/>
        <v>2.1492195918572747</v>
      </c>
      <c r="AC31" s="395">
        <f t="shared" si="7"/>
        <v>2.6244983657745706</v>
      </c>
      <c r="AD31" s="395">
        <f t="shared" si="7"/>
        <v>2.262967270909769</v>
      </c>
      <c r="AE31" s="395">
        <f t="shared" si="7"/>
        <v>1.9761607707843609</v>
      </c>
      <c r="AF31" s="395">
        <f t="shared" si="7"/>
        <v>2.0086084696104649</v>
      </c>
      <c r="AG31" s="395">
        <f>AG30+0</f>
        <v>1.0099999999999909</v>
      </c>
      <c r="AH31" s="395">
        <f>AH30+0</f>
        <v>0</v>
      </c>
      <c r="AI31" s="398"/>
    </row>
    <row r="32" spans="1:37" ht="14.25" customHeight="1" x14ac:dyDescent="0.3">
      <c r="A32" s="1085"/>
      <c r="B32" s="1083" t="s">
        <v>35</v>
      </c>
      <c r="C32" s="1083"/>
      <c r="D32" s="1083"/>
      <c r="E32" s="1083"/>
      <c r="F32" s="1083"/>
      <c r="G32" s="395">
        <f>ROUND((G29+G31)/2,2)</f>
        <v>2.57</v>
      </c>
      <c r="H32" s="395">
        <f>ROUND((H29+H31)/2,2)</f>
        <v>2.85</v>
      </c>
      <c r="I32" s="395">
        <f>ROUND((I29+I31)/2,2)</f>
        <v>2.86</v>
      </c>
      <c r="J32" s="395">
        <f>ROUND((J29+J31)/2,2)</f>
        <v>2.64</v>
      </c>
      <c r="K32" s="395">
        <f>ROUND((K29+K31)/2,2)</f>
        <v>2.98</v>
      </c>
      <c r="L32" s="395">
        <f t="shared" ref="L32:T32" si="8">ROUND((L29+L31)/2,2)</f>
        <v>2.56</v>
      </c>
      <c r="M32" s="395">
        <f t="shared" si="8"/>
        <v>1.89</v>
      </c>
      <c r="N32" s="395">
        <f t="shared" si="8"/>
        <v>1.79</v>
      </c>
      <c r="O32" s="395">
        <f t="shared" si="8"/>
        <v>2.21</v>
      </c>
      <c r="P32" s="395">
        <f t="shared" si="8"/>
        <v>1.7</v>
      </c>
      <c r="Q32" s="395">
        <f t="shared" si="8"/>
        <v>2.4900000000000002</v>
      </c>
      <c r="R32" s="395">
        <f t="shared" si="8"/>
        <v>2.86</v>
      </c>
      <c r="S32" s="395">
        <f t="shared" si="8"/>
        <v>2.4</v>
      </c>
      <c r="T32" s="395">
        <f t="shared" si="8"/>
        <v>1.7</v>
      </c>
      <c r="U32" s="395">
        <f t="shared" ref="U32:AF32" si="9">ROUND((U29+U31)/2,2)</f>
        <v>1.6</v>
      </c>
      <c r="V32" s="395">
        <f t="shared" si="9"/>
        <v>1.98</v>
      </c>
      <c r="W32" s="395">
        <f t="shared" si="9"/>
        <v>2.21</v>
      </c>
      <c r="X32" s="395">
        <f t="shared" si="9"/>
        <v>2.15</v>
      </c>
      <c r="Y32" s="395">
        <f t="shared" si="9"/>
        <v>2.1</v>
      </c>
      <c r="Z32" s="395">
        <f t="shared" si="9"/>
        <v>2.15</v>
      </c>
      <c r="AA32" s="395">
        <f t="shared" si="9"/>
        <v>2.1</v>
      </c>
      <c r="AB32" s="395">
        <f t="shared" si="9"/>
        <v>2.1</v>
      </c>
      <c r="AC32" s="395">
        <f t="shared" si="9"/>
        <v>2.39</v>
      </c>
      <c r="AD32" s="395">
        <f t="shared" si="9"/>
        <v>2.44</v>
      </c>
      <c r="AE32" s="395">
        <f t="shared" si="9"/>
        <v>2.12</v>
      </c>
      <c r="AF32" s="395">
        <f t="shared" si="9"/>
        <v>1.99</v>
      </c>
      <c r="AG32" s="395">
        <f>ROUND((AG29+AG31)/2,2)</f>
        <v>1.51</v>
      </c>
      <c r="AH32" s="395">
        <v>1.5</v>
      </c>
      <c r="AI32" s="398"/>
    </row>
    <row r="33" spans="1:35" ht="14.25" customHeight="1" x14ac:dyDescent="0.3">
      <c r="A33" s="1085"/>
      <c r="B33" s="1083" t="s">
        <v>36</v>
      </c>
      <c r="C33" s="1083"/>
      <c r="D33" s="1083"/>
      <c r="E33" s="1083"/>
      <c r="F33" s="1083"/>
      <c r="G33" s="395">
        <f>ROUND(G32/5,2)</f>
        <v>0.51</v>
      </c>
      <c r="H33" s="395">
        <f>ROUND(H32/5,2)</f>
        <v>0.56999999999999995</v>
      </c>
      <c r="I33" s="395">
        <f>ROUND(I32/5,2)</f>
        <v>0.56999999999999995</v>
      </c>
      <c r="J33" s="395">
        <f>ROUND(J32/5,2)</f>
        <v>0.53</v>
      </c>
      <c r="K33" s="395">
        <f>ROUND(K32/5,2)</f>
        <v>0.6</v>
      </c>
      <c r="L33" s="395">
        <f t="shared" ref="L33:T33" si="10">ROUND(L32/5,2)</f>
        <v>0.51</v>
      </c>
      <c r="M33" s="395">
        <f t="shared" si="10"/>
        <v>0.38</v>
      </c>
      <c r="N33" s="395">
        <f t="shared" si="10"/>
        <v>0.36</v>
      </c>
      <c r="O33" s="395">
        <f t="shared" si="10"/>
        <v>0.44</v>
      </c>
      <c r="P33" s="395">
        <f t="shared" si="10"/>
        <v>0.34</v>
      </c>
      <c r="Q33" s="395">
        <f t="shared" si="10"/>
        <v>0.5</v>
      </c>
      <c r="R33" s="395">
        <f t="shared" si="10"/>
        <v>0.56999999999999995</v>
      </c>
      <c r="S33" s="395">
        <f t="shared" si="10"/>
        <v>0.48</v>
      </c>
      <c r="T33" s="395">
        <f t="shared" si="10"/>
        <v>0.34</v>
      </c>
      <c r="U33" s="395">
        <f t="shared" ref="U33:AF33" si="11">ROUND(U32/5,2)</f>
        <v>0.32</v>
      </c>
      <c r="V33" s="395">
        <f t="shared" si="11"/>
        <v>0.4</v>
      </c>
      <c r="W33" s="395">
        <f t="shared" si="11"/>
        <v>0.44</v>
      </c>
      <c r="X33" s="395">
        <f t="shared" si="11"/>
        <v>0.43</v>
      </c>
      <c r="Y33" s="395">
        <f t="shared" si="11"/>
        <v>0.42</v>
      </c>
      <c r="Z33" s="395">
        <f t="shared" si="11"/>
        <v>0.43</v>
      </c>
      <c r="AA33" s="395">
        <f t="shared" si="11"/>
        <v>0.42</v>
      </c>
      <c r="AB33" s="395">
        <f t="shared" si="11"/>
        <v>0.42</v>
      </c>
      <c r="AC33" s="395">
        <f t="shared" si="11"/>
        <v>0.48</v>
      </c>
      <c r="AD33" s="395">
        <f t="shared" si="11"/>
        <v>0.49</v>
      </c>
      <c r="AE33" s="395">
        <f t="shared" si="11"/>
        <v>0.42</v>
      </c>
      <c r="AF33" s="395">
        <f t="shared" si="11"/>
        <v>0.4</v>
      </c>
      <c r="AG33" s="395">
        <f>ROUND(AG32/5,2)</f>
        <v>0.3</v>
      </c>
      <c r="AH33" s="395">
        <f>ROUND(AH32/5,2)</f>
        <v>0.3</v>
      </c>
      <c r="AI33" s="398"/>
    </row>
    <row r="34" spans="1:35" ht="15" customHeight="1" x14ac:dyDescent="0.3">
      <c r="A34" s="1085"/>
      <c r="B34" s="1083" t="s">
        <v>37</v>
      </c>
      <c r="C34" s="1083"/>
      <c r="D34" s="1083"/>
      <c r="E34" s="1083"/>
      <c r="F34" s="1083"/>
      <c r="G34" s="395">
        <f>ROUND((G35+G33),2)</f>
        <v>2.11</v>
      </c>
      <c r="H34" s="395">
        <f t="shared" ref="H34:T34" si="12">ROUND((H35+H33),2)</f>
        <v>2.17</v>
      </c>
      <c r="I34" s="395">
        <f t="shared" si="12"/>
        <v>2.17</v>
      </c>
      <c r="J34" s="395">
        <f t="shared" si="12"/>
        <v>2.13</v>
      </c>
      <c r="K34" s="395">
        <f t="shared" si="12"/>
        <v>2.2000000000000002</v>
      </c>
      <c r="L34" s="395">
        <f t="shared" si="12"/>
        <v>2.11</v>
      </c>
      <c r="M34" s="395">
        <f t="shared" si="12"/>
        <v>1.98</v>
      </c>
      <c r="N34" s="395">
        <f t="shared" si="12"/>
        <v>1.96</v>
      </c>
      <c r="O34" s="395">
        <f t="shared" si="12"/>
        <v>2.04</v>
      </c>
      <c r="P34" s="395">
        <f t="shared" si="12"/>
        <v>1.94</v>
      </c>
      <c r="Q34" s="395">
        <f t="shared" si="12"/>
        <v>1.7</v>
      </c>
      <c r="R34" s="395">
        <f t="shared" si="12"/>
        <v>1.77</v>
      </c>
      <c r="S34" s="395">
        <f t="shared" si="12"/>
        <v>1.68</v>
      </c>
      <c r="T34" s="395">
        <f t="shared" si="12"/>
        <v>1.54</v>
      </c>
      <c r="U34" s="395">
        <f t="shared" ref="U34:AF34" si="13">ROUND((U35+U33),2)</f>
        <v>1.52</v>
      </c>
      <c r="V34" s="395">
        <f t="shared" si="13"/>
        <v>1.6</v>
      </c>
      <c r="W34" s="395">
        <f t="shared" si="13"/>
        <v>1.64</v>
      </c>
      <c r="X34" s="395">
        <f t="shared" si="13"/>
        <v>1.63</v>
      </c>
      <c r="Y34" s="395">
        <f t="shared" si="13"/>
        <v>1.62</v>
      </c>
      <c r="Z34" s="395">
        <f t="shared" si="13"/>
        <v>1.63</v>
      </c>
      <c r="AA34" s="395">
        <f t="shared" si="13"/>
        <v>1.62</v>
      </c>
      <c r="AB34" s="395">
        <f t="shared" si="13"/>
        <v>1.62</v>
      </c>
      <c r="AC34" s="395">
        <f t="shared" si="13"/>
        <v>1.68</v>
      </c>
      <c r="AD34" s="395">
        <f t="shared" si="13"/>
        <v>1.69</v>
      </c>
      <c r="AE34" s="395">
        <f>ROUND((AE35+AE33),2)</f>
        <v>1.62</v>
      </c>
      <c r="AF34" s="395">
        <f t="shared" si="13"/>
        <v>1.6</v>
      </c>
      <c r="AG34" s="395">
        <f>ROUND((AG35+AG33),2)</f>
        <v>1.9</v>
      </c>
      <c r="AH34" s="395">
        <f>ROUND((AH35+AH33),2)</f>
        <v>1.1000000000000001</v>
      </c>
      <c r="AI34" s="398"/>
    </row>
    <row r="35" spans="1:35" ht="15" customHeight="1" x14ac:dyDescent="0.3">
      <c r="A35" s="1085"/>
      <c r="B35" s="1083" t="s">
        <v>38</v>
      </c>
      <c r="C35" s="1083"/>
      <c r="D35" s="1083"/>
      <c r="E35" s="1083"/>
      <c r="F35" s="1083"/>
      <c r="G35" s="395">
        <f>ROUND(2*G25,2)</f>
        <v>1.6</v>
      </c>
      <c r="H35" s="395">
        <f>ROUND(2*H25,2)</f>
        <v>1.6</v>
      </c>
      <c r="I35" s="395">
        <f>ROUND(2*I25,2)</f>
        <v>1.6</v>
      </c>
      <c r="J35" s="395">
        <f>ROUND(2*J25,2)</f>
        <v>1.6</v>
      </c>
      <c r="K35" s="395">
        <f>ROUND(2*K25,2)</f>
        <v>1.6</v>
      </c>
      <c r="L35" s="395">
        <f t="shared" ref="L35:T35" si="14">ROUND(2*L25,2)</f>
        <v>1.6</v>
      </c>
      <c r="M35" s="395">
        <f t="shared" si="14"/>
        <v>1.6</v>
      </c>
      <c r="N35" s="395">
        <f t="shared" si="14"/>
        <v>1.6</v>
      </c>
      <c r="O35" s="395">
        <f t="shared" si="14"/>
        <v>1.6</v>
      </c>
      <c r="P35" s="395">
        <f t="shared" si="14"/>
        <v>1.6</v>
      </c>
      <c r="Q35" s="395">
        <f t="shared" si="14"/>
        <v>1.2</v>
      </c>
      <c r="R35" s="395">
        <f t="shared" si="14"/>
        <v>1.2</v>
      </c>
      <c r="S35" s="395">
        <f t="shared" si="14"/>
        <v>1.2</v>
      </c>
      <c r="T35" s="395">
        <f t="shared" si="14"/>
        <v>1.2</v>
      </c>
      <c r="U35" s="395">
        <f t="shared" ref="U35:AF35" si="15">ROUND(2*U25,2)</f>
        <v>1.2</v>
      </c>
      <c r="V35" s="395">
        <f t="shared" si="15"/>
        <v>1.2</v>
      </c>
      <c r="W35" s="395">
        <f t="shared" si="15"/>
        <v>1.2</v>
      </c>
      <c r="X35" s="395">
        <f t="shared" si="15"/>
        <v>1.2</v>
      </c>
      <c r="Y35" s="395">
        <f t="shared" si="15"/>
        <v>1.2</v>
      </c>
      <c r="Z35" s="395">
        <f t="shared" si="15"/>
        <v>1.2</v>
      </c>
      <c r="AA35" s="395">
        <f t="shared" si="15"/>
        <v>1.2</v>
      </c>
      <c r="AB35" s="395">
        <f t="shared" si="15"/>
        <v>1.2</v>
      </c>
      <c r="AC35" s="395">
        <f t="shared" si="15"/>
        <v>1.2</v>
      </c>
      <c r="AD35" s="395">
        <f t="shared" si="15"/>
        <v>1.2</v>
      </c>
      <c r="AE35" s="395">
        <f t="shared" si="15"/>
        <v>1.2</v>
      </c>
      <c r="AF35" s="395">
        <f t="shared" si="15"/>
        <v>1.2</v>
      </c>
      <c r="AG35" s="395">
        <f>ROUND(2*AG25,2)</f>
        <v>1.6</v>
      </c>
      <c r="AH35" s="395">
        <f>ROUND(2*AH25,2)</f>
        <v>0.8</v>
      </c>
      <c r="AI35" s="398"/>
    </row>
    <row r="36" spans="1:35" ht="14.25" customHeight="1" x14ac:dyDescent="0.3">
      <c r="A36" s="1085"/>
      <c r="B36" s="1083" t="s">
        <v>1355</v>
      </c>
      <c r="C36" s="1083"/>
      <c r="D36" s="1083"/>
      <c r="E36" s="1083"/>
      <c r="F36" s="1083"/>
      <c r="G36" s="395">
        <f t="shared" ref="G36:AH36" si="16">G35*G21*0</f>
        <v>0</v>
      </c>
      <c r="H36" s="395">
        <f t="shared" si="16"/>
        <v>0</v>
      </c>
      <c r="I36" s="395">
        <f t="shared" si="16"/>
        <v>0</v>
      </c>
      <c r="J36" s="395">
        <f t="shared" si="16"/>
        <v>0</v>
      </c>
      <c r="K36" s="395">
        <f t="shared" si="16"/>
        <v>0</v>
      </c>
      <c r="L36" s="395">
        <f t="shared" si="16"/>
        <v>0</v>
      </c>
      <c r="M36" s="395">
        <f t="shared" si="16"/>
        <v>0</v>
      </c>
      <c r="N36" s="395">
        <f t="shared" si="16"/>
        <v>0</v>
      </c>
      <c r="O36" s="395">
        <f t="shared" si="16"/>
        <v>0</v>
      </c>
      <c r="P36" s="395">
        <f t="shared" si="16"/>
        <v>0</v>
      </c>
      <c r="Q36" s="395">
        <f t="shared" si="16"/>
        <v>0</v>
      </c>
      <c r="R36" s="395">
        <f t="shared" si="16"/>
        <v>0</v>
      </c>
      <c r="S36" s="395">
        <f t="shared" si="16"/>
        <v>0</v>
      </c>
      <c r="T36" s="395">
        <f t="shared" si="16"/>
        <v>0</v>
      </c>
      <c r="U36" s="395">
        <f t="shared" si="16"/>
        <v>0</v>
      </c>
      <c r="V36" s="395">
        <f t="shared" si="16"/>
        <v>0</v>
      </c>
      <c r="W36" s="395">
        <f t="shared" si="16"/>
        <v>0</v>
      </c>
      <c r="X36" s="395">
        <f t="shared" si="16"/>
        <v>0</v>
      </c>
      <c r="Y36" s="395">
        <f t="shared" si="16"/>
        <v>0</v>
      </c>
      <c r="Z36" s="395">
        <f t="shared" si="16"/>
        <v>0</v>
      </c>
      <c r="AA36" s="395">
        <f t="shared" si="16"/>
        <v>0</v>
      </c>
      <c r="AB36" s="395">
        <f t="shared" si="16"/>
        <v>0</v>
      </c>
      <c r="AC36" s="395">
        <f t="shared" si="16"/>
        <v>0</v>
      </c>
      <c r="AD36" s="395">
        <f t="shared" si="16"/>
        <v>0</v>
      </c>
      <c r="AE36" s="395">
        <f t="shared" si="16"/>
        <v>0</v>
      </c>
      <c r="AF36" s="395">
        <f t="shared" si="16"/>
        <v>0</v>
      </c>
      <c r="AG36" s="395">
        <f t="shared" si="16"/>
        <v>0</v>
      </c>
      <c r="AH36" s="395">
        <f t="shared" si="16"/>
        <v>0</v>
      </c>
      <c r="AI36" s="396">
        <f>TRUNC(SUM(G36:AH36),2)</f>
        <v>0</v>
      </c>
    </row>
    <row r="37" spans="1:35" ht="15" customHeight="1" x14ac:dyDescent="0.3">
      <c r="A37" s="1086"/>
      <c r="B37" s="1083" t="s">
        <v>39</v>
      </c>
      <c r="C37" s="1083"/>
      <c r="D37" s="1083"/>
      <c r="E37" s="1083"/>
      <c r="F37" s="1083"/>
      <c r="G37" s="395">
        <f>ROUND((PI()*(G25*1.2)^2/4)*G24,2)</f>
        <v>0.72</v>
      </c>
      <c r="H37" s="395">
        <f>ROUND((PI()*(H25*1.2)^2/4)*H24,2)</f>
        <v>0.72</v>
      </c>
      <c r="I37" s="395">
        <f>ROUND((PI()*(I25*1.2)^2/4)*I24,2)</f>
        <v>0.72</v>
      </c>
      <c r="J37" s="395">
        <f>ROUND((PI()*(J25*1.2)^2/4)*J24,2)</f>
        <v>0.72</v>
      </c>
      <c r="K37" s="395">
        <f>ROUND((PI()*(K25*1.2)^2/4)*K24,2)</f>
        <v>0.72</v>
      </c>
      <c r="L37" s="395">
        <f t="shared" ref="L37:T37" si="17">ROUND((PI()*(L25*1.2)^2/4)*L24,2)</f>
        <v>0.72</v>
      </c>
      <c r="M37" s="395">
        <f t="shared" si="17"/>
        <v>0.72</v>
      </c>
      <c r="N37" s="395">
        <f t="shared" si="17"/>
        <v>0.72</v>
      </c>
      <c r="O37" s="395">
        <f t="shared" si="17"/>
        <v>0.72</v>
      </c>
      <c r="P37" s="395">
        <f t="shared" si="17"/>
        <v>0.72</v>
      </c>
      <c r="Q37" s="395">
        <f t="shared" si="17"/>
        <v>0.41</v>
      </c>
      <c r="R37" s="395">
        <f t="shared" si="17"/>
        <v>0.41</v>
      </c>
      <c r="S37" s="395">
        <f t="shared" si="17"/>
        <v>0.41</v>
      </c>
      <c r="T37" s="395">
        <f t="shared" si="17"/>
        <v>0.41</v>
      </c>
      <c r="U37" s="395">
        <f t="shared" ref="U37:AF37" si="18">ROUND((PI()*(U25*1.2)^2/4)*U24,2)</f>
        <v>0.41</v>
      </c>
      <c r="V37" s="395">
        <f t="shared" si="18"/>
        <v>0.41</v>
      </c>
      <c r="W37" s="395">
        <f t="shared" si="18"/>
        <v>0.41</v>
      </c>
      <c r="X37" s="395">
        <f t="shared" si="18"/>
        <v>0.41</v>
      </c>
      <c r="Y37" s="395">
        <f t="shared" si="18"/>
        <v>0.41</v>
      </c>
      <c r="Z37" s="395">
        <f t="shared" si="18"/>
        <v>0.41</v>
      </c>
      <c r="AA37" s="395">
        <f t="shared" si="18"/>
        <v>0.41</v>
      </c>
      <c r="AB37" s="395">
        <f t="shared" si="18"/>
        <v>0.41</v>
      </c>
      <c r="AC37" s="395">
        <f t="shared" si="18"/>
        <v>0.41</v>
      </c>
      <c r="AD37" s="395">
        <f t="shared" si="18"/>
        <v>0.41</v>
      </c>
      <c r="AE37" s="395">
        <f t="shared" si="18"/>
        <v>0.41</v>
      </c>
      <c r="AF37" s="395">
        <f t="shared" si="18"/>
        <v>0.41</v>
      </c>
      <c r="AG37" s="395">
        <f>ROUND((PI()*(AG25*1.2)^2/4)*AG24,2)</f>
        <v>0.72</v>
      </c>
      <c r="AH37" s="395">
        <f>ROUND((PI()*(AH25*1.2)^2/4)*AH24,2)</f>
        <v>0.18</v>
      </c>
      <c r="AI37" s="402"/>
    </row>
    <row r="38" spans="1:35" ht="3.95" customHeight="1" x14ac:dyDescent="0.3">
      <c r="A38" s="631"/>
      <c r="B38" s="632"/>
      <c r="C38" s="632"/>
      <c r="D38" s="632"/>
      <c r="E38" s="632"/>
      <c r="F38" s="632"/>
      <c r="G38" s="633"/>
      <c r="H38" s="633"/>
      <c r="I38" s="633"/>
      <c r="J38" s="633"/>
      <c r="K38" s="633"/>
      <c r="L38" s="633"/>
      <c r="M38" s="633"/>
      <c r="N38" s="633"/>
      <c r="O38" s="633"/>
      <c r="P38" s="633"/>
      <c r="Q38" s="633"/>
      <c r="R38" s="633"/>
      <c r="S38" s="633"/>
      <c r="T38" s="633"/>
      <c r="U38" s="633"/>
      <c r="V38" s="633"/>
      <c r="W38" s="633"/>
      <c r="X38" s="633"/>
      <c r="Y38" s="633"/>
      <c r="Z38" s="633"/>
      <c r="AA38" s="633"/>
      <c r="AB38" s="633"/>
      <c r="AC38" s="633"/>
      <c r="AD38" s="633"/>
      <c r="AE38" s="633"/>
      <c r="AF38" s="633"/>
      <c r="AG38" s="633"/>
      <c r="AH38" s="633"/>
      <c r="AI38" s="634"/>
    </row>
    <row r="39" spans="1:35" x14ac:dyDescent="0.3">
      <c r="A39" s="1103" t="s">
        <v>5</v>
      </c>
      <c r="B39" s="1083" t="s">
        <v>795</v>
      </c>
      <c r="C39" s="1083"/>
      <c r="D39" s="1083"/>
      <c r="E39" s="1083"/>
      <c r="F39" s="1083"/>
      <c r="G39" s="395">
        <f>IF(G22=0,0,(G22*(G34)))</f>
        <v>0</v>
      </c>
      <c r="H39" s="395">
        <f t="shared" ref="H39:T39" si="19">IF(H22=0,0,(H22*(H34)))</f>
        <v>0</v>
      </c>
      <c r="I39" s="395">
        <f t="shared" si="19"/>
        <v>0</v>
      </c>
      <c r="J39" s="395">
        <f t="shared" si="19"/>
        <v>0</v>
      </c>
      <c r="K39" s="395">
        <f t="shared" si="19"/>
        <v>0</v>
      </c>
      <c r="L39" s="395">
        <f t="shared" si="19"/>
        <v>0</v>
      </c>
      <c r="M39" s="395">
        <f t="shared" si="19"/>
        <v>0</v>
      </c>
      <c r="N39" s="395">
        <f t="shared" si="19"/>
        <v>0</v>
      </c>
      <c r="O39" s="395">
        <f t="shared" si="19"/>
        <v>0</v>
      </c>
      <c r="P39" s="395">
        <f t="shared" si="19"/>
        <v>0</v>
      </c>
      <c r="Q39" s="395">
        <f t="shared" si="19"/>
        <v>0</v>
      </c>
      <c r="R39" s="395">
        <f t="shared" si="19"/>
        <v>0</v>
      </c>
      <c r="S39" s="395">
        <f t="shared" si="19"/>
        <v>0</v>
      </c>
      <c r="T39" s="395">
        <f t="shared" si="19"/>
        <v>0</v>
      </c>
      <c r="U39" s="395">
        <f t="shared" ref="U39:AF39" si="20">IF(U22=0,0,(U22*(U34)))</f>
        <v>0</v>
      </c>
      <c r="V39" s="395">
        <f t="shared" si="20"/>
        <v>0</v>
      </c>
      <c r="W39" s="395">
        <f t="shared" si="20"/>
        <v>0</v>
      </c>
      <c r="X39" s="395">
        <f t="shared" si="20"/>
        <v>0</v>
      </c>
      <c r="Y39" s="395">
        <f t="shared" si="20"/>
        <v>0</v>
      </c>
      <c r="Z39" s="395">
        <f t="shared" si="20"/>
        <v>0</v>
      </c>
      <c r="AA39" s="395">
        <f t="shared" si="20"/>
        <v>0</v>
      </c>
      <c r="AB39" s="395">
        <f t="shared" si="20"/>
        <v>0</v>
      </c>
      <c r="AC39" s="395">
        <f t="shared" si="20"/>
        <v>0</v>
      </c>
      <c r="AD39" s="395">
        <f t="shared" si="20"/>
        <v>0</v>
      </c>
      <c r="AE39" s="395">
        <f t="shared" si="20"/>
        <v>0</v>
      </c>
      <c r="AF39" s="395">
        <f t="shared" si="20"/>
        <v>0</v>
      </c>
      <c r="AG39" s="395">
        <f>IF(AG22=0,0,(AG22*(AG34)))</f>
        <v>0</v>
      </c>
      <c r="AH39" s="395">
        <f>IF(AH22=0,0,(AH22*(AH34)))</f>
        <v>0</v>
      </c>
      <c r="AI39" s="396">
        <f t="shared" ref="AI39:AI49" si="21">TRUNC(SUM(G39:AH39),2)</f>
        <v>0</v>
      </c>
    </row>
    <row r="40" spans="1:35" x14ac:dyDescent="0.3">
      <c r="A40" s="1103"/>
      <c r="B40" s="1073" t="s">
        <v>1073</v>
      </c>
      <c r="C40" s="805"/>
      <c r="D40" s="805"/>
      <c r="E40" s="805"/>
      <c r="F40" s="806"/>
      <c r="G40" s="395">
        <v>0.03</v>
      </c>
      <c r="H40" s="395">
        <v>0.03</v>
      </c>
      <c r="I40" s="395">
        <v>0.03</v>
      </c>
      <c r="J40" s="395">
        <v>0.03</v>
      </c>
      <c r="K40" s="395">
        <v>0.03</v>
      </c>
      <c r="L40" s="395">
        <v>0.03</v>
      </c>
      <c r="M40" s="395">
        <v>0.03</v>
      </c>
      <c r="N40" s="395">
        <v>0.03</v>
      </c>
      <c r="O40" s="395">
        <v>0.03</v>
      </c>
      <c r="P40" s="395">
        <v>0.03</v>
      </c>
      <c r="Q40" s="395">
        <v>0.03</v>
      </c>
      <c r="R40" s="395">
        <v>0.03</v>
      </c>
      <c r="S40" s="395">
        <v>0.03</v>
      </c>
      <c r="T40" s="395">
        <v>0.03</v>
      </c>
      <c r="U40" s="395">
        <v>0.03</v>
      </c>
      <c r="V40" s="395">
        <v>0.03</v>
      </c>
      <c r="W40" s="395">
        <v>0.03</v>
      </c>
      <c r="X40" s="395">
        <v>0.03</v>
      </c>
      <c r="Y40" s="395">
        <v>0.03</v>
      </c>
      <c r="Z40" s="395">
        <v>0.03</v>
      </c>
      <c r="AA40" s="395">
        <v>0.03</v>
      </c>
      <c r="AB40" s="395">
        <v>0.03</v>
      </c>
      <c r="AC40" s="395">
        <v>0.03</v>
      </c>
      <c r="AD40" s="395">
        <v>0.03</v>
      </c>
      <c r="AE40" s="395">
        <v>0.03</v>
      </c>
      <c r="AF40" s="395">
        <v>0.03</v>
      </c>
      <c r="AG40" s="395">
        <v>0.03</v>
      </c>
      <c r="AH40" s="395">
        <v>0.03</v>
      </c>
      <c r="AI40" s="396">
        <f t="shared" si="21"/>
        <v>0.84</v>
      </c>
    </row>
    <row r="41" spans="1:35" x14ac:dyDescent="0.3">
      <c r="A41" s="1103"/>
      <c r="B41" s="1073" t="s">
        <v>23</v>
      </c>
      <c r="C41" s="805"/>
      <c r="D41" s="805"/>
      <c r="E41" s="805"/>
      <c r="F41" s="806"/>
      <c r="G41" s="395">
        <f>G40*G39</f>
        <v>0</v>
      </c>
      <c r="H41" s="395">
        <f t="shared" ref="H41:T41" si="22">H40*H39</f>
        <v>0</v>
      </c>
      <c r="I41" s="395">
        <f t="shared" si="22"/>
        <v>0</v>
      </c>
      <c r="J41" s="395">
        <f t="shared" si="22"/>
        <v>0</v>
      </c>
      <c r="K41" s="395">
        <f t="shared" si="22"/>
        <v>0</v>
      </c>
      <c r="L41" s="395">
        <f t="shared" si="22"/>
        <v>0</v>
      </c>
      <c r="M41" s="395">
        <f t="shared" si="22"/>
        <v>0</v>
      </c>
      <c r="N41" s="395">
        <f t="shared" si="22"/>
        <v>0</v>
      </c>
      <c r="O41" s="395">
        <f t="shared" si="22"/>
        <v>0</v>
      </c>
      <c r="P41" s="395">
        <f t="shared" si="22"/>
        <v>0</v>
      </c>
      <c r="Q41" s="395">
        <f t="shared" si="22"/>
        <v>0</v>
      </c>
      <c r="R41" s="395">
        <f t="shared" si="22"/>
        <v>0</v>
      </c>
      <c r="S41" s="395">
        <f t="shared" si="22"/>
        <v>0</v>
      </c>
      <c r="T41" s="395">
        <f t="shared" si="22"/>
        <v>0</v>
      </c>
      <c r="U41" s="395">
        <f t="shared" ref="U41:AF41" si="23">U40*U39</f>
        <v>0</v>
      </c>
      <c r="V41" s="395">
        <f t="shared" si="23"/>
        <v>0</v>
      </c>
      <c r="W41" s="395">
        <f t="shared" si="23"/>
        <v>0</v>
      </c>
      <c r="X41" s="395">
        <f t="shared" si="23"/>
        <v>0</v>
      </c>
      <c r="Y41" s="395">
        <f t="shared" si="23"/>
        <v>0</v>
      </c>
      <c r="Z41" s="395">
        <f t="shared" si="23"/>
        <v>0</v>
      </c>
      <c r="AA41" s="395">
        <f t="shared" si="23"/>
        <v>0</v>
      </c>
      <c r="AB41" s="395">
        <f t="shared" si="23"/>
        <v>0</v>
      </c>
      <c r="AC41" s="395">
        <f t="shared" si="23"/>
        <v>0</v>
      </c>
      <c r="AD41" s="395">
        <f t="shared" si="23"/>
        <v>0</v>
      </c>
      <c r="AE41" s="395">
        <f t="shared" si="23"/>
        <v>0</v>
      </c>
      <c r="AF41" s="395">
        <f t="shared" si="23"/>
        <v>0</v>
      </c>
      <c r="AG41" s="395">
        <f>AG40*AG39</f>
        <v>0</v>
      </c>
      <c r="AH41" s="395">
        <f>AH40*AH39</f>
        <v>0</v>
      </c>
      <c r="AI41" s="396">
        <f t="shared" si="21"/>
        <v>0</v>
      </c>
    </row>
    <row r="42" spans="1:35" x14ac:dyDescent="0.3">
      <c r="A42" s="1103"/>
      <c r="B42" s="1074" t="s">
        <v>42</v>
      </c>
      <c r="C42" s="1075"/>
      <c r="D42" s="1075"/>
      <c r="E42" s="1076"/>
      <c r="F42" s="393" t="s">
        <v>24</v>
      </c>
      <c r="G42" s="477">
        <v>0.3</v>
      </c>
      <c r="H42" s="395">
        <v>0.3</v>
      </c>
      <c r="I42" s="395">
        <v>0.3</v>
      </c>
      <c r="J42" s="395">
        <v>0.3</v>
      </c>
      <c r="K42" s="395">
        <v>0.3</v>
      </c>
      <c r="L42" s="395">
        <v>0.3</v>
      </c>
      <c r="M42" s="395">
        <v>0.3</v>
      </c>
      <c r="N42" s="395">
        <v>0.3</v>
      </c>
      <c r="O42" s="395">
        <v>0.3</v>
      </c>
      <c r="P42" s="395">
        <v>0.3</v>
      </c>
      <c r="Q42" s="395">
        <v>0.3</v>
      </c>
      <c r="R42" s="395">
        <v>0.3</v>
      </c>
      <c r="S42" s="395">
        <v>0.3</v>
      </c>
      <c r="T42" s="395">
        <v>0.3</v>
      </c>
      <c r="U42" s="395">
        <v>0.3</v>
      </c>
      <c r="V42" s="395">
        <v>0.3</v>
      </c>
      <c r="W42" s="395">
        <v>0.3</v>
      </c>
      <c r="X42" s="395">
        <v>0.3</v>
      </c>
      <c r="Y42" s="395">
        <v>0.3</v>
      </c>
      <c r="Z42" s="395">
        <v>0.3</v>
      </c>
      <c r="AA42" s="395">
        <v>0.3</v>
      </c>
      <c r="AB42" s="395">
        <v>0.3</v>
      </c>
      <c r="AC42" s="395">
        <v>0.3</v>
      </c>
      <c r="AD42" s="395">
        <v>0.3</v>
      </c>
      <c r="AE42" s="395">
        <v>0.3</v>
      </c>
      <c r="AF42" s="395">
        <v>0.3</v>
      </c>
      <c r="AG42" s="395">
        <v>0.3</v>
      </c>
      <c r="AH42" s="395">
        <v>0.3</v>
      </c>
      <c r="AI42" s="396">
        <f t="shared" si="21"/>
        <v>8.4</v>
      </c>
    </row>
    <row r="43" spans="1:35" x14ac:dyDescent="0.3">
      <c r="A43" s="1103"/>
      <c r="B43" s="1077"/>
      <c r="C43" s="1078"/>
      <c r="D43" s="1078"/>
      <c r="E43" s="1079"/>
      <c r="F43" s="393" t="s">
        <v>945</v>
      </c>
      <c r="G43" s="395">
        <f>G39*G40*(1+G42)</f>
        <v>0</v>
      </c>
      <c r="H43" s="395">
        <f t="shared" ref="H43:T43" si="24">H39*H40*(1+H42)</f>
        <v>0</v>
      </c>
      <c r="I43" s="395">
        <f t="shared" si="24"/>
        <v>0</v>
      </c>
      <c r="J43" s="395">
        <f t="shared" si="24"/>
        <v>0</v>
      </c>
      <c r="K43" s="395">
        <f t="shared" si="24"/>
        <v>0</v>
      </c>
      <c r="L43" s="395">
        <f t="shared" si="24"/>
        <v>0</v>
      </c>
      <c r="M43" s="395">
        <f t="shared" si="24"/>
        <v>0</v>
      </c>
      <c r="N43" s="395">
        <f t="shared" si="24"/>
        <v>0</v>
      </c>
      <c r="O43" s="395">
        <f t="shared" si="24"/>
        <v>0</v>
      </c>
      <c r="P43" s="395">
        <f t="shared" si="24"/>
        <v>0</v>
      </c>
      <c r="Q43" s="395">
        <f t="shared" si="24"/>
        <v>0</v>
      </c>
      <c r="R43" s="395">
        <f t="shared" si="24"/>
        <v>0</v>
      </c>
      <c r="S43" s="395">
        <f t="shared" si="24"/>
        <v>0</v>
      </c>
      <c r="T43" s="395">
        <f t="shared" si="24"/>
        <v>0</v>
      </c>
      <c r="U43" s="395">
        <f t="shared" ref="U43:AF43" si="25">U39*U40*(1+U42)</f>
        <v>0</v>
      </c>
      <c r="V43" s="395">
        <f t="shared" si="25"/>
        <v>0</v>
      </c>
      <c r="W43" s="395">
        <f t="shared" si="25"/>
        <v>0</v>
      </c>
      <c r="X43" s="395">
        <f t="shared" si="25"/>
        <v>0</v>
      </c>
      <c r="Y43" s="395">
        <f t="shared" si="25"/>
        <v>0</v>
      </c>
      <c r="Z43" s="395">
        <f t="shared" si="25"/>
        <v>0</v>
      </c>
      <c r="AA43" s="395">
        <f t="shared" si="25"/>
        <v>0</v>
      </c>
      <c r="AB43" s="395">
        <f t="shared" si="25"/>
        <v>0</v>
      </c>
      <c r="AC43" s="395">
        <f t="shared" si="25"/>
        <v>0</v>
      </c>
      <c r="AD43" s="395">
        <f t="shared" si="25"/>
        <v>0</v>
      </c>
      <c r="AE43" s="395">
        <f t="shared" si="25"/>
        <v>0</v>
      </c>
      <c r="AF43" s="395">
        <f t="shared" si="25"/>
        <v>0</v>
      </c>
      <c r="AG43" s="395">
        <f>AG39*AG40*(1+AG42)</f>
        <v>0</v>
      </c>
      <c r="AH43" s="395">
        <f>AH39*AH40*(1+AH42)</f>
        <v>0</v>
      </c>
      <c r="AI43" s="396">
        <f t="shared" si="21"/>
        <v>0</v>
      </c>
    </row>
    <row r="44" spans="1:35" x14ac:dyDescent="0.3">
      <c r="A44" s="1103"/>
      <c r="B44" s="1077"/>
      <c r="C44" s="1078"/>
      <c r="D44" s="1078"/>
      <c r="E44" s="1079"/>
      <c r="F44" s="476" t="s">
        <v>25</v>
      </c>
      <c r="G44" s="395">
        <f>$B$11</f>
        <v>5.8</v>
      </c>
      <c r="H44" s="395">
        <f t="shared" ref="H44:AH44" si="26">$B$11</f>
        <v>5.8</v>
      </c>
      <c r="I44" s="395">
        <f t="shared" si="26"/>
        <v>5.8</v>
      </c>
      <c r="J44" s="395">
        <f t="shared" si="26"/>
        <v>5.8</v>
      </c>
      <c r="K44" s="395">
        <f t="shared" si="26"/>
        <v>5.8</v>
      </c>
      <c r="L44" s="395">
        <f t="shared" si="26"/>
        <v>5.8</v>
      </c>
      <c r="M44" s="395">
        <f t="shared" si="26"/>
        <v>5.8</v>
      </c>
      <c r="N44" s="395">
        <f t="shared" si="26"/>
        <v>5.8</v>
      </c>
      <c r="O44" s="395">
        <f t="shared" si="26"/>
        <v>5.8</v>
      </c>
      <c r="P44" s="395">
        <f t="shared" si="26"/>
        <v>5.8</v>
      </c>
      <c r="Q44" s="395">
        <f t="shared" si="26"/>
        <v>5.8</v>
      </c>
      <c r="R44" s="395">
        <f t="shared" si="26"/>
        <v>5.8</v>
      </c>
      <c r="S44" s="395">
        <f t="shared" si="26"/>
        <v>5.8</v>
      </c>
      <c r="T44" s="395">
        <f t="shared" si="26"/>
        <v>5.8</v>
      </c>
      <c r="U44" s="395">
        <f t="shared" si="26"/>
        <v>5.8</v>
      </c>
      <c r="V44" s="395">
        <f t="shared" si="26"/>
        <v>5.8</v>
      </c>
      <c r="W44" s="395">
        <f t="shared" si="26"/>
        <v>5.8</v>
      </c>
      <c r="X44" s="395">
        <f t="shared" si="26"/>
        <v>5.8</v>
      </c>
      <c r="Y44" s="395">
        <f t="shared" si="26"/>
        <v>5.8</v>
      </c>
      <c r="Z44" s="395">
        <f t="shared" si="26"/>
        <v>5.8</v>
      </c>
      <c r="AA44" s="395">
        <f t="shared" si="26"/>
        <v>5.8</v>
      </c>
      <c r="AB44" s="395">
        <f t="shared" si="26"/>
        <v>5.8</v>
      </c>
      <c r="AC44" s="395">
        <f t="shared" si="26"/>
        <v>5.8</v>
      </c>
      <c r="AD44" s="395">
        <f t="shared" si="26"/>
        <v>5.8</v>
      </c>
      <c r="AE44" s="395">
        <f t="shared" si="26"/>
        <v>5.8</v>
      </c>
      <c r="AF44" s="395">
        <f t="shared" si="26"/>
        <v>5.8</v>
      </c>
      <c r="AG44" s="395">
        <f t="shared" si="26"/>
        <v>5.8</v>
      </c>
      <c r="AH44" s="395">
        <f t="shared" si="26"/>
        <v>5.8</v>
      </c>
      <c r="AI44" s="396">
        <f t="shared" si="21"/>
        <v>162.4</v>
      </c>
    </row>
    <row r="45" spans="1:35" x14ac:dyDescent="0.3">
      <c r="A45" s="1103"/>
      <c r="B45" s="1080"/>
      <c r="C45" s="1081"/>
      <c r="D45" s="1081"/>
      <c r="E45" s="1082"/>
      <c r="F45" s="393" t="s">
        <v>26</v>
      </c>
      <c r="G45" s="395">
        <f>G44*G43</f>
        <v>0</v>
      </c>
      <c r="H45" s="395">
        <f t="shared" ref="H45:T45" si="27">H44*H43</f>
        <v>0</v>
      </c>
      <c r="I45" s="395">
        <f t="shared" si="27"/>
        <v>0</v>
      </c>
      <c r="J45" s="395">
        <f t="shared" si="27"/>
        <v>0</v>
      </c>
      <c r="K45" s="395">
        <f t="shared" si="27"/>
        <v>0</v>
      </c>
      <c r="L45" s="395">
        <f t="shared" si="27"/>
        <v>0</v>
      </c>
      <c r="M45" s="395">
        <f t="shared" si="27"/>
        <v>0</v>
      </c>
      <c r="N45" s="395">
        <f t="shared" si="27"/>
        <v>0</v>
      </c>
      <c r="O45" s="395">
        <f t="shared" si="27"/>
        <v>0</v>
      </c>
      <c r="P45" s="395">
        <f t="shared" si="27"/>
        <v>0</v>
      </c>
      <c r="Q45" s="395">
        <f t="shared" si="27"/>
        <v>0</v>
      </c>
      <c r="R45" s="395">
        <f t="shared" si="27"/>
        <v>0</v>
      </c>
      <c r="S45" s="395">
        <f t="shared" si="27"/>
        <v>0</v>
      </c>
      <c r="T45" s="395">
        <f t="shared" si="27"/>
        <v>0</v>
      </c>
      <c r="U45" s="395">
        <f t="shared" ref="U45:AF45" si="28">U44*U43</f>
        <v>0</v>
      </c>
      <c r="V45" s="395">
        <f t="shared" si="28"/>
        <v>0</v>
      </c>
      <c r="W45" s="395">
        <f t="shared" si="28"/>
        <v>0</v>
      </c>
      <c r="X45" s="395">
        <f t="shared" si="28"/>
        <v>0</v>
      </c>
      <c r="Y45" s="395">
        <f t="shared" si="28"/>
        <v>0</v>
      </c>
      <c r="Z45" s="395">
        <f t="shared" si="28"/>
        <v>0</v>
      </c>
      <c r="AA45" s="395">
        <f t="shared" si="28"/>
        <v>0</v>
      </c>
      <c r="AB45" s="395">
        <f t="shared" si="28"/>
        <v>0</v>
      </c>
      <c r="AC45" s="395">
        <f t="shared" si="28"/>
        <v>0</v>
      </c>
      <c r="AD45" s="395">
        <f t="shared" si="28"/>
        <v>0</v>
      </c>
      <c r="AE45" s="395">
        <f t="shared" si="28"/>
        <v>0</v>
      </c>
      <c r="AF45" s="395">
        <f t="shared" si="28"/>
        <v>0</v>
      </c>
      <c r="AG45" s="395">
        <f>AG44*AG43</f>
        <v>0</v>
      </c>
      <c r="AH45" s="395">
        <f>AH44*AH43</f>
        <v>0</v>
      </c>
      <c r="AI45" s="396">
        <f t="shared" si="21"/>
        <v>0</v>
      </c>
    </row>
    <row r="46" spans="1:35" x14ac:dyDescent="0.3">
      <c r="A46" s="1103"/>
      <c r="B46" s="1083" t="s">
        <v>1074</v>
      </c>
      <c r="C46" s="1083"/>
      <c r="D46" s="1083"/>
      <c r="E46" s="1083"/>
      <c r="F46" s="1083"/>
      <c r="G46" s="395">
        <f>G47*G39</f>
        <v>0</v>
      </c>
      <c r="H46" s="395">
        <f t="shared" ref="H46:T46" si="29">H47*H39</f>
        <v>0</v>
      </c>
      <c r="I46" s="395">
        <f t="shared" si="29"/>
        <v>0</v>
      </c>
      <c r="J46" s="395">
        <f t="shared" si="29"/>
        <v>0</v>
      </c>
      <c r="K46" s="395">
        <f t="shared" si="29"/>
        <v>0</v>
      </c>
      <c r="L46" s="395">
        <f t="shared" si="29"/>
        <v>0</v>
      </c>
      <c r="M46" s="395">
        <f t="shared" si="29"/>
        <v>0</v>
      </c>
      <c r="N46" s="395">
        <f t="shared" si="29"/>
        <v>0</v>
      </c>
      <c r="O46" s="395">
        <f t="shared" si="29"/>
        <v>0</v>
      </c>
      <c r="P46" s="395">
        <f t="shared" si="29"/>
        <v>0</v>
      </c>
      <c r="Q46" s="395">
        <f t="shared" si="29"/>
        <v>0</v>
      </c>
      <c r="R46" s="395">
        <f t="shared" si="29"/>
        <v>0</v>
      </c>
      <c r="S46" s="395">
        <f t="shared" si="29"/>
        <v>0</v>
      </c>
      <c r="T46" s="395">
        <f t="shared" si="29"/>
        <v>0</v>
      </c>
      <c r="U46" s="395">
        <f t="shared" ref="U46:AF46" si="30">U47*U39</f>
        <v>0</v>
      </c>
      <c r="V46" s="395">
        <f t="shared" si="30"/>
        <v>0</v>
      </c>
      <c r="W46" s="395">
        <f t="shared" si="30"/>
        <v>0</v>
      </c>
      <c r="X46" s="395">
        <f t="shared" si="30"/>
        <v>0</v>
      </c>
      <c r="Y46" s="395">
        <f t="shared" si="30"/>
        <v>0</v>
      </c>
      <c r="Z46" s="395">
        <f t="shared" si="30"/>
        <v>0</v>
      </c>
      <c r="AA46" s="395">
        <f t="shared" si="30"/>
        <v>0</v>
      </c>
      <c r="AB46" s="395">
        <f t="shared" si="30"/>
        <v>0</v>
      </c>
      <c r="AC46" s="395">
        <f t="shared" si="30"/>
        <v>0</v>
      </c>
      <c r="AD46" s="395">
        <f t="shared" si="30"/>
        <v>0</v>
      </c>
      <c r="AE46" s="395">
        <f t="shared" si="30"/>
        <v>0</v>
      </c>
      <c r="AF46" s="395">
        <f t="shared" si="30"/>
        <v>0</v>
      </c>
      <c r="AG46" s="395">
        <f>AG47*AG39</f>
        <v>0</v>
      </c>
      <c r="AH46" s="395">
        <f>AH47*AH39</f>
        <v>0</v>
      </c>
      <c r="AI46" s="396">
        <f t="shared" si="21"/>
        <v>0</v>
      </c>
    </row>
    <row r="47" spans="1:35" x14ac:dyDescent="0.3">
      <c r="A47" s="1103"/>
      <c r="B47" s="1073" t="s">
        <v>1075</v>
      </c>
      <c r="C47" s="805"/>
      <c r="D47" s="805"/>
      <c r="E47" s="805"/>
      <c r="F47" s="806"/>
      <c r="G47" s="395">
        <v>0.15</v>
      </c>
      <c r="H47" s="395">
        <v>0.15</v>
      </c>
      <c r="I47" s="395">
        <v>0.15</v>
      </c>
      <c r="J47" s="395">
        <v>0.15</v>
      </c>
      <c r="K47" s="395">
        <v>0.15</v>
      </c>
      <c r="L47" s="395">
        <v>0.15</v>
      </c>
      <c r="M47" s="395">
        <v>0.15</v>
      </c>
      <c r="N47" s="395">
        <v>0.15</v>
      </c>
      <c r="O47" s="395">
        <v>0.15</v>
      </c>
      <c r="P47" s="395">
        <v>0.15</v>
      </c>
      <c r="Q47" s="395">
        <v>0.15</v>
      </c>
      <c r="R47" s="395">
        <v>0.15</v>
      </c>
      <c r="S47" s="395">
        <v>0.15</v>
      </c>
      <c r="T47" s="395">
        <v>0.15</v>
      </c>
      <c r="U47" s="395">
        <v>0.15</v>
      </c>
      <c r="V47" s="395">
        <v>0.15</v>
      </c>
      <c r="W47" s="395">
        <v>0.15</v>
      </c>
      <c r="X47" s="395">
        <v>0.15</v>
      </c>
      <c r="Y47" s="395">
        <v>0.15</v>
      </c>
      <c r="Z47" s="395">
        <v>0.15</v>
      </c>
      <c r="AA47" s="395">
        <v>0.15</v>
      </c>
      <c r="AB47" s="395">
        <v>0.15</v>
      </c>
      <c r="AC47" s="395">
        <v>0.15</v>
      </c>
      <c r="AD47" s="395">
        <v>0.15</v>
      </c>
      <c r="AE47" s="395">
        <v>0.15</v>
      </c>
      <c r="AF47" s="395">
        <v>0.15</v>
      </c>
      <c r="AG47" s="395">
        <v>0.15</v>
      </c>
      <c r="AH47" s="395">
        <v>0.15</v>
      </c>
      <c r="AI47" s="396">
        <f t="shared" si="21"/>
        <v>4.2</v>
      </c>
    </row>
    <row r="48" spans="1:35" x14ac:dyDescent="0.3">
      <c r="A48" s="1103"/>
      <c r="B48" s="1074" t="s">
        <v>42</v>
      </c>
      <c r="C48" s="1075"/>
      <c r="D48" s="1075"/>
      <c r="E48" s="1076"/>
      <c r="F48" s="393" t="s">
        <v>24</v>
      </c>
      <c r="G48" s="477">
        <v>0.3</v>
      </c>
      <c r="H48" s="477">
        <v>0.3</v>
      </c>
      <c r="I48" s="477">
        <v>0.3</v>
      </c>
      <c r="J48" s="477">
        <v>0.3</v>
      </c>
      <c r="K48" s="477">
        <v>0.3</v>
      </c>
      <c r="L48" s="477">
        <v>0.3</v>
      </c>
      <c r="M48" s="477">
        <v>0.3</v>
      </c>
      <c r="N48" s="477">
        <v>0.3</v>
      </c>
      <c r="O48" s="477">
        <v>0.3</v>
      </c>
      <c r="P48" s="477">
        <v>0.3</v>
      </c>
      <c r="Q48" s="477">
        <v>0.3</v>
      </c>
      <c r="R48" s="477">
        <v>0.3</v>
      </c>
      <c r="S48" s="477">
        <v>0.3</v>
      </c>
      <c r="T48" s="477">
        <v>0.3</v>
      </c>
      <c r="U48" s="477">
        <v>0.3</v>
      </c>
      <c r="V48" s="477">
        <v>0.3</v>
      </c>
      <c r="W48" s="477">
        <v>0.3</v>
      </c>
      <c r="X48" s="477">
        <v>0.3</v>
      </c>
      <c r="Y48" s="477">
        <v>0.3</v>
      </c>
      <c r="Z48" s="477">
        <v>0.3</v>
      </c>
      <c r="AA48" s="477">
        <v>0.3</v>
      </c>
      <c r="AB48" s="477">
        <v>0.3</v>
      </c>
      <c r="AC48" s="477">
        <v>0.3</v>
      </c>
      <c r="AD48" s="477">
        <v>0.3</v>
      </c>
      <c r="AE48" s="477">
        <v>0.3</v>
      </c>
      <c r="AF48" s="477">
        <v>0.3</v>
      </c>
      <c r="AG48" s="477">
        <v>0.3</v>
      </c>
      <c r="AH48" s="477">
        <v>0.3</v>
      </c>
      <c r="AI48" s="396">
        <f t="shared" si="21"/>
        <v>8.4</v>
      </c>
    </row>
    <row r="49" spans="1:35" x14ac:dyDescent="0.3">
      <c r="A49" s="1103"/>
      <c r="B49" s="1077"/>
      <c r="C49" s="1078"/>
      <c r="D49" s="1078"/>
      <c r="E49" s="1079"/>
      <c r="F49" s="393" t="s">
        <v>945</v>
      </c>
      <c r="G49" s="395">
        <f>G46*(1+G48)</f>
        <v>0</v>
      </c>
      <c r="H49" s="395">
        <f t="shared" ref="H49:T49" si="31">H46*(1+H48)</f>
        <v>0</v>
      </c>
      <c r="I49" s="395">
        <f t="shared" si="31"/>
        <v>0</v>
      </c>
      <c r="J49" s="395">
        <f t="shared" si="31"/>
        <v>0</v>
      </c>
      <c r="K49" s="395">
        <f t="shared" si="31"/>
        <v>0</v>
      </c>
      <c r="L49" s="395">
        <f t="shared" si="31"/>
        <v>0</v>
      </c>
      <c r="M49" s="395">
        <f t="shared" si="31"/>
        <v>0</v>
      </c>
      <c r="N49" s="395">
        <f t="shared" si="31"/>
        <v>0</v>
      </c>
      <c r="O49" s="395">
        <f t="shared" si="31"/>
        <v>0</v>
      </c>
      <c r="P49" s="395">
        <f t="shared" si="31"/>
        <v>0</v>
      </c>
      <c r="Q49" s="395">
        <f t="shared" si="31"/>
        <v>0</v>
      </c>
      <c r="R49" s="395">
        <f t="shared" si="31"/>
        <v>0</v>
      </c>
      <c r="S49" s="395">
        <f t="shared" si="31"/>
        <v>0</v>
      </c>
      <c r="T49" s="395">
        <f t="shared" si="31"/>
        <v>0</v>
      </c>
      <c r="U49" s="395">
        <f t="shared" ref="U49:AF49" si="32">U46*(1+U48)</f>
        <v>0</v>
      </c>
      <c r="V49" s="395">
        <f t="shared" si="32"/>
        <v>0</v>
      </c>
      <c r="W49" s="395">
        <f t="shared" si="32"/>
        <v>0</v>
      </c>
      <c r="X49" s="395">
        <f t="shared" si="32"/>
        <v>0</v>
      </c>
      <c r="Y49" s="395">
        <f t="shared" si="32"/>
        <v>0</v>
      </c>
      <c r="Z49" s="395">
        <f t="shared" si="32"/>
        <v>0</v>
      </c>
      <c r="AA49" s="395">
        <f t="shared" si="32"/>
        <v>0</v>
      </c>
      <c r="AB49" s="395">
        <f t="shared" si="32"/>
        <v>0</v>
      </c>
      <c r="AC49" s="395">
        <f t="shared" si="32"/>
        <v>0</v>
      </c>
      <c r="AD49" s="395">
        <f t="shared" si="32"/>
        <v>0</v>
      </c>
      <c r="AE49" s="395">
        <f t="shared" si="32"/>
        <v>0</v>
      </c>
      <c r="AF49" s="395">
        <f t="shared" si="32"/>
        <v>0</v>
      </c>
      <c r="AG49" s="395">
        <f>AG46*(1+AG48)</f>
        <v>0</v>
      </c>
      <c r="AH49" s="395">
        <f>AH46*(1+AH48)</f>
        <v>0</v>
      </c>
      <c r="AI49" s="396">
        <f t="shared" si="21"/>
        <v>0</v>
      </c>
    </row>
    <row r="50" spans="1:35" x14ac:dyDescent="0.3">
      <c r="A50" s="1103"/>
      <c r="B50" s="1077"/>
      <c r="C50" s="1078"/>
      <c r="D50" s="1078"/>
      <c r="E50" s="1079"/>
      <c r="F50" s="476" t="s">
        <v>25</v>
      </c>
      <c r="G50" s="395">
        <f>$B$11</f>
        <v>5.8</v>
      </c>
      <c r="H50" s="395">
        <f t="shared" ref="H50:AH50" si="33">$B$11</f>
        <v>5.8</v>
      </c>
      <c r="I50" s="395">
        <f t="shared" si="33"/>
        <v>5.8</v>
      </c>
      <c r="J50" s="395">
        <f t="shared" si="33"/>
        <v>5.8</v>
      </c>
      <c r="K50" s="395">
        <f t="shared" si="33"/>
        <v>5.8</v>
      </c>
      <c r="L50" s="395">
        <f t="shared" si="33"/>
        <v>5.8</v>
      </c>
      <c r="M50" s="395">
        <f t="shared" si="33"/>
        <v>5.8</v>
      </c>
      <c r="N50" s="395">
        <f t="shared" si="33"/>
        <v>5.8</v>
      </c>
      <c r="O50" s="395">
        <f t="shared" si="33"/>
        <v>5.8</v>
      </c>
      <c r="P50" s="395">
        <f t="shared" si="33"/>
        <v>5.8</v>
      </c>
      <c r="Q50" s="395">
        <f t="shared" si="33"/>
        <v>5.8</v>
      </c>
      <c r="R50" s="395">
        <f t="shared" si="33"/>
        <v>5.8</v>
      </c>
      <c r="S50" s="395">
        <f t="shared" si="33"/>
        <v>5.8</v>
      </c>
      <c r="T50" s="395">
        <f t="shared" si="33"/>
        <v>5.8</v>
      </c>
      <c r="U50" s="395">
        <f t="shared" si="33"/>
        <v>5.8</v>
      </c>
      <c r="V50" s="395">
        <f t="shared" si="33"/>
        <v>5.8</v>
      </c>
      <c r="W50" s="395">
        <f t="shared" si="33"/>
        <v>5.8</v>
      </c>
      <c r="X50" s="395">
        <f t="shared" si="33"/>
        <v>5.8</v>
      </c>
      <c r="Y50" s="395">
        <f t="shared" si="33"/>
        <v>5.8</v>
      </c>
      <c r="Z50" s="395">
        <f t="shared" si="33"/>
        <v>5.8</v>
      </c>
      <c r="AA50" s="395">
        <f t="shared" si="33"/>
        <v>5.8</v>
      </c>
      <c r="AB50" s="395">
        <f t="shared" si="33"/>
        <v>5.8</v>
      </c>
      <c r="AC50" s="395">
        <f t="shared" si="33"/>
        <v>5.8</v>
      </c>
      <c r="AD50" s="395">
        <f t="shared" si="33"/>
        <v>5.8</v>
      </c>
      <c r="AE50" s="395">
        <f t="shared" si="33"/>
        <v>5.8</v>
      </c>
      <c r="AF50" s="395">
        <f t="shared" si="33"/>
        <v>5.8</v>
      </c>
      <c r="AG50" s="395">
        <f t="shared" si="33"/>
        <v>5.8</v>
      </c>
      <c r="AH50" s="395">
        <f t="shared" si="33"/>
        <v>5.8</v>
      </c>
      <c r="AI50" s="396"/>
    </row>
    <row r="51" spans="1:35" x14ac:dyDescent="0.3">
      <c r="A51" s="1103"/>
      <c r="B51" s="1080"/>
      <c r="C51" s="1081"/>
      <c r="D51" s="1081"/>
      <c r="E51" s="1082"/>
      <c r="F51" s="393" t="s">
        <v>26</v>
      </c>
      <c r="G51" s="395">
        <f>G50*G49</f>
        <v>0</v>
      </c>
      <c r="H51" s="395">
        <f t="shared" ref="H51:T51" si="34">H50*H49</f>
        <v>0</v>
      </c>
      <c r="I51" s="395">
        <f t="shared" si="34"/>
        <v>0</v>
      </c>
      <c r="J51" s="395">
        <f t="shared" si="34"/>
        <v>0</v>
      </c>
      <c r="K51" s="395">
        <f t="shared" si="34"/>
        <v>0</v>
      </c>
      <c r="L51" s="395">
        <f t="shared" si="34"/>
        <v>0</v>
      </c>
      <c r="M51" s="395">
        <f t="shared" si="34"/>
        <v>0</v>
      </c>
      <c r="N51" s="395">
        <f t="shared" si="34"/>
        <v>0</v>
      </c>
      <c r="O51" s="395">
        <f t="shared" si="34"/>
        <v>0</v>
      </c>
      <c r="P51" s="395">
        <f t="shared" si="34"/>
        <v>0</v>
      </c>
      <c r="Q51" s="395">
        <f t="shared" si="34"/>
        <v>0</v>
      </c>
      <c r="R51" s="395">
        <f t="shared" si="34"/>
        <v>0</v>
      </c>
      <c r="S51" s="395">
        <f t="shared" si="34"/>
        <v>0</v>
      </c>
      <c r="T51" s="395">
        <f t="shared" si="34"/>
        <v>0</v>
      </c>
      <c r="U51" s="395">
        <f t="shared" ref="U51:AF51" si="35">U50*U49</f>
        <v>0</v>
      </c>
      <c r="V51" s="395">
        <f t="shared" si="35"/>
        <v>0</v>
      </c>
      <c r="W51" s="395">
        <f t="shared" si="35"/>
        <v>0</v>
      </c>
      <c r="X51" s="395">
        <f t="shared" si="35"/>
        <v>0</v>
      </c>
      <c r="Y51" s="395">
        <f t="shared" si="35"/>
        <v>0</v>
      </c>
      <c r="Z51" s="395">
        <f t="shared" si="35"/>
        <v>0</v>
      </c>
      <c r="AA51" s="395">
        <f t="shared" si="35"/>
        <v>0</v>
      </c>
      <c r="AB51" s="395">
        <f t="shared" si="35"/>
        <v>0</v>
      </c>
      <c r="AC51" s="395">
        <f t="shared" si="35"/>
        <v>0</v>
      </c>
      <c r="AD51" s="395">
        <f t="shared" si="35"/>
        <v>0</v>
      </c>
      <c r="AE51" s="395">
        <f t="shared" si="35"/>
        <v>0</v>
      </c>
      <c r="AF51" s="395">
        <f t="shared" si="35"/>
        <v>0</v>
      </c>
      <c r="AG51" s="395">
        <f>AG50*AG49</f>
        <v>0</v>
      </c>
      <c r="AH51" s="395">
        <f>AH50*AH49</f>
        <v>0</v>
      </c>
      <c r="AI51" s="396">
        <f>TRUNC(SUM(G51:AH51),2)</f>
        <v>0</v>
      </c>
    </row>
    <row r="52" spans="1:35" ht="3.95" customHeight="1" x14ac:dyDescent="0.3">
      <c r="A52" s="635"/>
      <c r="B52" s="632"/>
      <c r="C52" s="632"/>
      <c r="D52" s="632"/>
      <c r="E52" s="632"/>
      <c r="F52" s="632"/>
      <c r="G52" s="633"/>
      <c r="H52" s="633"/>
      <c r="I52" s="633"/>
      <c r="J52" s="633"/>
      <c r="K52" s="633"/>
      <c r="L52" s="633"/>
      <c r="M52" s="633"/>
      <c r="N52" s="633"/>
      <c r="O52" s="633"/>
      <c r="P52" s="633"/>
      <c r="Q52" s="633"/>
      <c r="R52" s="633"/>
      <c r="S52" s="633"/>
      <c r="T52" s="633"/>
      <c r="U52" s="633"/>
      <c r="V52" s="633"/>
      <c r="W52" s="633"/>
      <c r="X52" s="633"/>
      <c r="Y52" s="633"/>
      <c r="Z52" s="633"/>
      <c r="AA52" s="633"/>
      <c r="AB52" s="633"/>
      <c r="AC52" s="633"/>
      <c r="AD52" s="633"/>
      <c r="AE52" s="633"/>
      <c r="AF52" s="633"/>
      <c r="AG52" s="633"/>
      <c r="AH52" s="633"/>
      <c r="AI52" s="636"/>
    </row>
    <row r="53" spans="1:35" ht="15" customHeight="1" x14ac:dyDescent="0.3">
      <c r="A53" s="1099" t="s">
        <v>6</v>
      </c>
      <c r="B53" s="806" t="s">
        <v>40</v>
      </c>
      <c r="C53" s="1083"/>
      <c r="D53" s="1083"/>
      <c r="E53" s="1083"/>
      <c r="F53" s="1083"/>
      <c r="G53" s="395">
        <f>G54+G55+G56+G57+G58+G59+G60+G61+G62</f>
        <v>520.97981669954788</v>
      </c>
      <c r="H53" s="395">
        <f>H54+H55+H56+H57+H58+H59+H60+H61+H62</f>
        <v>564.09330102105594</v>
      </c>
      <c r="I53" s="395">
        <f>I54+I55+I56+I57+I58+I59+I60+I61+I62</f>
        <v>428.41112077714143</v>
      </c>
      <c r="J53" s="395">
        <f>J54+J55+J56+J57+J58+J59+J60+J61+J62</f>
        <v>383.52543991028375</v>
      </c>
      <c r="K53" s="395">
        <f>K54+K55+K56+K57+K58+K59+K60+K61+K62</f>
        <v>627.78539752678773</v>
      </c>
      <c r="L53" s="395">
        <f t="shared" ref="L53:S53" si="36">L54+L55+L56+L57+L58+L59+L60+L61+L62</f>
        <v>338.17905226132837</v>
      </c>
      <c r="M53" s="395">
        <f t="shared" si="36"/>
        <v>274.55901011543864</v>
      </c>
      <c r="N53" s="395">
        <f t="shared" si="36"/>
        <v>309.70415474467779</v>
      </c>
      <c r="O53" s="395">
        <f t="shared" si="36"/>
        <v>267.96491872678899</v>
      </c>
      <c r="P53" s="395">
        <f t="shared" si="36"/>
        <v>117.41000431080764</v>
      </c>
      <c r="Q53" s="395">
        <f t="shared" si="36"/>
        <v>71.050100381642224</v>
      </c>
      <c r="R53" s="395">
        <f t="shared" si="36"/>
        <v>80.344821551730121</v>
      </c>
      <c r="S53" s="395">
        <f t="shared" si="36"/>
        <v>33.410173922559778</v>
      </c>
      <c r="T53" s="395">
        <f>T54+T55+T56+T57+T58+T59+T60+T61+T62</f>
        <v>61.61886124339641</v>
      </c>
      <c r="U53" s="395">
        <f t="shared" ref="U53:AF53" si="37">U54+U55+U56+U57+U58+U59+U60+U61+U62</f>
        <v>92.074281980948612</v>
      </c>
      <c r="V53" s="395">
        <f t="shared" si="37"/>
        <v>114.79095302661069</v>
      </c>
      <c r="W53" s="395">
        <f t="shared" si="37"/>
        <v>81.128473184467794</v>
      </c>
      <c r="X53" s="395">
        <f t="shared" si="37"/>
        <v>163.19726797258761</v>
      </c>
      <c r="Y53" s="395">
        <f t="shared" si="37"/>
        <v>172.93932098329122</v>
      </c>
      <c r="Z53" s="395">
        <f t="shared" si="37"/>
        <v>167.15520776711807</v>
      </c>
      <c r="AA53" s="395">
        <f t="shared" si="37"/>
        <v>124.38431719296273</v>
      </c>
      <c r="AB53" s="395">
        <f t="shared" si="37"/>
        <v>124.52689193085453</v>
      </c>
      <c r="AC53" s="395">
        <f t="shared" si="37"/>
        <v>109.92911398123582</v>
      </c>
      <c r="AD53" s="395">
        <f t="shared" si="37"/>
        <v>153.62879177217985</v>
      </c>
      <c r="AE53" s="395">
        <f t="shared" si="37"/>
        <v>125.61034193658234</v>
      </c>
      <c r="AF53" s="395">
        <f t="shared" si="37"/>
        <v>117.05661698121044</v>
      </c>
      <c r="AG53" s="395">
        <f>AG54+AG55+AG56+AG57+AG58+AG59+AG60+AG61+AG62</f>
        <v>110.985</v>
      </c>
      <c r="AH53" s="395">
        <f>AH54+AH55+AH56+AH57+AH58+AH59+AH60+AH61+AH62</f>
        <v>385.52114858176867</v>
      </c>
      <c r="AI53" s="396">
        <f t="shared" ref="AI53:AI63" si="38">TRUNC(SUM(G53:AH53),2)</f>
        <v>6121.96</v>
      </c>
    </row>
    <row r="54" spans="1:35" x14ac:dyDescent="0.3">
      <c r="A54" s="1100"/>
      <c r="B54" s="806" t="s">
        <v>102</v>
      </c>
      <c r="C54" s="1083"/>
      <c r="D54" s="1083"/>
      <c r="E54" s="1083"/>
      <c r="F54" s="1083"/>
      <c r="G54" s="395">
        <f t="shared" ref="G54:S54" si="39">IF(IF(G32&lt;=(1.5),IF(G35&lt;=(0.8),(G34+G35)/2*G32*G21))=FALSE,0,IF(AND(G32&lt;=(1.5),(G35&lt;=(0.8))),(G34+G35)/2*G32*G21))</f>
        <v>0</v>
      </c>
      <c r="H54" s="395">
        <f t="shared" si="39"/>
        <v>0</v>
      </c>
      <c r="I54" s="395">
        <f t="shared" si="39"/>
        <v>0</v>
      </c>
      <c r="J54" s="395">
        <f>IF(IF(J32&lt;=(1.5),IF(J35&lt;=(0.8),(J34+J35)/2*J32*J21))=FALSE,0,IF(AND(J32&lt;=(1.5),(J35&lt;=(0.8))),(J34+J35)/2*J32*J21))</f>
        <v>0</v>
      </c>
      <c r="K54" s="395">
        <f t="shared" si="39"/>
        <v>0</v>
      </c>
      <c r="L54" s="395">
        <f t="shared" si="39"/>
        <v>0</v>
      </c>
      <c r="M54" s="395">
        <f t="shared" si="39"/>
        <v>0</v>
      </c>
      <c r="N54" s="395">
        <f t="shared" si="39"/>
        <v>0</v>
      </c>
      <c r="O54" s="395">
        <f t="shared" si="39"/>
        <v>0</v>
      </c>
      <c r="P54" s="395">
        <f t="shared" si="39"/>
        <v>0</v>
      </c>
      <c r="Q54" s="395">
        <f t="shared" si="39"/>
        <v>0</v>
      </c>
      <c r="R54" s="395">
        <f t="shared" si="39"/>
        <v>0</v>
      </c>
      <c r="S54" s="395">
        <f t="shared" si="39"/>
        <v>0</v>
      </c>
      <c r="T54" s="395">
        <f>IF(IF(T32&lt;=(1.5),IF(T35&lt;=(0.8),(T34+T35)/2*T32*T21))=FALSE,0,IF(AND(T32&lt;=(1.5),(T35&lt;=(0.8))),(T34+T35)/2*T32*T21))</f>
        <v>0</v>
      </c>
      <c r="U54" s="395">
        <f t="shared" ref="U54:AF54" si="40">IF(IF(U32&lt;=(1.5),IF(U35&lt;=(0.8),(U34+U35)/2*U32*U21))=FALSE,0,IF(AND(U32&lt;=(1.5),(U35&lt;=(0.8))),(U34+U35)/2*U32*U21))</f>
        <v>0</v>
      </c>
      <c r="V54" s="395">
        <f t="shared" si="40"/>
        <v>0</v>
      </c>
      <c r="W54" s="395">
        <f t="shared" si="40"/>
        <v>0</v>
      </c>
      <c r="X54" s="395">
        <f t="shared" si="40"/>
        <v>0</v>
      </c>
      <c r="Y54" s="395">
        <f t="shared" si="40"/>
        <v>0</v>
      </c>
      <c r="Z54" s="395">
        <f t="shared" si="40"/>
        <v>0</v>
      </c>
      <c r="AA54" s="395">
        <f t="shared" si="40"/>
        <v>0</v>
      </c>
      <c r="AB54" s="395">
        <f t="shared" si="40"/>
        <v>0</v>
      </c>
      <c r="AC54" s="395">
        <f t="shared" si="40"/>
        <v>0</v>
      </c>
      <c r="AD54" s="395">
        <f t="shared" si="40"/>
        <v>0</v>
      </c>
      <c r="AE54" s="395">
        <f t="shared" si="40"/>
        <v>0</v>
      </c>
      <c r="AF54" s="395">
        <f t="shared" si="40"/>
        <v>0</v>
      </c>
      <c r="AG54" s="395">
        <f>IF(IF(AG32&lt;=(1.5),IF(AG35&lt;=(0.8),(AG34+AG35)/2*AG32*AG21))=FALSE,0,IF(AND(AG32&lt;=(1.5),(AG35&lt;=(0.8))),(AG34+AG35)/2*AG32*AG21))</f>
        <v>0</v>
      </c>
      <c r="AH54" s="395">
        <f>IF(IF(AH32&lt;=(1.5),IF(AH35&lt;=(0.8),(AH34+AH35)/2*AH32*AH21))=FALSE,0,IF(AND(AH32&lt;=(1.5),(AH35&lt;=(0.8))),(AH34+AH35)/2*AH32*AH21))</f>
        <v>367.16299864930352</v>
      </c>
      <c r="AI54" s="396">
        <f t="shared" si="38"/>
        <v>367.16</v>
      </c>
    </row>
    <row r="55" spans="1:35" x14ac:dyDescent="0.3">
      <c r="A55" s="1100"/>
      <c r="B55" s="806" t="s">
        <v>103</v>
      </c>
      <c r="C55" s="1083"/>
      <c r="D55" s="1083"/>
      <c r="E55" s="1083"/>
      <c r="F55" s="1083"/>
      <c r="G55" s="395">
        <f t="shared" ref="G55:T55" si="41">IF(AND(G32&lt;=(3),G32&gt;=(1.5),G35&gt;(0.8),G35&lt;=(1.5),(G34+G35)/2*G32*G21)=FALSE,0,IF(AND(G32&lt;=(3),G32&gt;=(1.5),G35&gt;(0.8),G35&lt;=(1.5)),(G34+G35)/2*G32*G21,0))</f>
        <v>0</v>
      </c>
      <c r="H55" s="395">
        <f t="shared" si="41"/>
        <v>0</v>
      </c>
      <c r="I55" s="395">
        <f t="shared" si="41"/>
        <v>0</v>
      </c>
      <c r="J55" s="395">
        <f t="shared" si="41"/>
        <v>0</v>
      </c>
      <c r="K55" s="395">
        <f t="shared" si="41"/>
        <v>0</v>
      </c>
      <c r="L55" s="395">
        <f t="shared" si="41"/>
        <v>0</v>
      </c>
      <c r="M55" s="395">
        <f t="shared" si="41"/>
        <v>0</v>
      </c>
      <c r="N55" s="395">
        <f t="shared" si="41"/>
        <v>0</v>
      </c>
      <c r="O55" s="395">
        <f t="shared" si="41"/>
        <v>0</v>
      </c>
      <c r="P55" s="395">
        <f t="shared" si="41"/>
        <v>0</v>
      </c>
      <c r="Q55" s="395">
        <f t="shared" si="41"/>
        <v>67.666762268230684</v>
      </c>
      <c r="R55" s="395">
        <f t="shared" si="41"/>
        <v>76.518877668314403</v>
      </c>
      <c r="S55" s="395">
        <f t="shared" si="41"/>
        <v>31.819213259580742</v>
      </c>
      <c r="T55" s="395">
        <f t="shared" si="41"/>
        <v>58.684629755615632</v>
      </c>
      <c r="U55" s="395">
        <f t="shared" ref="U55:AF55" si="42">IF(AND(U32&lt;=(3),U32&gt;=(1.5),U35&gt;(0.8),U35&lt;=(1.5),(U34+U35)/2*U32*U21)=FALSE,0,IF(AND(U32&lt;=(3),U32&gt;=(1.5),U35&gt;(0.8),U35&lt;=(1.5)),(U34+U35)/2*U32*U21,0))</f>
        <v>87.689792362808205</v>
      </c>
      <c r="V55" s="395">
        <f t="shared" si="42"/>
        <v>109.32471716820066</v>
      </c>
      <c r="W55" s="395">
        <f t="shared" si="42"/>
        <v>77.265212556635987</v>
      </c>
      <c r="X55" s="395">
        <f t="shared" si="42"/>
        <v>155.42596949770248</v>
      </c>
      <c r="Y55" s="395">
        <f t="shared" si="42"/>
        <v>164.70411522218211</v>
      </c>
      <c r="Z55" s="395">
        <f t="shared" si="42"/>
        <v>159.19543596868388</v>
      </c>
      <c r="AA55" s="395">
        <f t="shared" si="42"/>
        <v>118.46125446948831</v>
      </c>
      <c r="AB55" s="395">
        <f t="shared" si="42"/>
        <v>118.59703993414718</v>
      </c>
      <c r="AC55" s="395">
        <f t="shared" si="42"/>
        <v>104.69439426784363</v>
      </c>
      <c r="AD55" s="395">
        <f t="shared" si="42"/>
        <v>146.31313502112366</v>
      </c>
      <c r="AE55" s="395">
        <f t="shared" si="42"/>
        <v>119.62889708245937</v>
      </c>
      <c r="AF55" s="395">
        <f t="shared" si="42"/>
        <v>111.48249236305756</v>
      </c>
      <c r="AG55" s="395">
        <f>IF(AND(AG32&lt;=(3),AG32&gt;=(1.5),AG35&gt;(0.8),AG35&lt;=(1.5),(AG34+AG35)/2*AG32*AG21)=FALSE,0,IF(AND(AG32&lt;=(3),AG32&gt;=(1.5),AG35&gt;(0.8),AG35&lt;=(1.5)),(AG34+AG35)/2*AG32*AG21,0))</f>
        <v>0</v>
      </c>
      <c r="AH55" s="395">
        <f>IF(AND(AH32&lt;=(3),AH32&gt;=(1.5),AH35&gt;(0.8),AH35&lt;=(1.5),(AH34+AH35)/2*AH32*AH21)=FALSE,0,IF(AND(AH32&lt;=(3),AH32&gt;=(1.5),AH35&gt;(0.8),AH35&lt;=(1.5)),(AH34+AH35)/2*AH32*AH21,0))</f>
        <v>0</v>
      </c>
      <c r="AI55" s="396">
        <f t="shared" si="38"/>
        <v>1707.47</v>
      </c>
    </row>
    <row r="56" spans="1:35" x14ac:dyDescent="0.3">
      <c r="A56" s="1100"/>
      <c r="B56" s="806" t="s">
        <v>101</v>
      </c>
      <c r="C56" s="1083"/>
      <c r="D56" s="1083"/>
      <c r="E56" s="1083"/>
      <c r="F56" s="1083"/>
      <c r="G56" s="395">
        <f t="shared" ref="G56:T56" si="43">IF(AND(G32&lt;=(3),G32&gt;(1.5),G35&gt;(1.5),G35&lt;=(3.5),(G34+G35)/2*G32*G21)=FALSE,0,IF(AND(G32&lt;=(3),G32&gt;(1.5),G35&gt;(1.5),G35&lt;=(3.5)),(G34+G35)/2*G32*G21,0))</f>
        <v>496.17125399956939</v>
      </c>
      <c r="H56" s="395">
        <f t="shared" si="43"/>
        <v>537.23171525814848</v>
      </c>
      <c r="I56" s="395">
        <f t="shared" si="43"/>
        <v>408.01059121632517</v>
      </c>
      <c r="J56" s="395">
        <f>IF(AND(J32&lt;=(3),J32&gt;=(1.5),J35&gt;=(1.5),J35&lt;=(3.5),(J34+J35)/2*J32*J21)=FALSE,0,IF(AND(J32&lt;=(3),J32&gt;=(1.5),J35&gt;=(1.5),J35&lt;=(3.5)),(J34+J35)/2*J32*J21,0))</f>
        <v>365.26232372407975</v>
      </c>
      <c r="K56" s="395">
        <f>IF(AND(K32&lt;=(3),K32&gt;=(1.5),K35&gt;=(1.5),K35&lt;=(3.5),(K34+K35)/2*K32*K21)=FALSE,0,IF(AND(K32&lt;=(3),K32&gt;=(1.5),K35&gt;=(1.5),K35&lt;=(3.5)),(K34+K35)/2*K32*K21,0))</f>
        <v>597.89085478741686</v>
      </c>
      <c r="L56" s="395">
        <f>IF(AND(L32&lt;=(3),L32&gt;=(1.5),L35&gt;=(1.5),L35&lt;=(3.5),(L34+L35)/2*L32*L21)=FALSE,0,IF(AND(L32&lt;=(3),L32&gt;=(1.5),L35&gt;=(1.5),L35&lt;=(3.5)),(L34+L35)/2*L32*L21,0))</f>
        <v>322.07528786793176</v>
      </c>
      <c r="M56" s="395">
        <f t="shared" si="43"/>
        <v>261.48477153851297</v>
      </c>
      <c r="N56" s="395">
        <f t="shared" si="43"/>
        <v>294.95633785207411</v>
      </c>
      <c r="O56" s="395">
        <f t="shared" si="43"/>
        <v>255.20468450170381</v>
      </c>
      <c r="P56" s="395">
        <f t="shared" si="43"/>
        <v>111.8190517245787</v>
      </c>
      <c r="Q56" s="395">
        <f t="shared" si="43"/>
        <v>0</v>
      </c>
      <c r="R56" s="395">
        <f t="shared" si="43"/>
        <v>0</v>
      </c>
      <c r="S56" s="395">
        <f t="shared" si="43"/>
        <v>0</v>
      </c>
      <c r="T56" s="395">
        <f t="shared" si="43"/>
        <v>0</v>
      </c>
      <c r="U56" s="395">
        <f t="shared" ref="U56:AF56" si="44">IF(AND(U32&lt;=(3),U32&gt;(1.5),U35&gt;(1.5),U35&lt;=(3.5),(U34+U35)/2*U32*U21)=FALSE,0,IF(AND(U32&lt;=(3),U32&gt;(1.5),U35&gt;(1.5),U35&lt;=(3.5)),(U34+U35)/2*U32*U21,0))</f>
        <v>0</v>
      </c>
      <c r="V56" s="395">
        <f t="shared" si="44"/>
        <v>0</v>
      </c>
      <c r="W56" s="395">
        <f t="shared" si="44"/>
        <v>0</v>
      </c>
      <c r="X56" s="395">
        <f t="shared" si="44"/>
        <v>0</v>
      </c>
      <c r="Y56" s="395">
        <f t="shared" si="44"/>
        <v>0</v>
      </c>
      <c r="Z56" s="395">
        <f t="shared" si="44"/>
        <v>0</v>
      </c>
      <c r="AA56" s="395">
        <f t="shared" si="44"/>
        <v>0</v>
      </c>
      <c r="AB56" s="395">
        <f t="shared" si="44"/>
        <v>0</v>
      </c>
      <c r="AC56" s="395">
        <f t="shared" si="44"/>
        <v>0</v>
      </c>
      <c r="AD56" s="395">
        <f t="shared" si="44"/>
        <v>0</v>
      </c>
      <c r="AE56" s="395">
        <f t="shared" si="44"/>
        <v>0</v>
      </c>
      <c r="AF56" s="395">
        <f t="shared" si="44"/>
        <v>0</v>
      </c>
      <c r="AG56" s="395">
        <f>IF(AND(AG32&lt;=(3),AG32&gt;(1.5),AG35&gt;(1.5),AG35&lt;=(3.5),(AG34+AG35)/2*AG32*AG21)=FALSE,0,IF(AND(AG32&lt;=(3),AG32&gt;(1.5),AG35&gt;(1.5),AG35&lt;=(3.5)),(AG34+AG35)/2*AG32*AG21,0))</f>
        <v>105.7</v>
      </c>
      <c r="AH56" s="395">
        <f>IF(AND(AH32&lt;=(3),AH32&gt;(1.5),AH35&gt;(1.5),AH35&lt;=(3.5),(AH34+AH35)/2*AH32*AH21)=FALSE,0,IF(AND(AH32&lt;=(3),AH32&gt;=(1.5),AH35&gt;(1.5),AH35&lt;=(3.5)),(AH34+AH35)/2*AH32*AH21,0))</f>
        <v>0</v>
      </c>
      <c r="AI56" s="396">
        <f t="shared" si="38"/>
        <v>3755.8</v>
      </c>
    </row>
    <row r="57" spans="1:35" x14ac:dyDescent="0.3">
      <c r="A57" s="1100"/>
      <c r="B57" s="806" t="s">
        <v>51</v>
      </c>
      <c r="C57" s="1083"/>
      <c r="D57" s="1083"/>
      <c r="E57" s="1083"/>
      <c r="F57" s="1083"/>
      <c r="G57" s="395">
        <f t="shared" ref="G57:T57" si="45">IF(AND(G32&lt;=(4.5),G32&gt;(3),(G34+G35)/2*G32*G21)=FALSE,0,IF(AND(G32&lt;=(4.5),G32&gt;(3)),(G34+G35)/2*G32*G21,0))</f>
        <v>0</v>
      </c>
      <c r="H57" s="395">
        <f t="shared" si="45"/>
        <v>0</v>
      </c>
      <c r="I57" s="395">
        <f t="shared" si="45"/>
        <v>0</v>
      </c>
      <c r="J57" s="395">
        <f t="shared" si="45"/>
        <v>0</v>
      </c>
      <c r="K57" s="395">
        <f t="shared" si="45"/>
        <v>0</v>
      </c>
      <c r="L57" s="395">
        <f t="shared" si="45"/>
        <v>0</v>
      </c>
      <c r="M57" s="395">
        <f t="shared" si="45"/>
        <v>0</v>
      </c>
      <c r="N57" s="395">
        <f t="shared" si="45"/>
        <v>0</v>
      </c>
      <c r="O57" s="395">
        <f t="shared" si="45"/>
        <v>0</v>
      </c>
      <c r="P57" s="395">
        <f t="shared" si="45"/>
        <v>0</v>
      </c>
      <c r="Q57" s="395">
        <f t="shared" si="45"/>
        <v>0</v>
      </c>
      <c r="R57" s="395">
        <f t="shared" si="45"/>
        <v>0</v>
      </c>
      <c r="S57" s="395">
        <f t="shared" si="45"/>
        <v>0</v>
      </c>
      <c r="T57" s="395">
        <f t="shared" si="45"/>
        <v>0</v>
      </c>
      <c r="U57" s="395">
        <f t="shared" ref="U57:AF57" si="46">IF(AND(U32&lt;=(4.5),U32&gt;(3),(U34+U35)/2*U32*U21)=FALSE,0,IF(AND(U32&lt;=(4.5),U32&gt;(3)),(U34+U35)/2*U32*U21,0))</f>
        <v>0</v>
      </c>
      <c r="V57" s="395">
        <f t="shared" si="46"/>
        <v>0</v>
      </c>
      <c r="W57" s="395">
        <f t="shared" si="46"/>
        <v>0</v>
      </c>
      <c r="X57" s="395">
        <f t="shared" si="46"/>
        <v>0</v>
      </c>
      <c r="Y57" s="395">
        <f t="shared" si="46"/>
        <v>0</v>
      </c>
      <c r="Z57" s="395">
        <f t="shared" si="46"/>
        <v>0</v>
      </c>
      <c r="AA57" s="395">
        <f t="shared" si="46"/>
        <v>0</v>
      </c>
      <c r="AB57" s="395">
        <f t="shared" si="46"/>
        <v>0</v>
      </c>
      <c r="AC57" s="395">
        <f t="shared" si="46"/>
        <v>0</v>
      </c>
      <c r="AD57" s="395">
        <f t="shared" si="46"/>
        <v>0</v>
      </c>
      <c r="AE57" s="395">
        <f t="shared" si="46"/>
        <v>0</v>
      </c>
      <c r="AF57" s="395">
        <f t="shared" si="46"/>
        <v>0</v>
      </c>
      <c r="AG57" s="395">
        <f>IF(AND(AG32&lt;=(4.5),AG32&gt;(3),(AG34+AG35)/2*AG32*AG21)=FALSE,0,IF(AND(AG32&lt;=(4.5),AG32&gt;(3)),(AG34+AG35)/2*AG32*AG21,0))</f>
        <v>0</v>
      </c>
      <c r="AH57" s="395">
        <f>IF(AND(AH32&lt;=(4.5),AH32&gt;(3),(AH34+AH35)/2*AH32*AH21)=FALSE,0,IF(AND(AH32&lt;=(4.5),AH32&gt;(3)),(AH34+AH35)/2*AH32*AH21,0))</f>
        <v>0</v>
      </c>
      <c r="AI57" s="396">
        <f t="shared" si="38"/>
        <v>0</v>
      </c>
    </row>
    <row r="58" spans="1:35" x14ac:dyDescent="0.3">
      <c r="A58" s="1100"/>
      <c r="B58" s="806" t="s">
        <v>52</v>
      </c>
      <c r="C58" s="1083"/>
      <c r="D58" s="1083"/>
      <c r="E58" s="1083"/>
      <c r="F58" s="1083"/>
      <c r="G58" s="395">
        <f t="shared" ref="G58:T58" si="47">IF(AND(G32&gt;(4.5),G32&lt;=(6),G32&gt;(3),(G34+G35)/2*G32*G21)=FALSE,0,IF(AND(G32&gt;(4.5),G32&lt;=(6),G32&gt;(3)),(G34+G35)/2*G32*G21,0))</f>
        <v>0</v>
      </c>
      <c r="H58" s="395">
        <f t="shared" si="47"/>
        <v>0</v>
      </c>
      <c r="I58" s="395">
        <f t="shared" si="47"/>
        <v>0</v>
      </c>
      <c r="J58" s="395">
        <f t="shared" si="47"/>
        <v>0</v>
      </c>
      <c r="K58" s="395">
        <f t="shared" si="47"/>
        <v>0</v>
      </c>
      <c r="L58" s="395">
        <f t="shared" si="47"/>
        <v>0</v>
      </c>
      <c r="M58" s="395">
        <f t="shared" si="47"/>
        <v>0</v>
      </c>
      <c r="N58" s="395">
        <f t="shared" si="47"/>
        <v>0</v>
      </c>
      <c r="O58" s="395">
        <f t="shared" si="47"/>
        <v>0</v>
      </c>
      <c r="P58" s="395">
        <f t="shared" si="47"/>
        <v>0</v>
      </c>
      <c r="Q58" s="395">
        <f t="shared" si="47"/>
        <v>0</v>
      </c>
      <c r="R58" s="395">
        <f t="shared" si="47"/>
        <v>0</v>
      </c>
      <c r="S58" s="395">
        <f t="shared" si="47"/>
        <v>0</v>
      </c>
      <c r="T58" s="395">
        <f t="shared" si="47"/>
        <v>0</v>
      </c>
      <c r="U58" s="395">
        <f t="shared" ref="U58:AF58" si="48">IF(AND(U32&gt;(4.5),U32&lt;=(6),U32&gt;(3),(U34+U35)/2*U32*U21)=FALSE,0,IF(AND(U32&gt;(4.5),U32&lt;=(6),U32&gt;(3)),(U34+U35)/2*U32*U21,0))</f>
        <v>0</v>
      </c>
      <c r="V58" s="395">
        <f t="shared" si="48"/>
        <v>0</v>
      </c>
      <c r="W58" s="395">
        <f t="shared" si="48"/>
        <v>0</v>
      </c>
      <c r="X58" s="395">
        <f t="shared" si="48"/>
        <v>0</v>
      </c>
      <c r="Y58" s="395">
        <f t="shared" si="48"/>
        <v>0</v>
      </c>
      <c r="Z58" s="395">
        <f t="shared" si="48"/>
        <v>0</v>
      </c>
      <c r="AA58" s="395">
        <f t="shared" si="48"/>
        <v>0</v>
      </c>
      <c r="AB58" s="395">
        <f t="shared" si="48"/>
        <v>0</v>
      </c>
      <c r="AC58" s="395">
        <f t="shared" si="48"/>
        <v>0</v>
      </c>
      <c r="AD58" s="395">
        <f t="shared" si="48"/>
        <v>0</v>
      </c>
      <c r="AE58" s="395">
        <f t="shared" si="48"/>
        <v>0</v>
      </c>
      <c r="AF58" s="395">
        <f t="shared" si="48"/>
        <v>0</v>
      </c>
      <c r="AG58" s="395">
        <f>IF(AND(AG32&gt;(4.5),AG32&lt;=(6),AG32&gt;(3),(AG34+AG35)/2*AG32*AG21)=FALSE,0,IF(AND(AG32&gt;(4.5),AG32&lt;=(6),AG32&gt;(3)),(AG34+AG35)/2*AG32*AG21,0))</f>
        <v>0</v>
      </c>
      <c r="AH58" s="395">
        <f>IF(AND(AH32&gt;(4.5),AH32&lt;=(6),AH32&gt;(3),(AH34+AH35)/2*AH32*AH21)=FALSE,0,IF(AND(AH32&gt;(4.5),AH32&lt;=(6),AH32&gt;(3)),(AH34+AH35)/2*AH32*AH21,0))</f>
        <v>0</v>
      </c>
      <c r="AI58" s="396">
        <f t="shared" si="38"/>
        <v>0</v>
      </c>
    </row>
    <row r="59" spans="1:35" x14ac:dyDescent="0.3">
      <c r="A59" s="1100"/>
      <c r="B59" s="806" t="s">
        <v>53</v>
      </c>
      <c r="C59" s="1083"/>
      <c r="D59" s="1083"/>
      <c r="E59" s="1083"/>
      <c r="F59" s="1083"/>
      <c r="G59" s="395">
        <f t="shared" ref="G59:T59" si="49">IF(IF(G32&lt;=1.5,(G54)*0.05,0)=FALSE,0,IF(G32&lt;=1.5,(G54)*0.05,0))</f>
        <v>0</v>
      </c>
      <c r="H59" s="395">
        <f t="shared" si="49"/>
        <v>0</v>
      </c>
      <c r="I59" s="395">
        <f t="shared" si="49"/>
        <v>0</v>
      </c>
      <c r="J59" s="395">
        <f t="shared" si="49"/>
        <v>0</v>
      </c>
      <c r="K59" s="395">
        <f t="shared" si="49"/>
        <v>0</v>
      </c>
      <c r="L59" s="395">
        <f t="shared" si="49"/>
        <v>0</v>
      </c>
      <c r="M59" s="395">
        <f t="shared" si="49"/>
        <v>0</v>
      </c>
      <c r="N59" s="395">
        <f t="shared" si="49"/>
        <v>0</v>
      </c>
      <c r="O59" s="395">
        <f t="shared" si="49"/>
        <v>0</v>
      </c>
      <c r="P59" s="395">
        <f t="shared" si="49"/>
        <v>0</v>
      </c>
      <c r="Q59" s="395">
        <f t="shared" si="49"/>
        <v>0</v>
      </c>
      <c r="R59" s="395">
        <f t="shared" si="49"/>
        <v>0</v>
      </c>
      <c r="S59" s="395">
        <f t="shared" si="49"/>
        <v>0</v>
      </c>
      <c r="T59" s="395">
        <f t="shared" si="49"/>
        <v>0</v>
      </c>
      <c r="U59" s="395">
        <f t="shared" ref="U59:AF59" si="50">IF(IF(U32&lt;=1.5,(U54)*0.05,0)=FALSE,0,IF(U32&lt;=1.5,(U54)*0.05,0))</f>
        <v>0</v>
      </c>
      <c r="V59" s="395">
        <f t="shared" si="50"/>
        <v>0</v>
      </c>
      <c r="W59" s="395">
        <f t="shared" si="50"/>
        <v>0</v>
      </c>
      <c r="X59" s="395">
        <f t="shared" si="50"/>
        <v>0</v>
      </c>
      <c r="Y59" s="395">
        <f t="shared" si="50"/>
        <v>0</v>
      </c>
      <c r="Z59" s="395">
        <f t="shared" si="50"/>
        <v>0</v>
      </c>
      <c r="AA59" s="395">
        <f t="shared" si="50"/>
        <v>0</v>
      </c>
      <c r="AB59" s="395">
        <f t="shared" si="50"/>
        <v>0</v>
      </c>
      <c r="AC59" s="395">
        <f t="shared" si="50"/>
        <v>0</v>
      </c>
      <c r="AD59" s="395">
        <f t="shared" si="50"/>
        <v>0</v>
      </c>
      <c r="AE59" s="395">
        <f t="shared" si="50"/>
        <v>0</v>
      </c>
      <c r="AF59" s="395">
        <f t="shared" si="50"/>
        <v>0</v>
      </c>
      <c r="AG59" s="395">
        <f>IF(IF(AG32&lt;=1.5,(AG54)*0.05,0)=FALSE,0,IF(AG32&lt;=1.5,(AG54)*0.05,0))</f>
        <v>0</v>
      </c>
      <c r="AH59" s="395">
        <f>IF(IF(AH32&lt;=1.5,(AH54)*0.05,0)=FALSE,0,IF(AH32&lt;=1.5,(AH54)*0.05,0))</f>
        <v>18.358149932465178</v>
      </c>
      <c r="AI59" s="383">
        <f t="shared" si="38"/>
        <v>18.350000000000001</v>
      </c>
    </row>
    <row r="60" spans="1:35" x14ac:dyDescent="0.3">
      <c r="A60" s="1100"/>
      <c r="B60" s="806" t="s">
        <v>54</v>
      </c>
      <c r="C60" s="1083"/>
      <c r="D60" s="1083"/>
      <c r="E60" s="1083"/>
      <c r="F60" s="1083"/>
      <c r="G60" s="395">
        <f t="shared" ref="G60:T60" si="51">IF(G32&gt;(1.5),IF(G32&lt;=(3),(G55+G56)*0.05,0),0)</f>
        <v>24.80856269997847</v>
      </c>
      <c r="H60" s="395">
        <f t="shared" si="51"/>
        <v>26.861585762907424</v>
      </c>
      <c r="I60" s="395">
        <f t="shared" si="51"/>
        <v>20.40052956081626</v>
      </c>
      <c r="J60" s="395">
        <f t="shared" si="51"/>
        <v>18.263116186203987</v>
      </c>
      <c r="K60" s="395">
        <f t="shared" si="51"/>
        <v>29.894542739370845</v>
      </c>
      <c r="L60" s="395">
        <f t="shared" si="51"/>
        <v>16.103764393396588</v>
      </c>
      <c r="M60" s="395">
        <f t="shared" si="51"/>
        <v>13.07423857692565</v>
      </c>
      <c r="N60" s="395">
        <f t="shared" si="51"/>
        <v>14.747816892603707</v>
      </c>
      <c r="O60" s="395">
        <f t="shared" si="51"/>
        <v>12.760234225085192</v>
      </c>
      <c r="P60" s="395">
        <f t="shared" si="51"/>
        <v>5.5909525862289353</v>
      </c>
      <c r="Q60" s="395">
        <f t="shared" si="51"/>
        <v>3.3833381134115346</v>
      </c>
      <c r="R60" s="395">
        <f t="shared" si="51"/>
        <v>3.8259438834157202</v>
      </c>
      <c r="S60" s="395">
        <f t="shared" si="51"/>
        <v>1.5909606629790372</v>
      </c>
      <c r="T60" s="395">
        <f t="shared" si="51"/>
        <v>2.9342314877807816</v>
      </c>
      <c r="U60" s="395">
        <f t="shared" ref="U60:AF60" si="52">IF(U32&gt;(1.5),IF(U32&lt;=(3),(U55+U56)*0.05,0),0)</f>
        <v>4.3844896181404103</v>
      </c>
      <c r="V60" s="395">
        <f t="shared" si="52"/>
        <v>5.4662358584100339</v>
      </c>
      <c r="W60" s="395">
        <f t="shared" si="52"/>
        <v>3.8632606278317994</v>
      </c>
      <c r="X60" s="395">
        <f t="shared" si="52"/>
        <v>7.7712984748851248</v>
      </c>
      <c r="Y60" s="395">
        <f t="shared" si="52"/>
        <v>8.2352057611091052</v>
      </c>
      <c r="Z60" s="395">
        <f t="shared" si="52"/>
        <v>7.9597717984341942</v>
      </c>
      <c r="AA60" s="395">
        <f t="shared" si="52"/>
        <v>5.9230627234744162</v>
      </c>
      <c r="AB60" s="395">
        <f t="shared" si="52"/>
        <v>5.9298519967073595</v>
      </c>
      <c r="AC60" s="395">
        <f t="shared" si="52"/>
        <v>5.2347197133921819</v>
      </c>
      <c r="AD60" s="395">
        <f t="shared" si="52"/>
        <v>7.3156567510561832</v>
      </c>
      <c r="AE60" s="395">
        <f t="shared" si="52"/>
        <v>5.9814448541229694</v>
      </c>
      <c r="AF60" s="395">
        <f t="shared" si="52"/>
        <v>5.5741246181528785</v>
      </c>
      <c r="AG60" s="395">
        <f>IF(AG32&gt;(1.5),IF(AG32&lt;=(3),(AG55+AG56)*0.05,0),0)</f>
        <v>5.2850000000000001</v>
      </c>
      <c r="AH60" s="395">
        <f>IF(AH32&gt;(1.5),IF(AH32&lt;=(3),(AH55+AH56)*0.05,0),0)</f>
        <v>0</v>
      </c>
      <c r="AI60" s="383">
        <f t="shared" si="38"/>
        <v>273.16000000000003</v>
      </c>
    </row>
    <row r="61" spans="1:35" ht="14.45" customHeight="1" x14ac:dyDescent="0.3">
      <c r="A61" s="1100"/>
      <c r="B61" s="806" t="s">
        <v>55</v>
      </c>
      <c r="C61" s="1083"/>
      <c r="D61" s="1083"/>
      <c r="E61" s="1083"/>
      <c r="F61" s="1083"/>
      <c r="G61" s="395">
        <f t="shared" ref="G61:K62" si="53">(G57)*0.05</f>
        <v>0</v>
      </c>
      <c r="H61" s="395">
        <f t="shared" si="53"/>
        <v>0</v>
      </c>
      <c r="I61" s="395">
        <f t="shared" si="53"/>
        <v>0</v>
      </c>
      <c r="J61" s="395">
        <f t="shared" si="53"/>
        <v>0</v>
      </c>
      <c r="K61" s="395">
        <f t="shared" si="53"/>
        <v>0</v>
      </c>
      <c r="L61" s="395">
        <f t="shared" ref="L61:T61" si="54">(L57)*0.05</f>
        <v>0</v>
      </c>
      <c r="M61" s="395">
        <f t="shared" si="54"/>
        <v>0</v>
      </c>
      <c r="N61" s="395">
        <f t="shared" si="54"/>
        <v>0</v>
      </c>
      <c r="O61" s="395">
        <f t="shared" si="54"/>
        <v>0</v>
      </c>
      <c r="P61" s="395">
        <f t="shared" si="54"/>
        <v>0</v>
      </c>
      <c r="Q61" s="395">
        <f t="shared" si="54"/>
        <v>0</v>
      </c>
      <c r="R61" s="395">
        <f t="shared" si="54"/>
        <v>0</v>
      </c>
      <c r="S61" s="395">
        <f t="shared" si="54"/>
        <v>0</v>
      </c>
      <c r="T61" s="395">
        <f t="shared" si="54"/>
        <v>0</v>
      </c>
      <c r="U61" s="395">
        <f t="shared" ref="U61:AF61" si="55">(U57)*0.05</f>
        <v>0</v>
      </c>
      <c r="V61" s="395">
        <f t="shared" si="55"/>
        <v>0</v>
      </c>
      <c r="W61" s="395">
        <f t="shared" si="55"/>
        <v>0</v>
      </c>
      <c r="X61" s="395">
        <f t="shared" si="55"/>
        <v>0</v>
      </c>
      <c r="Y61" s="395">
        <f t="shared" si="55"/>
        <v>0</v>
      </c>
      <c r="Z61" s="395">
        <f t="shared" si="55"/>
        <v>0</v>
      </c>
      <c r="AA61" s="395">
        <f t="shared" si="55"/>
        <v>0</v>
      </c>
      <c r="AB61" s="395">
        <f t="shared" si="55"/>
        <v>0</v>
      </c>
      <c r="AC61" s="395">
        <f t="shared" si="55"/>
        <v>0</v>
      </c>
      <c r="AD61" s="395">
        <f t="shared" si="55"/>
        <v>0</v>
      </c>
      <c r="AE61" s="395">
        <f t="shared" si="55"/>
        <v>0</v>
      </c>
      <c r="AF61" s="395">
        <f t="shared" si="55"/>
        <v>0</v>
      </c>
      <c r="AG61" s="395">
        <f>(AG57)*0.05</f>
        <v>0</v>
      </c>
      <c r="AH61" s="395">
        <f>(AH57)*0.05</f>
        <v>0</v>
      </c>
      <c r="AI61" s="383">
        <f t="shared" si="38"/>
        <v>0</v>
      </c>
    </row>
    <row r="62" spans="1:35" x14ac:dyDescent="0.3">
      <c r="A62" s="1100"/>
      <c r="B62" s="806" t="s">
        <v>56</v>
      </c>
      <c r="C62" s="1083"/>
      <c r="D62" s="1083"/>
      <c r="E62" s="1083"/>
      <c r="F62" s="1083"/>
      <c r="G62" s="395">
        <f t="shared" si="53"/>
        <v>0</v>
      </c>
      <c r="H62" s="395">
        <f t="shared" si="53"/>
        <v>0</v>
      </c>
      <c r="I62" s="395">
        <f t="shared" si="53"/>
        <v>0</v>
      </c>
      <c r="J62" s="395">
        <f t="shared" si="53"/>
        <v>0</v>
      </c>
      <c r="K62" s="395">
        <f t="shared" si="53"/>
        <v>0</v>
      </c>
      <c r="L62" s="395">
        <f t="shared" ref="L62:T62" si="56">(L58)*0.05</f>
        <v>0</v>
      </c>
      <c r="M62" s="395">
        <f t="shared" si="56"/>
        <v>0</v>
      </c>
      <c r="N62" s="395">
        <f t="shared" si="56"/>
        <v>0</v>
      </c>
      <c r="O62" s="395">
        <f t="shared" si="56"/>
        <v>0</v>
      </c>
      <c r="P62" s="395">
        <f t="shared" si="56"/>
        <v>0</v>
      </c>
      <c r="Q62" s="395">
        <f t="shared" si="56"/>
        <v>0</v>
      </c>
      <c r="R62" s="395">
        <f t="shared" si="56"/>
        <v>0</v>
      </c>
      <c r="S62" s="395">
        <f t="shared" si="56"/>
        <v>0</v>
      </c>
      <c r="T62" s="395">
        <f t="shared" si="56"/>
        <v>0</v>
      </c>
      <c r="U62" s="395">
        <f t="shared" ref="U62:AF62" si="57">(U58)*0.05</f>
        <v>0</v>
      </c>
      <c r="V62" s="395">
        <f t="shared" si="57"/>
        <v>0</v>
      </c>
      <c r="W62" s="395">
        <f t="shared" si="57"/>
        <v>0</v>
      </c>
      <c r="X62" s="395">
        <f t="shared" si="57"/>
        <v>0</v>
      </c>
      <c r="Y62" s="395">
        <f t="shared" si="57"/>
        <v>0</v>
      </c>
      <c r="Z62" s="395">
        <f t="shared" si="57"/>
        <v>0</v>
      </c>
      <c r="AA62" s="395">
        <f t="shared" si="57"/>
        <v>0</v>
      </c>
      <c r="AB62" s="395">
        <f t="shared" si="57"/>
        <v>0</v>
      </c>
      <c r="AC62" s="395">
        <f t="shared" si="57"/>
        <v>0</v>
      </c>
      <c r="AD62" s="395">
        <f t="shared" si="57"/>
        <v>0</v>
      </c>
      <c r="AE62" s="395">
        <f t="shared" si="57"/>
        <v>0</v>
      </c>
      <c r="AF62" s="395">
        <f t="shared" si="57"/>
        <v>0</v>
      </c>
      <c r="AG62" s="395">
        <f>(AG58)*0.05</f>
        <v>0</v>
      </c>
      <c r="AH62" s="395">
        <f>(AH58)*0.05</f>
        <v>0</v>
      </c>
      <c r="AI62" s="383">
        <f t="shared" si="38"/>
        <v>0</v>
      </c>
    </row>
    <row r="63" spans="1:35" x14ac:dyDescent="0.3">
      <c r="A63" s="1100"/>
      <c r="B63" s="1104" t="s">
        <v>42</v>
      </c>
      <c r="C63" s="1105"/>
      <c r="D63" s="1105"/>
      <c r="E63" s="1105"/>
      <c r="F63" s="393" t="s">
        <v>23</v>
      </c>
      <c r="G63" s="395">
        <f>G53</f>
        <v>520.97981669954788</v>
      </c>
      <c r="H63" s="395">
        <f>H53</f>
        <v>564.09330102105594</v>
      </c>
      <c r="I63" s="395">
        <f>I53</f>
        <v>428.41112077714143</v>
      </c>
      <c r="J63" s="395">
        <f>J53</f>
        <v>383.52543991028375</v>
      </c>
      <c r="K63" s="395">
        <f>K53</f>
        <v>627.78539752678773</v>
      </c>
      <c r="L63" s="395">
        <f t="shared" ref="L63:T63" si="58">L53</f>
        <v>338.17905226132837</v>
      </c>
      <c r="M63" s="395">
        <f t="shared" si="58"/>
        <v>274.55901011543864</v>
      </c>
      <c r="N63" s="395">
        <f t="shared" si="58"/>
        <v>309.70415474467779</v>
      </c>
      <c r="O63" s="395">
        <f t="shared" si="58"/>
        <v>267.96491872678899</v>
      </c>
      <c r="P63" s="395">
        <f t="shared" si="58"/>
        <v>117.41000431080764</v>
      </c>
      <c r="Q63" s="395">
        <f t="shared" si="58"/>
        <v>71.050100381642224</v>
      </c>
      <c r="R63" s="395">
        <f t="shared" si="58"/>
        <v>80.344821551730121</v>
      </c>
      <c r="S63" s="395">
        <f t="shared" si="58"/>
        <v>33.410173922559778</v>
      </c>
      <c r="T63" s="395">
        <f t="shared" si="58"/>
        <v>61.61886124339641</v>
      </c>
      <c r="U63" s="395">
        <f t="shared" ref="U63:AF63" si="59">U53</f>
        <v>92.074281980948612</v>
      </c>
      <c r="V63" s="395">
        <f t="shared" si="59"/>
        <v>114.79095302661069</v>
      </c>
      <c r="W63" s="395">
        <f t="shared" si="59"/>
        <v>81.128473184467794</v>
      </c>
      <c r="X63" s="395">
        <f t="shared" si="59"/>
        <v>163.19726797258761</v>
      </c>
      <c r="Y63" s="395">
        <f t="shared" si="59"/>
        <v>172.93932098329122</v>
      </c>
      <c r="Z63" s="395">
        <f t="shared" si="59"/>
        <v>167.15520776711807</v>
      </c>
      <c r="AA63" s="395">
        <f t="shared" si="59"/>
        <v>124.38431719296273</v>
      </c>
      <c r="AB63" s="395">
        <f t="shared" si="59"/>
        <v>124.52689193085453</v>
      </c>
      <c r="AC63" s="395">
        <f t="shared" si="59"/>
        <v>109.92911398123582</v>
      </c>
      <c r="AD63" s="395">
        <f t="shared" si="59"/>
        <v>153.62879177217985</v>
      </c>
      <c r="AE63" s="395">
        <f t="shared" si="59"/>
        <v>125.61034193658234</v>
      </c>
      <c r="AF63" s="395">
        <f t="shared" si="59"/>
        <v>117.05661698121044</v>
      </c>
      <c r="AG63" s="395">
        <f>AG53</f>
        <v>110.985</v>
      </c>
      <c r="AH63" s="395">
        <f>AH53</f>
        <v>385.52114858176867</v>
      </c>
      <c r="AI63" s="383">
        <f t="shared" si="38"/>
        <v>6121.96</v>
      </c>
    </row>
    <row r="64" spans="1:35" x14ac:dyDescent="0.3">
      <c r="A64" s="1100"/>
      <c r="B64" s="1104"/>
      <c r="C64" s="1105"/>
      <c r="D64" s="1105"/>
      <c r="E64" s="1105"/>
      <c r="F64" s="393" t="s">
        <v>24</v>
      </c>
      <c r="G64" s="408">
        <v>0.3</v>
      </c>
      <c r="H64" s="408">
        <v>0.3</v>
      </c>
      <c r="I64" s="408">
        <v>0.3</v>
      </c>
      <c r="J64" s="408">
        <v>0.3</v>
      </c>
      <c r="K64" s="408">
        <v>0.3</v>
      </c>
      <c r="L64" s="408">
        <v>0.3</v>
      </c>
      <c r="M64" s="408">
        <v>0.3</v>
      </c>
      <c r="N64" s="408">
        <v>0.3</v>
      </c>
      <c r="O64" s="408">
        <v>0.3</v>
      </c>
      <c r="P64" s="408">
        <v>0.3</v>
      </c>
      <c r="Q64" s="408">
        <v>0.3</v>
      </c>
      <c r="R64" s="408">
        <v>0.3</v>
      </c>
      <c r="S64" s="408">
        <v>0.3</v>
      </c>
      <c r="T64" s="408">
        <v>0.3</v>
      </c>
      <c r="U64" s="408">
        <v>0.3</v>
      </c>
      <c r="V64" s="408">
        <v>0.3</v>
      </c>
      <c r="W64" s="408">
        <v>0.3</v>
      </c>
      <c r="X64" s="408">
        <v>0.3</v>
      </c>
      <c r="Y64" s="408">
        <v>0.3</v>
      </c>
      <c r="Z64" s="408">
        <v>0.3</v>
      </c>
      <c r="AA64" s="408">
        <v>0.3</v>
      </c>
      <c r="AB64" s="408">
        <v>0.3</v>
      </c>
      <c r="AC64" s="408">
        <v>0.3</v>
      </c>
      <c r="AD64" s="408">
        <v>0.3</v>
      </c>
      <c r="AE64" s="408">
        <v>0.3</v>
      </c>
      <c r="AF64" s="408">
        <v>0.3</v>
      </c>
      <c r="AG64" s="408">
        <v>0.3</v>
      </c>
      <c r="AH64" s="408">
        <v>0.3</v>
      </c>
      <c r="AI64" s="383"/>
    </row>
    <row r="65" spans="1:35" x14ac:dyDescent="0.3">
      <c r="A65" s="1100"/>
      <c r="B65" s="1104"/>
      <c r="C65" s="1105"/>
      <c r="D65" s="1105"/>
      <c r="E65" s="1105"/>
      <c r="F65" s="393" t="s">
        <v>25</v>
      </c>
      <c r="G65" s="395">
        <f t="shared" ref="G65:AH65" si="60">$B$11</f>
        <v>5.8</v>
      </c>
      <c r="H65" s="395">
        <f t="shared" si="60"/>
        <v>5.8</v>
      </c>
      <c r="I65" s="395">
        <f t="shared" si="60"/>
        <v>5.8</v>
      </c>
      <c r="J65" s="395">
        <f t="shared" si="60"/>
        <v>5.8</v>
      </c>
      <c r="K65" s="395">
        <f t="shared" si="60"/>
        <v>5.8</v>
      </c>
      <c r="L65" s="395">
        <f t="shared" si="60"/>
        <v>5.8</v>
      </c>
      <c r="M65" s="395">
        <f t="shared" si="60"/>
        <v>5.8</v>
      </c>
      <c r="N65" s="395">
        <f t="shared" si="60"/>
        <v>5.8</v>
      </c>
      <c r="O65" s="395">
        <f t="shared" si="60"/>
        <v>5.8</v>
      </c>
      <c r="P65" s="395">
        <f t="shared" si="60"/>
        <v>5.8</v>
      </c>
      <c r="Q65" s="395">
        <f t="shared" si="60"/>
        <v>5.8</v>
      </c>
      <c r="R65" s="395">
        <f t="shared" si="60"/>
        <v>5.8</v>
      </c>
      <c r="S65" s="395">
        <f t="shared" si="60"/>
        <v>5.8</v>
      </c>
      <c r="T65" s="395">
        <f t="shared" si="60"/>
        <v>5.8</v>
      </c>
      <c r="U65" s="395">
        <f t="shared" si="60"/>
        <v>5.8</v>
      </c>
      <c r="V65" s="395">
        <f t="shared" si="60"/>
        <v>5.8</v>
      </c>
      <c r="W65" s="395">
        <f t="shared" si="60"/>
        <v>5.8</v>
      </c>
      <c r="X65" s="395">
        <f t="shared" si="60"/>
        <v>5.8</v>
      </c>
      <c r="Y65" s="395">
        <f t="shared" si="60"/>
        <v>5.8</v>
      </c>
      <c r="Z65" s="395">
        <f t="shared" si="60"/>
        <v>5.8</v>
      </c>
      <c r="AA65" s="395">
        <f t="shared" si="60"/>
        <v>5.8</v>
      </c>
      <c r="AB65" s="395">
        <f t="shared" si="60"/>
        <v>5.8</v>
      </c>
      <c r="AC65" s="395">
        <f t="shared" si="60"/>
        <v>5.8</v>
      </c>
      <c r="AD65" s="395">
        <f t="shared" si="60"/>
        <v>5.8</v>
      </c>
      <c r="AE65" s="395">
        <f t="shared" si="60"/>
        <v>5.8</v>
      </c>
      <c r="AF65" s="395">
        <f t="shared" si="60"/>
        <v>5.8</v>
      </c>
      <c r="AG65" s="395">
        <f t="shared" si="60"/>
        <v>5.8</v>
      </c>
      <c r="AH65" s="395">
        <f t="shared" si="60"/>
        <v>5.8</v>
      </c>
      <c r="AI65" s="402"/>
    </row>
    <row r="66" spans="1:35" x14ac:dyDescent="0.3">
      <c r="A66" s="1100"/>
      <c r="B66" s="1104"/>
      <c r="C66" s="1105"/>
      <c r="D66" s="1105"/>
      <c r="E66" s="1105"/>
      <c r="F66" s="393" t="s">
        <v>26</v>
      </c>
      <c r="G66" s="395">
        <f>ROUND(G63*(1+G64)*G65,2)</f>
        <v>3928.19</v>
      </c>
      <c r="H66" s="395">
        <f>ROUND(H63*(1+H64)*H65,2)</f>
        <v>4253.26</v>
      </c>
      <c r="I66" s="395">
        <f>ROUND(I63*(1+I64)*I65,2)</f>
        <v>3230.22</v>
      </c>
      <c r="J66" s="395">
        <f>ROUND(J63*(1+J64)*J65,2)</f>
        <v>2891.78</v>
      </c>
      <c r="K66" s="395">
        <f>ROUND(K63*(1+K64)*K65,2)</f>
        <v>4733.5</v>
      </c>
      <c r="L66" s="395">
        <f t="shared" ref="L66:T66" si="61">ROUND(L63*(1+L64)*L65,2)</f>
        <v>2549.87</v>
      </c>
      <c r="M66" s="395">
        <f t="shared" si="61"/>
        <v>2070.17</v>
      </c>
      <c r="N66" s="395">
        <f t="shared" si="61"/>
        <v>2335.17</v>
      </c>
      <c r="O66" s="395">
        <f t="shared" si="61"/>
        <v>2020.46</v>
      </c>
      <c r="P66" s="395">
        <f t="shared" si="61"/>
        <v>885.27</v>
      </c>
      <c r="Q66" s="395">
        <f t="shared" si="61"/>
        <v>535.72</v>
      </c>
      <c r="R66" s="395">
        <f t="shared" si="61"/>
        <v>605.79999999999995</v>
      </c>
      <c r="S66" s="395">
        <f t="shared" si="61"/>
        <v>251.91</v>
      </c>
      <c r="T66" s="395">
        <f t="shared" si="61"/>
        <v>464.61</v>
      </c>
      <c r="U66" s="395">
        <f t="shared" ref="U66:AF66" si="62">ROUND(U63*(1+U64)*U65,2)</f>
        <v>694.24</v>
      </c>
      <c r="V66" s="395">
        <f t="shared" si="62"/>
        <v>865.52</v>
      </c>
      <c r="W66" s="395">
        <f t="shared" si="62"/>
        <v>611.71</v>
      </c>
      <c r="X66" s="395">
        <f t="shared" si="62"/>
        <v>1230.51</v>
      </c>
      <c r="Y66" s="395">
        <f t="shared" si="62"/>
        <v>1303.96</v>
      </c>
      <c r="Z66" s="395">
        <f t="shared" si="62"/>
        <v>1260.3499999999999</v>
      </c>
      <c r="AA66" s="395">
        <f t="shared" si="62"/>
        <v>937.86</v>
      </c>
      <c r="AB66" s="395">
        <f t="shared" si="62"/>
        <v>938.93</v>
      </c>
      <c r="AC66" s="395">
        <f t="shared" si="62"/>
        <v>828.87</v>
      </c>
      <c r="AD66" s="395">
        <f t="shared" si="62"/>
        <v>1158.3599999999999</v>
      </c>
      <c r="AE66" s="395">
        <f t="shared" si="62"/>
        <v>947.1</v>
      </c>
      <c r="AF66" s="395">
        <f t="shared" si="62"/>
        <v>882.61</v>
      </c>
      <c r="AG66" s="395">
        <f>ROUND(AG63*(1+AG64)*AG65,2)</f>
        <v>836.83</v>
      </c>
      <c r="AH66" s="395">
        <f>ROUND(AH63*(1+AH64)*AH65,2)</f>
        <v>2906.83</v>
      </c>
      <c r="AI66" s="383">
        <f>TRUNC(SUM(G66:AH66),2)</f>
        <v>46159.61</v>
      </c>
    </row>
    <row r="67" spans="1:35" ht="3.95" customHeight="1" x14ac:dyDescent="0.3">
      <c r="A67" s="1100"/>
      <c r="B67" s="637"/>
      <c r="C67" s="637"/>
      <c r="D67" s="637"/>
      <c r="E67" s="637"/>
      <c r="F67" s="638"/>
      <c r="G67" s="633"/>
      <c r="H67" s="633"/>
      <c r="I67" s="633"/>
      <c r="J67" s="633"/>
      <c r="K67" s="633"/>
      <c r="L67" s="633"/>
      <c r="M67" s="633"/>
      <c r="N67" s="633"/>
      <c r="O67" s="633"/>
      <c r="P67" s="633"/>
      <c r="Q67" s="633"/>
      <c r="R67" s="633"/>
      <c r="S67" s="633"/>
      <c r="T67" s="633"/>
      <c r="U67" s="633"/>
      <c r="V67" s="633"/>
      <c r="W67" s="633"/>
      <c r="X67" s="633"/>
      <c r="Y67" s="633"/>
      <c r="Z67" s="633"/>
      <c r="AA67" s="633"/>
      <c r="AB67" s="633"/>
      <c r="AC67" s="633"/>
      <c r="AD67" s="633"/>
      <c r="AE67" s="633"/>
      <c r="AF67" s="633"/>
      <c r="AG67" s="633"/>
      <c r="AH67" s="633"/>
      <c r="AI67" s="636"/>
    </row>
    <row r="68" spans="1:35" ht="16.5" customHeight="1" x14ac:dyDescent="0.3">
      <c r="A68" s="1101"/>
      <c r="B68" s="1083" t="s">
        <v>66</v>
      </c>
      <c r="C68" s="1083"/>
      <c r="D68" s="1083"/>
      <c r="E68" s="1083"/>
      <c r="F68" s="1083"/>
      <c r="G68" s="395">
        <f t="shared" ref="G68:T68" si="63">IF(G32&lt;=(1.5),G32*G21*2,0)</f>
        <v>0</v>
      </c>
      <c r="H68" s="395">
        <f t="shared" si="63"/>
        <v>0</v>
      </c>
      <c r="I68" s="395">
        <f t="shared" si="63"/>
        <v>0</v>
      </c>
      <c r="J68" s="395">
        <f t="shared" si="63"/>
        <v>0</v>
      </c>
      <c r="K68" s="395">
        <f t="shared" si="63"/>
        <v>0</v>
      </c>
      <c r="L68" s="395">
        <f t="shared" si="63"/>
        <v>0</v>
      </c>
      <c r="M68" s="395">
        <f t="shared" si="63"/>
        <v>0</v>
      </c>
      <c r="N68" s="395">
        <f t="shared" si="63"/>
        <v>0</v>
      </c>
      <c r="O68" s="395">
        <f t="shared" si="63"/>
        <v>0</v>
      </c>
      <c r="P68" s="395">
        <f t="shared" si="63"/>
        <v>0</v>
      </c>
      <c r="Q68" s="395">
        <f t="shared" si="63"/>
        <v>0</v>
      </c>
      <c r="R68" s="395">
        <f t="shared" si="63"/>
        <v>0</v>
      </c>
      <c r="S68" s="395">
        <f t="shared" si="63"/>
        <v>0</v>
      </c>
      <c r="T68" s="395">
        <f t="shared" si="63"/>
        <v>0</v>
      </c>
      <c r="U68" s="395">
        <f t="shared" ref="U68:AF68" si="64">IF(U32&lt;=(1.5),U32*U21*2,0)</f>
        <v>0</v>
      </c>
      <c r="V68" s="395">
        <f t="shared" si="64"/>
        <v>0</v>
      </c>
      <c r="W68" s="395">
        <f t="shared" si="64"/>
        <v>0</v>
      </c>
      <c r="X68" s="395">
        <f t="shared" si="64"/>
        <v>0</v>
      </c>
      <c r="Y68" s="395">
        <f t="shared" si="64"/>
        <v>0</v>
      </c>
      <c r="Z68" s="395">
        <f t="shared" si="64"/>
        <v>0</v>
      </c>
      <c r="AA68" s="395">
        <f t="shared" si="64"/>
        <v>0</v>
      </c>
      <c r="AB68" s="395">
        <f t="shared" si="64"/>
        <v>0</v>
      </c>
      <c r="AC68" s="395">
        <f t="shared" si="64"/>
        <v>0</v>
      </c>
      <c r="AD68" s="395">
        <f t="shared" si="64"/>
        <v>0</v>
      </c>
      <c r="AE68" s="395">
        <f t="shared" si="64"/>
        <v>0</v>
      </c>
      <c r="AF68" s="395">
        <f t="shared" si="64"/>
        <v>0</v>
      </c>
      <c r="AG68" s="395">
        <f>IF(AG32&lt;=(1.5),AG32*AG21*2,0)</f>
        <v>0</v>
      </c>
      <c r="AH68" s="395">
        <f>IF(AH32&lt;=(1.5),AH32*AH21*2,0)</f>
        <v>772.97473399853368</v>
      </c>
      <c r="AI68" s="383">
        <f t="shared" ref="AI68:AI73" si="65">TRUNC(SUM(G68:AH68),2)</f>
        <v>772.97</v>
      </c>
    </row>
    <row r="69" spans="1:35" ht="24.75" customHeight="1" x14ac:dyDescent="0.3">
      <c r="A69" s="1101"/>
      <c r="B69" s="1088" t="s">
        <v>67</v>
      </c>
      <c r="C69" s="1088"/>
      <c r="D69" s="1088"/>
      <c r="E69" s="1088"/>
      <c r="F69" s="1088"/>
      <c r="G69" s="395">
        <f t="shared" ref="G69:T69" si="66">IF(AND(G32&gt;(1.5),G32&lt;=(3),2*G25&lt;=(1.5)),G32*2*G21,0)</f>
        <v>0</v>
      </c>
      <c r="H69" s="395">
        <f t="shared" si="66"/>
        <v>0</v>
      </c>
      <c r="I69" s="395">
        <f t="shared" si="66"/>
        <v>0</v>
      </c>
      <c r="J69" s="395">
        <f t="shared" si="66"/>
        <v>0</v>
      </c>
      <c r="K69" s="395">
        <f t="shared" si="66"/>
        <v>0</v>
      </c>
      <c r="L69" s="395">
        <f t="shared" si="66"/>
        <v>0</v>
      </c>
      <c r="M69" s="395">
        <f t="shared" si="66"/>
        <v>0</v>
      </c>
      <c r="N69" s="395">
        <f t="shared" si="66"/>
        <v>0</v>
      </c>
      <c r="O69" s="395">
        <f t="shared" si="66"/>
        <v>0</v>
      </c>
      <c r="P69" s="395">
        <f t="shared" si="66"/>
        <v>0</v>
      </c>
      <c r="Q69" s="395">
        <f t="shared" si="66"/>
        <v>93.333465197559576</v>
      </c>
      <c r="R69" s="395">
        <f t="shared" si="66"/>
        <v>103.05572749941335</v>
      </c>
      <c r="S69" s="395">
        <f t="shared" si="66"/>
        <v>44.193351749417694</v>
      </c>
      <c r="T69" s="395">
        <f t="shared" si="66"/>
        <v>85.670992343964414</v>
      </c>
      <c r="U69" s="395">
        <f t="shared" ref="U69:AF69" si="67">IF(AND(U32&gt;(1.5),U32&lt;=(3),2*U25&lt;=(1.5)),U32*2*U21,0)</f>
        <v>128.95557700412974</v>
      </c>
      <c r="V69" s="395">
        <f t="shared" si="67"/>
        <v>156.1781673831438</v>
      </c>
      <c r="W69" s="395">
        <f t="shared" si="67"/>
        <v>108.82424303751547</v>
      </c>
      <c r="X69" s="395">
        <f t="shared" si="67"/>
        <v>219.68334911336038</v>
      </c>
      <c r="Y69" s="395">
        <f t="shared" si="67"/>
        <v>233.62285847118031</v>
      </c>
      <c r="Z69" s="395">
        <f t="shared" si="67"/>
        <v>225.01121691686765</v>
      </c>
      <c r="AA69" s="395">
        <f t="shared" si="67"/>
        <v>168.03014818367134</v>
      </c>
      <c r="AB69" s="395">
        <f t="shared" si="67"/>
        <v>168.22275167964136</v>
      </c>
      <c r="AC69" s="395">
        <f t="shared" si="67"/>
        <v>145.4088809275606</v>
      </c>
      <c r="AD69" s="395">
        <f t="shared" si="67"/>
        <v>202.50952944100163</v>
      </c>
      <c r="AE69" s="395">
        <f t="shared" si="67"/>
        <v>169.68637884036789</v>
      </c>
      <c r="AF69" s="395">
        <f t="shared" si="67"/>
        <v>159.26070337579651</v>
      </c>
      <c r="AG69" s="395">
        <f>IF(AND(AG32&gt;(1.5),AG32&lt;=(3),2*AG25&lt;=(1.5)),AG32*2*AG21,0)</f>
        <v>0</v>
      </c>
      <c r="AH69" s="395">
        <f>IF(AND(AH32&gt;(1.5),AH32&lt;=(3),2*AH25&lt;=(1.5)),AH32*2*AH21,0)</f>
        <v>0</v>
      </c>
      <c r="AI69" s="383">
        <f t="shared" si="65"/>
        <v>2411.64</v>
      </c>
    </row>
    <row r="70" spans="1:35" ht="24" customHeight="1" x14ac:dyDescent="0.3">
      <c r="A70" s="1101"/>
      <c r="B70" s="1088" t="s">
        <v>916</v>
      </c>
      <c r="C70" s="1088"/>
      <c r="D70" s="1088"/>
      <c r="E70" s="1088"/>
      <c r="F70" s="1088"/>
      <c r="G70" s="395">
        <f t="shared" ref="G70:T70" si="68">IF(AND(G32&lt;(1.5),2*G25&gt;=(1.5),2*G25&lt;(3)),G32*2*G21,0)</f>
        <v>0</v>
      </c>
      <c r="H70" s="395">
        <f t="shared" si="68"/>
        <v>0</v>
      </c>
      <c r="I70" s="395">
        <f t="shared" si="68"/>
        <v>0</v>
      </c>
      <c r="J70" s="395">
        <f t="shared" si="68"/>
        <v>0</v>
      </c>
      <c r="K70" s="395">
        <f t="shared" si="68"/>
        <v>0</v>
      </c>
      <c r="L70" s="395">
        <f t="shared" si="68"/>
        <v>0</v>
      </c>
      <c r="M70" s="395">
        <f t="shared" si="68"/>
        <v>0</v>
      </c>
      <c r="N70" s="395">
        <f t="shared" si="68"/>
        <v>0</v>
      </c>
      <c r="O70" s="395">
        <f t="shared" si="68"/>
        <v>0</v>
      </c>
      <c r="P70" s="395">
        <f t="shared" si="68"/>
        <v>0</v>
      </c>
      <c r="Q70" s="395">
        <f t="shared" si="68"/>
        <v>0</v>
      </c>
      <c r="R70" s="395">
        <f t="shared" si="68"/>
        <v>0</v>
      </c>
      <c r="S70" s="395">
        <f t="shared" si="68"/>
        <v>0</v>
      </c>
      <c r="T70" s="395">
        <f t="shared" si="68"/>
        <v>0</v>
      </c>
      <c r="U70" s="395">
        <f t="shared" ref="U70:AF70" si="69">IF(AND(U32&lt;(1.5),2*U25&gt;=(1.5),2*U25&lt;(3)),U32*2*U21,0)</f>
        <v>0</v>
      </c>
      <c r="V70" s="395">
        <f t="shared" si="69"/>
        <v>0</v>
      </c>
      <c r="W70" s="395">
        <f t="shared" si="69"/>
        <v>0</v>
      </c>
      <c r="X70" s="395">
        <f t="shared" si="69"/>
        <v>0</v>
      </c>
      <c r="Y70" s="395">
        <f t="shared" si="69"/>
        <v>0</v>
      </c>
      <c r="Z70" s="395">
        <f t="shared" si="69"/>
        <v>0</v>
      </c>
      <c r="AA70" s="395">
        <f t="shared" si="69"/>
        <v>0</v>
      </c>
      <c r="AB70" s="395">
        <f t="shared" si="69"/>
        <v>0</v>
      </c>
      <c r="AC70" s="395">
        <f t="shared" si="69"/>
        <v>0</v>
      </c>
      <c r="AD70" s="395">
        <f t="shared" si="69"/>
        <v>0</v>
      </c>
      <c r="AE70" s="395">
        <f t="shared" si="69"/>
        <v>0</v>
      </c>
      <c r="AF70" s="395">
        <f t="shared" si="69"/>
        <v>0</v>
      </c>
      <c r="AG70" s="395">
        <f>IF(AND(AG32&lt;(1.5),2*AG25&gt;=(1.5),2*AG25&lt;(3)),AG32*2*AG21,0)</f>
        <v>0</v>
      </c>
      <c r="AH70" s="395">
        <f>IF(AND(AH32&lt;(1.5),2*AH25&gt;=(1.5),2*AH25&lt;(3)),AH32*2*AH21,0)</f>
        <v>0</v>
      </c>
      <c r="AI70" s="383">
        <f t="shared" si="65"/>
        <v>0</v>
      </c>
    </row>
    <row r="71" spans="1:35" ht="27" customHeight="1" x14ac:dyDescent="0.3">
      <c r="A71" s="1101"/>
      <c r="B71" s="1088" t="s">
        <v>68</v>
      </c>
      <c r="C71" s="1088"/>
      <c r="D71" s="1088"/>
      <c r="E71" s="1088"/>
      <c r="F71" s="1088"/>
      <c r="G71" s="395">
        <f t="shared" ref="G71:T71" si="70">IF(AND(G32&gt;(1.5),G32&lt;=(3),2*G25&gt;=(1.5),2*G25&lt;=(3)),(G32*2*G21),0)</f>
        <v>534.95552991867316</v>
      </c>
      <c r="H71" s="395">
        <f t="shared" si="70"/>
        <v>570.00712494233255</v>
      </c>
      <c r="I71" s="395">
        <f t="shared" si="70"/>
        <v>432.90248404915138</v>
      </c>
      <c r="J71" s="395">
        <f t="shared" si="70"/>
        <v>391.70222383279332</v>
      </c>
      <c r="K71" s="395">
        <f t="shared" si="70"/>
        <v>629.35879451307039</v>
      </c>
      <c r="L71" s="395">
        <f t="shared" si="70"/>
        <v>347.25098422418517</v>
      </c>
      <c r="M71" s="395">
        <f t="shared" si="70"/>
        <v>292.16175590895307</v>
      </c>
      <c r="N71" s="395">
        <f t="shared" si="70"/>
        <v>331.41161556412828</v>
      </c>
      <c r="O71" s="395">
        <f t="shared" si="70"/>
        <v>280.4447082436306</v>
      </c>
      <c r="P71" s="395">
        <f t="shared" si="70"/>
        <v>126.34921098822453</v>
      </c>
      <c r="Q71" s="395">
        <f t="shared" si="70"/>
        <v>0</v>
      </c>
      <c r="R71" s="395">
        <f t="shared" si="70"/>
        <v>0</v>
      </c>
      <c r="S71" s="395">
        <f t="shared" si="70"/>
        <v>0</v>
      </c>
      <c r="T71" s="395">
        <f t="shared" si="70"/>
        <v>0</v>
      </c>
      <c r="U71" s="395">
        <f t="shared" ref="U71:AF71" si="71">IF(AND(U32&gt;(1.5),U32&lt;=(3),2*U25&gt;=(1.5),2*U25&lt;=(3)),(U32*2*U21),0)</f>
        <v>0</v>
      </c>
      <c r="V71" s="395">
        <f t="shared" si="71"/>
        <v>0</v>
      </c>
      <c r="W71" s="395">
        <f t="shared" si="71"/>
        <v>0</v>
      </c>
      <c r="X71" s="395">
        <f t="shared" si="71"/>
        <v>0</v>
      </c>
      <c r="Y71" s="395">
        <f t="shared" si="71"/>
        <v>0</v>
      </c>
      <c r="Z71" s="395">
        <f t="shared" si="71"/>
        <v>0</v>
      </c>
      <c r="AA71" s="395">
        <f t="shared" si="71"/>
        <v>0</v>
      </c>
      <c r="AB71" s="395">
        <f t="shared" si="71"/>
        <v>0</v>
      </c>
      <c r="AC71" s="395">
        <f t="shared" si="71"/>
        <v>0</v>
      </c>
      <c r="AD71" s="395">
        <f t="shared" si="71"/>
        <v>0</v>
      </c>
      <c r="AE71" s="395">
        <f t="shared" si="71"/>
        <v>0</v>
      </c>
      <c r="AF71" s="395">
        <f t="shared" si="71"/>
        <v>0</v>
      </c>
      <c r="AG71" s="395">
        <f>IF(AND(AG32&gt;(1.5),AG32&lt;=(3),2*AG25&gt;=(1.5),2*AG25&lt;=(3)),(AG32*2*AG21),0)</f>
        <v>120.8</v>
      </c>
      <c r="AH71" s="395">
        <f>IF(AND(AH32&gt;(1.5),AH32&lt;=(3),2*AH25&gt;=(1.5),2*AH25&lt;=(3)),(AH32*2*AH21),0)</f>
        <v>0</v>
      </c>
      <c r="AI71" s="383">
        <f t="shared" si="65"/>
        <v>4057.34</v>
      </c>
    </row>
    <row r="72" spans="1:35" ht="27" customHeight="1" x14ac:dyDescent="0.3">
      <c r="A72" s="1101"/>
      <c r="B72" s="1088" t="s">
        <v>917</v>
      </c>
      <c r="C72" s="1088"/>
      <c r="D72" s="1088"/>
      <c r="E72" s="1088"/>
      <c r="F72" s="1088"/>
      <c r="G72" s="395">
        <f t="shared" ref="G72:T72" si="72">IF(AND(G32&gt;(3),G32&lt;=(4.5),2*G25&lt;=(1.5)),G32*2*G21,0)</f>
        <v>0</v>
      </c>
      <c r="H72" s="395">
        <f t="shared" si="72"/>
        <v>0</v>
      </c>
      <c r="I72" s="395">
        <f t="shared" si="72"/>
        <v>0</v>
      </c>
      <c r="J72" s="395">
        <f t="shared" si="72"/>
        <v>0</v>
      </c>
      <c r="K72" s="395">
        <f t="shared" si="72"/>
        <v>0</v>
      </c>
      <c r="L72" s="395">
        <f t="shared" si="72"/>
        <v>0</v>
      </c>
      <c r="M72" s="395">
        <f t="shared" si="72"/>
        <v>0</v>
      </c>
      <c r="N72" s="395">
        <f t="shared" si="72"/>
        <v>0</v>
      </c>
      <c r="O72" s="395">
        <f t="shared" si="72"/>
        <v>0</v>
      </c>
      <c r="P72" s="395">
        <f t="shared" si="72"/>
        <v>0</v>
      </c>
      <c r="Q72" s="395">
        <f t="shared" si="72"/>
        <v>0</v>
      </c>
      <c r="R72" s="395">
        <f t="shared" si="72"/>
        <v>0</v>
      </c>
      <c r="S72" s="395">
        <f t="shared" si="72"/>
        <v>0</v>
      </c>
      <c r="T72" s="395">
        <f t="shared" si="72"/>
        <v>0</v>
      </c>
      <c r="U72" s="395">
        <f t="shared" ref="U72:AF72" si="73">IF(AND(U32&gt;(3),U32&lt;=(4.5),2*U25&lt;=(1.5)),U32*2*U21,0)</f>
        <v>0</v>
      </c>
      <c r="V72" s="395">
        <f t="shared" si="73"/>
        <v>0</v>
      </c>
      <c r="W72" s="395">
        <f t="shared" si="73"/>
        <v>0</v>
      </c>
      <c r="X72" s="395">
        <f t="shared" si="73"/>
        <v>0</v>
      </c>
      <c r="Y72" s="395">
        <f t="shared" si="73"/>
        <v>0</v>
      </c>
      <c r="Z72" s="395">
        <f t="shared" si="73"/>
        <v>0</v>
      </c>
      <c r="AA72" s="395">
        <f t="shared" si="73"/>
        <v>0</v>
      </c>
      <c r="AB72" s="395">
        <f t="shared" si="73"/>
        <v>0</v>
      </c>
      <c r="AC72" s="395">
        <f t="shared" si="73"/>
        <v>0</v>
      </c>
      <c r="AD72" s="395">
        <f t="shared" si="73"/>
        <v>0</v>
      </c>
      <c r="AE72" s="395">
        <f t="shared" si="73"/>
        <v>0</v>
      </c>
      <c r="AF72" s="395">
        <f t="shared" si="73"/>
        <v>0</v>
      </c>
      <c r="AG72" s="395">
        <f>IF(AND(AG32&gt;(3),AG32&lt;=(4.5),2*AG25&lt;=(1.5)),AG32*2*AG21,0)</f>
        <v>0</v>
      </c>
      <c r="AH72" s="395">
        <f>IF(AND(AH32&gt;(3),AH32&lt;=(4.5),2*AH25&lt;=(1.5)),AH32*2*AH21,0)</f>
        <v>0</v>
      </c>
      <c r="AI72" s="383">
        <f t="shared" si="65"/>
        <v>0</v>
      </c>
    </row>
    <row r="73" spans="1:35" ht="27" customHeight="1" x14ac:dyDescent="0.3">
      <c r="A73" s="1101"/>
      <c r="B73" s="1088" t="s">
        <v>918</v>
      </c>
      <c r="C73" s="1088"/>
      <c r="D73" s="1088"/>
      <c r="E73" s="1088"/>
      <c r="F73" s="1088"/>
      <c r="G73" s="395">
        <f>IF(AND(G32&gt;(3),G32&lt;=(6.5),2*G25&gt;=(1.5),2*G25&lt;(4)),(G32*2*G21),0)</f>
        <v>0</v>
      </c>
      <c r="H73" s="395">
        <f t="shared" ref="H73:AH73" si="74">IF(AND(H32&gt;(3),H32&lt;=(6.5),2*H25&gt;=(1.5),2*H25&lt;(4)),(H32*2*H21),0)</f>
        <v>0</v>
      </c>
      <c r="I73" s="395">
        <f t="shared" si="74"/>
        <v>0</v>
      </c>
      <c r="J73" s="395">
        <f t="shared" si="74"/>
        <v>0</v>
      </c>
      <c r="K73" s="395">
        <f t="shared" si="74"/>
        <v>0</v>
      </c>
      <c r="L73" s="395">
        <f t="shared" si="74"/>
        <v>0</v>
      </c>
      <c r="M73" s="395">
        <f t="shared" si="74"/>
        <v>0</v>
      </c>
      <c r="N73" s="395">
        <f t="shared" si="74"/>
        <v>0</v>
      </c>
      <c r="O73" s="395">
        <f t="shared" si="74"/>
        <v>0</v>
      </c>
      <c r="P73" s="395">
        <f t="shared" si="74"/>
        <v>0</v>
      </c>
      <c r="Q73" s="395">
        <f t="shared" si="74"/>
        <v>0</v>
      </c>
      <c r="R73" s="395">
        <f t="shared" si="74"/>
        <v>0</v>
      </c>
      <c r="S73" s="395">
        <f t="shared" si="74"/>
        <v>0</v>
      </c>
      <c r="T73" s="395">
        <f t="shared" si="74"/>
        <v>0</v>
      </c>
      <c r="U73" s="395">
        <f t="shared" ref="U73:AF73" si="75">IF(AND(U32&gt;(3),U32&lt;=(6.5),2*U25&gt;=(1.5),2*U25&lt;(4)),(U32*2*U21),0)</f>
        <v>0</v>
      </c>
      <c r="V73" s="395">
        <f t="shared" si="75"/>
        <v>0</v>
      </c>
      <c r="W73" s="395">
        <f t="shared" si="75"/>
        <v>0</v>
      </c>
      <c r="X73" s="395">
        <f t="shared" si="75"/>
        <v>0</v>
      </c>
      <c r="Y73" s="395">
        <f t="shared" si="75"/>
        <v>0</v>
      </c>
      <c r="Z73" s="395">
        <f t="shared" si="75"/>
        <v>0</v>
      </c>
      <c r="AA73" s="395">
        <f t="shared" si="75"/>
        <v>0</v>
      </c>
      <c r="AB73" s="395">
        <f t="shared" si="75"/>
        <v>0</v>
      </c>
      <c r="AC73" s="395">
        <f t="shared" si="75"/>
        <v>0</v>
      </c>
      <c r="AD73" s="395">
        <f t="shared" si="75"/>
        <v>0</v>
      </c>
      <c r="AE73" s="395">
        <f t="shared" si="75"/>
        <v>0</v>
      </c>
      <c r="AF73" s="395">
        <f t="shared" si="75"/>
        <v>0</v>
      </c>
      <c r="AG73" s="395">
        <f>IF(AND(AG32&gt;(3),AG32&lt;=(6.5),2*AG25&gt;=(1.5),2*AG25&lt;(4)),(AG32*2*AG21),0)</f>
        <v>0</v>
      </c>
      <c r="AH73" s="395">
        <f t="shared" si="74"/>
        <v>0</v>
      </c>
      <c r="AI73" s="383">
        <f t="shared" si="65"/>
        <v>0</v>
      </c>
    </row>
    <row r="74" spans="1:35" ht="3.95" customHeight="1" x14ac:dyDescent="0.3">
      <c r="A74" s="1100"/>
      <c r="B74" s="639"/>
      <c r="C74" s="639"/>
      <c r="D74" s="639"/>
      <c r="E74" s="639"/>
      <c r="F74" s="639"/>
      <c r="G74" s="633"/>
      <c r="H74" s="633"/>
      <c r="I74" s="633"/>
      <c r="J74" s="633"/>
      <c r="K74" s="633"/>
      <c r="L74" s="633"/>
      <c r="M74" s="633"/>
      <c r="N74" s="633"/>
      <c r="O74" s="633"/>
      <c r="P74" s="633"/>
      <c r="Q74" s="633"/>
      <c r="R74" s="633"/>
      <c r="S74" s="633"/>
      <c r="T74" s="633"/>
      <c r="U74" s="633"/>
      <c r="V74" s="633"/>
      <c r="W74" s="633"/>
      <c r="X74" s="633"/>
      <c r="Y74" s="633"/>
      <c r="Z74" s="633"/>
      <c r="AA74" s="633"/>
      <c r="AB74" s="633"/>
      <c r="AC74" s="633"/>
      <c r="AD74" s="633"/>
      <c r="AE74" s="633"/>
      <c r="AF74" s="633"/>
      <c r="AG74" s="633"/>
      <c r="AH74" s="633"/>
      <c r="AI74" s="636"/>
    </row>
    <row r="75" spans="1:35" x14ac:dyDescent="0.3">
      <c r="A75" s="1101"/>
      <c r="B75" s="1083" t="s">
        <v>919</v>
      </c>
      <c r="C75" s="1083"/>
      <c r="D75" s="1083"/>
      <c r="E75" s="1083"/>
      <c r="F75" s="1083"/>
      <c r="G75" s="395">
        <f t="shared" ref="G75:T75" si="76">IF(2*G25&lt;(1.5),2*G25*G24*G21,0)</f>
        <v>0</v>
      </c>
      <c r="H75" s="395">
        <f t="shared" si="76"/>
        <v>0</v>
      </c>
      <c r="I75" s="395">
        <f t="shared" si="76"/>
        <v>0</v>
      </c>
      <c r="J75" s="395">
        <f t="shared" si="76"/>
        <v>0</v>
      </c>
      <c r="K75" s="395">
        <f t="shared" si="76"/>
        <v>0</v>
      </c>
      <c r="L75" s="395">
        <f t="shared" si="76"/>
        <v>0</v>
      </c>
      <c r="M75" s="395">
        <f t="shared" si="76"/>
        <v>0</v>
      </c>
      <c r="N75" s="395">
        <f t="shared" si="76"/>
        <v>0</v>
      </c>
      <c r="O75" s="395">
        <f t="shared" si="76"/>
        <v>0</v>
      </c>
      <c r="P75" s="395">
        <f t="shared" si="76"/>
        <v>0</v>
      </c>
      <c r="Q75" s="395">
        <f t="shared" si="76"/>
        <v>22.489991613869776</v>
      </c>
      <c r="R75" s="395">
        <f t="shared" si="76"/>
        <v>21.620082692184617</v>
      </c>
      <c r="S75" s="395">
        <f t="shared" si="76"/>
        <v>11.048337937354423</v>
      </c>
      <c r="T75" s="395">
        <f t="shared" si="76"/>
        <v>30.236820827281559</v>
      </c>
      <c r="U75" s="395">
        <f t="shared" ref="U75:AF75" si="77">IF(2*U25&lt;(1.5),2*U25*U24*U21,0)</f>
        <v>48.358341376548651</v>
      </c>
      <c r="V75" s="395">
        <f t="shared" si="77"/>
        <v>47.326717388831455</v>
      </c>
      <c r="W75" s="395">
        <f t="shared" si="77"/>
        <v>29.545043358601486</v>
      </c>
      <c r="X75" s="395">
        <f t="shared" si="77"/>
        <v>61.306981147914527</v>
      </c>
      <c r="Y75" s="395">
        <f t="shared" si="77"/>
        <v>66.749388134622933</v>
      </c>
      <c r="Z75" s="395">
        <f t="shared" si="77"/>
        <v>62.793827976800273</v>
      </c>
      <c r="AA75" s="395">
        <f t="shared" si="77"/>
        <v>48.00861376676324</v>
      </c>
      <c r="AB75" s="395">
        <f t="shared" si="77"/>
        <v>48.063643337040389</v>
      </c>
      <c r="AC75" s="395">
        <f t="shared" si="77"/>
        <v>36.504321571772529</v>
      </c>
      <c r="AD75" s="395">
        <f t="shared" si="77"/>
        <v>49.797425272377453</v>
      </c>
      <c r="AE75" s="395">
        <f t="shared" si="77"/>
        <v>48.024446841613553</v>
      </c>
      <c r="AF75" s="395">
        <f t="shared" si="77"/>
        <v>48.018302525365783</v>
      </c>
      <c r="AG75" s="395">
        <f>IF(2*AG25&lt;(1.5),2*AG25*AG24*AG21,0)</f>
        <v>0</v>
      </c>
      <c r="AH75" s="395">
        <f>IF(2*AH25&lt;(1.5),2*AH25*AH24*AH21,0)</f>
        <v>206.12659573294232</v>
      </c>
      <c r="AI75" s="383">
        <f>TRUNC(SUM(G75:AH75),2)</f>
        <v>886.01</v>
      </c>
    </row>
    <row r="76" spans="1:35" ht="26.25" customHeight="1" x14ac:dyDescent="0.3">
      <c r="A76" s="1101"/>
      <c r="B76" s="1088" t="s">
        <v>920</v>
      </c>
      <c r="C76" s="1088"/>
      <c r="D76" s="1088"/>
      <c r="E76" s="1088"/>
      <c r="F76" s="1088"/>
      <c r="G76" s="395">
        <f t="shared" ref="G76:T76" si="78">IF(2*G25&gt;=(1.5),2*G25*G24*G21,0)</f>
        <v>166.5231221536726</v>
      </c>
      <c r="H76" s="395">
        <f t="shared" si="78"/>
        <v>160.00199998381265</v>
      </c>
      <c r="I76" s="395">
        <f t="shared" si="78"/>
        <v>121.09160392983256</v>
      </c>
      <c r="J76" s="395">
        <f t="shared" si="78"/>
        <v>118.69764358569495</v>
      </c>
      <c r="K76" s="395">
        <f t="shared" si="78"/>
        <v>168.95538107733432</v>
      </c>
      <c r="L76" s="395">
        <f t="shared" si="78"/>
        <v>108.51593257005787</v>
      </c>
      <c r="M76" s="395">
        <f t="shared" si="78"/>
        <v>123.66635170749338</v>
      </c>
      <c r="N76" s="395">
        <f t="shared" si="78"/>
        <v>148.11692315715229</v>
      </c>
      <c r="O76" s="395">
        <f t="shared" si="78"/>
        <v>101.51844642303371</v>
      </c>
      <c r="P76" s="395">
        <f t="shared" si="78"/>
        <v>59.458452229752723</v>
      </c>
      <c r="Q76" s="395">
        <f t="shared" si="78"/>
        <v>0</v>
      </c>
      <c r="R76" s="395">
        <f t="shared" si="78"/>
        <v>0</v>
      </c>
      <c r="S76" s="395">
        <f t="shared" si="78"/>
        <v>0</v>
      </c>
      <c r="T76" s="395">
        <f t="shared" si="78"/>
        <v>0</v>
      </c>
      <c r="U76" s="395">
        <f t="shared" ref="U76:AF76" si="79">IF(2*U25&gt;=(1.5),2*U25*U24*U21,0)</f>
        <v>0</v>
      </c>
      <c r="V76" s="395">
        <f t="shared" si="79"/>
        <v>0</v>
      </c>
      <c r="W76" s="395">
        <f t="shared" si="79"/>
        <v>0</v>
      </c>
      <c r="X76" s="395">
        <f t="shared" si="79"/>
        <v>0</v>
      </c>
      <c r="Y76" s="395">
        <f t="shared" si="79"/>
        <v>0</v>
      </c>
      <c r="Z76" s="395">
        <f t="shared" si="79"/>
        <v>0</v>
      </c>
      <c r="AA76" s="395">
        <f t="shared" si="79"/>
        <v>0</v>
      </c>
      <c r="AB76" s="395">
        <f t="shared" si="79"/>
        <v>0</v>
      </c>
      <c r="AC76" s="395">
        <f t="shared" si="79"/>
        <v>0</v>
      </c>
      <c r="AD76" s="395">
        <f t="shared" si="79"/>
        <v>0</v>
      </c>
      <c r="AE76" s="395">
        <f t="shared" si="79"/>
        <v>0</v>
      </c>
      <c r="AF76" s="395">
        <f t="shared" si="79"/>
        <v>0</v>
      </c>
      <c r="AG76" s="395">
        <f>IF(2*AG25&gt;=(1.5),2*AG25*AG24*AG21,0)</f>
        <v>64</v>
      </c>
      <c r="AH76" s="395">
        <f>IF(2*AH25&gt;=(1.5),2*AH25*AH24*AH21,0)</f>
        <v>0</v>
      </c>
      <c r="AI76" s="383">
        <f>TRUNC(SUM(G76:AH76),2)</f>
        <v>1340.54</v>
      </c>
    </row>
    <row r="77" spans="1:35" ht="3.95" customHeight="1" x14ac:dyDescent="0.3">
      <c r="A77" s="1100"/>
      <c r="B77" s="640"/>
      <c r="C77" s="640"/>
      <c r="D77" s="640"/>
      <c r="E77" s="640"/>
      <c r="F77" s="640"/>
      <c r="G77" s="633"/>
      <c r="H77" s="633"/>
      <c r="I77" s="633"/>
      <c r="J77" s="633"/>
      <c r="K77" s="633"/>
      <c r="L77" s="633"/>
      <c r="M77" s="633"/>
      <c r="N77" s="633"/>
      <c r="O77" s="633"/>
      <c r="P77" s="633"/>
      <c r="Q77" s="633"/>
      <c r="R77" s="633"/>
      <c r="S77" s="633"/>
      <c r="T77" s="633"/>
      <c r="U77" s="633"/>
      <c r="V77" s="633"/>
      <c r="W77" s="633"/>
      <c r="X77" s="633"/>
      <c r="Y77" s="633"/>
      <c r="Z77" s="633"/>
      <c r="AA77" s="633"/>
      <c r="AB77" s="633"/>
      <c r="AC77" s="633"/>
      <c r="AD77" s="633"/>
      <c r="AE77" s="633"/>
      <c r="AF77" s="633"/>
      <c r="AG77" s="633"/>
      <c r="AH77" s="633"/>
      <c r="AI77" s="636"/>
    </row>
    <row r="78" spans="1:35" x14ac:dyDescent="0.3">
      <c r="A78" s="1101"/>
      <c r="B78" s="1083" t="s">
        <v>57</v>
      </c>
      <c r="C78" s="1083"/>
      <c r="D78" s="1083"/>
      <c r="E78" s="1083"/>
      <c r="F78" s="1083"/>
      <c r="G78" s="395">
        <f t="shared" ref="G78:T78" si="80">(G54+G55+G56+G57+G58+G59+G60+G61)-(G37*G21)</f>
        <v>446.04441173039521</v>
      </c>
      <c r="H78" s="395">
        <f t="shared" si="80"/>
        <v>492.09240102834025</v>
      </c>
      <c r="I78" s="395">
        <f t="shared" si="80"/>
        <v>373.91989900871681</v>
      </c>
      <c r="J78" s="395">
        <f t="shared" si="80"/>
        <v>330.11150029672103</v>
      </c>
      <c r="K78" s="395">
        <f t="shared" si="80"/>
        <v>551.75547604198732</v>
      </c>
      <c r="L78" s="395">
        <f t="shared" si="80"/>
        <v>289.34688260480232</v>
      </c>
      <c r="M78" s="395">
        <f t="shared" si="80"/>
        <v>218.90915184706662</v>
      </c>
      <c r="N78" s="395">
        <f t="shared" si="80"/>
        <v>243.05153932395928</v>
      </c>
      <c r="O78" s="395">
        <f t="shared" si="80"/>
        <v>222.28161783642383</v>
      </c>
      <c r="P78" s="395">
        <f t="shared" si="80"/>
        <v>90.653700807418915</v>
      </c>
      <c r="Q78" s="395">
        <f t="shared" si="80"/>
        <v>63.366019913570049</v>
      </c>
      <c r="R78" s="395">
        <f t="shared" si="80"/>
        <v>72.957959965233712</v>
      </c>
      <c r="S78" s="395">
        <f t="shared" si="80"/>
        <v>29.635325127297016</v>
      </c>
      <c r="T78" s="395">
        <f t="shared" si="80"/>
        <v>51.287947460741876</v>
      </c>
      <c r="U78" s="395">
        <f t="shared" ref="U78:AF78" si="81">(U54+U55+U56+U57+U58+U59+U60+U61)-(U37*U21)</f>
        <v>75.551848677294487</v>
      </c>
      <c r="V78" s="395">
        <f t="shared" si="81"/>
        <v>98.620991252093276</v>
      </c>
      <c r="W78" s="395">
        <f t="shared" si="81"/>
        <v>71.033916703612292</v>
      </c>
      <c r="X78" s="395">
        <f t="shared" si="81"/>
        <v>142.25071608038348</v>
      </c>
      <c r="Y78" s="395">
        <f t="shared" si="81"/>
        <v>150.13328003729507</v>
      </c>
      <c r="Z78" s="395">
        <f t="shared" si="81"/>
        <v>145.70064987504463</v>
      </c>
      <c r="AA78" s="395">
        <f t="shared" si="81"/>
        <v>107.98137415598529</v>
      </c>
      <c r="AB78" s="395">
        <f t="shared" si="81"/>
        <v>108.1051471240324</v>
      </c>
      <c r="AC78" s="395">
        <f t="shared" si="81"/>
        <v>97.456804110880199</v>
      </c>
      <c r="AD78" s="395">
        <f t="shared" si="81"/>
        <v>136.61467147078423</v>
      </c>
      <c r="AE78" s="395">
        <f t="shared" si="81"/>
        <v>109.20198926569772</v>
      </c>
      <c r="AF78" s="395">
        <f t="shared" si="81"/>
        <v>100.65036361837713</v>
      </c>
      <c r="AG78" s="395">
        <f>(AG54+AG55+AG56+AG57+AG58+AG59+AG60+AG61)-(AG37*AG21)</f>
        <v>82.185000000000002</v>
      </c>
      <c r="AH78" s="395">
        <f>(AH54+AH55+AH56+AH57+AH58+AH59+AH60+AH61)-(AH37*AH21)</f>
        <v>339.14266454185667</v>
      </c>
      <c r="AI78" s="396">
        <f t="shared" ref="AI78:AI84" si="82">TRUNC(SUM(G78:AH78),2)</f>
        <v>5240.04</v>
      </c>
    </row>
    <row r="79" spans="1:35" x14ac:dyDescent="0.3">
      <c r="A79" s="1101"/>
      <c r="B79" s="1083" t="s">
        <v>104</v>
      </c>
      <c r="C79" s="1083"/>
      <c r="D79" s="1083"/>
      <c r="E79" s="1083"/>
      <c r="F79" s="1083"/>
      <c r="G79" s="395">
        <f t="shared" ref="G79:T79" si="83">IF(AND(G32&lt;=(1.5),G35&lt;=(0.8),ROUND((G54+G59)-(G37*G21),2))=FALSE,0,IF(AND(G32&lt;=(1.5),G35&lt;=(0.8)),ROUND((G54+G59)-(G37*G21),2),0))</f>
        <v>0</v>
      </c>
      <c r="H79" s="395">
        <f t="shared" si="83"/>
        <v>0</v>
      </c>
      <c r="I79" s="395">
        <f t="shared" si="83"/>
        <v>0</v>
      </c>
      <c r="J79" s="395">
        <f t="shared" si="83"/>
        <v>0</v>
      </c>
      <c r="K79" s="395">
        <f t="shared" si="83"/>
        <v>0</v>
      </c>
      <c r="L79" s="395">
        <f t="shared" si="83"/>
        <v>0</v>
      </c>
      <c r="M79" s="395">
        <f t="shared" si="83"/>
        <v>0</v>
      </c>
      <c r="N79" s="395">
        <f t="shared" si="83"/>
        <v>0</v>
      </c>
      <c r="O79" s="395">
        <f t="shared" si="83"/>
        <v>0</v>
      </c>
      <c r="P79" s="395">
        <f t="shared" si="83"/>
        <v>0</v>
      </c>
      <c r="Q79" s="395">
        <f t="shared" si="83"/>
        <v>0</v>
      </c>
      <c r="R79" s="395">
        <f t="shared" si="83"/>
        <v>0</v>
      </c>
      <c r="S79" s="395">
        <f t="shared" si="83"/>
        <v>0</v>
      </c>
      <c r="T79" s="395">
        <f t="shared" si="83"/>
        <v>0</v>
      </c>
      <c r="U79" s="395">
        <f t="shared" ref="U79:AF79" si="84">IF(AND(U32&lt;=(1.5),U35&lt;=(0.8),ROUND((U54+U59)-(U37*U21),2))=FALSE,0,IF(AND(U32&lt;=(1.5),U35&lt;=(0.8)),ROUND((U54+U59)-(U37*U21),2),0))</f>
        <v>0</v>
      </c>
      <c r="V79" s="395">
        <f t="shared" si="84"/>
        <v>0</v>
      </c>
      <c r="W79" s="395">
        <f t="shared" si="84"/>
        <v>0</v>
      </c>
      <c r="X79" s="395">
        <f t="shared" si="84"/>
        <v>0</v>
      </c>
      <c r="Y79" s="395">
        <f t="shared" si="84"/>
        <v>0</v>
      </c>
      <c r="Z79" s="395">
        <f t="shared" si="84"/>
        <v>0</v>
      </c>
      <c r="AA79" s="395">
        <f t="shared" si="84"/>
        <v>0</v>
      </c>
      <c r="AB79" s="395">
        <f t="shared" si="84"/>
        <v>0</v>
      </c>
      <c r="AC79" s="395">
        <f t="shared" si="84"/>
        <v>0</v>
      </c>
      <c r="AD79" s="395">
        <f t="shared" si="84"/>
        <v>0</v>
      </c>
      <c r="AE79" s="395">
        <f t="shared" si="84"/>
        <v>0</v>
      </c>
      <c r="AF79" s="395">
        <f t="shared" si="84"/>
        <v>0</v>
      </c>
      <c r="AG79" s="395">
        <f>IF(AND(AG32&lt;=(1.5),AG35&lt;=(0.8),ROUND((AG54+AG59)-(AG37*AG21),2))=FALSE,0,IF(AND(AG32&lt;=(1.5),AG35&lt;=(0.8)),ROUND((AG54+AG59)-(AG37*AG21),2),0))</f>
        <v>0</v>
      </c>
      <c r="AH79" s="395">
        <f>IF(AND(AH32&lt;=(1.5),AH35&lt;=(0.8),ROUND((AH54+AH59)-(AH37*AH21),2))=FALSE,0,IF(AND(AH32&lt;=(1.5),AH35&lt;=(0.8)),ROUND((AH54+AH59)-(AH37*AH21),2),0))</f>
        <v>339.14</v>
      </c>
      <c r="AI79" s="396">
        <f t="shared" si="82"/>
        <v>339.14</v>
      </c>
    </row>
    <row r="80" spans="1:35" x14ac:dyDescent="0.3">
      <c r="A80" s="1101"/>
      <c r="B80" s="1083" t="s">
        <v>105</v>
      </c>
      <c r="C80" s="1083"/>
      <c r="D80" s="1083"/>
      <c r="E80" s="1083"/>
      <c r="F80" s="1083"/>
      <c r="G80" s="395">
        <f t="shared" ref="G80:T80" si="85">IF(AND(G32&lt;=(3),G32&gt;(1.5),G35&gt;=(0.8),G35&lt;(1.5),ROUND((G55+G60)-(G37*G21),2))=FALSE,0,IF(AND(G32&lt;=(3),G32&gt;(1.5),G35&gt;=(0.8),G35&lt;(1.5)),ROUND((G55+G60)-(G37*G21),2),0))</f>
        <v>0</v>
      </c>
      <c r="H80" s="395">
        <f t="shared" si="85"/>
        <v>0</v>
      </c>
      <c r="I80" s="395">
        <f t="shared" si="85"/>
        <v>0</v>
      </c>
      <c r="J80" s="395">
        <f t="shared" si="85"/>
        <v>0</v>
      </c>
      <c r="K80" s="395">
        <f t="shared" si="85"/>
        <v>0</v>
      </c>
      <c r="L80" s="395">
        <f t="shared" si="85"/>
        <v>0</v>
      </c>
      <c r="M80" s="395">
        <f t="shared" si="85"/>
        <v>0</v>
      </c>
      <c r="N80" s="395">
        <f t="shared" si="85"/>
        <v>0</v>
      </c>
      <c r="O80" s="395">
        <f t="shared" si="85"/>
        <v>0</v>
      </c>
      <c r="P80" s="395">
        <f t="shared" si="85"/>
        <v>0</v>
      </c>
      <c r="Q80" s="395">
        <f t="shared" si="85"/>
        <v>63.37</v>
      </c>
      <c r="R80" s="395">
        <f t="shared" si="85"/>
        <v>72.959999999999994</v>
      </c>
      <c r="S80" s="395">
        <f t="shared" si="85"/>
        <v>29.64</v>
      </c>
      <c r="T80" s="395">
        <f t="shared" si="85"/>
        <v>51.29</v>
      </c>
      <c r="U80" s="395">
        <f t="shared" ref="U80:AF80" si="86">IF(AND(U32&lt;=(3),U32&gt;(1.5),U35&gt;=(0.8),U35&lt;(1.5),ROUND((U55+U60)-(U37*U21),2))=FALSE,0,IF(AND(U32&lt;=(3),U32&gt;(1.5),U35&gt;=(0.8),U35&lt;(1.5)),ROUND((U55+U60)-(U37*U21),2),0))</f>
        <v>75.55</v>
      </c>
      <c r="V80" s="395">
        <f t="shared" si="86"/>
        <v>98.62</v>
      </c>
      <c r="W80" s="395">
        <f t="shared" si="86"/>
        <v>71.03</v>
      </c>
      <c r="X80" s="395">
        <f t="shared" si="86"/>
        <v>142.25</v>
      </c>
      <c r="Y80" s="395">
        <f t="shared" si="86"/>
        <v>150.13</v>
      </c>
      <c r="Z80" s="395">
        <f t="shared" si="86"/>
        <v>145.69999999999999</v>
      </c>
      <c r="AA80" s="395">
        <f t="shared" si="86"/>
        <v>107.98</v>
      </c>
      <c r="AB80" s="395">
        <f t="shared" si="86"/>
        <v>108.11</v>
      </c>
      <c r="AC80" s="395">
        <f t="shared" si="86"/>
        <v>97.46</v>
      </c>
      <c r="AD80" s="395">
        <f t="shared" si="86"/>
        <v>136.61000000000001</v>
      </c>
      <c r="AE80" s="395">
        <f t="shared" si="86"/>
        <v>109.2</v>
      </c>
      <c r="AF80" s="395">
        <f t="shared" si="86"/>
        <v>100.65</v>
      </c>
      <c r="AG80" s="395">
        <f>IF(AND(AG32&lt;=(3),AG32&gt;(1.5),AG35&gt;=(0.8),AG35&lt;(1.5),ROUND((AG55+AG60)-(AG37*AG21),2))=FALSE,0,IF(AND(AG32&lt;=(3),AG32&gt;(1.5),AG35&gt;=(0.8),AG35&lt;(1.5)),ROUND((AG55+AG60)-(AG37*AG21),2),0))</f>
        <v>0</v>
      </c>
      <c r="AH80" s="395">
        <f>IF(AND(AH32&lt;=(3),AH32&gt;(1.5),AH35&gt;=(0.8),AH35&lt;(1.5),ROUND((AH55+AH60)-(AH37*AH21),2))=FALSE,0,IF(AND(AH32&lt;=(3),AH32&gt;=(1.5),AH35&gt;=(0.8),AH35&lt;(1.5)),ROUND((AH55+AH60)-(AH37*AH21),2),0))</f>
        <v>0</v>
      </c>
      <c r="AI80" s="396">
        <f t="shared" si="82"/>
        <v>1560.55</v>
      </c>
    </row>
    <row r="81" spans="1:35" x14ac:dyDescent="0.3">
      <c r="A81" s="1101"/>
      <c r="B81" s="1083" t="s">
        <v>106</v>
      </c>
      <c r="C81" s="1083"/>
      <c r="D81" s="1083"/>
      <c r="E81" s="1083"/>
      <c r="F81" s="1083"/>
      <c r="G81" s="395">
        <f t="shared" ref="G81:T81" si="87">IF(AND(G32&lt;=(3),G32&gt;(1.5),G35&gt;=(1.5),G35&lt;(3.5),ROUND((G56+G61)-(G37*G21),2))=FALSE,0,IF(AND(G32&lt;=(3),G32&gt;(1.5),G35&gt;=(1.5),G35&lt;(3.5)),ROUND((G56+G61)-(G37*G21),2),0))</f>
        <v>421.24</v>
      </c>
      <c r="H81" s="395">
        <f t="shared" si="87"/>
        <v>465.23</v>
      </c>
      <c r="I81" s="395">
        <f t="shared" si="87"/>
        <v>353.52</v>
      </c>
      <c r="J81" s="395">
        <f t="shared" si="87"/>
        <v>311.85000000000002</v>
      </c>
      <c r="K81" s="395">
        <f t="shared" si="87"/>
        <v>521.86</v>
      </c>
      <c r="L81" s="395">
        <f t="shared" si="87"/>
        <v>273.24</v>
      </c>
      <c r="M81" s="395">
        <f t="shared" si="87"/>
        <v>205.83</v>
      </c>
      <c r="N81" s="395">
        <f t="shared" si="87"/>
        <v>228.3</v>
      </c>
      <c r="O81" s="395">
        <f t="shared" si="87"/>
        <v>209.52</v>
      </c>
      <c r="P81" s="395">
        <f t="shared" si="87"/>
        <v>85.06</v>
      </c>
      <c r="Q81" s="395">
        <f t="shared" si="87"/>
        <v>0</v>
      </c>
      <c r="R81" s="395">
        <f t="shared" si="87"/>
        <v>0</v>
      </c>
      <c r="S81" s="395">
        <f t="shared" si="87"/>
        <v>0</v>
      </c>
      <c r="T81" s="395">
        <f t="shared" si="87"/>
        <v>0</v>
      </c>
      <c r="U81" s="395">
        <f t="shared" ref="U81:AF81" si="88">IF(AND(U32&lt;=(3),U32&gt;(1.5),U35&gt;=(1.5),U35&lt;(3.5),ROUND((U56+U61)-(U37*U21),2))=FALSE,0,IF(AND(U32&lt;=(3),U32&gt;(1.5),U35&gt;=(1.5),U35&lt;(3.5)),ROUND((U56+U61)-(U37*U21),2),0))</f>
        <v>0</v>
      </c>
      <c r="V81" s="395">
        <f t="shared" si="88"/>
        <v>0</v>
      </c>
      <c r="W81" s="395">
        <f t="shared" si="88"/>
        <v>0</v>
      </c>
      <c r="X81" s="395">
        <f t="shared" si="88"/>
        <v>0</v>
      </c>
      <c r="Y81" s="395">
        <f t="shared" si="88"/>
        <v>0</v>
      </c>
      <c r="Z81" s="395">
        <f t="shared" si="88"/>
        <v>0</v>
      </c>
      <c r="AA81" s="395">
        <f t="shared" si="88"/>
        <v>0</v>
      </c>
      <c r="AB81" s="395">
        <f t="shared" si="88"/>
        <v>0</v>
      </c>
      <c r="AC81" s="395">
        <f t="shared" si="88"/>
        <v>0</v>
      </c>
      <c r="AD81" s="395">
        <f t="shared" si="88"/>
        <v>0</v>
      </c>
      <c r="AE81" s="395">
        <f t="shared" si="88"/>
        <v>0</v>
      </c>
      <c r="AF81" s="395">
        <f t="shared" si="88"/>
        <v>0</v>
      </c>
      <c r="AG81" s="395">
        <f>IF(AND(AG32&lt;=(3),AG32&gt;(1.5),AG35&gt;=(1.5),AG35&lt;(3.5),ROUND((AG56+AG61)-(AG37*AG21),2))=FALSE,0,IF(AND(AG32&lt;=(3),AG32&gt;(1.5),AG35&gt;=(1.5),AG35&lt;(3.5)),ROUND((AG56+AG61)-(AG37*AG21),2),0))</f>
        <v>76.900000000000006</v>
      </c>
      <c r="AH81" s="395">
        <f>IF(AND(AH32&lt;=(3),AH32&gt;=(1.5),AH35&gt;=(1.5),AH35&lt;(3.5),ROUND((AH56+AH61)-(AH37*AH21),2))=FALSE,0,IF(AND(AH32&lt;=(3),AH32&gt;(1.5),AH35&gt;=(1.5),AH35&lt;(3.5)),ROUND((AH56+AH61)-(AH37*AH21),2),0))</f>
        <v>0</v>
      </c>
      <c r="AI81" s="396">
        <f t="shared" si="82"/>
        <v>3152.55</v>
      </c>
    </row>
    <row r="82" spans="1:35" x14ac:dyDescent="0.3">
      <c r="A82" s="1101"/>
      <c r="B82" s="1083" t="s">
        <v>58</v>
      </c>
      <c r="C82" s="1083"/>
      <c r="D82" s="1083"/>
      <c r="E82" s="1083"/>
      <c r="F82" s="1083"/>
      <c r="G82" s="395">
        <f t="shared" ref="G82:T82" si="89">IF(AND(G32&lt;=(4.5),G32&gt;(3),ROUND((G57+G61)-(G37*G21),2))=FALSE,0,IF(AND(G32&lt;=(4.5),G32&gt;(3)),ROUND((G57+G61)-(G37*G21),2),0))</f>
        <v>0</v>
      </c>
      <c r="H82" s="395">
        <f t="shared" si="89"/>
        <v>0</v>
      </c>
      <c r="I82" s="395">
        <f t="shared" si="89"/>
        <v>0</v>
      </c>
      <c r="J82" s="395">
        <f t="shared" si="89"/>
        <v>0</v>
      </c>
      <c r="K82" s="395">
        <f t="shared" si="89"/>
        <v>0</v>
      </c>
      <c r="L82" s="395">
        <f t="shared" si="89"/>
        <v>0</v>
      </c>
      <c r="M82" s="395">
        <f t="shared" si="89"/>
        <v>0</v>
      </c>
      <c r="N82" s="395">
        <f t="shared" si="89"/>
        <v>0</v>
      </c>
      <c r="O82" s="395">
        <f t="shared" si="89"/>
        <v>0</v>
      </c>
      <c r="P82" s="395">
        <f t="shared" si="89"/>
        <v>0</v>
      </c>
      <c r="Q82" s="395">
        <f t="shared" si="89"/>
        <v>0</v>
      </c>
      <c r="R82" s="395">
        <f t="shared" si="89"/>
        <v>0</v>
      </c>
      <c r="S82" s="395">
        <f t="shared" si="89"/>
        <v>0</v>
      </c>
      <c r="T82" s="395">
        <f t="shared" si="89"/>
        <v>0</v>
      </c>
      <c r="U82" s="395">
        <f t="shared" ref="U82:AF82" si="90">IF(AND(U32&lt;=(4.5),U32&gt;(3),ROUND((U57+U61)-(U37*U21),2))=FALSE,0,IF(AND(U32&lt;=(4.5),U32&gt;(3)),ROUND((U57+U61)-(U37*U21),2),0))</f>
        <v>0</v>
      </c>
      <c r="V82" s="395">
        <f t="shared" si="90"/>
        <v>0</v>
      </c>
      <c r="W82" s="395">
        <f t="shared" si="90"/>
        <v>0</v>
      </c>
      <c r="X82" s="395">
        <f t="shared" si="90"/>
        <v>0</v>
      </c>
      <c r="Y82" s="395">
        <f t="shared" si="90"/>
        <v>0</v>
      </c>
      <c r="Z82" s="395">
        <f t="shared" si="90"/>
        <v>0</v>
      </c>
      <c r="AA82" s="395">
        <f t="shared" si="90"/>
        <v>0</v>
      </c>
      <c r="AB82" s="395">
        <f t="shared" si="90"/>
        <v>0</v>
      </c>
      <c r="AC82" s="395">
        <f t="shared" si="90"/>
        <v>0</v>
      </c>
      <c r="AD82" s="395">
        <f t="shared" si="90"/>
        <v>0</v>
      </c>
      <c r="AE82" s="395">
        <f t="shared" si="90"/>
        <v>0</v>
      </c>
      <c r="AF82" s="395">
        <f t="shared" si="90"/>
        <v>0</v>
      </c>
      <c r="AG82" s="395">
        <f>IF(AND(AG32&lt;=(4.5),AG32&gt;(3),ROUND((AG57+AG61)-(AG37*AG21),2))=FALSE,0,IF(AND(AG32&lt;=(4.5),AG32&gt;(3)),ROUND((AG57+AG61)-(AG37*AG21),2),0))</f>
        <v>0</v>
      </c>
      <c r="AH82" s="395">
        <f>IF(AND(AH32&lt;=(4.5),AH32&gt;(3),ROUND((AH57+AH61)-(AH37*AH21),2))=FALSE,0,IF(AND(AH32&lt;=(4.5),AH32&gt;(3)),ROUND((AH57+AH61)-(AH37*AH21),2),0))</f>
        <v>0</v>
      </c>
      <c r="AI82" s="396">
        <f t="shared" si="82"/>
        <v>0</v>
      </c>
    </row>
    <row r="83" spans="1:35" x14ac:dyDescent="0.3">
      <c r="A83" s="1101"/>
      <c r="B83" s="1083" t="s">
        <v>59</v>
      </c>
      <c r="C83" s="1083"/>
      <c r="D83" s="1083"/>
      <c r="E83" s="1083"/>
      <c r="F83" s="1083"/>
      <c r="G83" s="395">
        <f t="shared" ref="G83:T83" si="91">IF(AND(G32&lt;=(6),G32&gt;(4.5),ROUND((G58+G62)-(G37*G21),2))=FALSE,0,IF(AND(G32&lt;=(6),G32&gt;(4.5)),ROUND((G58+G62)-(G37*G21),2),0))</f>
        <v>0</v>
      </c>
      <c r="H83" s="395">
        <f t="shared" si="91"/>
        <v>0</v>
      </c>
      <c r="I83" s="395">
        <f t="shared" si="91"/>
        <v>0</v>
      </c>
      <c r="J83" s="395">
        <f t="shared" si="91"/>
        <v>0</v>
      </c>
      <c r="K83" s="395">
        <f t="shared" si="91"/>
        <v>0</v>
      </c>
      <c r="L83" s="395">
        <f t="shared" si="91"/>
        <v>0</v>
      </c>
      <c r="M83" s="395">
        <f t="shared" si="91"/>
        <v>0</v>
      </c>
      <c r="N83" s="395">
        <f t="shared" si="91"/>
        <v>0</v>
      </c>
      <c r="O83" s="395">
        <f t="shared" si="91"/>
        <v>0</v>
      </c>
      <c r="P83" s="395">
        <f t="shared" si="91"/>
        <v>0</v>
      </c>
      <c r="Q83" s="395">
        <f t="shared" si="91"/>
        <v>0</v>
      </c>
      <c r="R83" s="395">
        <f t="shared" si="91"/>
        <v>0</v>
      </c>
      <c r="S83" s="395">
        <f t="shared" si="91"/>
        <v>0</v>
      </c>
      <c r="T83" s="395">
        <f t="shared" si="91"/>
        <v>0</v>
      </c>
      <c r="U83" s="395">
        <f t="shared" ref="U83:AF83" si="92">IF(AND(U32&lt;=(6),U32&gt;(4.5),ROUND((U58+U62)-(U37*U21),2))=FALSE,0,IF(AND(U32&lt;=(6),U32&gt;(4.5)),ROUND((U58+U62)-(U37*U21),2),0))</f>
        <v>0</v>
      </c>
      <c r="V83" s="395">
        <f t="shared" si="92"/>
        <v>0</v>
      </c>
      <c r="W83" s="395">
        <f t="shared" si="92"/>
        <v>0</v>
      </c>
      <c r="X83" s="395">
        <f t="shared" si="92"/>
        <v>0</v>
      </c>
      <c r="Y83" s="395">
        <f t="shared" si="92"/>
        <v>0</v>
      </c>
      <c r="Z83" s="395">
        <f t="shared" si="92"/>
        <v>0</v>
      </c>
      <c r="AA83" s="395">
        <f t="shared" si="92"/>
        <v>0</v>
      </c>
      <c r="AB83" s="395">
        <f t="shared" si="92"/>
        <v>0</v>
      </c>
      <c r="AC83" s="395">
        <f t="shared" si="92"/>
        <v>0</v>
      </c>
      <c r="AD83" s="395">
        <f t="shared" si="92"/>
        <v>0</v>
      </c>
      <c r="AE83" s="395">
        <f t="shared" si="92"/>
        <v>0</v>
      </c>
      <c r="AF83" s="395">
        <f t="shared" si="92"/>
        <v>0</v>
      </c>
      <c r="AG83" s="395">
        <f>IF(AND(AG32&lt;=(6),AG32&gt;(4.5),ROUND((AG58+AG62)-(AG37*AG21),2))=FALSE,0,IF(AND(AG32&lt;=(6),AG32&gt;(4.5)),ROUND((AG58+AG62)-(AG37*AG21),2),0))</f>
        <v>0</v>
      </c>
      <c r="AH83" s="395">
        <f>IF(AND(AH32&lt;=(6),AH32&gt;(4.5),ROUND((AH58+AH62)-(AH37*AH21),2))=FALSE,0,IF(AND(AH32&lt;=(6),AH32&gt;(4.5)),ROUND((AH58+AH62)-(AH37*AH21),2),0))</f>
        <v>0</v>
      </c>
      <c r="AI83" s="396">
        <f t="shared" si="82"/>
        <v>0</v>
      </c>
    </row>
    <row r="84" spans="1:35" x14ac:dyDescent="0.3">
      <c r="A84" s="1101"/>
      <c r="B84" s="1083" t="s">
        <v>41</v>
      </c>
      <c r="C84" s="1083"/>
      <c r="D84" s="1083"/>
      <c r="E84" s="1083"/>
      <c r="F84" s="1083"/>
      <c r="G84" s="395">
        <f>G53-G78</f>
        <v>74.935404969152671</v>
      </c>
      <c r="H84" s="395">
        <f>H53-H78</f>
        <v>72.000899992715688</v>
      </c>
      <c r="I84" s="395">
        <f>I53-I78</f>
        <v>54.491221768424623</v>
      </c>
      <c r="J84" s="395">
        <f>J53-J78</f>
        <v>53.413939613562718</v>
      </c>
      <c r="K84" s="395">
        <f>K53-K78</f>
        <v>76.029921484800411</v>
      </c>
      <c r="L84" s="395">
        <f t="shared" ref="L84:T84" si="93">L53-L78</f>
        <v>48.832169656526048</v>
      </c>
      <c r="M84" s="395">
        <f t="shared" si="93"/>
        <v>55.649858268372014</v>
      </c>
      <c r="N84" s="395">
        <f t="shared" si="93"/>
        <v>66.652615420718519</v>
      </c>
      <c r="O84" s="395">
        <f t="shared" si="93"/>
        <v>45.68330089036516</v>
      </c>
      <c r="P84" s="395">
        <f t="shared" si="93"/>
        <v>26.756303503388722</v>
      </c>
      <c r="Q84" s="395">
        <f t="shared" si="93"/>
        <v>7.6840804680721746</v>
      </c>
      <c r="R84" s="395">
        <f t="shared" si="93"/>
        <v>7.3868615864964084</v>
      </c>
      <c r="S84" s="395">
        <f t="shared" si="93"/>
        <v>3.7748487952627627</v>
      </c>
      <c r="T84" s="395">
        <f t="shared" si="93"/>
        <v>10.330913782654534</v>
      </c>
      <c r="U84" s="395">
        <f t="shared" ref="U84:AF84" si="94">U53-U78</f>
        <v>16.522433303654125</v>
      </c>
      <c r="V84" s="395">
        <f t="shared" si="94"/>
        <v>16.169961774517418</v>
      </c>
      <c r="W84" s="395">
        <f t="shared" si="94"/>
        <v>10.094556480855502</v>
      </c>
      <c r="X84" s="395">
        <f t="shared" si="94"/>
        <v>20.946551892204127</v>
      </c>
      <c r="Y84" s="395">
        <f t="shared" si="94"/>
        <v>22.806040945996159</v>
      </c>
      <c r="Z84" s="395">
        <f t="shared" si="94"/>
        <v>21.454557892073439</v>
      </c>
      <c r="AA84" s="395">
        <f t="shared" si="94"/>
        <v>16.402943036977433</v>
      </c>
      <c r="AB84" s="395">
        <f t="shared" si="94"/>
        <v>16.421744806822133</v>
      </c>
      <c r="AC84" s="395">
        <f t="shared" si="94"/>
        <v>12.472309870355616</v>
      </c>
      <c r="AD84" s="395">
        <f t="shared" si="94"/>
        <v>17.014120301395621</v>
      </c>
      <c r="AE84" s="395">
        <f t="shared" si="94"/>
        <v>16.408352670884625</v>
      </c>
      <c r="AF84" s="395">
        <f t="shared" si="94"/>
        <v>16.406253362833311</v>
      </c>
      <c r="AG84" s="395">
        <f>AG53-AG78</f>
        <v>28.799999999999997</v>
      </c>
      <c r="AH84" s="395">
        <f>AH53-AH78</f>
        <v>46.378484039911996</v>
      </c>
      <c r="AI84" s="396">
        <f t="shared" si="82"/>
        <v>881.92</v>
      </c>
    </row>
    <row r="85" spans="1:35" ht="13.9" customHeight="1" x14ac:dyDescent="0.3">
      <c r="A85" s="1101"/>
      <c r="B85" s="1103" t="s">
        <v>369</v>
      </c>
      <c r="C85" s="1103"/>
      <c r="D85" s="1103"/>
      <c r="E85" s="1103"/>
      <c r="F85" s="393" t="s">
        <v>23</v>
      </c>
      <c r="G85" s="395">
        <f>G84*(1+G86)</f>
        <v>97.416026459898475</v>
      </c>
      <c r="H85" s="395">
        <f>H84*(1+H86)</f>
        <v>93.601169990530394</v>
      </c>
      <c r="I85" s="395">
        <f>I84*(1+I86)</f>
        <v>70.838588298952018</v>
      </c>
      <c r="J85" s="395">
        <f>J84*(1+J86)</f>
        <v>69.438121497631542</v>
      </c>
      <c r="K85" s="395">
        <f>K84*(1+K86)</f>
        <v>98.838897930240535</v>
      </c>
      <c r="L85" s="395">
        <f t="shared" ref="L85:T85" si="95">L84*(1+L86)</f>
        <v>63.481820553483864</v>
      </c>
      <c r="M85" s="395">
        <f t="shared" si="95"/>
        <v>72.344815748883619</v>
      </c>
      <c r="N85" s="395">
        <f t="shared" si="95"/>
        <v>86.648400046934071</v>
      </c>
      <c r="O85" s="395">
        <f t="shared" si="95"/>
        <v>59.388291157474711</v>
      </c>
      <c r="P85" s="395">
        <f t="shared" si="95"/>
        <v>34.783194554405341</v>
      </c>
      <c r="Q85" s="395">
        <f t="shared" si="95"/>
        <v>9.9893046084938266</v>
      </c>
      <c r="R85" s="395">
        <f t="shared" si="95"/>
        <v>9.6029200624453317</v>
      </c>
      <c r="S85" s="395">
        <f t="shared" si="95"/>
        <v>4.9073034338415917</v>
      </c>
      <c r="T85" s="395">
        <f t="shared" si="95"/>
        <v>13.430187917450894</v>
      </c>
      <c r="U85" s="395">
        <f t="shared" ref="U85:AF85" si="96">U84*(1+U86)</f>
        <v>21.479163294750364</v>
      </c>
      <c r="V85" s="395">
        <f t="shared" si="96"/>
        <v>21.020950306872646</v>
      </c>
      <c r="W85" s="395">
        <f t="shared" si="96"/>
        <v>13.122923425112154</v>
      </c>
      <c r="X85" s="395">
        <f t="shared" si="96"/>
        <v>27.230517459865364</v>
      </c>
      <c r="Y85" s="395">
        <f t="shared" si="96"/>
        <v>29.647853229795007</v>
      </c>
      <c r="Z85" s="395">
        <f t="shared" si="96"/>
        <v>27.890925259695472</v>
      </c>
      <c r="AA85" s="395">
        <f t="shared" si="96"/>
        <v>21.323825948070663</v>
      </c>
      <c r="AB85" s="395">
        <f t="shared" si="96"/>
        <v>21.348268248868774</v>
      </c>
      <c r="AC85" s="395">
        <f t="shared" si="96"/>
        <v>16.214002831462302</v>
      </c>
      <c r="AD85" s="395">
        <f t="shared" si="96"/>
        <v>22.118356391814309</v>
      </c>
      <c r="AE85" s="395">
        <f t="shared" si="96"/>
        <v>21.330858472150013</v>
      </c>
      <c r="AF85" s="395">
        <f t="shared" si="96"/>
        <v>21.328129371683307</v>
      </c>
      <c r="AG85" s="395">
        <f>AG84*(1+AG86)</f>
        <v>37.44</v>
      </c>
      <c r="AH85" s="395">
        <f>AH84*(1+AH86)</f>
        <v>60.292029251885594</v>
      </c>
      <c r="AI85" s="396">
        <f>SUM(G85:AH85)</f>
        <v>1146.4968457526925</v>
      </c>
    </row>
    <row r="86" spans="1:35" ht="13.9" customHeight="1" x14ac:dyDescent="0.3">
      <c r="A86" s="1101"/>
      <c r="B86" s="1103"/>
      <c r="C86" s="1103"/>
      <c r="D86" s="1103"/>
      <c r="E86" s="1103"/>
      <c r="F86" s="393" t="s">
        <v>976</v>
      </c>
      <c r="G86" s="408">
        <v>0.3</v>
      </c>
      <c r="H86" s="408">
        <v>0.3</v>
      </c>
      <c r="I86" s="408">
        <v>0.3</v>
      </c>
      <c r="J86" s="408">
        <v>0.3</v>
      </c>
      <c r="K86" s="408">
        <v>0.3</v>
      </c>
      <c r="L86" s="408">
        <v>0.3</v>
      </c>
      <c r="M86" s="408">
        <v>0.3</v>
      </c>
      <c r="N86" s="408">
        <v>0.3</v>
      </c>
      <c r="O86" s="408">
        <v>0.3</v>
      </c>
      <c r="P86" s="408">
        <v>0.3</v>
      </c>
      <c r="Q86" s="408">
        <v>0.3</v>
      </c>
      <c r="R86" s="408">
        <v>0.3</v>
      </c>
      <c r="S86" s="408">
        <v>0.3</v>
      </c>
      <c r="T86" s="408">
        <v>0.3</v>
      </c>
      <c r="U86" s="408">
        <v>0.3</v>
      </c>
      <c r="V86" s="408">
        <v>0.3</v>
      </c>
      <c r="W86" s="408">
        <v>0.3</v>
      </c>
      <c r="X86" s="408">
        <v>0.3</v>
      </c>
      <c r="Y86" s="408">
        <v>0.3</v>
      </c>
      <c r="Z86" s="408">
        <v>0.3</v>
      </c>
      <c r="AA86" s="408">
        <v>0.3</v>
      </c>
      <c r="AB86" s="408">
        <v>0.3</v>
      </c>
      <c r="AC86" s="408">
        <v>0.3</v>
      </c>
      <c r="AD86" s="408">
        <v>0.3</v>
      </c>
      <c r="AE86" s="408">
        <v>0.3</v>
      </c>
      <c r="AF86" s="408">
        <v>0.3</v>
      </c>
      <c r="AG86" s="408">
        <v>0.3</v>
      </c>
      <c r="AH86" s="408">
        <v>0.3</v>
      </c>
      <c r="AI86" s="402"/>
    </row>
    <row r="87" spans="1:35" ht="13.9" customHeight="1" x14ac:dyDescent="0.3">
      <c r="A87" s="1101"/>
      <c r="B87" s="1103"/>
      <c r="C87" s="1103"/>
      <c r="D87" s="1103"/>
      <c r="E87" s="1103"/>
      <c r="F87" s="393" t="s">
        <v>25</v>
      </c>
      <c r="G87" s="395">
        <f>$B$13</f>
        <v>5.8</v>
      </c>
      <c r="H87" s="395">
        <f t="shared" ref="H87:AG87" si="97">$B$13</f>
        <v>5.8</v>
      </c>
      <c r="I87" s="395">
        <f t="shared" si="97"/>
        <v>5.8</v>
      </c>
      <c r="J87" s="395">
        <f t="shared" si="97"/>
        <v>5.8</v>
      </c>
      <c r="K87" s="395">
        <f t="shared" si="97"/>
        <v>5.8</v>
      </c>
      <c r="L87" s="395">
        <f t="shared" si="97"/>
        <v>5.8</v>
      </c>
      <c r="M87" s="395">
        <f t="shared" si="97"/>
        <v>5.8</v>
      </c>
      <c r="N87" s="395">
        <f t="shared" si="97"/>
        <v>5.8</v>
      </c>
      <c r="O87" s="395">
        <f t="shared" si="97"/>
        <v>5.8</v>
      </c>
      <c r="P87" s="395">
        <f t="shared" si="97"/>
        <v>5.8</v>
      </c>
      <c r="Q87" s="395">
        <f t="shared" si="97"/>
        <v>5.8</v>
      </c>
      <c r="R87" s="395">
        <f t="shared" si="97"/>
        <v>5.8</v>
      </c>
      <c r="S87" s="395">
        <f t="shared" si="97"/>
        <v>5.8</v>
      </c>
      <c r="T87" s="395">
        <f t="shared" si="97"/>
        <v>5.8</v>
      </c>
      <c r="U87" s="395">
        <f t="shared" si="97"/>
        <v>5.8</v>
      </c>
      <c r="V87" s="395">
        <f t="shared" si="97"/>
        <v>5.8</v>
      </c>
      <c r="W87" s="395">
        <f t="shared" si="97"/>
        <v>5.8</v>
      </c>
      <c r="X87" s="395">
        <f t="shared" si="97"/>
        <v>5.8</v>
      </c>
      <c r="Y87" s="395">
        <f t="shared" si="97"/>
        <v>5.8</v>
      </c>
      <c r="Z87" s="395">
        <f t="shared" si="97"/>
        <v>5.8</v>
      </c>
      <c r="AA87" s="395">
        <f t="shared" si="97"/>
        <v>5.8</v>
      </c>
      <c r="AB87" s="395">
        <f t="shared" si="97"/>
        <v>5.8</v>
      </c>
      <c r="AC87" s="395">
        <f t="shared" si="97"/>
        <v>5.8</v>
      </c>
      <c r="AD87" s="395">
        <f t="shared" si="97"/>
        <v>5.8</v>
      </c>
      <c r="AE87" s="395">
        <f t="shared" si="97"/>
        <v>5.8</v>
      </c>
      <c r="AF87" s="395">
        <f t="shared" si="97"/>
        <v>5.8</v>
      </c>
      <c r="AG87" s="395">
        <f t="shared" si="97"/>
        <v>5.8</v>
      </c>
      <c r="AH87" s="395">
        <f>$B$13</f>
        <v>5.8</v>
      </c>
      <c r="AI87" s="402"/>
    </row>
    <row r="88" spans="1:35" ht="13.9" customHeight="1" x14ac:dyDescent="0.3">
      <c r="A88" s="1102"/>
      <c r="B88" s="1103"/>
      <c r="C88" s="1103"/>
      <c r="D88" s="1103"/>
      <c r="E88" s="1103"/>
      <c r="F88" s="393" t="s">
        <v>26</v>
      </c>
      <c r="G88" s="395">
        <f>ROUND(G85*G87,2)</f>
        <v>565.01</v>
      </c>
      <c r="H88" s="395">
        <f>ROUND(H85*H87,2)</f>
        <v>542.89</v>
      </c>
      <c r="I88" s="395">
        <f>ROUND(I85*I87,2)</f>
        <v>410.86</v>
      </c>
      <c r="J88" s="395">
        <f>ROUND(J85*J87,2)</f>
        <v>402.74</v>
      </c>
      <c r="K88" s="395">
        <f>ROUND(K85*K87,2)</f>
        <v>573.27</v>
      </c>
      <c r="L88" s="395">
        <f t="shared" ref="L88:T88" si="98">ROUND(L85*L87,2)</f>
        <v>368.19</v>
      </c>
      <c r="M88" s="395">
        <f t="shared" si="98"/>
        <v>419.6</v>
      </c>
      <c r="N88" s="395">
        <f t="shared" si="98"/>
        <v>502.56</v>
      </c>
      <c r="O88" s="395">
        <f t="shared" si="98"/>
        <v>344.45</v>
      </c>
      <c r="P88" s="395">
        <f t="shared" si="98"/>
        <v>201.74</v>
      </c>
      <c r="Q88" s="395">
        <f t="shared" si="98"/>
        <v>57.94</v>
      </c>
      <c r="R88" s="395">
        <f t="shared" si="98"/>
        <v>55.7</v>
      </c>
      <c r="S88" s="395">
        <f t="shared" si="98"/>
        <v>28.46</v>
      </c>
      <c r="T88" s="395">
        <f t="shared" si="98"/>
        <v>77.900000000000006</v>
      </c>
      <c r="U88" s="395">
        <f t="shared" ref="U88:AF88" si="99">ROUND(U85*U87,2)</f>
        <v>124.58</v>
      </c>
      <c r="V88" s="395">
        <f t="shared" si="99"/>
        <v>121.92</v>
      </c>
      <c r="W88" s="395">
        <f t="shared" si="99"/>
        <v>76.11</v>
      </c>
      <c r="X88" s="395">
        <f t="shared" si="99"/>
        <v>157.94</v>
      </c>
      <c r="Y88" s="395">
        <f t="shared" si="99"/>
        <v>171.96</v>
      </c>
      <c r="Z88" s="395">
        <f t="shared" si="99"/>
        <v>161.77000000000001</v>
      </c>
      <c r="AA88" s="395">
        <f t="shared" si="99"/>
        <v>123.68</v>
      </c>
      <c r="AB88" s="395">
        <f t="shared" si="99"/>
        <v>123.82</v>
      </c>
      <c r="AC88" s="395">
        <f t="shared" si="99"/>
        <v>94.04</v>
      </c>
      <c r="AD88" s="395">
        <f t="shared" si="99"/>
        <v>128.29</v>
      </c>
      <c r="AE88" s="395">
        <f t="shared" si="99"/>
        <v>123.72</v>
      </c>
      <c r="AF88" s="395">
        <f t="shared" si="99"/>
        <v>123.7</v>
      </c>
      <c r="AG88" s="395">
        <f>ROUND(AG85*AG87,2)</f>
        <v>217.15</v>
      </c>
      <c r="AH88" s="395">
        <f>ROUND(AH85*AH87,2)</f>
        <v>349.69</v>
      </c>
      <c r="AI88" s="396">
        <f>TRUNC(SUM(G88:AH88),2)</f>
        <v>6649.68</v>
      </c>
    </row>
    <row r="89" spans="1:35" ht="3.95" customHeight="1" x14ac:dyDescent="0.3">
      <c r="A89" s="641"/>
      <c r="B89" s="642"/>
      <c r="C89" s="642"/>
      <c r="D89" s="642"/>
      <c r="E89" s="642"/>
      <c r="F89" s="638"/>
      <c r="G89" s="633"/>
      <c r="H89" s="633"/>
      <c r="I89" s="633"/>
      <c r="J89" s="633"/>
      <c r="K89" s="633"/>
      <c r="L89" s="633"/>
      <c r="M89" s="633"/>
      <c r="N89" s="633"/>
      <c r="O89" s="633"/>
      <c r="P89" s="633"/>
      <c r="Q89" s="633"/>
      <c r="R89" s="633"/>
      <c r="S89" s="633"/>
      <c r="T89" s="633"/>
      <c r="U89" s="633"/>
      <c r="V89" s="633"/>
      <c r="W89" s="633"/>
      <c r="X89" s="633"/>
      <c r="Y89" s="633"/>
      <c r="Z89" s="633"/>
      <c r="AA89" s="633"/>
      <c r="AB89" s="633"/>
      <c r="AC89" s="633"/>
      <c r="AD89" s="633"/>
      <c r="AE89" s="633"/>
      <c r="AF89" s="633"/>
      <c r="AG89" s="633"/>
      <c r="AH89" s="633"/>
      <c r="AI89" s="636"/>
    </row>
    <row r="90" spans="1:35" ht="13.9" customHeight="1" x14ac:dyDescent="0.3">
      <c r="A90" s="1101" t="s">
        <v>7</v>
      </c>
      <c r="B90" s="1083" t="s">
        <v>273</v>
      </c>
      <c r="C90" s="1083"/>
      <c r="D90" s="1083"/>
      <c r="E90" s="1083"/>
      <c r="F90" s="1083"/>
      <c r="G90" s="395">
        <f t="shared" ref="G90:T90" si="100">IF(G25=(0.4),G21*G24,0)</f>
        <v>0</v>
      </c>
      <c r="H90" s="395">
        <f t="shared" si="100"/>
        <v>0</v>
      </c>
      <c r="I90" s="395">
        <f t="shared" si="100"/>
        <v>0</v>
      </c>
      <c r="J90" s="395">
        <f t="shared" si="100"/>
        <v>0</v>
      </c>
      <c r="K90" s="395">
        <f t="shared" si="100"/>
        <v>0</v>
      </c>
      <c r="L90" s="395">
        <f t="shared" si="100"/>
        <v>0</v>
      </c>
      <c r="M90" s="395">
        <f t="shared" si="100"/>
        <v>0</v>
      </c>
      <c r="N90" s="395">
        <f t="shared" si="100"/>
        <v>0</v>
      </c>
      <c r="O90" s="395">
        <f t="shared" si="100"/>
        <v>0</v>
      </c>
      <c r="P90" s="395">
        <f t="shared" si="100"/>
        <v>0</v>
      </c>
      <c r="Q90" s="395">
        <f t="shared" si="100"/>
        <v>0</v>
      </c>
      <c r="R90" s="395">
        <f t="shared" si="100"/>
        <v>0</v>
      </c>
      <c r="S90" s="395">
        <f t="shared" si="100"/>
        <v>0</v>
      </c>
      <c r="T90" s="395">
        <f t="shared" si="100"/>
        <v>0</v>
      </c>
      <c r="U90" s="395">
        <f t="shared" ref="U90:AF90" si="101">IF(U25=(0.4),U21*U24,0)</f>
        <v>0</v>
      </c>
      <c r="V90" s="395">
        <f t="shared" si="101"/>
        <v>0</v>
      </c>
      <c r="W90" s="395">
        <f t="shared" si="101"/>
        <v>0</v>
      </c>
      <c r="X90" s="395">
        <f t="shared" si="101"/>
        <v>0</v>
      </c>
      <c r="Y90" s="395">
        <f t="shared" si="101"/>
        <v>0</v>
      </c>
      <c r="Z90" s="395">
        <f t="shared" si="101"/>
        <v>0</v>
      </c>
      <c r="AA90" s="395">
        <f t="shared" si="101"/>
        <v>0</v>
      </c>
      <c r="AB90" s="395">
        <f t="shared" si="101"/>
        <v>0</v>
      </c>
      <c r="AC90" s="395">
        <f t="shared" si="101"/>
        <v>0</v>
      </c>
      <c r="AD90" s="395">
        <f t="shared" si="101"/>
        <v>0</v>
      </c>
      <c r="AE90" s="395">
        <f t="shared" si="101"/>
        <v>0</v>
      </c>
      <c r="AF90" s="395">
        <f t="shared" si="101"/>
        <v>0</v>
      </c>
      <c r="AG90" s="395">
        <f>IF(AG25=(0.4),AG21*AG24,0)</f>
        <v>0</v>
      </c>
      <c r="AH90" s="395">
        <f>IF(AH25=(0.4),AH21*AH24,0)</f>
        <v>257.65824466617789</v>
      </c>
      <c r="AI90" s="413">
        <f t="shared" ref="AI90:AI102" si="102">ROUND(SUM(G90:AH90),3)</f>
        <v>257.65800000000002</v>
      </c>
    </row>
    <row r="91" spans="1:35" ht="13.9" customHeight="1" x14ac:dyDescent="0.3">
      <c r="A91" s="1101"/>
      <c r="B91" s="1083" t="s">
        <v>274</v>
      </c>
      <c r="C91" s="1083"/>
      <c r="D91" s="1083"/>
      <c r="E91" s="1083"/>
      <c r="F91" s="1083"/>
      <c r="G91" s="395">
        <f t="shared" ref="G91:T91" si="103">IF(G25=(0.6),G21*G24,0)</f>
        <v>0</v>
      </c>
      <c r="H91" s="395">
        <f t="shared" si="103"/>
        <v>0</v>
      </c>
      <c r="I91" s="395">
        <f t="shared" si="103"/>
        <v>0</v>
      </c>
      <c r="J91" s="395">
        <f t="shared" si="103"/>
        <v>0</v>
      </c>
      <c r="K91" s="395">
        <f t="shared" si="103"/>
        <v>0</v>
      </c>
      <c r="L91" s="395">
        <f t="shared" si="103"/>
        <v>0</v>
      </c>
      <c r="M91" s="395">
        <f t="shared" si="103"/>
        <v>0</v>
      </c>
      <c r="N91" s="395">
        <f t="shared" si="103"/>
        <v>0</v>
      </c>
      <c r="O91" s="395">
        <f t="shared" si="103"/>
        <v>0</v>
      </c>
      <c r="P91" s="395">
        <f t="shared" si="103"/>
        <v>0</v>
      </c>
      <c r="Q91" s="395">
        <f t="shared" si="103"/>
        <v>18.741659678224813</v>
      </c>
      <c r="R91" s="395">
        <f t="shared" si="103"/>
        <v>18.016735576820516</v>
      </c>
      <c r="S91" s="395">
        <f t="shared" si="103"/>
        <v>9.2069482811286871</v>
      </c>
      <c r="T91" s="395">
        <f t="shared" si="103"/>
        <v>25.197350689401301</v>
      </c>
      <c r="U91" s="395">
        <f t="shared" ref="U91:AF91" si="104">IF(U25=(0.6),U21*U24,0)</f>
        <v>40.298617813790543</v>
      </c>
      <c r="V91" s="395">
        <f t="shared" si="104"/>
        <v>39.438931157359548</v>
      </c>
      <c r="W91" s="395">
        <f t="shared" si="104"/>
        <v>24.62086946550124</v>
      </c>
      <c r="X91" s="395">
        <f t="shared" si="104"/>
        <v>51.089150956595439</v>
      </c>
      <c r="Y91" s="395">
        <f t="shared" si="104"/>
        <v>55.624490112185782</v>
      </c>
      <c r="Z91" s="395">
        <f t="shared" si="104"/>
        <v>52.328189980666899</v>
      </c>
      <c r="AA91" s="395">
        <f t="shared" si="104"/>
        <v>40.007178138969365</v>
      </c>
      <c r="AB91" s="395">
        <f t="shared" si="104"/>
        <v>40.053036114200324</v>
      </c>
      <c r="AC91" s="395">
        <f t="shared" si="104"/>
        <v>30.42026797647711</v>
      </c>
      <c r="AD91" s="395">
        <f t="shared" si="104"/>
        <v>41.497854393647877</v>
      </c>
      <c r="AE91" s="395">
        <f t="shared" si="104"/>
        <v>40.020372368011294</v>
      </c>
      <c r="AF91" s="395">
        <f t="shared" si="104"/>
        <v>40.015252104471486</v>
      </c>
      <c r="AG91" s="395">
        <f>IF(AG25=(0.6),AG21*AG24,0)</f>
        <v>0</v>
      </c>
      <c r="AH91" s="395">
        <f>IF(AH25=(0.6),AH21*AH24,0)</f>
        <v>0</v>
      </c>
      <c r="AI91" s="413">
        <f t="shared" si="102"/>
        <v>566.577</v>
      </c>
    </row>
    <row r="92" spans="1:35" ht="13.9" customHeight="1" x14ac:dyDescent="0.3">
      <c r="A92" s="1101"/>
      <c r="B92" s="1083" t="s">
        <v>275</v>
      </c>
      <c r="C92" s="1083"/>
      <c r="D92" s="1083"/>
      <c r="E92" s="1083"/>
      <c r="F92" s="1083"/>
      <c r="G92" s="395">
        <f t="shared" ref="G92:T92" si="105">IF(G25=(0.8),G21*G24,0)</f>
        <v>104.07695134604538</v>
      </c>
      <c r="H92" s="395">
        <f t="shared" si="105"/>
        <v>100.00124998988291</v>
      </c>
      <c r="I92" s="395">
        <f t="shared" si="105"/>
        <v>75.682252456145349</v>
      </c>
      <c r="J92" s="395">
        <f t="shared" si="105"/>
        <v>74.186027241059335</v>
      </c>
      <c r="K92" s="395">
        <f t="shared" si="105"/>
        <v>105.59711317333395</v>
      </c>
      <c r="L92" s="395">
        <f t="shared" si="105"/>
        <v>67.822457856286164</v>
      </c>
      <c r="M92" s="395">
        <f t="shared" si="105"/>
        <v>77.291469817183355</v>
      </c>
      <c r="N92" s="395">
        <f t="shared" si="105"/>
        <v>92.573076973220182</v>
      </c>
      <c r="O92" s="395">
        <f t="shared" si="105"/>
        <v>63.449029014396061</v>
      </c>
      <c r="P92" s="395">
        <f t="shared" si="105"/>
        <v>37.16153264359545</v>
      </c>
      <c r="Q92" s="395">
        <f t="shared" si="105"/>
        <v>0</v>
      </c>
      <c r="R92" s="395">
        <f t="shared" si="105"/>
        <v>0</v>
      </c>
      <c r="S92" s="395">
        <f t="shared" si="105"/>
        <v>0</v>
      </c>
      <c r="T92" s="395">
        <f t="shared" si="105"/>
        <v>0</v>
      </c>
      <c r="U92" s="395">
        <f t="shared" ref="U92:AF92" si="106">IF(U25=(0.8),U21*U24,0)</f>
        <v>0</v>
      </c>
      <c r="V92" s="395">
        <f t="shared" si="106"/>
        <v>0</v>
      </c>
      <c r="W92" s="395">
        <f t="shared" si="106"/>
        <v>0</v>
      </c>
      <c r="X92" s="395">
        <f t="shared" si="106"/>
        <v>0</v>
      </c>
      <c r="Y92" s="395">
        <f t="shared" si="106"/>
        <v>0</v>
      </c>
      <c r="Z92" s="395">
        <f t="shared" si="106"/>
        <v>0</v>
      </c>
      <c r="AA92" s="395">
        <f t="shared" si="106"/>
        <v>0</v>
      </c>
      <c r="AB92" s="395">
        <f t="shared" si="106"/>
        <v>0</v>
      </c>
      <c r="AC92" s="395">
        <f t="shared" si="106"/>
        <v>0</v>
      </c>
      <c r="AD92" s="395">
        <f t="shared" si="106"/>
        <v>0</v>
      </c>
      <c r="AE92" s="395">
        <f t="shared" si="106"/>
        <v>0</v>
      </c>
      <c r="AF92" s="395">
        <f t="shared" si="106"/>
        <v>0</v>
      </c>
      <c r="AG92" s="395">
        <f>IF(AG25=(0.8),AG21*AG24,0)</f>
        <v>40</v>
      </c>
      <c r="AH92" s="395">
        <f>IF(AH25=(0.8),AH21*AH24,0)</f>
        <v>0</v>
      </c>
      <c r="AI92" s="413">
        <f t="shared" si="102"/>
        <v>837.84100000000001</v>
      </c>
    </row>
    <row r="93" spans="1:35" ht="13.9" customHeight="1" x14ac:dyDescent="0.3">
      <c r="A93" s="1101"/>
      <c r="B93" s="1083" t="s">
        <v>276</v>
      </c>
      <c r="C93" s="1083"/>
      <c r="D93" s="1083"/>
      <c r="E93" s="1083"/>
      <c r="F93" s="1083"/>
      <c r="G93" s="395">
        <f t="shared" ref="G93:T93" si="107">IF(G25=(1),G21*G24,0)</f>
        <v>0</v>
      </c>
      <c r="H93" s="395">
        <f t="shared" si="107"/>
        <v>0</v>
      </c>
      <c r="I93" s="395">
        <f t="shared" si="107"/>
        <v>0</v>
      </c>
      <c r="J93" s="395">
        <f t="shared" si="107"/>
        <v>0</v>
      </c>
      <c r="K93" s="395">
        <f t="shared" si="107"/>
        <v>0</v>
      </c>
      <c r="L93" s="395">
        <f t="shared" si="107"/>
        <v>0</v>
      </c>
      <c r="M93" s="395">
        <f t="shared" si="107"/>
        <v>0</v>
      </c>
      <c r="N93" s="395">
        <f t="shared" si="107"/>
        <v>0</v>
      </c>
      <c r="O93" s="395">
        <f t="shared" si="107"/>
        <v>0</v>
      </c>
      <c r="P93" s="395">
        <f t="shared" si="107"/>
        <v>0</v>
      </c>
      <c r="Q93" s="395">
        <f t="shared" si="107"/>
        <v>0</v>
      </c>
      <c r="R93" s="395">
        <f t="shared" si="107"/>
        <v>0</v>
      </c>
      <c r="S93" s="395">
        <f t="shared" si="107"/>
        <v>0</v>
      </c>
      <c r="T93" s="395">
        <f t="shared" si="107"/>
        <v>0</v>
      </c>
      <c r="U93" s="395">
        <f t="shared" ref="U93:AF93" si="108">IF(U25=(1),U21*U24,0)</f>
        <v>0</v>
      </c>
      <c r="V93" s="395">
        <f t="shared" si="108"/>
        <v>0</v>
      </c>
      <c r="W93" s="395">
        <f t="shared" si="108"/>
        <v>0</v>
      </c>
      <c r="X93" s="395">
        <f t="shared" si="108"/>
        <v>0</v>
      </c>
      <c r="Y93" s="395">
        <f t="shared" si="108"/>
        <v>0</v>
      </c>
      <c r="Z93" s="395">
        <f t="shared" si="108"/>
        <v>0</v>
      </c>
      <c r="AA93" s="395">
        <f t="shared" si="108"/>
        <v>0</v>
      </c>
      <c r="AB93" s="395">
        <f t="shared" si="108"/>
        <v>0</v>
      </c>
      <c r="AC93" s="395">
        <f t="shared" si="108"/>
        <v>0</v>
      </c>
      <c r="AD93" s="395">
        <f t="shared" si="108"/>
        <v>0</v>
      </c>
      <c r="AE93" s="395">
        <f t="shared" si="108"/>
        <v>0</v>
      </c>
      <c r="AF93" s="395">
        <f t="shared" si="108"/>
        <v>0</v>
      </c>
      <c r="AG93" s="395">
        <f>IF(AG25=(1),AG21*AG24,0)</f>
        <v>0</v>
      </c>
      <c r="AH93" s="395">
        <f>IF(AH25=(1),AH21*AH24,0)</f>
        <v>0</v>
      </c>
      <c r="AI93" s="413">
        <f t="shared" si="102"/>
        <v>0</v>
      </c>
    </row>
    <row r="94" spans="1:35" ht="13.9" customHeight="1" x14ac:dyDescent="0.3">
      <c r="A94" s="1101"/>
      <c r="B94" s="1083" t="s">
        <v>277</v>
      </c>
      <c r="C94" s="1083"/>
      <c r="D94" s="1083"/>
      <c r="E94" s="1083"/>
      <c r="F94" s="1083"/>
      <c r="G94" s="395">
        <f t="shared" ref="G94:T94" si="109">IF(G25=(1.2),G21*G24,0)</f>
        <v>0</v>
      </c>
      <c r="H94" s="395">
        <f t="shared" si="109"/>
        <v>0</v>
      </c>
      <c r="I94" s="395">
        <f t="shared" si="109"/>
        <v>0</v>
      </c>
      <c r="J94" s="395">
        <f t="shared" si="109"/>
        <v>0</v>
      </c>
      <c r="K94" s="395">
        <f t="shared" si="109"/>
        <v>0</v>
      </c>
      <c r="L94" s="395">
        <f t="shared" si="109"/>
        <v>0</v>
      </c>
      <c r="M94" s="395">
        <f t="shared" si="109"/>
        <v>0</v>
      </c>
      <c r="N94" s="395">
        <f t="shared" si="109"/>
        <v>0</v>
      </c>
      <c r="O94" s="395">
        <f t="shared" si="109"/>
        <v>0</v>
      </c>
      <c r="P94" s="395">
        <f t="shared" si="109"/>
        <v>0</v>
      </c>
      <c r="Q94" s="395">
        <f t="shared" si="109"/>
        <v>0</v>
      </c>
      <c r="R94" s="395">
        <f t="shared" si="109"/>
        <v>0</v>
      </c>
      <c r="S94" s="395">
        <f t="shared" si="109"/>
        <v>0</v>
      </c>
      <c r="T94" s="395">
        <f t="shared" si="109"/>
        <v>0</v>
      </c>
      <c r="U94" s="395">
        <f t="shared" ref="U94:AF94" si="110">IF(U25=(1.2),U21*U24,0)</f>
        <v>0</v>
      </c>
      <c r="V94" s="395">
        <f t="shared" si="110"/>
        <v>0</v>
      </c>
      <c r="W94" s="395">
        <f t="shared" si="110"/>
        <v>0</v>
      </c>
      <c r="X94" s="395">
        <f t="shared" si="110"/>
        <v>0</v>
      </c>
      <c r="Y94" s="395">
        <f t="shared" si="110"/>
        <v>0</v>
      </c>
      <c r="Z94" s="395">
        <f t="shared" si="110"/>
        <v>0</v>
      </c>
      <c r="AA94" s="395">
        <f t="shared" si="110"/>
        <v>0</v>
      </c>
      <c r="AB94" s="395">
        <f t="shared" si="110"/>
        <v>0</v>
      </c>
      <c r="AC94" s="395">
        <f t="shared" si="110"/>
        <v>0</v>
      </c>
      <c r="AD94" s="395">
        <f t="shared" si="110"/>
        <v>0</v>
      </c>
      <c r="AE94" s="395">
        <f t="shared" si="110"/>
        <v>0</v>
      </c>
      <c r="AF94" s="395">
        <f t="shared" si="110"/>
        <v>0</v>
      </c>
      <c r="AG94" s="395">
        <f>IF(AG25=(1.2),AG21*AG24,0)</f>
        <v>0</v>
      </c>
      <c r="AH94" s="395">
        <f>IF(AH25=(1.2),AH21*AH24,0)</f>
        <v>0</v>
      </c>
      <c r="AI94" s="413">
        <f t="shared" si="102"/>
        <v>0</v>
      </c>
    </row>
    <row r="95" spans="1:35" ht="13.9" customHeight="1" x14ac:dyDescent="0.3">
      <c r="A95" s="1101"/>
      <c r="B95" s="1083" t="s">
        <v>278</v>
      </c>
      <c r="C95" s="1083"/>
      <c r="D95" s="1083"/>
      <c r="E95" s="1083"/>
      <c r="F95" s="1083"/>
      <c r="G95" s="395">
        <f t="shared" ref="G95:T95" si="111">IF(G25=(1.5),G21*G24,0)</f>
        <v>0</v>
      </c>
      <c r="H95" s="395">
        <f t="shared" si="111"/>
        <v>0</v>
      </c>
      <c r="I95" s="395">
        <f t="shared" si="111"/>
        <v>0</v>
      </c>
      <c r="J95" s="395">
        <f t="shared" si="111"/>
        <v>0</v>
      </c>
      <c r="K95" s="395">
        <f t="shared" si="111"/>
        <v>0</v>
      </c>
      <c r="L95" s="395">
        <f t="shared" si="111"/>
        <v>0</v>
      </c>
      <c r="M95" s="395">
        <f t="shared" si="111"/>
        <v>0</v>
      </c>
      <c r="N95" s="395">
        <f t="shared" si="111"/>
        <v>0</v>
      </c>
      <c r="O95" s="395">
        <f t="shared" si="111"/>
        <v>0</v>
      </c>
      <c r="P95" s="395">
        <f t="shared" si="111"/>
        <v>0</v>
      </c>
      <c r="Q95" s="395">
        <f t="shared" si="111"/>
        <v>0</v>
      </c>
      <c r="R95" s="395">
        <f t="shared" si="111"/>
        <v>0</v>
      </c>
      <c r="S95" s="395">
        <f t="shared" si="111"/>
        <v>0</v>
      </c>
      <c r="T95" s="395">
        <f t="shared" si="111"/>
        <v>0</v>
      </c>
      <c r="U95" s="395">
        <f t="shared" ref="U95:AF95" si="112">IF(U25=(1.5),U21*U24,0)</f>
        <v>0</v>
      </c>
      <c r="V95" s="395">
        <f t="shared" si="112"/>
        <v>0</v>
      </c>
      <c r="W95" s="395">
        <f t="shared" si="112"/>
        <v>0</v>
      </c>
      <c r="X95" s="395">
        <f t="shared" si="112"/>
        <v>0</v>
      </c>
      <c r="Y95" s="395">
        <f t="shared" si="112"/>
        <v>0</v>
      </c>
      <c r="Z95" s="395">
        <f t="shared" si="112"/>
        <v>0</v>
      </c>
      <c r="AA95" s="395">
        <f t="shared" si="112"/>
        <v>0</v>
      </c>
      <c r="AB95" s="395">
        <f t="shared" si="112"/>
        <v>0</v>
      </c>
      <c r="AC95" s="395">
        <f t="shared" si="112"/>
        <v>0</v>
      </c>
      <c r="AD95" s="395">
        <f t="shared" si="112"/>
        <v>0</v>
      </c>
      <c r="AE95" s="395">
        <f t="shared" si="112"/>
        <v>0</v>
      </c>
      <c r="AF95" s="395">
        <f t="shared" si="112"/>
        <v>0</v>
      </c>
      <c r="AG95" s="395">
        <f>IF(AG25=(1.5),AG21*AG24,0)</f>
        <v>0</v>
      </c>
      <c r="AH95" s="395">
        <f>IF(AH25=(1.5),AH21*AH24,0)</f>
        <v>0</v>
      </c>
      <c r="AI95" s="413">
        <f t="shared" si="102"/>
        <v>0</v>
      </c>
    </row>
    <row r="96" spans="1:35" ht="13.9" customHeight="1" x14ac:dyDescent="0.3">
      <c r="A96" s="1101"/>
      <c r="B96" s="1083" t="s">
        <v>403</v>
      </c>
      <c r="C96" s="1083"/>
      <c r="D96" s="1083"/>
      <c r="E96" s="1083"/>
      <c r="F96" s="1083"/>
      <c r="G96" s="395">
        <f>G90*$E$10</f>
        <v>0</v>
      </c>
      <c r="H96" s="395">
        <f>H90*$E$10</f>
        <v>0</v>
      </c>
      <c r="I96" s="395">
        <f>I90*$E$10</f>
        <v>0</v>
      </c>
      <c r="J96" s="395">
        <f>J90*$E$10</f>
        <v>0</v>
      </c>
      <c r="K96" s="395">
        <f>K90*$E$10</f>
        <v>0</v>
      </c>
      <c r="L96" s="395">
        <f t="shared" ref="L96:T96" si="113">L90*$E$10</f>
        <v>0</v>
      </c>
      <c r="M96" s="395">
        <f t="shared" si="113"/>
        <v>0</v>
      </c>
      <c r="N96" s="395">
        <f t="shared" si="113"/>
        <v>0</v>
      </c>
      <c r="O96" s="395">
        <f t="shared" si="113"/>
        <v>0</v>
      </c>
      <c r="P96" s="395">
        <f t="shared" si="113"/>
        <v>0</v>
      </c>
      <c r="Q96" s="395">
        <f t="shared" si="113"/>
        <v>0</v>
      </c>
      <c r="R96" s="395">
        <f t="shared" si="113"/>
        <v>0</v>
      </c>
      <c r="S96" s="395">
        <f t="shared" si="113"/>
        <v>0</v>
      </c>
      <c r="T96" s="395">
        <f t="shared" si="113"/>
        <v>0</v>
      </c>
      <c r="U96" s="395">
        <f t="shared" ref="U96:AF96" si="114">U90*$E$10</f>
        <v>0</v>
      </c>
      <c r="V96" s="395">
        <f t="shared" si="114"/>
        <v>0</v>
      </c>
      <c r="W96" s="395">
        <f t="shared" si="114"/>
        <v>0</v>
      </c>
      <c r="X96" s="395">
        <f t="shared" si="114"/>
        <v>0</v>
      </c>
      <c r="Y96" s="395">
        <f t="shared" si="114"/>
        <v>0</v>
      </c>
      <c r="Z96" s="395">
        <f t="shared" si="114"/>
        <v>0</v>
      </c>
      <c r="AA96" s="395">
        <f t="shared" si="114"/>
        <v>0</v>
      </c>
      <c r="AB96" s="395">
        <f t="shared" si="114"/>
        <v>0</v>
      </c>
      <c r="AC96" s="395">
        <f t="shared" si="114"/>
        <v>0</v>
      </c>
      <c r="AD96" s="395">
        <f t="shared" si="114"/>
        <v>0</v>
      </c>
      <c r="AE96" s="395">
        <f t="shared" si="114"/>
        <v>0</v>
      </c>
      <c r="AF96" s="395">
        <f t="shared" si="114"/>
        <v>0</v>
      </c>
      <c r="AG96" s="395">
        <f>AG90*$E$10</f>
        <v>0</v>
      </c>
      <c r="AH96" s="395">
        <f>AH90*$E$10</f>
        <v>46.378484039912017</v>
      </c>
      <c r="AI96" s="383">
        <f t="shared" si="102"/>
        <v>46.378</v>
      </c>
    </row>
    <row r="97" spans="1:35" ht="13.9" customHeight="1" x14ac:dyDescent="0.3">
      <c r="A97" s="1101"/>
      <c r="B97" s="1083" t="s">
        <v>404</v>
      </c>
      <c r="C97" s="1083"/>
      <c r="D97" s="1083"/>
      <c r="E97" s="1083"/>
      <c r="F97" s="1083"/>
      <c r="G97" s="395">
        <f>G91*$E$11</f>
        <v>0</v>
      </c>
      <c r="H97" s="395">
        <f>H91*$E$11</f>
        <v>0</v>
      </c>
      <c r="I97" s="395">
        <f>I91*$E$11</f>
        <v>0</v>
      </c>
      <c r="J97" s="395">
        <f>J91*$E$11</f>
        <v>0</v>
      </c>
      <c r="K97" s="395">
        <f>K91*$E$11</f>
        <v>0</v>
      </c>
      <c r="L97" s="395">
        <f t="shared" ref="L97:T97" si="115">L91*$E$11</f>
        <v>0</v>
      </c>
      <c r="M97" s="395">
        <f t="shared" si="115"/>
        <v>0</v>
      </c>
      <c r="N97" s="395">
        <f t="shared" si="115"/>
        <v>0</v>
      </c>
      <c r="O97" s="395">
        <f t="shared" si="115"/>
        <v>0</v>
      </c>
      <c r="P97" s="395">
        <f t="shared" si="115"/>
        <v>0</v>
      </c>
      <c r="Q97" s="395">
        <f t="shared" si="115"/>
        <v>6.5595808873786847</v>
      </c>
      <c r="R97" s="395">
        <f t="shared" si="115"/>
        <v>6.3058574518871797</v>
      </c>
      <c r="S97" s="395">
        <f t="shared" si="115"/>
        <v>3.2224318983950404</v>
      </c>
      <c r="T97" s="395">
        <f t="shared" si="115"/>
        <v>8.819072741290455</v>
      </c>
      <c r="U97" s="395">
        <f t="shared" ref="U97:AF97" si="116">U91*$E$11</f>
        <v>14.104516234826688</v>
      </c>
      <c r="V97" s="395">
        <f t="shared" si="116"/>
        <v>13.80362590507584</v>
      </c>
      <c r="W97" s="395">
        <f t="shared" si="116"/>
        <v>8.6173043129254339</v>
      </c>
      <c r="X97" s="395">
        <f t="shared" si="116"/>
        <v>17.881202834808402</v>
      </c>
      <c r="Y97" s="395">
        <f t="shared" si="116"/>
        <v>19.468571539265021</v>
      </c>
      <c r="Z97" s="395">
        <f t="shared" si="116"/>
        <v>18.314866493233414</v>
      </c>
      <c r="AA97" s="395">
        <f t="shared" si="116"/>
        <v>14.002512348639277</v>
      </c>
      <c r="AB97" s="395">
        <f t="shared" si="116"/>
        <v>14.018562639970112</v>
      </c>
      <c r="AC97" s="395">
        <f t="shared" si="116"/>
        <v>10.647093791766988</v>
      </c>
      <c r="AD97" s="395">
        <f t="shared" si="116"/>
        <v>14.524249037776755</v>
      </c>
      <c r="AE97" s="395">
        <f t="shared" si="116"/>
        <v>14.007130328803951</v>
      </c>
      <c r="AF97" s="395">
        <f t="shared" si="116"/>
        <v>14.00533823656502</v>
      </c>
      <c r="AG97" s="395">
        <f>AG91*$E$11</f>
        <v>0</v>
      </c>
      <c r="AH97" s="395">
        <f>AH91*$E$11</f>
        <v>0</v>
      </c>
      <c r="AI97" s="383">
        <f t="shared" si="102"/>
        <v>198.30199999999999</v>
      </c>
    </row>
    <row r="98" spans="1:35" ht="13.9" customHeight="1" x14ac:dyDescent="0.3">
      <c r="A98" s="1101"/>
      <c r="B98" s="1083" t="s">
        <v>405</v>
      </c>
      <c r="C98" s="1083"/>
      <c r="D98" s="1083"/>
      <c r="E98" s="1083"/>
      <c r="F98" s="1083"/>
      <c r="G98" s="395">
        <f>G92*$E$12</f>
        <v>56.20155372686451</v>
      </c>
      <c r="H98" s="395">
        <f>H92*$E$12</f>
        <v>54.000674994536773</v>
      </c>
      <c r="I98" s="395">
        <f>I92*$E$12</f>
        <v>40.868416326318489</v>
      </c>
      <c r="J98" s="395">
        <f>J92*$E$12</f>
        <v>40.060454710172046</v>
      </c>
      <c r="K98" s="395">
        <f>K92*$E$12</f>
        <v>57.022441113600337</v>
      </c>
      <c r="L98" s="395">
        <f t="shared" ref="L98:T98" si="117">L92*$E$12</f>
        <v>36.624127242394529</v>
      </c>
      <c r="M98" s="395">
        <f t="shared" si="117"/>
        <v>41.737393701279018</v>
      </c>
      <c r="N98" s="395">
        <f t="shared" si="117"/>
        <v>49.989461565538903</v>
      </c>
      <c r="O98" s="395">
        <f t="shared" si="117"/>
        <v>34.262475667773877</v>
      </c>
      <c r="P98" s="395">
        <f t="shared" si="117"/>
        <v>20.067227627541545</v>
      </c>
      <c r="Q98" s="395">
        <f t="shared" si="117"/>
        <v>0</v>
      </c>
      <c r="R98" s="395">
        <f t="shared" si="117"/>
        <v>0</v>
      </c>
      <c r="S98" s="395">
        <f t="shared" si="117"/>
        <v>0</v>
      </c>
      <c r="T98" s="395">
        <f t="shared" si="117"/>
        <v>0</v>
      </c>
      <c r="U98" s="395">
        <f t="shared" ref="U98:AF98" si="118">U92*$E$12</f>
        <v>0</v>
      </c>
      <c r="V98" s="395">
        <f t="shared" si="118"/>
        <v>0</v>
      </c>
      <c r="W98" s="395">
        <f t="shared" si="118"/>
        <v>0</v>
      </c>
      <c r="X98" s="395">
        <f t="shared" si="118"/>
        <v>0</v>
      </c>
      <c r="Y98" s="395">
        <f t="shared" si="118"/>
        <v>0</v>
      </c>
      <c r="Z98" s="395">
        <f t="shared" si="118"/>
        <v>0</v>
      </c>
      <c r="AA98" s="395">
        <f t="shared" si="118"/>
        <v>0</v>
      </c>
      <c r="AB98" s="395">
        <f t="shared" si="118"/>
        <v>0</v>
      </c>
      <c r="AC98" s="395">
        <f t="shared" si="118"/>
        <v>0</v>
      </c>
      <c r="AD98" s="395">
        <f t="shared" si="118"/>
        <v>0</v>
      </c>
      <c r="AE98" s="395">
        <f t="shared" si="118"/>
        <v>0</v>
      </c>
      <c r="AF98" s="395">
        <f t="shared" si="118"/>
        <v>0</v>
      </c>
      <c r="AG98" s="395">
        <f>AG92*$E$12</f>
        <v>21.6</v>
      </c>
      <c r="AH98" s="395">
        <f>AH92*$E$12</f>
        <v>0</v>
      </c>
      <c r="AI98" s="383">
        <f t="shared" si="102"/>
        <v>452.43400000000003</v>
      </c>
    </row>
    <row r="99" spans="1:35" ht="13.9" customHeight="1" x14ac:dyDescent="0.3">
      <c r="A99" s="1101"/>
      <c r="B99" s="1083" t="s">
        <v>406</v>
      </c>
      <c r="C99" s="1083"/>
      <c r="D99" s="1083"/>
      <c r="E99" s="1083"/>
      <c r="F99" s="1083"/>
      <c r="G99" s="395">
        <f>G93*$E$13</f>
        <v>0</v>
      </c>
      <c r="H99" s="395">
        <f>H93*$E$13</f>
        <v>0</v>
      </c>
      <c r="I99" s="395">
        <f>I93*$E$13</f>
        <v>0</v>
      </c>
      <c r="J99" s="395">
        <f>J93*$E$13</f>
        <v>0</v>
      </c>
      <c r="K99" s="395">
        <f>K93*$E$13</f>
        <v>0</v>
      </c>
      <c r="L99" s="395">
        <f t="shared" ref="L99:T99" si="119">L93*$E$13</f>
        <v>0</v>
      </c>
      <c r="M99" s="395">
        <f t="shared" si="119"/>
        <v>0</v>
      </c>
      <c r="N99" s="395">
        <f t="shared" si="119"/>
        <v>0</v>
      </c>
      <c r="O99" s="395">
        <f t="shared" si="119"/>
        <v>0</v>
      </c>
      <c r="P99" s="395">
        <f t="shared" si="119"/>
        <v>0</v>
      </c>
      <c r="Q99" s="395">
        <f t="shared" si="119"/>
        <v>0</v>
      </c>
      <c r="R99" s="395">
        <f t="shared" si="119"/>
        <v>0</v>
      </c>
      <c r="S99" s="395">
        <f t="shared" si="119"/>
        <v>0</v>
      </c>
      <c r="T99" s="395">
        <f t="shared" si="119"/>
        <v>0</v>
      </c>
      <c r="U99" s="395">
        <f t="shared" ref="U99:AF99" si="120">U93*$E$13</f>
        <v>0</v>
      </c>
      <c r="V99" s="395">
        <f t="shared" si="120"/>
        <v>0</v>
      </c>
      <c r="W99" s="395">
        <f t="shared" si="120"/>
        <v>0</v>
      </c>
      <c r="X99" s="395">
        <f t="shared" si="120"/>
        <v>0</v>
      </c>
      <c r="Y99" s="395">
        <f t="shared" si="120"/>
        <v>0</v>
      </c>
      <c r="Z99" s="395">
        <f t="shared" si="120"/>
        <v>0</v>
      </c>
      <c r="AA99" s="395">
        <f t="shared" si="120"/>
        <v>0</v>
      </c>
      <c r="AB99" s="395">
        <f t="shared" si="120"/>
        <v>0</v>
      </c>
      <c r="AC99" s="395">
        <f t="shared" si="120"/>
        <v>0</v>
      </c>
      <c r="AD99" s="395">
        <f t="shared" si="120"/>
        <v>0</v>
      </c>
      <c r="AE99" s="395">
        <f t="shared" si="120"/>
        <v>0</v>
      </c>
      <c r="AF99" s="395">
        <f t="shared" si="120"/>
        <v>0</v>
      </c>
      <c r="AG99" s="395">
        <f>AG93*$E$13</f>
        <v>0</v>
      </c>
      <c r="AH99" s="395">
        <f>AH93*$E$13</f>
        <v>0</v>
      </c>
      <c r="AI99" s="383">
        <f t="shared" si="102"/>
        <v>0</v>
      </c>
    </row>
    <row r="100" spans="1:35" ht="13.9" customHeight="1" x14ac:dyDescent="0.3">
      <c r="A100" s="1101"/>
      <c r="B100" s="1083" t="s">
        <v>408</v>
      </c>
      <c r="C100" s="1083"/>
      <c r="D100" s="1083"/>
      <c r="E100" s="1083"/>
      <c r="F100" s="1083"/>
      <c r="G100" s="395">
        <f>G94*$E$14</f>
        <v>0</v>
      </c>
      <c r="H100" s="395">
        <f>H94*$E$14</f>
        <v>0</v>
      </c>
      <c r="I100" s="395">
        <f>I94*$E$14</f>
        <v>0</v>
      </c>
      <c r="J100" s="395">
        <f>J94*$E$14</f>
        <v>0</v>
      </c>
      <c r="K100" s="395">
        <f>K94*$E$14</f>
        <v>0</v>
      </c>
      <c r="L100" s="395">
        <f t="shared" ref="L100:T100" si="121">L94*$E$14</f>
        <v>0</v>
      </c>
      <c r="M100" s="395">
        <f t="shared" si="121"/>
        <v>0</v>
      </c>
      <c r="N100" s="395">
        <f t="shared" si="121"/>
        <v>0</v>
      </c>
      <c r="O100" s="395">
        <f t="shared" si="121"/>
        <v>0</v>
      </c>
      <c r="P100" s="395">
        <f t="shared" si="121"/>
        <v>0</v>
      </c>
      <c r="Q100" s="395">
        <f t="shared" si="121"/>
        <v>0</v>
      </c>
      <c r="R100" s="395">
        <f t="shared" si="121"/>
        <v>0</v>
      </c>
      <c r="S100" s="395">
        <f t="shared" si="121"/>
        <v>0</v>
      </c>
      <c r="T100" s="395">
        <f t="shared" si="121"/>
        <v>0</v>
      </c>
      <c r="U100" s="395">
        <f t="shared" ref="U100:AF100" si="122">U94*$E$14</f>
        <v>0</v>
      </c>
      <c r="V100" s="395">
        <f t="shared" si="122"/>
        <v>0</v>
      </c>
      <c r="W100" s="395">
        <f t="shared" si="122"/>
        <v>0</v>
      </c>
      <c r="X100" s="395">
        <f t="shared" si="122"/>
        <v>0</v>
      </c>
      <c r="Y100" s="395">
        <f t="shared" si="122"/>
        <v>0</v>
      </c>
      <c r="Z100" s="395">
        <f t="shared" si="122"/>
        <v>0</v>
      </c>
      <c r="AA100" s="395">
        <f t="shared" si="122"/>
        <v>0</v>
      </c>
      <c r="AB100" s="395">
        <f t="shared" si="122"/>
        <v>0</v>
      </c>
      <c r="AC100" s="395">
        <f t="shared" si="122"/>
        <v>0</v>
      </c>
      <c r="AD100" s="395">
        <f t="shared" si="122"/>
        <v>0</v>
      </c>
      <c r="AE100" s="395">
        <f t="shared" si="122"/>
        <v>0</v>
      </c>
      <c r="AF100" s="395">
        <f t="shared" si="122"/>
        <v>0</v>
      </c>
      <c r="AG100" s="395">
        <f>AG94*$E$14</f>
        <v>0</v>
      </c>
      <c r="AH100" s="395">
        <f>AH94*$E$14</f>
        <v>0</v>
      </c>
      <c r="AI100" s="383">
        <f t="shared" si="102"/>
        <v>0</v>
      </c>
    </row>
    <row r="101" spans="1:35" ht="13.9" customHeight="1" x14ac:dyDescent="0.3">
      <c r="A101" s="1101"/>
      <c r="B101" s="1083" t="s">
        <v>407</v>
      </c>
      <c r="C101" s="1083"/>
      <c r="D101" s="1083"/>
      <c r="E101" s="1083"/>
      <c r="F101" s="1083"/>
      <c r="G101" s="395">
        <f>G95*$E$15</f>
        <v>0</v>
      </c>
      <c r="H101" s="395">
        <f>H95*$E$15</f>
        <v>0</v>
      </c>
      <c r="I101" s="395">
        <f>I95*$E$15</f>
        <v>0</v>
      </c>
      <c r="J101" s="395">
        <f>J95*$E$15</f>
        <v>0</v>
      </c>
      <c r="K101" s="395">
        <f>K95*$E$15</f>
        <v>0</v>
      </c>
      <c r="L101" s="395">
        <f t="shared" ref="L101:T101" si="123">L95*$E$15</f>
        <v>0</v>
      </c>
      <c r="M101" s="395">
        <f t="shared" si="123"/>
        <v>0</v>
      </c>
      <c r="N101" s="395">
        <f t="shared" si="123"/>
        <v>0</v>
      </c>
      <c r="O101" s="395">
        <f t="shared" si="123"/>
        <v>0</v>
      </c>
      <c r="P101" s="395">
        <f t="shared" si="123"/>
        <v>0</v>
      </c>
      <c r="Q101" s="395">
        <f t="shared" si="123"/>
        <v>0</v>
      </c>
      <c r="R101" s="395">
        <f t="shared" si="123"/>
        <v>0</v>
      </c>
      <c r="S101" s="395">
        <f t="shared" si="123"/>
        <v>0</v>
      </c>
      <c r="T101" s="395">
        <f t="shared" si="123"/>
        <v>0</v>
      </c>
      <c r="U101" s="395">
        <f t="shared" ref="U101:AF101" si="124">U95*$E$15</f>
        <v>0</v>
      </c>
      <c r="V101" s="395">
        <f t="shared" si="124"/>
        <v>0</v>
      </c>
      <c r="W101" s="395">
        <f t="shared" si="124"/>
        <v>0</v>
      </c>
      <c r="X101" s="395">
        <f t="shared" si="124"/>
        <v>0</v>
      </c>
      <c r="Y101" s="395">
        <f t="shared" si="124"/>
        <v>0</v>
      </c>
      <c r="Z101" s="395">
        <f t="shared" si="124"/>
        <v>0</v>
      </c>
      <c r="AA101" s="395">
        <f t="shared" si="124"/>
        <v>0</v>
      </c>
      <c r="AB101" s="395">
        <f t="shared" si="124"/>
        <v>0</v>
      </c>
      <c r="AC101" s="395">
        <f t="shared" si="124"/>
        <v>0</v>
      </c>
      <c r="AD101" s="395">
        <f t="shared" si="124"/>
        <v>0</v>
      </c>
      <c r="AE101" s="395">
        <f t="shared" si="124"/>
        <v>0</v>
      </c>
      <c r="AF101" s="395">
        <f t="shared" si="124"/>
        <v>0</v>
      </c>
      <c r="AG101" s="395">
        <f>AG95*$E$15</f>
        <v>0</v>
      </c>
      <c r="AH101" s="395">
        <f>AH95*$E$15</f>
        <v>0</v>
      </c>
      <c r="AI101" s="383">
        <f t="shared" si="102"/>
        <v>0</v>
      </c>
    </row>
    <row r="102" spans="1:35" ht="13.9" customHeight="1" x14ac:dyDescent="0.3">
      <c r="A102" s="1101"/>
      <c r="B102" s="1083" t="s">
        <v>43</v>
      </c>
      <c r="C102" s="1083"/>
      <c r="D102" s="1083"/>
      <c r="E102" s="1083"/>
      <c r="F102" s="1083"/>
      <c r="G102" s="395">
        <f>ROUND(((G90)*$E$10)+((G91)*$E$11)+((G92)*$E$12)+((G93)*$E$13)+((G94)*$E$14)+((G95)*$E$15),2)</f>
        <v>56.2</v>
      </c>
      <c r="H102" s="395">
        <f>ROUND(((H90)*$E$10)+((H91)*$E$11)+((H92)*$E$12)+((H93)*$E$13)+((H94)*$E$14)+((H95)*$E$15),2)</f>
        <v>54</v>
      </c>
      <c r="I102" s="395">
        <f>ROUND(((I90)*$E$10)+((I91)*$E$11)+((I92)*$E$12)+((I93)*$E$13)+((I94)*$E$14)+((I95)*$E$15),2)</f>
        <v>40.869999999999997</v>
      </c>
      <c r="J102" s="395">
        <f>ROUND(((J90)*$E$10)+((J91)*$E$11)+((J92)*$E$12)+((J93)*$E$13)+((J94)*$E$14)+((J95)*$E$15),2)</f>
        <v>40.06</v>
      </c>
      <c r="K102" s="395">
        <f>ROUND(((K90)*$E$10)+((K91)*$E$11)+((K92)*$E$12)+((K93)*$E$13)+((K94)*$E$14)+((K95)*$E$15),2)</f>
        <v>57.02</v>
      </c>
      <c r="L102" s="395">
        <f t="shared" ref="L102:T102" si="125">ROUND(((L90)*$E$10)+((L91)*$E$11)+((L92)*$E$12)+((L93)*$E$13)+((L94)*$E$14)+((L95)*$E$15),2)</f>
        <v>36.619999999999997</v>
      </c>
      <c r="M102" s="395">
        <f t="shared" si="125"/>
        <v>41.74</v>
      </c>
      <c r="N102" s="395">
        <f t="shared" si="125"/>
        <v>49.99</v>
      </c>
      <c r="O102" s="395">
        <f t="shared" si="125"/>
        <v>34.26</v>
      </c>
      <c r="P102" s="395">
        <f t="shared" si="125"/>
        <v>20.07</v>
      </c>
      <c r="Q102" s="395">
        <f t="shared" si="125"/>
        <v>6.56</v>
      </c>
      <c r="R102" s="395">
        <f t="shared" si="125"/>
        <v>6.31</v>
      </c>
      <c r="S102" s="395">
        <f t="shared" si="125"/>
        <v>3.22</v>
      </c>
      <c r="T102" s="395">
        <f t="shared" si="125"/>
        <v>8.82</v>
      </c>
      <c r="U102" s="395">
        <f t="shared" ref="U102:AF102" si="126">ROUND(((U90)*$E$10)+((U91)*$E$11)+((U92)*$E$12)+((U93)*$E$13)+((U94)*$E$14)+((U95)*$E$15),2)</f>
        <v>14.1</v>
      </c>
      <c r="V102" s="395">
        <f t="shared" si="126"/>
        <v>13.8</v>
      </c>
      <c r="W102" s="395">
        <f t="shared" si="126"/>
        <v>8.6199999999999992</v>
      </c>
      <c r="X102" s="395">
        <f t="shared" si="126"/>
        <v>17.88</v>
      </c>
      <c r="Y102" s="395">
        <f t="shared" si="126"/>
        <v>19.47</v>
      </c>
      <c r="Z102" s="395">
        <f t="shared" si="126"/>
        <v>18.309999999999999</v>
      </c>
      <c r="AA102" s="395">
        <f t="shared" si="126"/>
        <v>14</v>
      </c>
      <c r="AB102" s="395">
        <f t="shared" si="126"/>
        <v>14.02</v>
      </c>
      <c r="AC102" s="395">
        <f t="shared" si="126"/>
        <v>10.65</v>
      </c>
      <c r="AD102" s="395">
        <f t="shared" si="126"/>
        <v>14.52</v>
      </c>
      <c r="AE102" s="395">
        <f t="shared" si="126"/>
        <v>14.01</v>
      </c>
      <c r="AF102" s="395">
        <f t="shared" si="126"/>
        <v>14.01</v>
      </c>
      <c r="AG102" s="395">
        <f>ROUND(((AG90)*$E$10)+((AG91)*$E$11)+((AG92)*$E$12)+((AG93)*$E$13)+((AG94)*$E$14)+((AG95)*$E$15),2)</f>
        <v>21.6</v>
      </c>
      <c r="AH102" s="395">
        <f>ROUND(((AH90)*$E$10)+((AH91)*$E$11)+((AH92)*$E$12)+((AH93)*$E$13)+((AH94)*$E$14)+((AH95)*$E$15),2)</f>
        <v>46.38</v>
      </c>
      <c r="AI102" s="383">
        <f t="shared" si="102"/>
        <v>697.11</v>
      </c>
    </row>
    <row r="103" spans="1:35" ht="13.9" customHeight="1" x14ac:dyDescent="0.3">
      <c r="A103" s="1101"/>
      <c r="B103" s="1063" t="s">
        <v>44</v>
      </c>
      <c r="C103" s="1063"/>
      <c r="D103" s="1063"/>
      <c r="E103" s="1063"/>
      <c r="F103" s="393" t="s">
        <v>25</v>
      </c>
      <c r="G103" s="395">
        <f t="shared" ref="G103:AH103" si="127">IF($B$10&gt;=30,30,$B$10)</f>
        <v>30</v>
      </c>
      <c r="H103" s="395">
        <f t="shared" si="127"/>
        <v>30</v>
      </c>
      <c r="I103" s="395">
        <f t="shared" si="127"/>
        <v>30</v>
      </c>
      <c r="J103" s="395">
        <f t="shared" si="127"/>
        <v>30</v>
      </c>
      <c r="K103" s="395">
        <f t="shared" si="127"/>
        <v>30</v>
      </c>
      <c r="L103" s="395">
        <f t="shared" si="127"/>
        <v>30</v>
      </c>
      <c r="M103" s="395">
        <f t="shared" si="127"/>
        <v>30</v>
      </c>
      <c r="N103" s="395">
        <f t="shared" si="127"/>
        <v>30</v>
      </c>
      <c r="O103" s="395">
        <f t="shared" si="127"/>
        <v>30</v>
      </c>
      <c r="P103" s="395">
        <f t="shared" si="127"/>
        <v>30</v>
      </c>
      <c r="Q103" s="395">
        <f t="shared" si="127"/>
        <v>30</v>
      </c>
      <c r="R103" s="395">
        <f t="shared" si="127"/>
        <v>30</v>
      </c>
      <c r="S103" s="395">
        <f t="shared" si="127"/>
        <v>30</v>
      </c>
      <c r="T103" s="395">
        <f t="shared" si="127"/>
        <v>30</v>
      </c>
      <c r="U103" s="395">
        <f t="shared" si="127"/>
        <v>30</v>
      </c>
      <c r="V103" s="395">
        <f t="shared" si="127"/>
        <v>30</v>
      </c>
      <c r="W103" s="395">
        <f t="shared" si="127"/>
        <v>30</v>
      </c>
      <c r="X103" s="395">
        <f t="shared" si="127"/>
        <v>30</v>
      </c>
      <c r="Y103" s="395">
        <f t="shared" si="127"/>
        <v>30</v>
      </c>
      <c r="Z103" s="395">
        <f t="shared" si="127"/>
        <v>30</v>
      </c>
      <c r="AA103" s="395">
        <f t="shared" si="127"/>
        <v>30</v>
      </c>
      <c r="AB103" s="395">
        <f t="shared" si="127"/>
        <v>30</v>
      </c>
      <c r="AC103" s="395">
        <f t="shared" si="127"/>
        <v>30</v>
      </c>
      <c r="AD103" s="395">
        <f t="shared" si="127"/>
        <v>30</v>
      </c>
      <c r="AE103" s="395">
        <f t="shared" si="127"/>
        <v>30</v>
      </c>
      <c r="AF103" s="395">
        <f t="shared" si="127"/>
        <v>30</v>
      </c>
      <c r="AG103" s="395">
        <f t="shared" si="127"/>
        <v>30</v>
      </c>
      <c r="AH103" s="395">
        <f t="shared" si="127"/>
        <v>30</v>
      </c>
      <c r="AI103" s="402"/>
    </row>
    <row r="104" spans="1:35" ht="13.9" customHeight="1" x14ac:dyDescent="0.3">
      <c r="A104" s="1101"/>
      <c r="B104" s="1063"/>
      <c r="C104" s="1063"/>
      <c r="D104" s="1063"/>
      <c r="E104" s="1063"/>
      <c r="F104" s="393" t="s">
        <v>318</v>
      </c>
      <c r="G104" s="395">
        <f t="shared" ref="G104:AH104" si="128">IF($B$10&gt;=30,$B$10-30,0)</f>
        <v>70</v>
      </c>
      <c r="H104" s="395">
        <f t="shared" si="128"/>
        <v>70</v>
      </c>
      <c r="I104" s="395">
        <f t="shared" si="128"/>
        <v>70</v>
      </c>
      <c r="J104" s="395">
        <f t="shared" si="128"/>
        <v>70</v>
      </c>
      <c r="K104" s="395">
        <f t="shared" si="128"/>
        <v>70</v>
      </c>
      <c r="L104" s="395">
        <f t="shared" si="128"/>
        <v>70</v>
      </c>
      <c r="M104" s="395">
        <f t="shared" si="128"/>
        <v>70</v>
      </c>
      <c r="N104" s="395">
        <f t="shared" si="128"/>
        <v>70</v>
      </c>
      <c r="O104" s="395">
        <f t="shared" si="128"/>
        <v>70</v>
      </c>
      <c r="P104" s="395">
        <f t="shared" si="128"/>
        <v>70</v>
      </c>
      <c r="Q104" s="395">
        <f t="shared" si="128"/>
        <v>70</v>
      </c>
      <c r="R104" s="395">
        <f t="shared" si="128"/>
        <v>70</v>
      </c>
      <c r="S104" s="395">
        <f t="shared" si="128"/>
        <v>70</v>
      </c>
      <c r="T104" s="395">
        <f t="shared" si="128"/>
        <v>70</v>
      </c>
      <c r="U104" s="395">
        <f t="shared" si="128"/>
        <v>70</v>
      </c>
      <c r="V104" s="395">
        <f t="shared" si="128"/>
        <v>70</v>
      </c>
      <c r="W104" s="395">
        <f t="shared" si="128"/>
        <v>70</v>
      </c>
      <c r="X104" s="395">
        <f t="shared" si="128"/>
        <v>70</v>
      </c>
      <c r="Y104" s="395">
        <f t="shared" si="128"/>
        <v>70</v>
      </c>
      <c r="Z104" s="395">
        <f t="shared" si="128"/>
        <v>70</v>
      </c>
      <c r="AA104" s="395">
        <f t="shared" si="128"/>
        <v>70</v>
      </c>
      <c r="AB104" s="395">
        <f t="shared" si="128"/>
        <v>70</v>
      </c>
      <c r="AC104" s="395">
        <f t="shared" si="128"/>
        <v>70</v>
      </c>
      <c r="AD104" s="395">
        <f t="shared" si="128"/>
        <v>70</v>
      </c>
      <c r="AE104" s="395">
        <f t="shared" si="128"/>
        <v>70</v>
      </c>
      <c r="AF104" s="395">
        <f t="shared" si="128"/>
        <v>70</v>
      </c>
      <c r="AG104" s="395">
        <f t="shared" si="128"/>
        <v>70</v>
      </c>
      <c r="AH104" s="395">
        <f t="shared" si="128"/>
        <v>70</v>
      </c>
      <c r="AI104" s="402"/>
    </row>
    <row r="105" spans="1:35" ht="13.9" customHeight="1" x14ac:dyDescent="0.3">
      <c r="A105" s="1101"/>
      <c r="B105" s="1063"/>
      <c r="C105" s="1063"/>
      <c r="D105" s="1063"/>
      <c r="E105" s="1063"/>
      <c r="F105" s="393" t="s">
        <v>28</v>
      </c>
      <c r="G105" s="395">
        <f>ROUND(G102*G103,2)</f>
        <v>1686</v>
      </c>
      <c r="H105" s="395">
        <f>ROUND(H102*H103,2)</f>
        <v>1620</v>
      </c>
      <c r="I105" s="395">
        <f>ROUND(I102*I103,2)</f>
        <v>1226.0999999999999</v>
      </c>
      <c r="J105" s="395">
        <f>ROUND(J102*J103,2)</f>
        <v>1201.8</v>
      </c>
      <c r="K105" s="395">
        <f>ROUND(K102*K103,2)</f>
        <v>1710.6</v>
      </c>
      <c r="L105" s="395">
        <f t="shared" ref="L105:T105" si="129">ROUND(L102*L103,2)</f>
        <v>1098.5999999999999</v>
      </c>
      <c r="M105" s="395">
        <f t="shared" si="129"/>
        <v>1252.2</v>
      </c>
      <c r="N105" s="395">
        <f t="shared" si="129"/>
        <v>1499.7</v>
      </c>
      <c r="O105" s="395">
        <f t="shared" si="129"/>
        <v>1027.8</v>
      </c>
      <c r="P105" s="395">
        <f t="shared" si="129"/>
        <v>602.1</v>
      </c>
      <c r="Q105" s="395">
        <f t="shared" si="129"/>
        <v>196.8</v>
      </c>
      <c r="R105" s="395">
        <f t="shared" si="129"/>
        <v>189.3</v>
      </c>
      <c r="S105" s="395">
        <f t="shared" si="129"/>
        <v>96.6</v>
      </c>
      <c r="T105" s="395">
        <f t="shared" si="129"/>
        <v>264.60000000000002</v>
      </c>
      <c r="U105" s="395">
        <f t="shared" ref="U105:AF105" si="130">ROUND(U102*U103,2)</f>
        <v>423</v>
      </c>
      <c r="V105" s="395">
        <f t="shared" si="130"/>
        <v>414</v>
      </c>
      <c r="W105" s="395">
        <f t="shared" si="130"/>
        <v>258.60000000000002</v>
      </c>
      <c r="X105" s="395">
        <f t="shared" si="130"/>
        <v>536.4</v>
      </c>
      <c r="Y105" s="395">
        <f t="shared" si="130"/>
        <v>584.1</v>
      </c>
      <c r="Z105" s="395">
        <f t="shared" si="130"/>
        <v>549.29999999999995</v>
      </c>
      <c r="AA105" s="395">
        <f t="shared" si="130"/>
        <v>420</v>
      </c>
      <c r="AB105" s="395">
        <f t="shared" si="130"/>
        <v>420.6</v>
      </c>
      <c r="AC105" s="395">
        <f t="shared" si="130"/>
        <v>319.5</v>
      </c>
      <c r="AD105" s="395">
        <f t="shared" si="130"/>
        <v>435.6</v>
      </c>
      <c r="AE105" s="395">
        <f t="shared" si="130"/>
        <v>420.3</v>
      </c>
      <c r="AF105" s="395">
        <f t="shared" si="130"/>
        <v>420.3</v>
      </c>
      <c r="AG105" s="395">
        <f>ROUND(AG102*AG103,2)</f>
        <v>648</v>
      </c>
      <c r="AH105" s="395">
        <f>ROUND(AH102*AH103,2)</f>
        <v>1391.4</v>
      </c>
      <c r="AI105" s="396">
        <f>TRUNC(SUM(G105:AH105),2)</f>
        <v>20913.3</v>
      </c>
    </row>
    <row r="106" spans="1:35" x14ac:dyDescent="0.3">
      <c r="A106" s="1101"/>
      <c r="B106" s="1063"/>
      <c r="C106" s="1063"/>
      <c r="D106" s="1063"/>
      <c r="E106" s="1063"/>
      <c r="F106" s="412" t="s">
        <v>320</v>
      </c>
      <c r="G106" s="395">
        <f>ROUND(G102*G104,2)</f>
        <v>3934</v>
      </c>
      <c r="H106" s="395">
        <f>ROUND(H102*H104,2)</f>
        <v>3780</v>
      </c>
      <c r="I106" s="395">
        <f>ROUND(I102*I104,2)</f>
        <v>2860.9</v>
      </c>
      <c r="J106" s="395">
        <f>ROUND(J102*J104,2)</f>
        <v>2804.2</v>
      </c>
      <c r="K106" s="395">
        <f>ROUND(K102*K104,2)</f>
        <v>3991.4</v>
      </c>
      <c r="L106" s="395">
        <f t="shared" ref="L106:T106" si="131">ROUND(L102*L104,2)</f>
        <v>2563.4</v>
      </c>
      <c r="M106" s="395">
        <f t="shared" si="131"/>
        <v>2921.8</v>
      </c>
      <c r="N106" s="395">
        <f t="shared" si="131"/>
        <v>3499.3</v>
      </c>
      <c r="O106" s="395">
        <f t="shared" si="131"/>
        <v>2398.1999999999998</v>
      </c>
      <c r="P106" s="395">
        <f t="shared" si="131"/>
        <v>1404.9</v>
      </c>
      <c r="Q106" s="395">
        <f t="shared" si="131"/>
        <v>459.2</v>
      </c>
      <c r="R106" s="395">
        <f t="shared" si="131"/>
        <v>441.7</v>
      </c>
      <c r="S106" s="395">
        <f t="shared" si="131"/>
        <v>225.4</v>
      </c>
      <c r="T106" s="395">
        <f t="shared" si="131"/>
        <v>617.4</v>
      </c>
      <c r="U106" s="395">
        <f t="shared" ref="U106:AF106" si="132">ROUND(U102*U104,2)</f>
        <v>987</v>
      </c>
      <c r="V106" s="395">
        <f t="shared" si="132"/>
        <v>966</v>
      </c>
      <c r="W106" s="395">
        <f t="shared" si="132"/>
        <v>603.4</v>
      </c>
      <c r="X106" s="395">
        <f t="shared" si="132"/>
        <v>1251.5999999999999</v>
      </c>
      <c r="Y106" s="395">
        <f t="shared" si="132"/>
        <v>1362.9</v>
      </c>
      <c r="Z106" s="395">
        <f t="shared" si="132"/>
        <v>1281.7</v>
      </c>
      <c r="AA106" s="395">
        <f t="shared" si="132"/>
        <v>980</v>
      </c>
      <c r="AB106" s="395">
        <f t="shared" si="132"/>
        <v>981.4</v>
      </c>
      <c r="AC106" s="395">
        <f t="shared" si="132"/>
        <v>745.5</v>
      </c>
      <c r="AD106" s="395">
        <f t="shared" si="132"/>
        <v>1016.4</v>
      </c>
      <c r="AE106" s="395">
        <f t="shared" si="132"/>
        <v>980.7</v>
      </c>
      <c r="AF106" s="395">
        <f t="shared" si="132"/>
        <v>980.7</v>
      </c>
      <c r="AG106" s="395">
        <f>ROUND(AG102*AG104,2)</f>
        <v>1512</v>
      </c>
      <c r="AH106" s="395">
        <f>ROUND(AH102*AH104,2)</f>
        <v>3246.6</v>
      </c>
      <c r="AI106" s="396">
        <f>TRUNC(SUM(G106:AH106),2)</f>
        <v>48797.7</v>
      </c>
    </row>
    <row r="107" spans="1:35" ht="28.5" customHeight="1" x14ac:dyDescent="0.3">
      <c r="A107" s="1101"/>
      <c r="B107" s="1024" t="s">
        <v>2</v>
      </c>
      <c r="C107" s="1024"/>
      <c r="D107" s="1024"/>
      <c r="E107" s="1024"/>
      <c r="F107" s="1024"/>
      <c r="G107" s="383" t="str">
        <f t="shared" ref="G107:T107" si="133">G17</f>
        <v>TRECHO - 01</v>
      </c>
      <c r="H107" s="383" t="str">
        <f t="shared" si="133"/>
        <v>TRECHO - 02</v>
      </c>
      <c r="I107" s="383" t="str">
        <f t="shared" si="133"/>
        <v>TRECHO - 03</v>
      </c>
      <c r="J107" s="383" t="str">
        <f t="shared" si="133"/>
        <v>TRECHO - 04</v>
      </c>
      <c r="K107" s="383" t="str">
        <f t="shared" si="133"/>
        <v>TRECHO - 05</v>
      </c>
      <c r="L107" s="383" t="str">
        <f t="shared" si="133"/>
        <v>TRECHO - 06</v>
      </c>
      <c r="M107" s="383" t="str">
        <f t="shared" si="133"/>
        <v>TRECHO - 07</v>
      </c>
      <c r="N107" s="383" t="str">
        <f t="shared" si="133"/>
        <v>TRECHO - 08</v>
      </c>
      <c r="O107" s="383" t="str">
        <f t="shared" si="133"/>
        <v>TRECHO - 09</v>
      </c>
      <c r="P107" s="383" t="str">
        <f t="shared" si="133"/>
        <v>TRECHO - 10</v>
      </c>
      <c r="Q107" s="383" t="str">
        <f t="shared" si="133"/>
        <v>TRECHO - 11</v>
      </c>
      <c r="R107" s="383" t="str">
        <f t="shared" si="133"/>
        <v>TRECHO - 12</v>
      </c>
      <c r="S107" s="383" t="str">
        <f t="shared" si="133"/>
        <v>TRECHO - 13</v>
      </c>
      <c r="T107" s="383" t="str">
        <f t="shared" si="133"/>
        <v>TRECHO - 14</v>
      </c>
      <c r="U107" s="383" t="str">
        <f t="shared" ref="U107:AF107" si="134">U17</f>
        <v>TRECHO - 100</v>
      </c>
      <c r="V107" s="383" t="str">
        <f t="shared" si="134"/>
        <v>TRECHO - 101</v>
      </c>
      <c r="W107" s="383" t="str">
        <f t="shared" si="134"/>
        <v>TRECHO - 102</v>
      </c>
      <c r="X107" s="383" t="str">
        <f t="shared" si="134"/>
        <v>TRECHO - 103</v>
      </c>
      <c r="Y107" s="383" t="str">
        <f t="shared" si="134"/>
        <v>TRECHO - 104</v>
      </c>
      <c r="Z107" s="383" t="str">
        <f t="shared" si="134"/>
        <v>TRECHO - 105</v>
      </c>
      <c r="AA107" s="383" t="str">
        <f t="shared" si="134"/>
        <v>TRECHO - 106</v>
      </c>
      <c r="AB107" s="383" t="str">
        <f t="shared" si="134"/>
        <v>TRECHO - 107</v>
      </c>
      <c r="AC107" s="383" t="str">
        <f t="shared" si="134"/>
        <v>TRECHO - 108</v>
      </c>
      <c r="AD107" s="383" t="str">
        <f t="shared" si="134"/>
        <v>TRECHO - 109</v>
      </c>
      <c r="AE107" s="383" t="str">
        <f t="shared" si="134"/>
        <v>TRECHO - 110</v>
      </c>
      <c r="AF107" s="383" t="str">
        <f t="shared" si="134"/>
        <v>TRECHO - 111</v>
      </c>
      <c r="AG107" s="383" t="str">
        <f>AG17</f>
        <v>TRECHO - 112</v>
      </c>
      <c r="AH107" s="395"/>
      <c r="AI107" s="383"/>
    </row>
    <row r="108" spans="1:35" ht="13.9" customHeight="1" x14ac:dyDescent="0.3">
      <c r="A108" s="1101"/>
      <c r="B108" s="1072" t="s">
        <v>912</v>
      </c>
      <c r="C108" s="1072"/>
      <c r="D108" s="1072"/>
      <c r="E108" s="1072"/>
      <c r="F108" s="1072"/>
      <c r="G108" s="414">
        <f>IF(G28&lt;=1.5,COUNTIFS(BANCO_DRENAGEM!$S:$S,G18,BANCO_DRENAGEM!$R:$R,G19,BANCO_DRENAGEM!$L:$L,G17,BANCO_DRENAGEM!$AA:$AA,"PV"),0)</f>
        <v>0</v>
      </c>
      <c r="H108" s="414">
        <f>IF(H28&lt;=1.5,COUNTIFS(BANCO_DRENAGEM!$S:$S,H18,BANCO_DRENAGEM!$R:$R,H19,BANCO_DRENAGEM!$L:$L,H17,BANCO_DRENAGEM!$AA:$AA,"PV"),0)</f>
        <v>0</v>
      </c>
      <c r="I108" s="414">
        <f>IF(I28&lt;=1.5,COUNTIFS(BANCO_DRENAGEM!$S:$S,I18,BANCO_DRENAGEM!$R:$R,I19,BANCO_DRENAGEM!$L:$L,I17,BANCO_DRENAGEM!$AA:$AA,"PV"),0)</f>
        <v>0</v>
      </c>
      <c r="J108" s="414">
        <f>IF(J28&lt;=1.5,COUNTIFS(BANCO_DRENAGEM!$S:$S,J18,BANCO_DRENAGEM!$R:$R,J19,BANCO_DRENAGEM!$L:$L,J17,BANCO_DRENAGEM!$AA:$AA,"PV"),0)</f>
        <v>0</v>
      </c>
      <c r="K108" s="414">
        <f>IF(K28&lt;=1.5,COUNTIFS(BANCO_DRENAGEM!$S:$S,K18,BANCO_DRENAGEM!$R:$R,K19,BANCO_DRENAGEM!$L:$L,K17,BANCO_DRENAGEM!$AA:$AA,"PV"),0)</f>
        <v>0</v>
      </c>
      <c r="L108" s="414">
        <f>IF(L28&lt;=1.5,COUNTIFS(BANCO_DRENAGEM!$S:$S,L18,BANCO_DRENAGEM!$R:$R,L19,BANCO_DRENAGEM!$L:$L,L17,BANCO_DRENAGEM!$AA:$AA,"PV"),0)</f>
        <v>0</v>
      </c>
      <c r="M108" s="414">
        <f>IF(M28&lt;=1.5,COUNTIFS(BANCO_DRENAGEM!$S:$S,M18,BANCO_DRENAGEM!$R:$R,M19,BANCO_DRENAGEM!$L:$L,M17,BANCO_DRENAGEM!$AA:$AA,"PV"),0)</f>
        <v>0</v>
      </c>
      <c r="N108" s="414">
        <f>IF(N28&lt;=1.5,COUNTIFS(BANCO_DRENAGEM!$S:$S,N18,BANCO_DRENAGEM!$R:$R,N19,BANCO_DRENAGEM!$L:$L,N17,BANCO_DRENAGEM!$AA:$AA,"PV"),0)</f>
        <v>0</v>
      </c>
      <c r="O108" s="414">
        <f>IF(O28&lt;=1.5,COUNTIFS(BANCO_DRENAGEM!$S:$S,O18,BANCO_DRENAGEM!$R:$R,O19,BANCO_DRENAGEM!$L:$L,O17,BANCO_DRENAGEM!$AA:$AA,"PV"),0)</f>
        <v>0</v>
      </c>
      <c r="P108" s="414">
        <f>IF(P28&lt;=1.5,COUNTIFS(BANCO_DRENAGEM!$S:$S,P18,BANCO_DRENAGEM!$R:$R,P19,BANCO_DRENAGEM!$L:$L,P17,BANCO_DRENAGEM!$AA:$AA,"PV"),0)</f>
        <v>0</v>
      </c>
      <c r="Q108" s="414">
        <f>IF(Q28&lt;=1.5,COUNTIFS(BANCO_DRENAGEM!$S:$S,Q18,BANCO_DRENAGEM!$R:$R,Q19,BANCO_DRENAGEM!$L:$L,Q17,BANCO_DRENAGEM!$AA:$AA,"PV"),0)</f>
        <v>0</v>
      </c>
      <c r="R108" s="414">
        <f>IF(R28&lt;=1.5,COUNTIFS(BANCO_DRENAGEM!$S:$S,R18,BANCO_DRENAGEM!$R:$R,R19,BANCO_DRENAGEM!$L:$L,R17,BANCO_DRENAGEM!$AA:$AA,"PV"),0)</f>
        <v>0</v>
      </c>
      <c r="S108" s="414">
        <f>IF(S28&lt;=1.5,COUNTIFS(BANCO_DRENAGEM!$S:$S,S18,BANCO_DRENAGEM!$R:$R,S19,BANCO_DRENAGEM!$L:$L,S17,BANCO_DRENAGEM!$AA:$AA,"PV"),0)</f>
        <v>0</v>
      </c>
      <c r="T108" s="414">
        <f>IF(T28&lt;=1.5,COUNTIFS(BANCO_DRENAGEM!$S:$S,T18,BANCO_DRENAGEM!$R:$R,T19,BANCO_DRENAGEM!$L:$L,T17,BANCO_DRENAGEM!$AA:$AA,"PV"),0)</f>
        <v>0</v>
      </c>
      <c r="U108" s="414">
        <f>IF(U28&lt;=1.5,COUNTIFS(BANCO_DRENAGEM!$S:$S,U18,BANCO_DRENAGEM!$R:$R,U19,BANCO_DRENAGEM!$L:$L,U17,BANCO_DRENAGEM!$AA:$AA,"PV"),0)</f>
        <v>1</v>
      </c>
      <c r="V108" s="414">
        <f>IF(V28&lt;=1.5,COUNTIFS(BANCO_DRENAGEM!$S:$S,V18,BANCO_DRENAGEM!$R:$R,V19,BANCO_DRENAGEM!$L:$L,V17,BANCO_DRENAGEM!$AA:$AA,"PV"),0)</f>
        <v>0</v>
      </c>
      <c r="W108" s="414">
        <f>IF(W28&lt;=1.5,COUNTIFS(BANCO_DRENAGEM!$S:$S,W18,BANCO_DRENAGEM!$R:$R,W19,BANCO_DRENAGEM!$L:$L,W17,BANCO_DRENAGEM!$AA:$AA,"PV"),0)</f>
        <v>0</v>
      </c>
      <c r="X108" s="414">
        <f>IF(X28&lt;=1.5,COUNTIFS(BANCO_DRENAGEM!$S:$S,X18,BANCO_DRENAGEM!$R:$R,X19,BANCO_DRENAGEM!$L:$L,X17,BANCO_DRENAGEM!$AA:$AA,"PV"),0)</f>
        <v>0</v>
      </c>
      <c r="Y108" s="414">
        <f>IF(Y28&lt;=1.5,COUNTIFS(BANCO_DRENAGEM!$S:$S,Y18,BANCO_DRENAGEM!$R:$R,Y19,BANCO_DRENAGEM!$L:$L,Y17,BANCO_DRENAGEM!$AA:$AA,"PV"),0)</f>
        <v>0</v>
      </c>
      <c r="Z108" s="414">
        <f>IF(Z28&lt;=1.5,COUNTIFS(BANCO_DRENAGEM!$S:$S,Z18,BANCO_DRENAGEM!$R:$R,Z19,BANCO_DRENAGEM!$L:$L,Z17,BANCO_DRENAGEM!$AA:$AA,"PV"),0)</f>
        <v>0</v>
      </c>
      <c r="AA108" s="414">
        <f>IF(AA28&lt;=1.5,COUNTIFS(BANCO_DRENAGEM!$S:$S,AA18,BANCO_DRENAGEM!$R:$R,AA19,BANCO_DRENAGEM!$L:$L,AA17,BANCO_DRENAGEM!$AA:$AA,"PV"),0)</f>
        <v>0</v>
      </c>
      <c r="AB108" s="414">
        <f>IF(AB28&lt;=1.5,COUNTIFS(BANCO_DRENAGEM!$S:$S,AB18,BANCO_DRENAGEM!$R:$R,AB19,BANCO_DRENAGEM!$L:$L,AB17,BANCO_DRENAGEM!$AA:$AA,"PV"),0)</f>
        <v>0</v>
      </c>
      <c r="AC108" s="414">
        <f>IF(AC28&lt;=1.5,COUNTIFS(BANCO_DRENAGEM!$S:$S,AC18,BANCO_DRENAGEM!$R:$R,AC19,BANCO_DRENAGEM!$L:$L,AC17,BANCO_DRENAGEM!$AA:$AA,"PV"),0)</f>
        <v>0</v>
      </c>
      <c r="AD108" s="414">
        <f>IF(AD28&lt;=1.5,COUNTIFS(BANCO_DRENAGEM!$S:$S,AD18,BANCO_DRENAGEM!$R:$R,AD19,BANCO_DRENAGEM!$L:$L,AD17,BANCO_DRENAGEM!$AA:$AA,"PV"),0)</f>
        <v>0</v>
      </c>
      <c r="AE108" s="414">
        <f>IF(AE28&lt;=1.5,COUNTIFS(BANCO_DRENAGEM!$S:$S,AE18,BANCO_DRENAGEM!$R:$R,AE19,BANCO_DRENAGEM!$L:$L,AE17,BANCO_DRENAGEM!$AA:$AA,"PV"),0)</f>
        <v>0</v>
      </c>
      <c r="AF108" s="414">
        <f>IF(AF28&lt;=1.5,COUNTIFS(BANCO_DRENAGEM!$S:$S,AF18,BANCO_DRENAGEM!$R:$R,AF19,BANCO_DRENAGEM!$L:$L,AF17,BANCO_DRENAGEM!$AA:$AA,"PV"),0)</f>
        <v>0</v>
      </c>
      <c r="AG108" s="414">
        <f>IF(AG28&lt;=1.5,COUNTIFS(BANCO_DRENAGEM!$S:$S,AG18,BANCO_DRENAGEM!$R:$R,AG19,BANCO_DRENAGEM!$L:$L,AG17,BANCO_DRENAGEM!$AA:$AA,"PV"),0)</f>
        <v>0</v>
      </c>
      <c r="AH108" s="398"/>
      <c r="AI108" s="396">
        <f t="shared" ref="AI108:AI131" si="135">TRUNC(SUM(G108:AH108),2)</f>
        <v>1</v>
      </c>
    </row>
    <row r="109" spans="1:35" ht="13.9" customHeight="1" x14ac:dyDescent="0.3">
      <c r="A109" s="1101"/>
      <c r="B109" s="1072" t="s">
        <v>1266</v>
      </c>
      <c r="C109" s="1072"/>
      <c r="D109" s="1072"/>
      <c r="E109" s="1072"/>
      <c r="F109" s="1072"/>
      <c r="G109" s="414">
        <f>IF(AND(G28&gt;1.5,G28&lt;=2),COUNTIFS(BANCO_DRENAGEM!$S:$S,G18,BANCO_DRENAGEM!$R:$R,G19,BANCO_DRENAGEM!$L:$L,G17,BANCO_DRENAGEM!$AA:$AA,"PV"),0)</f>
        <v>0</v>
      </c>
      <c r="H109" s="414">
        <f>IF(AND(H28&gt;1.5,H28&lt;=2),COUNTIFS(BANCO_DRENAGEM!$S:$S,H18,BANCO_DRENAGEM!$R:$R,H19,BANCO_DRENAGEM!$L:$L,H17,BANCO_DRENAGEM!$AA:$AA,"PV"),0)</f>
        <v>0</v>
      </c>
      <c r="I109" s="414">
        <f>IF(AND(I28&gt;1.5,I28&lt;=2),COUNTIFS(BANCO_DRENAGEM!$S:$S,I18,BANCO_DRENAGEM!$R:$R,I19,BANCO_DRENAGEM!$L:$L,I17,BANCO_DRENAGEM!$AA:$AA,"PV"),0)</f>
        <v>0</v>
      </c>
      <c r="J109" s="414">
        <f>IF(AND(J28&gt;1.5,J28&lt;=2),COUNTIFS(BANCO_DRENAGEM!$S:$S,J18,BANCO_DRENAGEM!$R:$R,J19,BANCO_DRENAGEM!$L:$L,J17,BANCO_DRENAGEM!$AA:$AA,"PV"),0)</f>
        <v>0</v>
      </c>
      <c r="K109" s="414">
        <f>IF(AND(K28&gt;1.5,K28&lt;=2),COUNTIFS(BANCO_DRENAGEM!$S:$S,K18,BANCO_DRENAGEM!$R:$R,K19,BANCO_DRENAGEM!$L:$L,K17,BANCO_DRENAGEM!$AA:$AA,"PV"),0)</f>
        <v>0</v>
      </c>
      <c r="L109" s="414">
        <f>IF(AND(L28&gt;1.5,L28&lt;=2),COUNTIFS(BANCO_DRENAGEM!$S:$S,L18,BANCO_DRENAGEM!$R:$R,L19,BANCO_DRENAGEM!$L:$L,L17,BANCO_DRENAGEM!$AA:$AA,"PV"),0)</f>
        <v>0</v>
      </c>
      <c r="M109" s="414">
        <f>IF(AND(M28&gt;1.5,M28&lt;=2),COUNTIFS(BANCO_DRENAGEM!$S:$S,M18,BANCO_DRENAGEM!$R:$R,M19,BANCO_DRENAGEM!$L:$L,M17,BANCO_DRENAGEM!$AA:$AA,"PV"),0)</f>
        <v>0</v>
      </c>
      <c r="N109" s="414">
        <f>IF(AND(N28&gt;1.5,N28&lt;=2),COUNTIFS(BANCO_DRENAGEM!$S:$S,N18,BANCO_DRENAGEM!$R:$R,N19,BANCO_DRENAGEM!$L:$L,N17,BANCO_DRENAGEM!$AA:$AA,"PV"),0)</f>
        <v>1</v>
      </c>
      <c r="O109" s="414">
        <f>IF(AND(O28&gt;1.5,O28&lt;=2),COUNTIFS(BANCO_DRENAGEM!$S:$S,O18,BANCO_DRENAGEM!$R:$R,O19,BANCO_DRENAGEM!$L:$L,O17,BANCO_DRENAGEM!$AA:$AA,"PV"),0)</f>
        <v>1</v>
      </c>
      <c r="P109" s="414">
        <f>IF(AND(P28&gt;1.5,P28&lt;=2),COUNTIFS(BANCO_DRENAGEM!$S:$S,P18,BANCO_DRENAGEM!$R:$R,P19,BANCO_DRENAGEM!$L:$L,P17,BANCO_DRENAGEM!$AA:$AA,"PV"),0)</f>
        <v>0</v>
      </c>
      <c r="Q109" s="414">
        <f>IF(AND(Q28&gt;1.5,Q28&lt;=2),COUNTIFS(BANCO_DRENAGEM!$S:$S,Q18,BANCO_DRENAGEM!$R:$R,Q19,BANCO_DRENAGEM!$L:$L,Q17,BANCO_DRENAGEM!$AA:$AA,"PV"),0)</f>
        <v>0</v>
      </c>
      <c r="R109" s="414">
        <f>IF(AND(R28&gt;1.5,R28&lt;=2),COUNTIFS(BANCO_DRENAGEM!$S:$S,R18,BANCO_DRENAGEM!$R:$R,R19,BANCO_DRENAGEM!$L:$L,R17,BANCO_DRENAGEM!$AA:$AA,"PV"),0)</f>
        <v>0</v>
      </c>
      <c r="S109" s="414">
        <f>IF(AND(S28&gt;1.5,S28&lt;=2),COUNTIFS(BANCO_DRENAGEM!$S:$S,S18,BANCO_DRENAGEM!$R:$R,S19,BANCO_DRENAGEM!$L:$L,S17,BANCO_DRENAGEM!$AA:$AA,"PV"),0)</f>
        <v>0</v>
      </c>
      <c r="T109" s="414">
        <f>IF(AND(T28&gt;1.5,T28&lt;=2),COUNTIFS(BANCO_DRENAGEM!$S:$S,T18,BANCO_DRENAGEM!$R:$R,T19,BANCO_DRENAGEM!$L:$L,T17,BANCO_DRENAGEM!$AA:$AA,"PV"),0)</f>
        <v>0</v>
      </c>
      <c r="U109" s="414">
        <f>IF(AND(U28&gt;1.5,U28&lt;=2),COUNTIFS(BANCO_DRENAGEM!$S:$S,U18,BANCO_DRENAGEM!$R:$R,U19,BANCO_DRENAGEM!$L:$L,U17,BANCO_DRENAGEM!$AA:$AA,"PV"),0)</f>
        <v>0</v>
      </c>
      <c r="V109" s="414">
        <f>IF(AND(V28&gt;1.5,V28&lt;=2),COUNTIFS(BANCO_DRENAGEM!$S:$S,V18,BANCO_DRENAGEM!$R:$R,V19,BANCO_DRENAGEM!$L:$L,V17,BANCO_DRENAGEM!$AA:$AA,"PV"),0)</f>
        <v>1</v>
      </c>
      <c r="W109" s="414">
        <f>IF(AND(W28&gt;1.5,W28&lt;=2),COUNTIFS(BANCO_DRENAGEM!$S:$S,W18,BANCO_DRENAGEM!$R:$R,W19,BANCO_DRENAGEM!$L:$L,W17,BANCO_DRENAGEM!$AA:$AA,"PV"),0)</f>
        <v>0</v>
      </c>
      <c r="X109" s="414">
        <f>IF(AND(X28&gt;1.5,X28&lt;=2),COUNTIFS(BANCO_DRENAGEM!$S:$S,X18,BANCO_DRENAGEM!$R:$R,X19,BANCO_DRENAGEM!$L:$L,X17,BANCO_DRENAGEM!$AA:$AA,"PV"),0)</f>
        <v>0</v>
      </c>
      <c r="Y109" s="414">
        <f>IF(AND(Y28&gt;1.5,Y28&lt;=2),COUNTIFS(BANCO_DRENAGEM!$S:$S,Y18,BANCO_DRENAGEM!$R:$R,Y19,BANCO_DRENAGEM!$L:$L,Y17,BANCO_DRENAGEM!$AA:$AA,"PV"),0)</f>
        <v>0</v>
      </c>
      <c r="Z109" s="414">
        <f>IF(AND(Z28&gt;1.5,Z28&lt;=2),COUNTIFS(BANCO_DRENAGEM!$S:$S,Z18,BANCO_DRENAGEM!$R:$R,Z19,BANCO_DRENAGEM!$L:$L,Z17,BANCO_DRENAGEM!$AA:$AA,"PV"),0)</f>
        <v>0</v>
      </c>
      <c r="AA109" s="414">
        <f>IF(AND(AA28&gt;1.5,AA28&lt;=2),COUNTIFS(BANCO_DRENAGEM!$S:$S,AA18,BANCO_DRENAGEM!$R:$R,AA19,BANCO_DRENAGEM!$L:$L,AA17,BANCO_DRENAGEM!$AA:$AA,"PV"),0)</f>
        <v>0</v>
      </c>
      <c r="AB109" s="414">
        <f>IF(AND(AB28&gt;1.5,AB28&lt;=2),COUNTIFS(BANCO_DRENAGEM!$S:$S,AB18,BANCO_DRENAGEM!$R:$R,AB19,BANCO_DRENAGEM!$L:$L,AB17,BANCO_DRENAGEM!$AA:$AA,"PV"),0)</f>
        <v>0</v>
      </c>
      <c r="AC109" s="414">
        <f>IF(AND(AC28&gt;1.5,AC28&lt;=2),COUNTIFS(BANCO_DRENAGEM!$S:$S,AC18,BANCO_DRENAGEM!$R:$R,AC19,BANCO_DRENAGEM!$L:$L,AC17,BANCO_DRENAGEM!$AA:$AA,"PV"),0)</f>
        <v>0</v>
      </c>
      <c r="AD109" s="414">
        <f>IF(AND(AD28&gt;1.5,AD28&lt;=2),COUNTIFS(BANCO_DRENAGEM!$S:$S,AD18,BANCO_DRENAGEM!$R:$R,AD19,BANCO_DRENAGEM!$L:$L,AD17,BANCO_DRENAGEM!$AA:$AA,"PV"),0)</f>
        <v>0</v>
      </c>
      <c r="AE109" s="414">
        <f>IF(AND(AE28&gt;1.5,AE28&lt;=2),COUNTIFS(BANCO_DRENAGEM!$S:$S,AE18,BANCO_DRENAGEM!$R:$R,AE19,BANCO_DRENAGEM!$L:$L,AE17,BANCO_DRENAGEM!$AA:$AA,"PV"),0)</f>
        <v>0</v>
      </c>
      <c r="AF109" s="414">
        <f>IF(AND(AF28&gt;1.5,AF28&lt;=2),COUNTIFS(BANCO_DRENAGEM!$S:$S,AF18,BANCO_DRENAGEM!$R:$R,AF19,BANCO_DRENAGEM!$L:$L,AF17,BANCO_DRENAGEM!$AA:$AA,"PV"),0)</f>
        <v>1</v>
      </c>
      <c r="AG109" s="414">
        <f>IF(AND(AG28&gt;1.5,AG28&lt;=2),COUNTIFS(BANCO_DRENAGEM!$S:$S,AG18,BANCO_DRENAGEM!$R:$R,AG19,BANCO_DRENAGEM!$L:$L,AG17,BANCO_DRENAGEM!$AA:$AA,"PV"),0)</f>
        <v>0</v>
      </c>
      <c r="AH109" s="398"/>
      <c r="AI109" s="396">
        <f t="shared" si="135"/>
        <v>4</v>
      </c>
    </row>
    <row r="110" spans="1:35" ht="13.9" customHeight="1" x14ac:dyDescent="0.3">
      <c r="A110" s="1101"/>
      <c r="B110" s="1072" t="s">
        <v>1267</v>
      </c>
      <c r="C110" s="1072"/>
      <c r="D110" s="1072"/>
      <c r="E110" s="1072"/>
      <c r="F110" s="1072"/>
      <c r="G110" s="414">
        <f>IF(AND(G28&gt;2,G28&lt;=2.5),COUNTIFS(BANCO_DRENAGEM!$S:$S,G18,BANCO_DRENAGEM!$R:$R,G19,BANCO_DRENAGEM!$L:$L,G17,BANCO_DRENAGEM!$AA:$AA,"PV"),0)</f>
        <v>0</v>
      </c>
      <c r="H110" s="414">
        <f>IF(AND(H28&gt;2,H28&lt;=2.5),COUNTIFS(BANCO_DRENAGEM!$S:$S,H18,BANCO_DRENAGEM!$R:$R,H19,BANCO_DRENAGEM!$L:$L,H17,BANCO_DRENAGEM!$AA:$AA,"PV"),0)</f>
        <v>1</v>
      </c>
      <c r="I110" s="414">
        <f>IF(AND(I28&gt;2,I28&lt;=2.5),COUNTIFS(BANCO_DRENAGEM!$S:$S,I18,BANCO_DRENAGEM!$R:$R,I19,BANCO_DRENAGEM!$L:$L,I17,BANCO_DRENAGEM!$AA:$AA,"PV"),0)</f>
        <v>0</v>
      </c>
      <c r="J110" s="414">
        <f>IF(AND(J28&gt;2,J28&lt;=2.5),COUNTIFS(BANCO_DRENAGEM!$S:$S,J18,BANCO_DRENAGEM!$R:$R,J19,BANCO_DRENAGEM!$L:$L,J17,BANCO_DRENAGEM!$AA:$AA,"PV"),0)</f>
        <v>1</v>
      </c>
      <c r="K110" s="414">
        <f>IF(AND(K28&gt;2,K28&lt;=2.5),COUNTIFS(BANCO_DRENAGEM!$S:$S,K18,BANCO_DRENAGEM!$R:$R,K19,BANCO_DRENAGEM!$L:$L,K17,BANCO_DRENAGEM!$AA:$AA,"PV"),0)</f>
        <v>0</v>
      </c>
      <c r="L110" s="414">
        <f>IF(AND(L28&gt;2,L28&lt;=2.5),COUNTIFS(BANCO_DRENAGEM!$S:$S,L18,BANCO_DRENAGEM!$R:$R,L19,BANCO_DRENAGEM!$L:$L,L17,BANCO_DRENAGEM!$AA:$AA,"PV"),0)</f>
        <v>0</v>
      </c>
      <c r="M110" s="414">
        <f>IF(AND(M28&gt;2,M28&lt;=2.5),COUNTIFS(BANCO_DRENAGEM!$S:$S,M18,BANCO_DRENAGEM!$R:$R,M19,BANCO_DRENAGEM!$L:$L,M17,BANCO_DRENAGEM!$AA:$AA,"PV"),0)</f>
        <v>1</v>
      </c>
      <c r="N110" s="414">
        <f>IF(AND(N28&gt;2,N28&lt;=2.5),COUNTIFS(BANCO_DRENAGEM!$S:$S,N18,BANCO_DRENAGEM!$R:$R,N19,BANCO_DRENAGEM!$L:$L,N17,BANCO_DRENAGEM!$AA:$AA,"PV"),0)</f>
        <v>0</v>
      </c>
      <c r="O110" s="414">
        <f>IF(AND(O28&gt;2,O28&lt;=2.5),COUNTIFS(BANCO_DRENAGEM!$S:$S,O18,BANCO_DRENAGEM!$R:$R,O19,BANCO_DRENAGEM!$L:$L,O17,BANCO_DRENAGEM!$AA:$AA,"PV"),0)</f>
        <v>0</v>
      </c>
      <c r="P110" s="414">
        <f>IF(AND(P28&gt;2,P28&lt;=2.5),COUNTIFS(BANCO_DRENAGEM!$S:$S,P18,BANCO_DRENAGEM!$R:$R,P19,BANCO_DRENAGEM!$L:$L,P17,BANCO_DRENAGEM!$AA:$AA,"PV"),0)</f>
        <v>0</v>
      </c>
      <c r="Q110" s="414">
        <f>IF(AND(Q28&gt;2,Q28&lt;=2.5),COUNTIFS(BANCO_DRENAGEM!$S:$S,Q18,BANCO_DRENAGEM!$R:$R,Q19,BANCO_DRENAGEM!$L:$L,Q17,BANCO_DRENAGEM!$AA:$AA,"PV"),0)</f>
        <v>0</v>
      </c>
      <c r="R110" s="414">
        <f>IF(AND(R28&gt;2,R28&lt;=2.5),COUNTIFS(BANCO_DRENAGEM!$S:$S,R18,BANCO_DRENAGEM!$R:$R,R19,BANCO_DRENAGEM!$L:$L,R17,BANCO_DRENAGEM!$AA:$AA,"PV"),0)</f>
        <v>0</v>
      </c>
      <c r="S110" s="414">
        <f>IF(AND(S28&gt;2,S28&lt;=2.5),COUNTIFS(BANCO_DRENAGEM!$S:$S,S18,BANCO_DRENAGEM!$R:$R,S19,BANCO_DRENAGEM!$L:$L,S17,BANCO_DRENAGEM!$AA:$AA,"PV"),0)</f>
        <v>0</v>
      </c>
      <c r="T110" s="414">
        <f>IF(AND(T28&gt;2,T28&lt;=2.5),COUNTIFS(BANCO_DRENAGEM!$S:$S,T18,BANCO_DRENAGEM!$R:$R,T19,BANCO_DRENAGEM!$L:$L,T17,BANCO_DRENAGEM!$AA:$AA,"PV"),0)</f>
        <v>0</v>
      </c>
      <c r="U110" s="414">
        <f>IF(AND(U28&gt;2,U28&lt;=2.5),COUNTIFS(BANCO_DRENAGEM!$S:$S,U18,BANCO_DRENAGEM!$R:$R,U19,BANCO_DRENAGEM!$L:$L,U17,BANCO_DRENAGEM!$AA:$AA,"PV"),0)</f>
        <v>0</v>
      </c>
      <c r="V110" s="414">
        <f>IF(AND(V28&gt;2,V28&lt;=2.5),COUNTIFS(BANCO_DRENAGEM!$S:$S,V18,BANCO_DRENAGEM!$R:$R,V19,BANCO_DRENAGEM!$L:$L,V17,BANCO_DRENAGEM!$AA:$AA,"PV"),0)</f>
        <v>0</v>
      </c>
      <c r="W110" s="414">
        <f>IF(AND(W28&gt;2,W28&lt;=2.5),COUNTIFS(BANCO_DRENAGEM!$S:$S,W18,BANCO_DRENAGEM!$R:$R,W19,BANCO_DRENAGEM!$L:$L,W17,BANCO_DRENAGEM!$AA:$AA,"PV"),0)</f>
        <v>1</v>
      </c>
      <c r="X110" s="414">
        <f>IF(AND(X28&gt;2,X28&lt;=2.5),COUNTIFS(BANCO_DRENAGEM!$S:$S,X18,BANCO_DRENAGEM!$R:$R,X19,BANCO_DRENAGEM!$L:$L,X17,BANCO_DRENAGEM!$AA:$AA,"PV"),0)</f>
        <v>1</v>
      </c>
      <c r="Y110" s="414">
        <f>IF(AND(Y28&gt;2,Y28&lt;=2.5),COUNTIFS(BANCO_DRENAGEM!$S:$S,Y18,BANCO_DRENAGEM!$R:$R,Y19,BANCO_DRENAGEM!$L:$L,Y17,BANCO_DRENAGEM!$AA:$AA,"PV"),0)</f>
        <v>1</v>
      </c>
      <c r="Z110" s="414">
        <f>IF(AND(Z28&gt;2,Z28&lt;=2.5),COUNTIFS(BANCO_DRENAGEM!$S:$S,Z18,BANCO_DRENAGEM!$R:$R,Z19,BANCO_DRENAGEM!$L:$L,Z17,BANCO_DRENAGEM!$AA:$AA,"PV"),0)</f>
        <v>1</v>
      </c>
      <c r="AA110" s="414">
        <f>IF(AND(AA28&gt;2,AA28&lt;=2.5),COUNTIFS(BANCO_DRENAGEM!$S:$S,AA18,BANCO_DRENAGEM!$R:$R,AA19,BANCO_DRENAGEM!$L:$L,AA17,BANCO_DRENAGEM!$AA:$AA,"PV"),0)</f>
        <v>1</v>
      </c>
      <c r="AB110" s="414">
        <f>IF(AND(AB28&gt;2,AB28&lt;=2.5),COUNTIFS(BANCO_DRENAGEM!$S:$S,AB18,BANCO_DRENAGEM!$R:$R,AB19,BANCO_DRENAGEM!$L:$L,AB17,BANCO_DRENAGEM!$AA:$AA,"PV"),0)</f>
        <v>1</v>
      </c>
      <c r="AC110" s="414">
        <f>IF(AND(AC28&gt;2,AC28&lt;=2.5),COUNTIFS(BANCO_DRENAGEM!$S:$S,AC18,BANCO_DRENAGEM!$R:$R,AC19,BANCO_DRENAGEM!$L:$L,AC17,BANCO_DRENAGEM!$AA:$AA,"PV"),0)</f>
        <v>1</v>
      </c>
      <c r="AD110" s="414">
        <f>IF(AND(AD28&gt;2,AD28&lt;=2.5),COUNTIFS(BANCO_DRENAGEM!$S:$S,AD18,BANCO_DRENAGEM!$R:$R,AD19,BANCO_DRENAGEM!$L:$L,AD17,BANCO_DRENAGEM!$AA:$AA,"PV"),0)</f>
        <v>0</v>
      </c>
      <c r="AE110" s="414">
        <f>IF(AND(AE28&gt;2,AE28&lt;=2.5),COUNTIFS(BANCO_DRENAGEM!$S:$S,AE18,BANCO_DRENAGEM!$R:$R,AE19,BANCO_DRENAGEM!$L:$L,AE17,BANCO_DRENAGEM!$AA:$AA,"PV"),0)</f>
        <v>1</v>
      </c>
      <c r="AF110" s="414">
        <f>IF(AND(AF28&gt;2,AF28&lt;=2.5),COUNTIFS(BANCO_DRENAGEM!$S:$S,AF18,BANCO_DRENAGEM!$R:$R,AF19,BANCO_DRENAGEM!$L:$L,AF17,BANCO_DRENAGEM!$AA:$AA,"PV"),0)</f>
        <v>0</v>
      </c>
      <c r="AG110" s="414">
        <f>IF(AND(AG28&gt;2,AG28&lt;=2.5),COUNTIFS(BANCO_DRENAGEM!$S:$S,AG18,BANCO_DRENAGEM!$R:$R,AG19,BANCO_DRENAGEM!$L:$L,AG17,BANCO_DRENAGEM!$AA:$AA,"PV"),0)</f>
        <v>1</v>
      </c>
      <c r="AH110" s="398"/>
      <c r="AI110" s="396">
        <f t="shared" si="135"/>
        <v>12</v>
      </c>
    </row>
    <row r="111" spans="1:35" ht="13.9" customHeight="1" x14ac:dyDescent="0.3">
      <c r="A111" s="1101"/>
      <c r="B111" s="1072" t="s">
        <v>1268</v>
      </c>
      <c r="C111" s="1072"/>
      <c r="D111" s="1072"/>
      <c r="E111" s="1072"/>
      <c r="F111" s="1072"/>
      <c r="G111" s="414">
        <f>IF(AND(G28&gt;2.5,G28&lt;=6),COUNTIFS(BANCO_DRENAGEM!$S:$S,G18,BANCO_DRENAGEM!$R:$R,G19,BANCO_DRENAGEM!$L:$L,G17,BANCO_DRENAGEM!$AA:$AA,"PV"),0)</f>
        <v>1</v>
      </c>
      <c r="H111" s="414">
        <f>IF(AND(H28&gt;2.5,H28&lt;=6),COUNTIFS(BANCO_DRENAGEM!$S:$S,H18,BANCO_DRENAGEM!$R:$R,H19,BANCO_DRENAGEM!$L:$L,H17,BANCO_DRENAGEM!$AA:$AA,"PV"),0)</f>
        <v>0</v>
      </c>
      <c r="I111" s="414">
        <f>IF(AND(I28&gt;2.5,I28&lt;=6),COUNTIFS(BANCO_DRENAGEM!$S:$S,I18,BANCO_DRENAGEM!$R:$R,I19,BANCO_DRENAGEM!$L:$L,I17,BANCO_DRENAGEM!$AA:$AA,"PV"),0)</f>
        <v>1</v>
      </c>
      <c r="J111" s="414">
        <f>IF(AND(J28&gt;2.5,J28&lt;=6),COUNTIFS(BANCO_DRENAGEM!$S:$S,J18,BANCO_DRENAGEM!$R:$R,J19,BANCO_DRENAGEM!$L:$L,J17,BANCO_DRENAGEM!$AA:$AA,"PV"),0)</f>
        <v>0</v>
      </c>
      <c r="K111" s="414">
        <f>IF(AND(K28&gt;2.5,K28&lt;=6),COUNTIFS(BANCO_DRENAGEM!$S:$S,K18,BANCO_DRENAGEM!$R:$R,K19,BANCO_DRENAGEM!$L:$L,K17,BANCO_DRENAGEM!$AA:$AA,"PV"),0)</f>
        <v>1</v>
      </c>
      <c r="L111" s="414">
        <f>IF(AND(L28&gt;2.5,L28&lt;=6),COUNTIFS(BANCO_DRENAGEM!$S:$S,L18,BANCO_DRENAGEM!$R:$R,L19,BANCO_DRENAGEM!$L:$L,L17,BANCO_DRENAGEM!$AA:$AA,"PV"),0)</f>
        <v>1</v>
      </c>
      <c r="M111" s="414">
        <f>IF(AND(M28&gt;2.5,M28&lt;=6),COUNTIFS(BANCO_DRENAGEM!$S:$S,M18,BANCO_DRENAGEM!$R:$R,M19,BANCO_DRENAGEM!$L:$L,M17,BANCO_DRENAGEM!$AA:$AA,"PV"),0)</f>
        <v>0</v>
      </c>
      <c r="N111" s="414">
        <f>IF(AND(N28&gt;2.5,N28&lt;=6),COUNTIFS(BANCO_DRENAGEM!$S:$S,N18,BANCO_DRENAGEM!$R:$R,N19,BANCO_DRENAGEM!$L:$L,N17,BANCO_DRENAGEM!$AA:$AA,"PV"),0)</f>
        <v>0</v>
      </c>
      <c r="O111" s="414">
        <f>IF(AND(O28&gt;2.5,O28&lt;=6),COUNTIFS(BANCO_DRENAGEM!$S:$S,O18,BANCO_DRENAGEM!$R:$R,O19,BANCO_DRENAGEM!$L:$L,O17,BANCO_DRENAGEM!$AA:$AA,"PV"),0)</f>
        <v>0</v>
      </c>
      <c r="P111" s="414">
        <f>IF(AND(P28&gt;2.5,P28&lt;=6),COUNTIFS(BANCO_DRENAGEM!$S:$S,P18,BANCO_DRENAGEM!$R:$R,P19,BANCO_DRENAGEM!$L:$L,P17,BANCO_DRENAGEM!$AA:$AA,"PV"),0)</f>
        <v>1</v>
      </c>
      <c r="Q111" s="414">
        <f>IF(AND(Q28&gt;2.5,Q28&lt;=6),COUNTIFS(BANCO_DRENAGEM!$S:$S,Q18,BANCO_DRENAGEM!$R:$R,Q19,BANCO_DRENAGEM!$L:$L,Q17,BANCO_DRENAGEM!$AA:$AA,"PV"),0)</f>
        <v>0</v>
      </c>
      <c r="R111" s="414">
        <f>IF(AND(R28&gt;2.5,R28&lt;=6),COUNTIFS(BANCO_DRENAGEM!$S:$S,R18,BANCO_DRENAGEM!$R:$R,R19,BANCO_DRENAGEM!$L:$L,R17,BANCO_DRENAGEM!$AA:$AA,"PV"),0)</f>
        <v>0</v>
      </c>
      <c r="S111" s="414">
        <f>IF(AND(S28&gt;2.5,S28&lt;=6),COUNTIFS(BANCO_DRENAGEM!$S:$S,S18,BANCO_DRENAGEM!$R:$R,S19,BANCO_DRENAGEM!$L:$L,S17,BANCO_DRENAGEM!$AA:$AA,"PV"),0)</f>
        <v>0</v>
      </c>
      <c r="T111" s="414">
        <f>IF(AND(T28&gt;2.5,T28&lt;=6),COUNTIFS(BANCO_DRENAGEM!$S:$S,T18,BANCO_DRENAGEM!$R:$R,T19,BANCO_DRENAGEM!$L:$L,T17,BANCO_DRENAGEM!$AA:$AA,"PV"),0)</f>
        <v>0</v>
      </c>
      <c r="U111" s="414">
        <f>IF(AND(U28&gt;2.5,U28&lt;=6),COUNTIFS(BANCO_DRENAGEM!$S:$S,U18,BANCO_DRENAGEM!$R:$R,U19,BANCO_DRENAGEM!$L:$L,U17,BANCO_DRENAGEM!$AA:$AA,"PV"),0)</f>
        <v>0</v>
      </c>
      <c r="V111" s="414">
        <f>IF(AND(V28&gt;2.5,V28&lt;=6),COUNTIFS(BANCO_DRENAGEM!$S:$S,V18,BANCO_DRENAGEM!$R:$R,V19,BANCO_DRENAGEM!$L:$L,V17,BANCO_DRENAGEM!$AA:$AA,"PV"),0)</f>
        <v>0</v>
      </c>
      <c r="W111" s="414">
        <f>IF(AND(W28&gt;2.5,W28&lt;=6),COUNTIFS(BANCO_DRENAGEM!$S:$S,W18,BANCO_DRENAGEM!$R:$R,W19,BANCO_DRENAGEM!$L:$L,W17,BANCO_DRENAGEM!$AA:$AA,"PV"),0)</f>
        <v>0</v>
      </c>
      <c r="X111" s="414">
        <f>IF(AND(X28&gt;2.5,X28&lt;=6),COUNTIFS(BANCO_DRENAGEM!$S:$S,X18,BANCO_DRENAGEM!$R:$R,X19,BANCO_DRENAGEM!$L:$L,X17,BANCO_DRENAGEM!$AA:$AA,"PV"),0)</f>
        <v>0</v>
      </c>
      <c r="Y111" s="414">
        <f>IF(AND(Y28&gt;2.5,Y28&lt;=6),COUNTIFS(BANCO_DRENAGEM!$S:$S,Y18,BANCO_DRENAGEM!$R:$R,Y19,BANCO_DRENAGEM!$L:$L,Y17,BANCO_DRENAGEM!$AA:$AA,"PV"),0)</f>
        <v>0</v>
      </c>
      <c r="Z111" s="414">
        <f>IF(AND(Z28&gt;2.5,Z28&lt;=6),COUNTIFS(BANCO_DRENAGEM!$S:$S,Z18,BANCO_DRENAGEM!$R:$R,Z19,BANCO_DRENAGEM!$L:$L,Z17,BANCO_DRENAGEM!$AA:$AA,"PV"),0)</f>
        <v>0</v>
      </c>
      <c r="AA111" s="414">
        <f>IF(AND(AA28&gt;2.5,AA28&lt;=6),COUNTIFS(BANCO_DRENAGEM!$S:$S,AA18,BANCO_DRENAGEM!$R:$R,AA19,BANCO_DRENAGEM!$L:$L,AA17,BANCO_DRENAGEM!$AA:$AA,"PV"),0)</f>
        <v>0</v>
      </c>
      <c r="AB111" s="414">
        <f>IF(AND(AB28&gt;2.5,AB28&lt;=6),COUNTIFS(BANCO_DRENAGEM!$S:$S,AB18,BANCO_DRENAGEM!$R:$R,AB19,BANCO_DRENAGEM!$L:$L,AB17,BANCO_DRENAGEM!$AA:$AA,"PV"),0)</f>
        <v>0</v>
      </c>
      <c r="AC111" s="414">
        <f>IF(AND(AC28&gt;2.5,AC28&lt;=6),COUNTIFS(BANCO_DRENAGEM!$S:$S,AC18,BANCO_DRENAGEM!$R:$R,AC19,BANCO_DRENAGEM!$L:$L,AC17,BANCO_DRENAGEM!$AA:$AA,"PV"),0)</f>
        <v>0</v>
      </c>
      <c r="AD111" s="414">
        <f>IF(AND(AD28&gt;2.5,AD28&lt;=6),COUNTIFS(BANCO_DRENAGEM!$S:$S,AD18,BANCO_DRENAGEM!$R:$R,AD19,BANCO_DRENAGEM!$L:$L,AD17,BANCO_DRENAGEM!$AA:$AA,"PV"),0)</f>
        <v>1</v>
      </c>
      <c r="AE111" s="414">
        <f>IF(AND(AE28&gt;2.5,AE28&lt;=6),COUNTIFS(BANCO_DRENAGEM!$S:$S,AE18,BANCO_DRENAGEM!$R:$R,AE19,BANCO_DRENAGEM!$L:$L,AE17,BANCO_DRENAGEM!$AA:$AA,"PV"),0)</f>
        <v>0</v>
      </c>
      <c r="AF111" s="414">
        <f>IF(AND(AF28&gt;2.5,AF28&lt;=6),COUNTIFS(BANCO_DRENAGEM!$S:$S,AF18,BANCO_DRENAGEM!$R:$R,AF19,BANCO_DRENAGEM!$L:$L,AF17,BANCO_DRENAGEM!$AA:$AA,"PV"),0)</f>
        <v>0</v>
      </c>
      <c r="AG111" s="414">
        <f>IF(AND(AG28&gt;2.5,AG28&lt;=6),COUNTIFS(BANCO_DRENAGEM!$S:$S,AG18,BANCO_DRENAGEM!$R:$R,AG19,BANCO_DRENAGEM!$L:$L,AG17,BANCO_DRENAGEM!$AA:$AA,"PV"),0)</f>
        <v>0</v>
      </c>
      <c r="AH111" s="398"/>
      <c r="AI111" s="396">
        <f t="shared" si="135"/>
        <v>6</v>
      </c>
    </row>
    <row r="112" spans="1:35" ht="13.9" customHeight="1" x14ac:dyDescent="0.3">
      <c r="A112" s="1101"/>
      <c r="B112" s="1072" t="s">
        <v>913</v>
      </c>
      <c r="C112" s="1072"/>
      <c r="D112" s="1072"/>
      <c r="E112" s="1072"/>
      <c r="F112" s="1072"/>
      <c r="G112" s="414">
        <f>COUNTIFS(BANCO_DRENAGEM!$S:$S,G18,BANCO_DRENAGEM!$R:$R,G19,BANCO_DRENAGEM!$L:$L,G17,BANCO_DRENAGEM!$AA:$AA,"CX")</f>
        <v>0</v>
      </c>
      <c r="H112" s="414">
        <f>COUNTIFS(BANCO_DRENAGEM!$S:$S,H18,BANCO_DRENAGEM!$R:$R,H19,BANCO_DRENAGEM!$L:$L,H17,BANCO_DRENAGEM!$AA:$AA,"CX")</f>
        <v>0</v>
      </c>
      <c r="I112" s="414">
        <f>COUNTIFS(BANCO_DRENAGEM!$S:$S,I18,BANCO_DRENAGEM!$R:$R,I19,BANCO_DRENAGEM!$L:$L,I17,BANCO_DRENAGEM!$AA:$AA,"CX")</f>
        <v>0</v>
      </c>
      <c r="J112" s="414">
        <f>COUNTIFS(BANCO_DRENAGEM!$S:$S,J18,BANCO_DRENAGEM!$R:$R,J19,BANCO_DRENAGEM!$L:$L,J17,BANCO_DRENAGEM!$AA:$AA,"CX")</f>
        <v>0</v>
      </c>
      <c r="K112" s="414">
        <f>COUNTIFS(BANCO_DRENAGEM!$S:$S,K18,BANCO_DRENAGEM!$R:$R,K19,BANCO_DRENAGEM!$L:$L,K17,BANCO_DRENAGEM!$AA:$AA,"CX")</f>
        <v>0</v>
      </c>
      <c r="L112" s="414">
        <f>COUNTIFS(BANCO_DRENAGEM!$S:$S,L18,BANCO_DRENAGEM!$R:$R,L19,BANCO_DRENAGEM!$L:$L,L17,BANCO_DRENAGEM!$AA:$AA,"CX")</f>
        <v>0</v>
      </c>
      <c r="M112" s="414">
        <f>COUNTIFS(BANCO_DRENAGEM!$S:$S,M18,BANCO_DRENAGEM!$R:$R,M19,BANCO_DRENAGEM!$L:$L,M17,BANCO_DRENAGEM!$AA:$AA,"CX")</f>
        <v>0</v>
      </c>
      <c r="N112" s="414">
        <f>COUNTIFS(BANCO_DRENAGEM!$S:$S,N18,BANCO_DRENAGEM!$R:$R,N19,BANCO_DRENAGEM!$L:$L,N17,BANCO_DRENAGEM!$AA:$AA,"CX")</f>
        <v>0</v>
      </c>
      <c r="O112" s="414">
        <f>COUNTIFS(BANCO_DRENAGEM!$S:$S,O18,BANCO_DRENAGEM!$R:$R,O19,BANCO_DRENAGEM!$L:$L,O17,BANCO_DRENAGEM!$AA:$AA,"CX")</f>
        <v>0</v>
      </c>
      <c r="P112" s="414">
        <f>COUNTIFS(BANCO_DRENAGEM!$S:$S,P18,BANCO_DRENAGEM!$R:$R,P19,BANCO_DRENAGEM!$L:$L,P17,BANCO_DRENAGEM!$AA:$AA,"CX")</f>
        <v>0</v>
      </c>
      <c r="Q112" s="414">
        <f>COUNTIFS(BANCO_DRENAGEM!$S:$S,Q18,BANCO_DRENAGEM!$R:$R,Q19,BANCO_DRENAGEM!$L:$L,Q17,BANCO_DRENAGEM!$AA:$AA,"CX")</f>
        <v>1</v>
      </c>
      <c r="R112" s="414">
        <f>COUNTIFS(BANCO_DRENAGEM!$S:$S,R18,BANCO_DRENAGEM!$R:$R,R19,BANCO_DRENAGEM!$L:$L,R17,BANCO_DRENAGEM!$AA:$AA,"CX")</f>
        <v>1</v>
      </c>
      <c r="S112" s="414">
        <f>COUNTIFS(BANCO_DRENAGEM!$S:$S,S18,BANCO_DRENAGEM!$R:$R,S19,BANCO_DRENAGEM!$L:$L,S17,BANCO_DRENAGEM!$AA:$AA,"CX")</f>
        <v>1</v>
      </c>
      <c r="T112" s="414">
        <f>COUNTIFS(BANCO_DRENAGEM!$S:$S,T18,BANCO_DRENAGEM!$R:$R,T19,BANCO_DRENAGEM!$L:$L,T17,BANCO_DRENAGEM!$AA:$AA,"CX")</f>
        <v>0</v>
      </c>
      <c r="U112" s="414">
        <f>COUNTIFS(BANCO_DRENAGEM!$S:$S,U18,BANCO_DRENAGEM!$R:$R,U19,BANCO_DRENAGEM!$L:$L,U17,BANCO_DRENAGEM!$AA:$AA,"CX")</f>
        <v>0</v>
      </c>
      <c r="V112" s="414">
        <f>COUNTIFS(BANCO_DRENAGEM!$S:$S,V18,BANCO_DRENAGEM!$R:$R,V19,BANCO_DRENAGEM!$L:$L,V17,BANCO_DRENAGEM!$AA:$AA,"CX")</f>
        <v>0</v>
      </c>
      <c r="W112" s="414">
        <f>COUNTIFS(BANCO_DRENAGEM!$S:$S,W18,BANCO_DRENAGEM!$R:$R,W19,BANCO_DRENAGEM!$L:$L,W17,BANCO_DRENAGEM!$AA:$AA,"CX")</f>
        <v>0</v>
      </c>
      <c r="X112" s="414">
        <f>COUNTIFS(BANCO_DRENAGEM!$S:$S,X18,BANCO_DRENAGEM!$R:$R,X19,BANCO_DRENAGEM!$L:$L,X17,BANCO_DRENAGEM!$AA:$AA,"CX")</f>
        <v>0</v>
      </c>
      <c r="Y112" s="414">
        <f>COUNTIFS(BANCO_DRENAGEM!$S:$S,Y18,BANCO_DRENAGEM!$R:$R,Y19,BANCO_DRENAGEM!$L:$L,Y17,BANCO_DRENAGEM!$AA:$AA,"CX")</f>
        <v>0</v>
      </c>
      <c r="Z112" s="414">
        <f>COUNTIFS(BANCO_DRENAGEM!$S:$S,Z18,BANCO_DRENAGEM!$R:$R,Z19,BANCO_DRENAGEM!$L:$L,Z17,BANCO_DRENAGEM!$AA:$AA,"CX")</f>
        <v>0</v>
      </c>
      <c r="AA112" s="414">
        <f>COUNTIFS(BANCO_DRENAGEM!$S:$S,AA18,BANCO_DRENAGEM!$R:$R,AA19,BANCO_DRENAGEM!$L:$L,AA17,BANCO_DRENAGEM!$AA:$AA,"CX")</f>
        <v>0</v>
      </c>
      <c r="AB112" s="414">
        <f>COUNTIFS(BANCO_DRENAGEM!$S:$S,AB18,BANCO_DRENAGEM!$R:$R,AB19,BANCO_DRENAGEM!$L:$L,AB17,BANCO_DRENAGEM!$AA:$AA,"CX")</f>
        <v>0</v>
      </c>
      <c r="AC112" s="414">
        <f>COUNTIFS(BANCO_DRENAGEM!$S:$S,AC18,BANCO_DRENAGEM!$R:$R,AC19,BANCO_DRENAGEM!$L:$L,AC17,BANCO_DRENAGEM!$AA:$AA,"CX")</f>
        <v>0</v>
      </c>
      <c r="AD112" s="414">
        <f>COUNTIFS(BANCO_DRENAGEM!$S:$S,AD18,BANCO_DRENAGEM!$R:$R,AD19,BANCO_DRENAGEM!$L:$L,AD17,BANCO_DRENAGEM!$AA:$AA,"CX")</f>
        <v>0</v>
      </c>
      <c r="AE112" s="414">
        <f>COUNTIFS(BANCO_DRENAGEM!$S:$S,AE18,BANCO_DRENAGEM!$R:$R,AE19,BANCO_DRENAGEM!$L:$L,AE17,BANCO_DRENAGEM!$AA:$AA,"CX")</f>
        <v>0</v>
      </c>
      <c r="AF112" s="414">
        <f>COUNTIFS(BANCO_DRENAGEM!$S:$S,AF18,BANCO_DRENAGEM!$R:$R,AF19,BANCO_DRENAGEM!$L:$L,AF17,BANCO_DRENAGEM!$AA:$AA,"CX")</f>
        <v>0</v>
      </c>
      <c r="AG112" s="414">
        <f>COUNTIFS(BANCO_DRENAGEM!$S:$S,AG18,BANCO_DRENAGEM!$R:$R,AG19,BANCO_DRENAGEM!$L:$L,AG17,BANCO_DRENAGEM!$AA:$AA,"CX")</f>
        <v>0</v>
      </c>
      <c r="AH112" s="398"/>
      <c r="AI112" s="396">
        <f t="shared" si="135"/>
        <v>3</v>
      </c>
    </row>
    <row r="113" spans="1:35" ht="13.9" customHeight="1" x14ac:dyDescent="0.3">
      <c r="A113" s="1101"/>
      <c r="B113" s="1024" t="s">
        <v>1521</v>
      </c>
      <c r="C113" s="1024"/>
      <c r="D113" s="1024"/>
      <c r="E113" s="1024"/>
      <c r="F113" s="1024"/>
      <c r="G113" s="414">
        <f>IF(G29&gt;=2,G29-2,0)</f>
        <v>0.76948714587143741</v>
      </c>
      <c r="H113" s="414">
        <f t="shared" ref="H113:AG113" si="136">IF(H29&gt;=2,H29-2,0)</f>
        <v>0.36080515305820882</v>
      </c>
      <c r="I113" s="414">
        <f t="shared" si="136"/>
        <v>1.3405981463396301</v>
      </c>
      <c r="J113" s="414">
        <f t="shared" si="136"/>
        <v>0.37557494480046216</v>
      </c>
      <c r="K113" s="414">
        <f t="shared" si="136"/>
        <v>0.89581511914730072</v>
      </c>
      <c r="L113" s="414">
        <f t="shared" si="136"/>
        <v>1.0719044940547064</v>
      </c>
      <c r="M113" s="414">
        <f t="shared" si="136"/>
        <v>4.5410606171856216E-2</v>
      </c>
      <c r="N113" s="414">
        <f t="shared" si="136"/>
        <v>0</v>
      </c>
      <c r="O113" s="414">
        <f t="shared" si="136"/>
        <v>0</v>
      </c>
      <c r="P113" s="414">
        <f t="shared" si="136"/>
        <v>0.55839351648461388</v>
      </c>
      <c r="Q113" s="414">
        <f t="shared" si="136"/>
        <v>0.21473849591797034</v>
      </c>
      <c r="R113" s="414">
        <f t="shared" si="136"/>
        <v>0.95912234225789916</v>
      </c>
      <c r="S113" s="414">
        <f t="shared" si="136"/>
        <v>3.6192723474187005E-2</v>
      </c>
      <c r="T113" s="414">
        <f t="shared" si="136"/>
        <v>0</v>
      </c>
      <c r="U113" s="414">
        <f t="shared" si="136"/>
        <v>0</v>
      </c>
      <c r="V113" s="414">
        <f t="shared" si="136"/>
        <v>0</v>
      </c>
      <c r="W113" s="414">
        <f t="shared" si="136"/>
        <v>0.17684281971128257</v>
      </c>
      <c r="X113" s="414">
        <f t="shared" si="136"/>
        <v>0.24127690993452688</v>
      </c>
      <c r="Y113" s="414">
        <f t="shared" si="136"/>
        <v>5.9999741986416666E-2</v>
      </c>
      <c r="Z113" s="414">
        <f t="shared" si="136"/>
        <v>0.14954219230480703</v>
      </c>
      <c r="AA113" s="414">
        <f t="shared" si="136"/>
        <v>0.14075999995696975</v>
      </c>
      <c r="AB113" s="414">
        <f t="shared" si="136"/>
        <v>5.9999741986416666E-2</v>
      </c>
      <c r="AC113" s="414">
        <f t="shared" si="136"/>
        <v>0.14921959185727474</v>
      </c>
      <c r="AD113" s="414">
        <f t="shared" si="136"/>
        <v>0.62449836577457063</v>
      </c>
      <c r="AE113" s="414">
        <f t="shared" si="136"/>
        <v>0.26296727090976901</v>
      </c>
      <c r="AF113" s="414">
        <f t="shared" si="136"/>
        <v>0</v>
      </c>
      <c r="AG113" s="414">
        <f t="shared" si="136"/>
        <v>8.6084696104649083E-3</v>
      </c>
      <c r="AH113" s="398"/>
      <c r="AI113" s="396">
        <f t="shared" si="135"/>
        <v>8.5</v>
      </c>
    </row>
    <row r="114" spans="1:35" ht="13.9" customHeight="1" x14ac:dyDescent="0.3">
      <c r="A114" s="1101"/>
      <c r="B114" s="1024" t="s">
        <v>45</v>
      </c>
      <c r="C114" s="1024"/>
      <c r="D114" s="1024"/>
      <c r="E114" s="1024"/>
      <c r="F114" s="1024"/>
      <c r="G114" s="415">
        <f t="shared" ref="G114:T114" si="137">IF(G25=0.6,G28-1.12,IF(G25=0.8,G28-1.32,IF(G25=1,G28-1.62,IF(G25=1.2,G28-1.82,IF(G25=1.5,G28-2.12,"")))))</f>
        <v>1.4494871458714373</v>
      </c>
      <c r="H114" s="415">
        <f t="shared" si="137"/>
        <v>1.0408051530582088</v>
      </c>
      <c r="I114" s="415">
        <f t="shared" si="137"/>
        <v>2.0205981463396299</v>
      </c>
      <c r="J114" s="415">
        <f t="shared" si="137"/>
        <v>1.0555749448004621</v>
      </c>
      <c r="K114" s="415">
        <f t="shared" si="137"/>
        <v>1.5758151191473007</v>
      </c>
      <c r="L114" s="415">
        <f t="shared" si="137"/>
        <v>1.7519044940547064</v>
      </c>
      <c r="M114" s="415">
        <f t="shared" si="137"/>
        <v>0.72541060617185615</v>
      </c>
      <c r="N114" s="415">
        <f t="shared" si="137"/>
        <v>0.40787810647855616</v>
      </c>
      <c r="O114" s="415">
        <f t="shared" si="137"/>
        <v>0.53374498110911639</v>
      </c>
      <c r="P114" s="415">
        <f t="shared" si="137"/>
        <v>1.2383935164846138</v>
      </c>
      <c r="Q114" s="415">
        <f t="shared" si="137"/>
        <v>1.0947384959179702</v>
      </c>
      <c r="R114" s="415">
        <f t="shared" si="137"/>
        <v>1.8391223422578991</v>
      </c>
      <c r="S114" s="415">
        <f t="shared" si="137"/>
        <v>0.9161927234741869</v>
      </c>
      <c r="T114" s="415">
        <f t="shared" si="137"/>
        <v>0.57999999999998852</v>
      </c>
      <c r="U114" s="415">
        <f t="shared" ref="U114:AF114" si="138">IF(U25=0.6,U28-1.12,IF(U25=0.8,U28-1.32,IF(U25=1,U28-1.62,IF(U25=1.2,U28-1.82,IF(U25=1.5,U28-2.12,"")))))</f>
        <v>0.27999999999997716</v>
      </c>
      <c r="V114" s="415">
        <f t="shared" si="138"/>
        <v>0.67269038673453441</v>
      </c>
      <c r="W114" s="415">
        <f t="shared" si="138"/>
        <v>1.0568428197112825</v>
      </c>
      <c r="X114" s="415">
        <f t="shared" si="138"/>
        <v>1.1212769099345268</v>
      </c>
      <c r="Y114" s="415">
        <f t="shared" si="138"/>
        <v>0.93999974198641656</v>
      </c>
      <c r="Z114" s="415">
        <f t="shared" si="138"/>
        <v>1.0295421923048069</v>
      </c>
      <c r="AA114" s="415">
        <f t="shared" si="138"/>
        <v>1.0207599999569696</v>
      </c>
      <c r="AB114" s="415">
        <f t="shared" si="138"/>
        <v>0.93999974198641656</v>
      </c>
      <c r="AC114" s="415">
        <f t="shared" si="138"/>
        <v>1.0292195918572746</v>
      </c>
      <c r="AD114" s="415">
        <f t="shared" si="138"/>
        <v>1.5044983657745705</v>
      </c>
      <c r="AE114" s="415">
        <f t="shared" si="138"/>
        <v>1.1429672709097689</v>
      </c>
      <c r="AF114" s="415">
        <f t="shared" si="138"/>
        <v>0.85616077078436081</v>
      </c>
      <c r="AG114" s="415">
        <f>IF(AG25=0.6,AG28-1.12,IF(AG25=0.8,AG28-1.32,IF(AG25=1,AG28-1.62,IF(AG25=1.2,AG28-1.82,IF(AG25=1.5,AG28-2.12,"")))))</f>
        <v>0.68860846961046485</v>
      </c>
      <c r="AH114" s="398"/>
      <c r="AI114" s="396">
        <f t="shared" si="135"/>
        <v>28.51</v>
      </c>
    </row>
    <row r="115" spans="1:35" ht="13.9" customHeight="1" x14ac:dyDescent="0.3">
      <c r="A115" s="1101"/>
      <c r="B115" s="1024" t="s">
        <v>46</v>
      </c>
      <c r="C115" s="1024"/>
      <c r="D115" s="1024"/>
      <c r="E115" s="1024"/>
      <c r="F115" s="1024"/>
      <c r="G115" s="415">
        <f>SUM(G108:G111)</f>
        <v>1</v>
      </c>
      <c r="H115" s="415">
        <f t="shared" ref="H115:T115" si="139">SUM(H108:H111)</f>
        <v>1</v>
      </c>
      <c r="I115" s="415">
        <f t="shared" si="139"/>
        <v>1</v>
      </c>
      <c r="J115" s="415">
        <f t="shared" si="139"/>
        <v>1</v>
      </c>
      <c r="K115" s="415">
        <f t="shared" si="139"/>
        <v>1</v>
      </c>
      <c r="L115" s="415">
        <f t="shared" si="139"/>
        <v>1</v>
      </c>
      <c r="M115" s="415">
        <f t="shared" si="139"/>
        <v>1</v>
      </c>
      <c r="N115" s="415">
        <f t="shared" si="139"/>
        <v>1</v>
      </c>
      <c r="O115" s="415">
        <f t="shared" si="139"/>
        <v>1</v>
      </c>
      <c r="P115" s="415">
        <f t="shared" si="139"/>
        <v>1</v>
      </c>
      <c r="Q115" s="415">
        <f t="shared" si="139"/>
        <v>0</v>
      </c>
      <c r="R115" s="415">
        <f t="shared" si="139"/>
        <v>0</v>
      </c>
      <c r="S115" s="415">
        <f t="shared" si="139"/>
        <v>0</v>
      </c>
      <c r="T115" s="415">
        <f t="shared" si="139"/>
        <v>0</v>
      </c>
      <c r="U115" s="415">
        <f t="shared" ref="U115:AF115" si="140">SUM(U108:U111)</f>
        <v>1</v>
      </c>
      <c r="V115" s="415">
        <f t="shared" si="140"/>
        <v>1</v>
      </c>
      <c r="W115" s="415">
        <f t="shared" si="140"/>
        <v>1</v>
      </c>
      <c r="X115" s="415">
        <f t="shared" si="140"/>
        <v>1</v>
      </c>
      <c r="Y115" s="415">
        <f t="shared" si="140"/>
        <v>1</v>
      </c>
      <c r="Z115" s="415">
        <f t="shared" si="140"/>
        <v>1</v>
      </c>
      <c r="AA115" s="415">
        <f t="shared" si="140"/>
        <v>1</v>
      </c>
      <c r="AB115" s="415">
        <f t="shared" si="140"/>
        <v>1</v>
      </c>
      <c r="AC115" s="415">
        <f t="shared" si="140"/>
        <v>1</v>
      </c>
      <c r="AD115" s="415">
        <f t="shared" si="140"/>
        <v>1</v>
      </c>
      <c r="AE115" s="415">
        <f t="shared" si="140"/>
        <v>1</v>
      </c>
      <c r="AF115" s="415">
        <f t="shared" si="140"/>
        <v>1</v>
      </c>
      <c r="AG115" s="415">
        <f>SUM(AG108:AG111)</f>
        <v>1</v>
      </c>
      <c r="AH115" s="398"/>
      <c r="AI115" s="396">
        <f t="shared" si="135"/>
        <v>23</v>
      </c>
    </row>
    <row r="116" spans="1:35" ht="13.9" customHeight="1" x14ac:dyDescent="0.3">
      <c r="A116" s="1101"/>
      <c r="B116" s="1024" t="s">
        <v>47</v>
      </c>
      <c r="C116" s="1024"/>
      <c r="D116" s="1024"/>
      <c r="E116" s="1024"/>
      <c r="F116" s="1024"/>
      <c r="G116" s="414"/>
      <c r="H116" s="414"/>
      <c r="I116" s="414"/>
      <c r="J116" s="414"/>
      <c r="K116" s="414"/>
      <c r="L116" s="414"/>
      <c r="M116" s="414"/>
      <c r="N116" s="414"/>
      <c r="O116" s="414"/>
      <c r="P116" s="414"/>
      <c r="Q116" s="414"/>
      <c r="R116" s="414"/>
      <c r="S116" s="414"/>
      <c r="T116" s="414"/>
      <c r="U116" s="414"/>
      <c r="V116" s="414"/>
      <c r="W116" s="414"/>
      <c r="X116" s="414"/>
      <c r="Y116" s="414"/>
      <c r="Z116" s="414"/>
      <c r="AA116" s="414"/>
      <c r="AB116" s="414"/>
      <c r="AC116" s="414"/>
      <c r="AD116" s="414"/>
      <c r="AE116" s="414"/>
      <c r="AF116" s="414"/>
      <c r="AG116" s="414"/>
      <c r="AH116" s="416">
        <f>COUNTIFS(BANCO_DRENAGEM!$F:$F,"BLS")</f>
        <v>0</v>
      </c>
      <c r="AI116" s="396">
        <f t="shared" si="135"/>
        <v>0</v>
      </c>
    </row>
    <row r="117" spans="1:35" ht="13.9" customHeight="1" x14ac:dyDescent="0.3">
      <c r="A117" s="1101"/>
      <c r="B117" s="1024" t="s">
        <v>48</v>
      </c>
      <c r="C117" s="1024"/>
      <c r="D117" s="1024"/>
      <c r="E117" s="1024"/>
      <c r="F117" s="1024"/>
      <c r="G117" s="414"/>
      <c r="H117" s="414"/>
      <c r="I117" s="414"/>
      <c r="J117" s="414"/>
      <c r="K117" s="414"/>
      <c r="L117" s="414"/>
      <c r="M117" s="414"/>
      <c r="N117" s="414"/>
      <c r="O117" s="414"/>
      <c r="P117" s="414"/>
      <c r="Q117" s="414"/>
      <c r="R117" s="414"/>
      <c r="S117" s="414"/>
      <c r="T117" s="414"/>
      <c r="U117" s="414"/>
      <c r="V117" s="414"/>
      <c r="W117" s="414"/>
      <c r="X117" s="414"/>
      <c r="Y117" s="414"/>
      <c r="Z117" s="414"/>
      <c r="AA117" s="414"/>
      <c r="AB117" s="414"/>
      <c r="AC117" s="414"/>
      <c r="AD117" s="414"/>
      <c r="AE117" s="414"/>
      <c r="AF117" s="414"/>
      <c r="AG117" s="414"/>
      <c r="AH117" s="416">
        <f>COUNTIFS(BANCO_DRENAGEM!$F:$F,"BLD")</f>
        <v>18</v>
      </c>
      <c r="AI117" s="396">
        <f t="shared" si="135"/>
        <v>18</v>
      </c>
    </row>
    <row r="118" spans="1:35" ht="13.9" customHeight="1" x14ac:dyDescent="0.3">
      <c r="A118" s="1101"/>
      <c r="B118" s="1024" t="s">
        <v>49</v>
      </c>
      <c r="C118" s="1024"/>
      <c r="D118" s="1024"/>
      <c r="E118" s="1024"/>
      <c r="F118" s="1024"/>
      <c r="G118" s="414"/>
      <c r="H118" s="414"/>
      <c r="I118" s="414"/>
      <c r="J118" s="414"/>
      <c r="K118" s="414"/>
      <c r="L118" s="414"/>
      <c r="M118" s="414"/>
      <c r="N118" s="414"/>
      <c r="O118" s="414"/>
      <c r="P118" s="414"/>
      <c r="Q118" s="414"/>
      <c r="R118" s="414"/>
      <c r="S118" s="414"/>
      <c r="T118" s="414"/>
      <c r="U118" s="414"/>
      <c r="V118" s="414"/>
      <c r="W118" s="414"/>
      <c r="X118" s="414"/>
      <c r="Y118" s="414"/>
      <c r="Z118" s="414"/>
      <c r="AA118" s="414"/>
      <c r="AB118" s="414"/>
      <c r="AC118" s="414"/>
      <c r="AD118" s="414"/>
      <c r="AE118" s="414"/>
      <c r="AF118" s="414"/>
      <c r="AG118" s="414"/>
      <c r="AH118" s="416">
        <f>COUNTIFS(BANCO_DRENAGEM!$F:$F,"BLT")</f>
        <v>4</v>
      </c>
      <c r="AI118" s="396">
        <f t="shared" si="135"/>
        <v>4</v>
      </c>
    </row>
    <row r="119" spans="1:35" ht="13.9" customHeight="1" x14ac:dyDescent="0.3">
      <c r="A119" s="1101"/>
      <c r="B119" s="1024" t="s">
        <v>1096</v>
      </c>
      <c r="C119" s="1024"/>
      <c r="D119" s="1024"/>
      <c r="E119" s="1024"/>
      <c r="F119" s="1024"/>
      <c r="G119" s="414"/>
      <c r="H119" s="414"/>
      <c r="I119" s="414"/>
      <c r="J119" s="414"/>
      <c r="K119" s="414"/>
      <c r="L119" s="414"/>
      <c r="M119" s="414"/>
      <c r="N119" s="414"/>
      <c r="O119" s="414"/>
      <c r="P119" s="414"/>
      <c r="Q119" s="414"/>
      <c r="R119" s="414"/>
      <c r="S119" s="414"/>
      <c r="T119" s="414"/>
      <c r="U119" s="414"/>
      <c r="V119" s="414"/>
      <c r="W119" s="414"/>
      <c r="X119" s="414"/>
      <c r="Y119" s="414"/>
      <c r="Z119" s="414"/>
      <c r="AA119" s="414"/>
      <c r="AB119" s="414"/>
      <c r="AC119" s="414"/>
      <c r="AD119" s="414"/>
      <c r="AE119" s="414"/>
      <c r="AF119" s="414"/>
      <c r="AG119" s="414"/>
      <c r="AH119" s="416">
        <f>COUNTIFS(BANCO_DRENAGEM!$F:$F,"RBL")</f>
        <v>0</v>
      </c>
      <c r="AI119" s="396">
        <f t="shared" si="135"/>
        <v>0</v>
      </c>
    </row>
    <row r="120" spans="1:35" ht="13.9" customHeight="1" x14ac:dyDescent="0.3">
      <c r="A120" s="1101"/>
      <c r="B120" s="1024" t="s">
        <v>1098</v>
      </c>
      <c r="C120" s="1024"/>
      <c r="D120" s="1024"/>
      <c r="E120" s="1024"/>
      <c r="F120" s="1024"/>
      <c r="G120" s="414"/>
      <c r="H120" s="414"/>
      <c r="I120" s="414"/>
      <c r="J120" s="414"/>
      <c r="K120" s="414"/>
      <c r="L120" s="414"/>
      <c r="M120" s="414"/>
      <c r="N120" s="414"/>
      <c r="O120" s="414"/>
      <c r="P120" s="414"/>
      <c r="Q120" s="414"/>
      <c r="R120" s="414"/>
      <c r="S120" s="414"/>
      <c r="T120" s="414"/>
      <c r="U120" s="414"/>
      <c r="V120" s="414"/>
      <c r="W120" s="414"/>
      <c r="X120" s="414"/>
      <c r="Y120" s="414"/>
      <c r="Z120" s="414"/>
      <c r="AA120" s="414"/>
      <c r="AB120" s="414"/>
      <c r="AC120" s="414"/>
      <c r="AD120" s="414"/>
      <c r="AE120" s="414"/>
      <c r="AF120" s="414"/>
      <c r="AG120" s="414"/>
      <c r="AH120" s="416">
        <f>COUNTIFS(BANCO_DRENAGEM!$F:$F,"RPV")</f>
        <v>0</v>
      </c>
      <c r="AI120" s="396">
        <f t="shared" si="135"/>
        <v>0</v>
      </c>
    </row>
    <row r="121" spans="1:35" ht="13.9" hidden="1" customHeight="1" x14ac:dyDescent="0.3">
      <c r="A121" s="1101"/>
      <c r="B121" s="1072" t="s">
        <v>240</v>
      </c>
      <c r="C121" s="1072"/>
      <c r="D121" s="1072"/>
      <c r="E121" s="1072"/>
      <c r="F121" s="1072"/>
      <c r="G121" s="414"/>
      <c r="H121" s="414"/>
      <c r="I121" s="414"/>
      <c r="J121" s="414"/>
      <c r="K121" s="414"/>
      <c r="L121" s="414"/>
      <c r="M121" s="414"/>
      <c r="N121" s="414"/>
      <c r="O121" s="414"/>
      <c r="P121" s="414"/>
      <c r="Q121" s="414"/>
      <c r="R121" s="414"/>
      <c r="S121" s="414"/>
      <c r="T121" s="414"/>
      <c r="U121" s="414"/>
      <c r="V121" s="414"/>
      <c r="W121" s="414"/>
      <c r="X121" s="414"/>
      <c r="Y121" s="414"/>
      <c r="Z121" s="414"/>
      <c r="AA121" s="414"/>
      <c r="AB121" s="414"/>
      <c r="AC121" s="414"/>
      <c r="AD121" s="414"/>
      <c r="AE121" s="414"/>
      <c r="AF121" s="414"/>
      <c r="AG121" s="414"/>
      <c r="AH121" s="416"/>
      <c r="AI121" s="396">
        <f t="shared" si="135"/>
        <v>0</v>
      </c>
    </row>
    <row r="122" spans="1:35" ht="13.9" customHeight="1" x14ac:dyDescent="0.3">
      <c r="A122" s="1101"/>
      <c r="B122" s="1072" t="s">
        <v>312</v>
      </c>
      <c r="C122" s="1072"/>
      <c r="D122" s="1072"/>
      <c r="E122" s="1072"/>
      <c r="F122" s="1072"/>
      <c r="G122" s="414"/>
      <c r="H122" s="414"/>
      <c r="I122" s="414"/>
      <c r="J122" s="414"/>
      <c r="K122" s="414"/>
      <c r="L122" s="414"/>
      <c r="M122" s="414"/>
      <c r="N122" s="414"/>
      <c r="O122" s="414"/>
      <c r="P122" s="414"/>
      <c r="Q122" s="414"/>
      <c r="R122" s="414"/>
      <c r="S122" s="414"/>
      <c r="T122" s="414"/>
      <c r="U122" s="414"/>
      <c r="V122" s="414"/>
      <c r="W122" s="414"/>
      <c r="X122" s="414"/>
      <c r="Y122" s="414"/>
      <c r="Z122" s="414"/>
      <c r="AA122" s="414"/>
      <c r="AB122" s="414"/>
      <c r="AC122" s="414"/>
      <c r="AD122" s="414"/>
      <c r="AE122" s="414"/>
      <c r="AF122" s="414"/>
      <c r="AG122" s="414"/>
      <c r="AH122" s="416"/>
      <c r="AI122" s="396">
        <f t="shared" si="135"/>
        <v>0</v>
      </c>
    </row>
    <row r="123" spans="1:35" ht="13.9" customHeight="1" x14ac:dyDescent="0.3">
      <c r="A123" s="1101"/>
      <c r="B123" s="1072" t="s">
        <v>313</v>
      </c>
      <c r="C123" s="1072"/>
      <c r="D123" s="1072"/>
      <c r="E123" s="1072"/>
      <c r="F123" s="1072"/>
      <c r="G123" s="414"/>
      <c r="H123" s="414"/>
      <c r="I123" s="414"/>
      <c r="J123" s="414"/>
      <c r="K123" s="414"/>
      <c r="L123" s="414"/>
      <c r="M123" s="414"/>
      <c r="N123" s="414"/>
      <c r="O123" s="414"/>
      <c r="P123" s="414"/>
      <c r="Q123" s="414"/>
      <c r="R123" s="414"/>
      <c r="S123" s="414"/>
      <c r="T123" s="414"/>
      <c r="U123" s="414"/>
      <c r="V123" s="414"/>
      <c r="W123" s="414"/>
      <c r="X123" s="414"/>
      <c r="Y123" s="414"/>
      <c r="Z123" s="414"/>
      <c r="AA123" s="414"/>
      <c r="AB123" s="414"/>
      <c r="AC123" s="414"/>
      <c r="AD123" s="414"/>
      <c r="AE123" s="414"/>
      <c r="AF123" s="414"/>
      <c r="AG123" s="414"/>
      <c r="AH123" s="416"/>
      <c r="AI123" s="396">
        <f t="shared" si="135"/>
        <v>0</v>
      </c>
    </row>
    <row r="124" spans="1:35" ht="13.9" customHeight="1" x14ac:dyDescent="0.3">
      <c r="A124" s="1101"/>
      <c r="B124" s="1072" t="s">
        <v>314</v>
      </c>
      <c r="C124" s="1072"/>
      <c r="D124" s="1072"/>
      <c r="E124" s="1072"/>
      <c r="F124" s="1072"/>
      <c r="G124" s="414"/>
      <c r="H124" s="414"/>
      <c r="I124" s="414"/>
      <c r="J124" s="414"/>
      <c r="K124" s="414"/>
      <c r="L124" s="414"/>
      <c r="M124" s="414"/>
      <c r="N124" s="414"/>
      <c r="O124" s="414"/>
      <c r="P124" s="414"/>
      <c r="Q124" s="414"/>
      <c r="R124" s="414"/>
      <c r="S124" s="414"/>
      <c r="T124" s="414"/>
      <c r="U124" s="414"/>
      <c r="V124" s="414"/>
      <c r="W124" s="414"/>
      <c r="X124" s="414"/>
      <c r="Y124" s="414"/>
      <c r="Z124" s="414"/>
      <c r="AA124" s="414"/>
      <c r="AB124" s="414"/>
      <c r="AC124" s="414"/>
      <c r="AD124" s="414"/>
      <c r="AE124" s="414"/>
      <c r="AF124" s="414"/>
      <c r="AG124" s="414"/>
      <c r="AH124" s="416">
        <f>COUNTIFS(BANCO_DRENAGEM!$F:$F,"DIS")</f>
        <v>2</v>
      </c>
      <c r="AI124" s="396">
        <f t="shared" si="135"/>
        <v>2</v>
      </c>
    </row>
    <row r="125" spans="1:35" ht="13.9" customHeight="1" x14ac:dyDescent="0.3">
      <c r="A125" s="1102"/>
      <c r="B125" s="1072" t="s">
        <v>321</v>
      </c>
      <c r="C125" s="1072"/>
      <c r="D125" s="1072"/>
      <c r="E125" s="1072"/>
      <c r="F125" s="1072"/>
      <c r="G125" s="414"/>
      <c r="H125" s="414"/>
      <c r="I125" s="414"/>
      <c r="J125" s="414"/>
      <c r="K125" s="414"/>
      <c r="L125" s="414"/>
      <c r="M125" s="414"/>
      <c r="N125" s="414"/>
      <c r="O125" s="414"/>
      <c r="P125" s="414"/>
      <c r="Q125" s="414"/>
      <c r="R125" s="414"/>
      <c r="S125" s="414"/>
      <c r="T125" s="414"/>
      <c r="U125" s="414"/>
      <c r="V125" s="414"/>
      <c r="W125" s="414"/>
      <c r="X125" s="414"/>
      <c r="Y125" s="414"/>
      <c r="Z125" s="414"/>
      <c r="AA125" s="414"/>
      <c r="AB125" s="414"/>
      <c r="AC125" s="414"/>
      <c r="AD125" s="414"/>
      <c r="AE125" s="414"/>
      <c r="AF125" s="414"/>
      <c r="AG125" s="414"/>
      <c r="AH125" s="416"/>
      <c r="AI125" s="396">
        <f t="shared" si="135"/>
        <v>0</v>
      </c>
    </row>
    <row r="126" spans="1:35" ht="13.9" customHeight="1" x14ac:dyDescent="0.3">
      <c r="A126" s="1087" t="s">
        <v>1351</v>
      </c>
      <c r="B126" s="1024" t="s">
        <v>20</v>
      </c>
      <c r="C126" s="1024"/>
      <c r="D126" s="1024"/>
      <c r="E126" s="1024"/>
      <c r="F126" s="1024"/>
      <c r="G126" s="414"/>
      <c r="H126" s="414"/>
      <c r="I126" s="414"/>
      <c r="J126" s="414"/>
      <c r="K126" s="414"/>
      <c r="L126" s="414"/>
      <c r="M126" s="414"/>
      <c r="N126" s="414"/>
      <c r="O126" s="414"/>
      <c r="P126" s="414"/>
      <c r="Q126" s="414"/>
      <c r="R126" s="414"/>
      <c r="S126" s="414"/>
      <c r="T126" s="414"/>
      <c r="U126" s="414"/>
      <c r="V126" s="414"/>
      <c r="W126" s="414"/>
      <c r="X126" s="414"/>
      <c r="Y126" s="414"/>
      <c r="Z126" s="414"/>
      <c r="AA126" s="414"/>
      <c r="AB126" s="414"/>
      <c r="AC126" s="414"/>
      <c r="AD126" s="414"/>
      <c r="AE126" s="414"/>
      <c r="AF126" s="414"/>
      <c r="AG126" s="414"/>
      <c r="AH126" s="416">
        <f>SUMIFS(BANCO_DRENAGEM!N3:N334,BANCO_DRENAGEM!T3:T334,"VALETA ")</f>
        <v>320.64776717435973</v>
      </c>
      <c r="AI126" s="396">
        <f t="shared" si="135"/>
        <v>320.64</v>
      </c>
    </row>
    <row r="127" spans="1:35" x14ac:dyDescent="0.3">
      <c r="A127" s="1087"/>
      <c r="B127" s="1024" t="s">
        <v>22</v>
      </c>
      <c r="C127" s="1024"/>
      <c r="D127" s="1024"/>
      <c r="E127" s="1024"/>
      <c r="F127" s="1024"/>
      <c r="G127" s="414"/>
      <c r="H127" s="414"/>
      <c r="I127" s="414"/>
      <c r="J127" s="414"/>
      <c r="K127" s="414"/>
      <c r="L127" s="414"/>
      <c r="M127" s="414"/>
      <c r="N127" s="414"/>
      <c r="O127" s="414"/>
      <c r="P127" s="414"/>
      <c r="Q127" s="414"/>
      <c r="R127" s="414"/>
      <c r="S127" s="414"/>
      <c r="T127" s="414"/>
      <c r="U127" s="414"/>
      <c r="V127" s="414"/>
      <c r="W127" s="414"/>
      <c r="X127" s="414"/>
      <c r="Y127" s="414"/>
      <c r="Z127" s="414"/>
      <c r="AA127" s="414"/>
      <c r="AB127" s="414"/>
      <c r="AC127" s="414"/>
      <c r="AD127" s="414"/>
      <c r="AE127" s="414"/>
      <c r="AF127" s="414"/>
      <c r="AG127" s="414"/>
      <c r="AH127" s="416">
        <f>AH126*0.6</f>
        <v>192.38866030461583</v>
      </c>
      <c r="AI127" s="396">
        <f t="shared" si="135"/>
        <v>192.38</v>
      </c>
    </row>
    <row r="128" spans="1:35" ht="14.45" customHeight="1" x14ac:dyDescent="0.3">
      <c r="A128" s="1087"/>
      <c r="B128" s="1024" t="s">
        <v>1352</v>
      </c>
      <c r="C128" s="1024"/>
      <c r="D128" s="1024"/>
      <c r="E128" s="1024"/>
      <c r="F128" s="1024"/>
      <c r="G128" s="414"/>
      <c r="H128" s="414"/>
      <c r="I128" s="414"/>
      <c r="J128" s="414"/>
      <c r="K128" s="414"/>
      <c r="L128" s="414"/>
      <c r="M128" s="414"/>
      <c r="N128" s="414"/>
      <c r="O128" s="414"/>
      <c r="P128" s="414"/>
      <c r="Q128" s="414"/>
      <c r="R128" s="414"/>
      <c r="S128" s="414"/>
      <c r="T128" s="414"/>
      <c r="U128" s="414"/>
      <c r="V128" s="414"/>
      <c r="W128" s="414"/>
      <c r="X128" s="414"/>
      <c r="Y128" s="414"/>
      <c r="Z128" s="414"/>
      <c r="AA128" s="414"/>
      <c r="AB128" s="414"/>
      <c r="AC128" s="414"/>
      <c r="AD128" s="414"/>
      <c r="AE128" s="414"/>
      <c r="AF128" s="414"/>
      <c r="AG128" s="414"/>
      <c r="AH128" s="416">
        <f>(AH127-104.22*1)+(104.22*0.8)</f>
        <v>171.54466030461583</v>
      </c>
      <c r="AI128" s="396">
        <f t="shared" si="135"/>
        <v>171.54</v>
      </c>
    </row>
    <row r="129" spans="1:35" x14ac:dyDescent="0.3">
      <c r="A129" s="1087"/>
      <c r="B129" s="1024" t="s">
        <v>976</v>
      </c>
      <c r="C129" s="1024"/>
      <c r="D129" s="1024"/>
      <c r="E129" s="1024"/>
      <c r="F129" s="1024"/>
      <c r="G129" s="414"/>
      <c r="H129" s="414"/>
      <c r="I129" s="414"/>
      <c r="J129" s="414"/>
      <c r="K129" s="414"/>
      <c r="L129" s="414"/>
      <c r="M129" s="414"/>
      <c r="N129" s="414"/>
      <c r="O129" s="414"/>
      <c r="P129" s="414"/>
      <c r="Q129" s="414"/>
      <c r="R129" s="414"/>
      <c r="S129" s="414"/>
      <c r="T129" s="414"/>
      <c r="U129" s="414"/>
      <c r="V129" s="414"/>
      <c r="W129" s="414"/>
      <c r="X129" s="414"/>
      <c r="Y129" s="414"/>
      <c r="Z129" s="414"/>
      <c r="AA129" s="414"/>
      <c r="AB129" s="414"/>
      <c r="AC129" s="414"/>
      <c r="AD129" s="414"/>
      <c r="AE129" s="414"/>
      <c r="AF129" s="414"/>
      <c r="AG129" s="414"/>
      <c r="AH129" s="416">
        <f>AH128*1.3</f>
        <v>223.00805839600059</v>
      </c>
      <c r="AI129" s="396">
        <f t="shared" si="135"/>
        <v>223</v>
      </c>
    </row>
    <row r="130" spans="1:35" x14ac:dyDescent="0.3">
      <c r="A130" s="1087"/>
      <c r="B130" s="1024" t="s">
        <v>25</v>
      </c>
      <c r="C130" s="1024"/>
      <c r="D130" s="1024"/>
      <c r="E130" s="1024"/>
      <c r="F130" s="1024"/>
      <c r="G130" s="414"/>
      <c r="H130" s="414"/>
      <c r="I130" s="414"/>
      <c r="J130" s="414"/>
      <c r="K130" s="414"/>
      <c r="L130" s="414"/>
      <c r="M130" s="414"/>
      <c r="N130" s="414"/>
      <c r="O130" s="414"/>
      <c r="P130" s="414"/>
      <c r="Q130" s="414"/>
      <c r="R130" s="414"/>
      <c r="S130" s="414"/>
      <c r="T130" s="414"/>
      <c r="U130" s="414"/>
      <c r="V130" s="414"/>
      <c r="W130" s="414"/>
      <c r="X130" s="414"/>
      <c r="Y130" s="414"/>
      <c r="Z130" s="414"/>
      <c r="AA130" s="414"/>
      <c r="AB130" s="414"/>
      <c r="AC130" s="414"/>
      <c r="AD130" s="414"/>
      <c r="AE130" s="414"/>
      <c r="AF130" s="414"/>
      <c r="AG130" s="414"/>
      <c r="AH130" s="416">
        <f>$B$14</f>
        <v>5</v>
      </c>
      <c r="AI130" s="396">
        <f t="shared" si="135"/>
        <v>5</v>
      </c>
    </row>
    <row r="131" spans="1:35" x14ac:dyDescent="0.3">
      <c r="A131" s="1087"/>
      <c r="B131" s="1024" t="s">
        <v>26</v>
      </c>
      <c r="C131" s="1024"/>
      <c r="D131" s="1024"/>
      <c r="E131" s="1024"/>
      <c r="F131" s="1024"/>
      <c r="G131" s="414"/>
      <c r="H131" s="414"/>
      <c r="I131" s="414"/>
      <c r="J131" s="414"/>
      <c r="K131" s="414"/>
      <c r="L131" s="414"/>
      <c r="M131" s="414"/>
      <c r="N131" s="414"/>
      <c r="O131" s="414"/>
      <c r="P131" s="414"/>
      <c r="Q131" s="414"/>
      <c r="R131" s="414"/>
      <c r="S131" s="414"/>
      <c r="T131" s="414"/>
      <c r="U131" s="414"/>
      <c r="V131" s="414"/>
      <c r="W131" s="414"/>
      <c r="X131" s="414"/>
      <c r="Y131" s="414"/>
      <c r="Z131" s="414"/>
      <c r="AA131" s="414"/>
      <c r="AB131" s="414"/>
      <c r="AC131" s="414"/>
      <c r="AD131" s="414"/>
      <c r="AE131" s="414"/>
      <c r="AF131" s="414"/>
      <c r="AG131" s="414"/>
      <c r="AH131" s="416">
        <f>AH130*AH129</f>
        <v>1115.0402919800031</v>
      </c>
      <c r="AI131" s="396">
        <f t="shared" si="135"/>
        <v>1115.04</v>
      </c>
    </row>
    <row r="132" spans="1:35" ht="5.25" customHeight="1" x14ac:dyDescent="0.3">
      <c r="A132" s="744"/>
      <c r="B132" s="744"/>
      <c r="C132" s="744"/>
      <c r="D132" s="744"/>
      <c r="E132" s="744"/>
      <c r="F132" s="744"/>
      <c r="G132" s="744"/>
      <c r="H132" s="744"/>
      <c r="I132" s="744"/>
      <c r="J132" s="744"/>
      <c r="K132" s="744"/>
      <c r="L132" s="744"/>
      <c r="M132" s="744"/>
      <c r="N132" s="744"/>
      <c r="O132" s="744"/>
      <c r="P132" s="744"/>
      <c r="Q132" s="744"/>
      <c r="R132" s="744"/>
      <c r="S132" s="744"/>
      <c r="T132" s="744"/>
      <c r="U132" s="744"/>
      <c r="V132" s="744"/>
      <c r="W132" s="744"/>
      <c r="X132" s="744"/>
      <c r="Y132" s="744"/>
      <c r="Z132" s="744"/>
      <c r="AA132" s="744"/>
      <c r="AB132" s="744"/>
      <c r="AC132" s="744"/>
      <c r="AD132" s="744"/>
      <c r="AE132" s="744"/>
      <c r="AF132" s="744"/>
      <c r="AG132" s="744"/>
      <c r="AH132" s="744"/>
      <c r="AI132" s="744"/>
    </row>
    <row r="133" spans="1:35" x14ac:dyDescent="0.3">
      <c r="A133" s="1087" t="s">
        <v>1353</v>
      </c>
      <c r="B133" s="1024" t="s">
        <v>20</v>
      </c>
      <c r="C133" s="1024"/>
      <c r="D133" s="1024"/>
      <c r="E133" s="1024"/>
      <c r="F133" s="1024"/>
      <c r="G133" s="414"/>
      <c r="H133" s="414"/>
      <c r="I133" s="414"/>
      <c r="J133" s="414"/>
      <c r="K133" s="414"/>
      <c r="L133" s="414"/>
      <c r="M133" s="414"/>
      <c r="N133" s="414"/>
      <c r="O133" s="414"/>
      <c r="P133" s="414"/>
      <c r="Q133" s="414"/>
      <c r="R133" s="414"/>
      <c r="S133" s="414"/>
      <c r="T133" s="414"/>
      <c r="U133" s="414"/>
      <c r="V133" s="414"/>
      <c r="W133" s="414"/>
      <c r="X133" s="414"/>
      <c r="Y133" s="414"/>
      <c r="Z133" s="414"/>
      <c r="AA133" s="414"/>
      <c r="AB133" s="414"/>
      <c r="AC133" s="414"/>
      <c r="AD133" s="414"/>
      <c r="AE133" s="414"/>
      <c r="AF133" s="414"/>
      <c r="AG133" s="414"/>
      <c r="AH133" s="416">
        <f>VLOOKUP("SARJETAS TRAPEZOIDAIS DE GRAMA - 01",BANCO_DRENAGEM!$L$2:$N$175,3,0)</f>
        <v>152.09587782460184</v>
      </c>
      <c r="AI133" s="396">
        <f t="shared" ref="AI133:AI138" si="141">TRUNC(SUM(G133:AH133),2)</f>
        <v>152.09</v>
      </c>
    </row>
    <row r="134" spans="1:35" x14ac:dyDescent="0.3">
      <c r="A134" s="1087"/>
      <c r="B134" s="1024" t="s">
        <v>22</v>
      </c>
      <c r="C134" s="1024"/>
      <c r="D134" s="1024"/>
      <c r="E134" s="1024"/>
      <c r="F134" s="1024"/>
      <c r="G134" s="414"/>
      <c r="H134" s="414"/>
      <c r="I134" s="414"/>
      <c r="J134" s="414"/>
      <c r="K134" s="414"/>
      <c r="L134" s="414"/>
      <c r="M134" s="414"/>
      <c r="N134" s="414"/>
      <c r="O134" s="414"/>
      <c r="P134" s="414"/>
      <c r="Q134" s="414"/>
      <c r="R134" s="414"/>
      <c r="S134" s="414"/>
      <c r="T134" s="414"/>
      <c r="U134" s="414"/>
      <c r="V134" s="414"/>
      <c r="W134" s="414"/>
      <c r="X134" s="414"/>
      <c r="Y134" s="414"/>
      <c r="Z134" s="414"/>
      <c r="AA134" s="414"/>
      <c r="AB134" s="414"/>
      <c r="AC134" s="414"/>
      <c r="AD134" s="414"/>
      <c r="AE134" s="414"/>
      <c r="AF134" s="414"/>
      <c r="AG134" s="414"/>
      <c r="AH134" s="416">
        <f>AH133*0.5</f>
        <v>76.047938912300921</v>
      </c>
      <c r="AI134" s="396">
        <f t="shared" si="141"/>
        <v>76.040000000000006</v>
      </c>
    </row>
    <row r="135" spans="1:35" x14ac:dyDescent="0.3">
      <c r="A135" s="1087"/>
      <c r="B135" s="1024" t="s">
        <v>1352</v>
      </c>
      <c r="C135" s="1024"/>
      <c r="D135" s="1024"/>
      <c r="E135" s="1024"/>
      <c r="F135" s="1024"/>
      <c r="G135" s="414"/>
      <c r="H135" s="414"/>
      <c r="I135" s="414"/>
      <c r="J135" s="414"/>
      <c r="K135" s="414"/>
      <c r="L135" s="414"/>
      <c r="M135" s="414"/>
      <c r="N135" s="414"/>
      <c r="O135" s="414"/>
      <c r="P135" s="414"/>
      <c r="Q135" s="414"/>
      <c r="R135" s="414"/>
      <c r="S135" s="414"/>
      <c r="T135" s="414"/>
      <c r="U135" s="414"/>
      <c r="V135" s="414"/>
      <c r="W135" s="414"/>
      <c r="X135" s="414"/>
      <c r="Y135" s="414"/>
      <c r="Z135" s="414"/>
      <c r="AA135" s="414"/>
      <c r="AB135" s="414"/>
      <c r="AC135" s="414"/>
      <c r="AD135" s="414"/>
      <c r="AE135" s="414"/>
      <c r="AF135" s="414"/>
      <c r="AG135" s="414"/>
      <c r="AH135" s="416">
        <f>AH134*1</f>
        <v>76.047938912300921</v>
      </c>
      <c r="AI135" s="396">
        <f t="shared" si="141"/>
        <v>76.040000000000006</v>
      </c>
    </row>
    <row r="136" spans="1:35" x14ac:dyDescent="0.3">
      <c r="A136" s="1087"/>
      <c r="B136" s="1024" t="s">
        <v>976</v>
      </c>
      <c r="C136" s="1024"/>
      <c r="D136" s="1024"/>
      <c r="E136" s="1024"/>
      <c r="F136" s="1024"/>
      <c r="G136" s="414"/>
      <c r="H136" s="414"/>
      <c r="I136" s="414"/>
      <c r="J136" s="414"/>
      <c r="K136" s="414"/>
      <c r="L136" s="414"/>
      <c r="M136" s="414"/>
      <c r="N136" s="414"/>
      <c r="O136" s="414"/>
      <c r="P136" s="414"/>
      <c r="Q136" s="414"/>
      <c r="R136" s="414"/>
      <c r="S136" s="414"/>
      <c r="T136" s="414"/>
      <c r="U136" s="414"/>
      <c r="V136" s="414"/>
      <c r="W136" s="414"/>
      <c r="X136" s="414"/>
      <c r="Y136" s="414"/>
      <c r="Z136" s="414"/>
      <c r="AA136" s="414"/>
      <c r="AB136" s="414"/>
      <c r="AC136" s="414"/>
      <c r="AD136" s="414"/>
      <c r="AE136" s="414"/>
      <c r="AF136" s="414"/>
      <c r="AG136" s="414"/>
      <c r="AH136" s="416">
        <f>AH135*1.3</f>
        <v>98.862320585991199</v>
      </c>
      <c r="AI136" s="396">
        <f t="shared" si="141"/>
        <v>98.86</v>
      </c>
    </row>
    <row r="137" spans="1:35" x14ac:dyDescent="0.3">
      <c r="A137" s="1087"/>
      <c r="B137" s="1024" t="s">
        <v>25</v>
      </c>
      <c r="C137" s="1024"/>
      <c r="D137" s="1024"/>
      <c r="E137" s="1024"/>
      <c r="F137" s="1024"/>
      <c r="G137" s="414"/>
      <c r="H137" s="414"/>
      <c r="I137" s="414"/>
      <c r="J137" s="414"/>
      <c r="K137" s="414"/>
      <c r="L137" s="414"/>
      <c r="M137" s="414"/>
      <c r="N137" s="414"/>
      <c r="O137" s="414"/>
      <c r="P137" s="414"/>
      <c r="Q137" s="414"/>
      <c r="R137" s="414"/>
      <c r="S137" s="414"/>
      <c r="T137" s="414"/>
      <c r="U137" s="414"/>
      <c r="V137" s="414"/>
      <c r="W137" s="414"/>
      <c r="X137" s="414"/>
      <c r="Y137" s="414"/>
      <c r="Z137" s="414"/>
      <c r="AA137" s="414"/>
      <c r="AB137" s="414"/>
      <c r="AC137" s="414"/>
      <c r="AD137" s="414"/>
      <c r="AE137" s="414"/>
      <c r="AF137" s="414"/>
      <c r="AG137" s="414"/>
      <c r="AH137" s="416">
        <f>$B$14</f>
        <v>5</v>
      </c>
      <c r="AI137" s="396">
        <f t="shared" si="141"/>
        <v>5</v>
      </c>
    </row>
    <row r="138" spans="1:35" x14ac:dyDescent="0.3">
      <c r="A138" s="1087"/>
      <c r="B138" s="1024" t="s">
        <v>26</v>
      </c>
      <c r="C138" s="1024"/>
      <c r="D138" s="1024"/>
      <c r="E138" s="1024"/>
      <c r="F138" s="1024"/>
      <c r="G138" s="414"/>
      <c r="H138" s="414"/>
      <c r="I138" s="414"/>
      <c r="J138" s="414"/>
      <c r="K138" s="414"/>
      <c r="L138" s="414"/>
      <c r="M138" s="414"/>
      <c r="N138" s="414"/>
      <c r="O138" s="414"/>
      <c r="P138" s="414"/>
      <c r="Q138" s="414"/>
      <c r="R138" s="414"/>
      <c r="S138" s="414"/>
      <c r="T138" s="414"/>
      <c r="U138" s="414"/>
      <c r="V138" s="414"/>
      <c r="W138" s="414"/>
      <c r="X138" s="414"/>
      <c r="Y138" s="414"/>
      <c r="Z138" s="414"/>
      <c r="AA138" s="414"/>
      <c r="AB138" s="414"/>
      <c r="AC138" s="414"/>
      <c r="AD138" s="414"/>
      <c r="AE138" s="414"/>
      <c r="AF138" s="414"/>
      <c r="AG138" s="414"/>
      <c r="AH138" s="416">
        <f>AH137*AH136</f>
        <v>494.311602929956</v>
      </c>
      <c r="AI138" s="396">
        <f t="shared" si="141"/>
        <v>494.31</v>
      </c>
    </row>
    <row r="139" spans="1:35" ht="3.75" customHeight="1" x14ac:dyDescent="0.3">
      <c r="A139" s="744"/>
      <c r="B139" s="744"/>
      <c r="C139" s="744"/>
      <c r="D139" s="744"/>
      <c r="E139" s="744"/>
      <c r="F139" s="744"/>
      <c r="G139" s="744"/>
      <c r="H139" s="744"/>
      <c r="I139" s="744"/>
      <c r="J139" s="744"/>
      <c r="K139" s="744"/>
      <c r="L139" s="744"/>
      <c r="M139" s="744"/>
      <c r="N139" s="744"/>
      <c r="O139" s="744"/>
      <c r="P139" s="744"/>
      <c r="Q139" s="744"/>
      <c r="R139" s="744"/>
      <c r="S139" s="744"/>
      <c r="T139" s="744"/>
      <c r="U139" s="744"/>
      <c r="V139" s="744"/>
      <c r="W139" s="744"/>
      <c r="X139" s="744"/>
      <c r="Y139" s="744"/>
      <c r="Z139" s="744"/>
      <c r="AA139" s="744"/>
      <c r="AB139" s="744"/>
      <c r="AC139" s="744"/>
      <c r="AD139" s="744"/>
      <c r="AE139" s="744"/>
      <c r="AF139" s="744"/>
      <c r="AG139" s="744"/>
      <c r="AH139" s="744"/>
      <c r="AI139" s="744"/>
    </row>
    <row r="140" spans="1:35" x14ac:dyDescent="0.3">
      <c r="A140" s="1089" t="s">
        <v>1067</v>
      </c>
      <c r="B140" s="1024" t="s">
        <v>22</v>
      </c>
      <c r="C140" s="1024"/>
      <c r="D140" s="1024"/>
      <c r="E140" s="1024"/>
      <c r="F140" s="1024"/>
      <c r="G140" s="414"/>
      <c r="H140" s="414"/>
      <c r="I140" s="414"/>
      <c r="J140" s="414"/>
      <c r="K140" s="414"/>
      <c r="L140" s="414"/>
      <c r="M140" s="414"/>
      <c r="N140" s="414"/>
      <c r="O140" s="414"/>
      <c r="P140" s="414"/>
      <c r="Q140" s="414"/>
      <c r="R140" s="414"/>
      <c r="S140" s="414"/>
      <c r="T140" s="414"/>
      <c r="U140" s="414"/>
      <c r="V140" s="414"/>
      <c r="W140" s="414"/>
      <c r="X140" s="414"/>
      <c r="Y140" s="414"/>
      <c r="Z140" s="414"/>
      <c r="AA140" s="414"/>
      <c r="AB140" s="414"/>
      <c r="AC140" s="414"/>
      <c r="AD140" s="414"/>
      <c r="AE140" s="414"/>
      <c r="AF140" s="414"/>
      <c r="AG140" s="414"/>
      <c r="AH140" s="416">
        <f>AH127+AH134</f>
        <v>268.43659921691676</v>
      </c>
      <c r="AI140" s="396">
        <f>TRUNC(SUM(G140:AH140),2)</f>
        <v>268.43</v>
      </c>
    </row>
    <row r="141" spans="1:35" x14ac:dyDescent="0.3">
      <c r="A141" s="1090"/>
      <c r="B141" s="1024" t="s">
        <v>1317</v>
      </c>
      <c r="C141" s="1024"/>
      <c r="D141" s="1024"/>
      <c r="E141" s="1024"/>
      <c r="F141" s="1024"/>
      <c r="G141" s="414"/>
      <c r="H141" s="414"/>
      <c r="I141" s="414"/>
      <c r="J141" s="414"/>
      <c r="K141" s="414"/>
      <c r="L141" s="414"/>
      <c r="M141" s="414"/>
      <c r="N141" s="414"/>
      <c r="O141" s="414"/>
      <c r="P141" s="414"/>
      <c r="Q141" s="414"/>
      <c r="R141" s="414"/>
      <c r="S141" s="414"/>
      <c r="T141" s="414"/>
      <c r="U141" s="414"/>
      <c r="V141" s="414"/>
      <c r="W141" s="414"/>
      <c r="X141" s="414"/>
      <c r="Y141" s="414"/>
      <c r="Z141" s="414"/>
      <c r="AA141" s="414"/>
      <c r="AB141" s="414"/>
      <c r="AC141" s="414"/>
      <c r="AD141" s="414"/>
      <c r="AE141" s="414"/>
      <c r="AF141" s="414"/>
      <c r="AG141" s="414"/>
      <c r="AH141" s="416">
        <f>0.025</f>
        <v>2.5000000000000001E-2</v>
      </c>
      <c r="AI141" s="396">
        <f>TRUNC(SUM(G141:AH141),2)</f>
        <v>0.02</v>
      </c>
    </row>
    <row r="142" spans="1:35" x14ac:dyDescent="0.3">
      <c r="A142" s="1090"/>
      <c r="B142" s="1024" t="s">
        <v>1046</v>
      </c>
      <c r="C142" s="1024"/>
      <c r="D142" s="1024"/>
      <c r="E142" s="1024"/>
      <c r="F142" s="1024"/>
      <c r="G142" s="414"/>
      <c r="H142" s="414"/>
      <c r="I142" s="414"/>
      <c r="J142" s="414"/>
      <c r="K142" s="414"/>
      <c r="L142" s="414"/>
      <c r="M142" s="414"/>
      <c r="N142" s="414"/>
      <c r="O142" s="414"/>
      <c r="P142" s="414"/>
      <c r="Q142" s="414"/>
      <c r="R142" s="414"/>
      <c r="S142" s="414"/>
      <c r="T142" s="414"/>
      <c r="U142" s="414"/>
      <c r="V142" s="414"/>
      <c r="W142" s="414"/>
      <c r="X142" s="414"/>
      <c r="Y142" s="414"/>
      <c r="Z142" s="414"/>
      <c r="AA142" s="414"/>
      <c r="AB142" s="414"/>
      <c r="AC142" s="414"/>
      <c r="AD142" s="414"/>
      <c r="AE142" s="414"/>
      <c r="AF142" s="414"/>
      <c r="AG142" s="414"/>
      <c r="AH142" s="416">
        <f>AH141*AH140</f>
        <v>6.7109149804229196</v>
      </c>
      <c r="AI142" s="396">
        <f>TRUNC(SUM(G142:AH142),2)</f>
        <v>6.71</v>
      </c>
    </row>
    <row r="143" spans="1:35" x14ac:dyDescent="0.3">
      <c r="A143" s="1090"/>
      <c r="B143" s="1024" t="s">
        <v>25</v>
      </c>
      <c r="C143" s="1024"/>
      <c r="D143" s="1024"/>
      <c r="E143" s="1024"/>
      <c r="F143" s="1024"/>
      <c r="G143" s="414"/>
      <c r="H143" s="414"/>
      <c r="I143" s="414"/>
      <c r="J143" s="414"/>
      <c r="K143" s="414"/>
      <c r="L143" s="414"/>
      <c r="M143" s="414"/>
      <c r="N143" s="414"/>
      <c r="O143" s="414"/>
      <c r="P143" s="414"/>
      <c r="Q143" s="414"/>
      <c r="R143" s="414"/>
      <c r="S143" s="414"/>
      <c r="T143" s="414"/>
      <c r="U143" s="414"/>
      <c r="V143" s="414"/>
      <c r="W143" s="414"/>
      <c r="X143" s="414"/>
      <c r="Y143" s="414"/>
      <c r="Z143" s="414"/>
      <c r="AA143" s="414"/>
      <c r="AB143" s="414"/>
      <c r="AC143" s="414"/>
      <c r="AD143" s="414"/>
      <c r="AE143" s="414"/>
      <c r="AF143" s="414"/>
      <c r="AG143" s="414"/>
      <c r="AH143" s="416">
        <f>$B$14</f>
        <v>5</v>
      </c>
      <c r="AI143" s="396">
        <f>TRUNC(SUM(G143:AH143),2)</f>
        <v>5</v>
      </c>
    </row>
    <row r="144" spans="1:35" x14ac:dyDescent="0.3">
      <c r="A144" s="1091"/>
      <c r="B144" s="1024" t="s">
        <v>28</v>
      </c>
      <c r="C144" s="1024"/>
      <c r="D144" s="1024"/>
      <c r="E144" s="1024"/>
      <c r="F144" s="1024"/>
      <c r="G144" s="414"/>
      <c r="H144" s="414"/>
      <c r="I144" s="414"/>
      <c r="J144" s="414"/>
      <c r="K144" s="414"/>
      <c r="L144" s="414"/>
      <c r="M144" s="414"/>
      <c r="N144" s="414"/>
      <c r="O144" s="414"/>
      <c r="P144" s="414"/>
      <c r="Q144" s="414"/>
      <c r="R144" s="414"/>
      <c r="S144" s="414"/>
      <c r="T144" s="414"/>
      <c r="U144" s="414"/>
      <c r="V144" s="414"/>
      <c r="W144" s="414"/>
      <c r="X144" s="414"/>
      <c r="Y144" s="414"/>
      <c r="Z144" s="414"/>
      <c r="AA144" s="414"/>
      <c r="AB144" s="414"/>
      <c r="AC144" s="414"/>
      <c r="AD144" s="414"/>
      <c r="AE144" s="414"/>
      <c r="AF144" s="414"/>
      <c r="AG144" s="414"/>
      <c r="AH144" s="416">
        <f>AH143*AH142</f>
        <v>33.554574902114595</v>
      </c>
      <c r="AI144" s="396">
        <f>TRUNC(SUM(G144:AH144),2)</f>
        <v>33.549999999999997</v>
      </c>
    </row>
  </sheetData>
  <sortState ref="AW59:AW72">
    <sortCondition ref="AW59:AW72"/>
  </sortState>
  <mergeCells count="123">
    <mergeCell ref="D9:F9"/>
    <mergeCell ref="A90:A125"/>
    <mergeCell ref="B96:F96"/>
    <mergeCell ref="B97:F97"/>
    <mergeCell ref="B99:F99"/>
    <mergeCell ref="B90:F90"/>
    <mergeCell ref="B125:F125"/>
    <mergeCell ref="B112:F112"/>
    <mergeCell ref="B91:F91"/>
    <mergeCell ref="B123:F123"/>
    <mergeCell ref="B100:F100"/>
    <mergeCell ref="B119:F119"/>
    <mergeCell ref="B120:F120"/>
    <mergeCell ref="B95:F95"/>
    <mergeCell ref="B107:F107"/>
    <mergeCell ref="B109:F109"/>
    <mergeCell ref="B110:F110"/>
    <mergeCell ref="B111:F111"/>
    <mergeCell ref="B98:F98"/>
    <mergeCell ref="B57:F57"/>
    <mergeCell ref="B60:F60"/>
    <mergeCell ref="B117:F117"/>
    <mergeCell ref="B70:F70"/>
    <mergeCell ref="B92:F92"/>
    <mergeCell ref="AO2:AQ2"/>
    <mergeCell ref="AO3:AQ3"/>
    <mergeCell ref="AH2:AI2"/>
    <mergeCell ref="AH3:AI3"/>
    <mergeCell ref="B39:F39"/>
    <mergeCell ref="B20:F20"/>
    <mergeCell ref="B21:F21"/>
    <mergeCell ref="B22:F22"/>
    <mergeCell ref="B24:F24"/>
    <mergeCell ref="B25:F25"/>
    <mergeCell ref="B28:F28"/>
    <mergeCell ref="B29:F29"/>
    <mergeCell ref="B30:F30"/>
    <mergeCell ref="B26:F26"/>
    <mergeCell ref="A9:B9"/>
    <mergeCell ref="AH6:AI7"/>
    <mergeCell ref="B34:F34"/>
    <mergeCell ref="G16:T16"/>
    <mergeCell ref="AD16:AF16"/>
    <mergeCell ref="B31:F31"/>
    <mergeCell ref="B32:F32"/>
    <mergeCell ref="B23:F23"/>
    <mergeCell ref="B36:F36"/>
    <mergeCell ref="AH5:AI5"/>
    <mergeCell ref="B54:F54"/>
    <mergeCell ref="B63:E66"/>
    <mergeCell ref="B59:F59"/>
    <mergeCell ref="B61:F61"/>
    <mergeCell ref="B62:F62"/>
    <mergeCell ref="B82:F82"/>
    <mergeCell ref="B83:F83"/>
    <mergeCell ref="B48:E51"/>
    <mergeCell ref="B69:F69"/>
    <mergeCell ref="B68:F68"/>
    <mergeCell ref="U16:W16"/>
    <mergeCell ref="X16:Z16"/>
    <mergeCell ref="AA16:AC16"/>
    <mergeCell ref="B118:F118"/>
    <mergeCell ref="B115:F115"/>
    <mergeCell ref="B93:F93"/>
    <mergeCell ref="B116:F116"/>
    <mergeCell ref="B94:F94"/>
    <mergeCell ref="B101:F101"/>
    <mergeCell ref="B102:F102"/>
    <mergeCell ref="B103:E106"/>
    <mergeCell ref="B108:F108"/>
    <mergeCell ref="B114:F114"/>
    <mergeCell ref="A17:F17"/>
    <mergeCell ref="B27:F27"/>
    <mergeCell ref="B35:F35"/>
    <mergeCell ref="B37:F37"/>
    <mergeCell ref="A53:A88"/>
    <mergeCell ref="B81:F81"/>
    <mergeCell ref="A39:A51"/>
    <mergeCell ref="B79:F79"/>
    <mergeCell ref="B76:F76"/>
    <mergeCell ref="B85:E88"/>
    <mergeCell ref="B53:F53"/>
    <mergeCell ref="A140:A144"/>
    <mergeCell ref="B143:F143"/>
    <mergeCell ref="B144:F144"/>
    <mergeCell ref="B126:F126"/>
    <mergeCell ref="B127:F127"/>
    <mergeCell ref="B128:F128"/>
    <mergeCell ref="B129:F129"/>
    <mergeCell ref="B130:F130"/>
    <mergeCell ref="B131:F131"/>
    <mergeCell ref="B133:F133"/>
    <mergeCell ref="B137:F137"/>
    <mergeCell ref="B138:F138"/>
    <mergeCell ref="B140:F140"/>
    <mergeCell ref="B141:F141"/>
    <mergeCell ref="B142:F142"/>
    <mergeCell ref="B134:F134"/>
    <mergeCell ref="B135:F135"/>
    <mergeCell ref="B41:F41"/>
    <mergeCell ref="B42:E45"/>
    <mergeCell ref="B46:F46"/>
    <mergeCell ref="B47:F47"/>
    <mergeCell ref="B40:F40"/>
    <mergeCell ref="B56:F56"/>
    <mergeCell ref="B33:F33"/>
    <mergeCell ref="A20:A37"/>
    <mergeCell ref="B136:F136"/>
    <mergeCell ref="A126:A131"/>
    <mergeCell ref="A133:A138"/>
    <mergeCell ref="B58:F58"/>
    <mergeCell ref="B55:F55"/>
    <mergeCell ref="B72:F72"/>
    <mergeCell ref="B73:F73"/>
    <mergeCell ref="B71:F71"/>
    <mergeCell ref="B75:F75"/>
    <mergeCell ref="B78:F78"/>
    <mergeCell ref="B80:F80"/>
    <mergeCell ref="B84:F84"/>
    <mergeCell ref="B113:F113"/>
    <mergeCell ref="B121:F121"/>
    <mergeCell ref="B122:F122"/>
    <mergeCell ref="B124:F124"/>
  </mergeCells>
  <phoneticPr fontId="3" type="noConversion"/>
  <conditionalFormatting sqref="G78:AH83 G20:AH20">
    <cfRule type="cellIs" dxfId="17" priority="12" operator="lessThan">
      <formula>0</formula>
    </cfRule>
  </conditionalFormatting>
  <conditionalFormatting sqref="G53:AH53">
    <cfRule type="cellIs" dxfId="16" priority="7" operator="lessThan">
      <formula>1</formula>
    </cfRule>
  </conditionalFormatting>
  <conditionalFormatting sqref="AH132">
    <cfRule type="cellIs" dxfId="15" priority="2" operator="lessThan">
      <formula>0</formula>
    </cfRule>
  </conditionalFormatting>
  <conditionalFormatting sqref="AH139">
    <cfRule type="cellIs" dxfId="14" priority="1" operator="lessThan">
      <formula>0</formula>
    </cfRule>
  </conditionalFormatting>
  <printOptions horizontalCentered="1"/>
  <pageMargins left="0.23622047244094491" right="0.23622047244094491" top="0.74803149606299213" bottom="0.74803149606299213" header="0.31496062992125984" footer="0.31496062992125984"/>
  <pageSetup paperSize="9" scale="44" fitToWidth="6" fitToHeight="2" orientation="landscape" r:id="rId1"/>
  <headerFooter>
    <oddFooter>Página &amp;P de &amp;N</oddFooter>
  </headerFooter>
  <rowBreaks count="2" manualBreakCount="2">
    <brk id="57" max="21" man="1"/>
    <brk id="80" max="21" man="1"/>
  </rowBreaks>
  <colBreaks count="1" manualBreakCount="1">
    <brk id="18" max="142" man="1"/>
  </col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8">
    <tabColor rgb="FF006F71"/>
  </sheetPr>
  <dimension ref="A1:AB121"/>
  <sheetViews>
    <sheetView workbookViewId="0"/>
  </sheetViews>
  <sheetFormatPr defaultColWidth="9.140625" defaultRowHeight="16.5" x14ac:dyDescent="0.3"/>
  <cols>
    <col min="1" max="1" width="14.28515625" style="192" customWidth="1"/>
    <col min="2" max="2" width="11.5703125" style="192" customWidth="1"/>
    <col min="3" max="3" width="4.42578125" style="192" customWidth="1"/>
    <col min="4" max="4" width="9.28515625" style="192" customWidth="1"/>
    <col min="5" max="5" width="4.85546875" style="192" customWidth="1"/>
    <col min="6" max="6" width="31" style="192" customWidth="1"/>
    <col min="7" max="15" width="13.5703125" style="224" customWidth="1"/>
    <col min="16" max="16" width="19.28515625" style="224" bestFit="1" customWidth="1"/>
    <col min="17" max="17" width="19.28515625" style="224" customWidth="1"/>
    <col min="18" max="18" width="13.5703125" style="224" customWidth="1"/>
    <col min="19" max="19" width="12.85546875" style="192" bestFit="1" customWidth="1"/>
    <col min="20" max="20" width="14.7109375" style="192" customWidth="1"/>
    <col min="21" max="21" width="9.140625" style="192"/>
    <col min="22" max="22" width="9.7109375" style="192" bestFit="1" customWidth="1"/>
    <col min="23" max="23" width="1.28515625" style="192" customWidth="1"/>
    <col min="24" max="24" width="9.5703125" style="192" bestFit="1" customWidth="1"/>
    <col min="25" max="25" width="1.5703125" style="192" customWidth="1"/>
    <col min="26" max="26" width="9.5703125" style="192" bestFit="1" customWidth="1"/>
    <col min="27" max="16384" width="9.140625" style="192"/>
  </cols>
  <sheetData>
    <row r="1" spans="1:28" ht="14.45" customHeight="1" x14ac:dyDescent="0.3">
      <c r="A1" s="276"/>
      <c r="B1" s="291"/>
      <c r="C1" s="335" t="str">
        <f>N.GOV</f>
        <v>GOVERNO DO ESTADO DE MATO GROSSO DO SUL</v>
      </c>
      <c r="D1" s="335"/>
      <c r="E1" s="335"/>
      <c r="F1" s="335"/>
      <c r="G1" s="335"/>
      <c r="H1" s="335"/>
      <c r="I1" s="335"/>
      <c r="J1" s="335"/>
      <c r="K1" s="335"/>
      <c r="L1" s="335"/>
      <c r="M1" s="335"/>
      <c r="N1" s="335"/>
      <c r="O1" s="335"/>
      <c r="P1" s="335"/>
      <c r="Q1" s="335"/>
      <c r="R1" s="335"/>
      <c r="S1" s="289"/>
      <c r="T1" s="311"/>
    </row>
    <row r="2" spans="1:28" ht="13.5" customHeight="1" x14ac:dyDescent="0.3">
      <c r="A2" s="279"/>
      <c r="B2" s="208"/>
      <c r="C2" s="263" t="str" cm="1">
        <f t="array" aca="1" ref="C2" ca="1">N.PREFEITURA</f>
        <v>PREFEITURA MUNICIPAL DE NAVIRAÍ</v>
      </c>
      <c r="D2" s="263"/>
      <c r="E2" s="263"/>
      <c r="F2" s="263"/>
      <c r="G2" s="468"/>
      <c r="H2" s="468"/>
      <c r="I2" s="468"/>
      <c r="J2" s="468"/>
      <c r="K2" s="468"/>
      <c r="L2" s="468"/>
      <c r="M2" s="468"/>
      <c r="N2" s="468"/>
      <c r="O2" s="468"/>
      <c r="P2" s="468"/>
      <c r="Q2" s="468"/>
      <c r="R2" s="468"/>
      <c r="S2" s="935"/>
      <c r="T2" s="936"/>
      <c r="Z2" s="935"/>
      <c r="AA2" s="935"/>
      <c r="AB2" s="935"/>
    </row>
    <row r="3" spans="1:28" ht="16.5" customHeight="1" x14ac:dyDescent="0.3">
      <c r="A3" s="293"/>
      <c r="B3" s="294"/>
      <c r="C3" s="442" t="str" cm="1">
        <f t="array" aca="1" ref="C3" ca="1">N.SECRETARIA</f>
        <v>SECRETARIA DE PLANEJAMENTO</v>
      </c>
      <c r="D3" s="442"/>
      <c r="E3" s="442"/>
      <c r="F3" s="442"/>
      <c r="G3" s="442"/>
      <c r="H3" s="442"/>
      <c r="I3" s="442"/>
      <c r="J3" s="442"/>
      <c r="K3" s="442"/>
      <c r="L3" s="442"/>
      <c r="M3" s="442"/>
      <c r="N3" s="442"/>
      <c r="O3" s="442"/>
      <c r="P3" s="442"/>
      <c r="Q3" s="442"/>
      <c r="R3" s="442"/>
      <c r="S3" s="937"/>
      <c r="T3" s="938"/>
      <c r="Z3" s="1106"/>
      <c r="AA3" s="1106"/>
      <c r="AB3" s="1106"/>
    </row>
    <row r="4" spans="1:28" ht="20.45" customHeight="1" x14ac:dyDescent="0.3">
      <c r="A4" s="643"/>
      <c r="B4" s="627" t="s">
        <v>1128</v>
      </c>
      <c r="C4" s="644"/>
      <c r="D4" s="627"/>
      <c r="E4" s="644"/>
      <c r="F4" s="644"/>
      <c r="G4" s="644"/>
      <c r="H4" s="644"/>
      <c r="I4" s="644"/>
      <c r="J4" s="644"/>
      <c r="K4" s="644"/>
      <c r="L4" s="644"/>
      <c r="M4" s="644"/>
      <c r="N4" s="644"/>
      <c r="O4" s="644"/>
      <c r="P4" s="644"/>
      <c r="Q4" s="644"/>
      <c r="R4" s="644"/>
      <c r="S4" s="644"/>
      <c r="T4" s="645"/>
    </row>
    <row r="5" spans="1:28" x14ac:dyDescent="0.3">
      <c r="A5" s="281" t="s">
        <v>811</v>
      </c>
      <c r="B5" s="552" t="str">
        <f>N.DESCRICAO</f>
        <v>INFRAESTRUTURA URBANA – PAVIMENTAÇÃO ASFÁLTICA, DRENAGEM, E SINALIZAÇÃO VIÁRIA NO ACESSO AO CEMITERIO MUNICIPAL DE NAVIRAÍ/ MS</v>
      </c>
      <c r="C5" s="229"/>
      <c r="D5" s="230"/>
      <c r="E5" s="230"/>
      <c r="F5" s="230"/>
      <c r="G5" s="230"/>
      <c r="H5" s="230"/>
      <c r="I5" s="230"/>
      <c r="J5" s="230"/>
      <c r="K5" s="230"/>
      <c r="L5" s="230"/>
      <c r="M5" s="230"/>
      <c r="N5" s="230"/>
      <c r="O5" s="230"/>
      <c r="P5" s="230"/>
      <c r="Q5" s="230"/>
      <c r="R5" s="230"/>
      <c r="S5" s="1113" t="s">
        <v>305</v>
      </c>
      <c r="T5" s="1114"/>
    </row>
    <row r="6" spans="1:28" x14ac:dyDescent="0.3">
      <c r="A6" s="259" t="s">
        <v>799</v>
      </c>
      <c r="B6" s="553" t="str">
        <f ca="1">N.MUNICIPIO</f>
        <v>NAVIRAÍ</v>
      </c>
      <c r="C6" s="227"/>
      <c r="D6" s="226"/>
      <c r="E6" s="226"/>
      <c r="F6" s="226"/>
      <c r="G6" s="226"/>
      <c r="H6" s="226"/>
      <c r="I6" s="226"/>
      <c r="J6" s="226"/>
      <c r="K6" s="226"/>
      <c r="L6" s="226"/>
      <c r="M6" s="226"/>
      <c r="N6" s="226"/>
      <c r="O6" s="226"/>
      <c r="P6" s="226"/>
      <c r="Q6" s="226"/>
      <c r="R6" s="226"/>
      <c r="S6" s="1121" t="str">
        <f>"  ______________________                   "&amp;N.Engenheiro&amp;"                                 "&amp;N.CREA</f>
        <v xml:space="preserve">  ______________________                   FÁBIO MARQUES RIBEIRO                                 ENGENHEIRO CIVIL - 15.276 D/MS</v>
      </c>
      <c r="T6" s="1122"/>
    </row>
    <row r="7" spans="1:28" ht="24" customHeight="1" x14ac:dyDescent="0.3">
      <c r="A7" s="259" t="s">
        <v>798</v>
      </c>
      <c r="B7" s="553" t="str" cm="1">
        <f t="array" ref="B7">N.LOCAL</f>
        <v>AVENIDA JOÃO RIGONATO</v>
      </c>
      <c r="C7" s="226"/>
      <c r="D7" s="226"/>
      <c r="E7" s="226"/>
      <c r="F7" s="226"/>
      <c r="G7" s="226"/>
      <c r="H7" s="226"/>
      <c r="I7" s="226"/>
      <c r="J7" s="226"/>
      <c r="K7" s="226"/>
      <c r="L7" s="226"/>
      <c r="M7" s="226"/>
      <c r="N7" s="226"/>
      <c r="O7" s="226"/>
      <c r="P7" s="226"/>
      <c r="Q7" s="226"/>
      <c r="R7" s="226"/>
      <c r="S7" s="1123"/>
      <c r="T7" s="1124"/>
    </row>
    <row r="8" spans="1:28" ht="20.100000000000001" customHeight="1" x14ac:dyDescent="0.3">
      <c r="A8" s="286"/>
      <c r="B8" s="288"/>
      <c r="C8" s="288"/>
      <c r="D8" s="288"/>
      <c r="E8" s="288"/>
      <c r="F8" s="288"/>
      <c r="G8" s="288"/>
      <c r="H8" s="288"/>
      <c r="I8" s="288"/>
      <c r="J8" s="288"/>
      <c r="K8" s="288"/>
      <c r="L8" s="288"/>
      <c r="M8" s="288"/>
      <c r="N8" s="288"/>
      <c r="O8" s="288"/>
      <c r="P8" s="288"/>
      <c r="Q8" s="288"/>
      <c r="R8" s="288"/>
      <c r="S8" s="288"/>
      <c r="T8" s="287"/>
    </row>
    <row r="9" spans="1:28" ht="20.100000000000001" customHeight="1" x14ac:dyDescent="0.3">
      <c r="A9" s="1107" t="s">
        <v>283</v>
      </c>
      <c r="B9" s="1108"/>
      <c r="C9" s="288"/>
      <c r="D9" s="1115" t="s">
        <v>281</v>
      </c>
      <c r="E9" s="1116"/>
      <c r="F9" s="1117"/>
      <c r="G9" s="288"/>
      <c r="H9" s="288"/>
      <c r="I9" s="288"/>
      <c r="J9" s="288"/>
      <c r="K9" s="288"/>
      <c r="L9" s="288"/>
      <c r="M9" s="288"/>
      <c r="N9" s="288"/>
      <c r="O9" s="288"/>
      <c r="P9" s="288"/>
      <c r="Q9" s="288"/>
      <c r="R9" s="288"/>
      <c r="S9" s="288"/>
      <c r="T9" s="280"/>
    </row>
    <row r="10" spans="1:28" ht="20.100000000000001" customHeight="1" x14ac:dyDescent="0.3">
      <c r="A10" s="336" t="s">
        <v>279</v>
      </c>
      <c r="B10" s="231">
        <f>VALUE('16-DMT'!H17)</f>
        <v>100</v>
      </c>
      <c r="C10" s="337"/>
      <c r="D10" s="233" t="s">
        <v>905</v>
      </c>
      <c r="E10" s="234">
        <f>G10</f>
        <v>5.5E-2</v>
      </c>
      <c r="F10" s="235" t="s">
        <v>282</v>
      </c>
      <c r="G10" s="304">
        <v>5.5E-2</v>
      </c>
      <c r="H10" s="304"/>
      <c r="I10" s="304"/>
      <c r="J10" s="304"/>
      <c r="K10" s="304"/>
      <c r="L10" s="304"/>
      <c r="M10" s="304"/>
      <c r="N10" s="304"/>
      <c r="O10" s="192"/>
      <c r="P10" s="192"/>
      <c r="Q10" s="192"/>
      <c r="R10" s="192"/>
      <c r="T10" s="300"/>
    </row>
    <row r="11" spans="1:28" ht="20.100000000000001" customHeight="1" x14ac:dyDescent="0.3">
      <c r="A11" s="338" t="s">
        <v>1291</v>
      </c>
      <c r="B11" s="231">
        <f>VALUE('16-DMT'!H11)</f>
        <v>5.8</v>
      </c>
      <c r="C11" s="337"/>
      <c r="D11" s="233" t="s">
        <v>906</v>
      </c>
      <c r="E11" s="234">
        <f>G11</f>
        <v>0.124</v>
      </c>
      <c r="F11" s="235" t="s">
        <v>282</v>
      </c>
      <c r="G11" s="304">
        <v>0.124</v>
      </c>
      <c r="H11" s="304"/>
      <c r="I11" s="304"/>
      <c r="J11" s="304"/>
      <c r="K11" s="304"/>
      <c r="L11" s="304"/>
      <c r="M11" s="304"/>
      <c r="N11" s="304"/>
      <c r="O11" s="192"/>
      <c r="P11" s="192"/>
      <c r="Q11" s="192"/>
      <c r="R11" s="192"/>
      <c r="T11" s="300"/>
    </row>
    <row r="12" spans="1:28" ht="20.100000000000001" customHeight="1" x14ac:dyDescent="0.3">
      <c r="A12" s="339" t="s">
        <v>280</v>
      </c>
      <c r="B12" s="232">
        <f>VALUE('16-DMT'!H16)</f>
        <v>22.5</v>
      </c>
      <c r="C12" s="217"/>
      <c r="D12" s="233" t="s">
        <v>907</v>
      </c>
      <c r="E12" s="234">
        <f>G12</f>
        <v>0.18099999999999999</v>
      </c>
      <c r="F12" s="235" t="s">
        <v>282</v>
      </c>
      <c r="G12" s="304">
        <v>0.18099999999999999</v>
      </c>
      <c r="H12" s="304"/>
      <c r="I12" s="304"/>
      <c r="J12" s="304"/>
      <c r="K12" s="304"/>
      <c r="L12" s="304"/>
      <c r="M12" s="304"/>
      <c r="N12" s="304"/>
      <c r="O12" s="192"/>
      <c r="P12" s="192"/>
      <c r="Q12" s="192"/>
      <c r="R12" s="192"/>
      <c r="T12" s="300"/>
      <c r="AB12" s="659"/>
    </row>
    <row r="13" spans="1:28" ht="20.100000000000001" customHeight="1" x14ac:dyDescent="0.3">
      <c r="A13" s="338" t="s">
        <v>1290</v>
      </c>
      <c r="B13" s="231">
        <f>VALUE('16-DMT'!H12)</f>
        <v>5.8</v>
      </c>
      <c r="C13" s="228"/>
      <c r="D13" s="304"/>
      <c r="E13" s="304"/>
      <c r="F13" s="304"/>
      <c r="G13" s="225"/>
      <c r="H13" s="225"/>
      <c r="I13" s="225"/>
      <c r="J13" s="225"/>
      <c r="K13" s="225"/>
      <c r="L13" s="225"/>
      <c r="M13" s="225"/>
      <c r="N13" s="225"/>
      <c r="O13" s="225"/>
      <c r="P13" s="225"/>
      <c r="Q13" s="225"/>
      <c r="R13" s="225"/>
      <c r="S13" s="225"/>
      <c r="T13" s="300"/>
      <c r="AB13" s="659"/>
    </row>
    <row r="14" spans="1:28" ht="20.100000000000001" customHeight="1" x14ac:dyDescent="0.3">
      <c r="A14" s="298"/>
      <c r="D14" s="304"/>
      <c r="E14" s="304"/>
      <c r="F14" s="304"/>
      <c r="G14" s="340"/>
      <c r="H14" s="340"/>
      <c r="I14" s="340"/>
      <c r="J14" s="340"/>
      <c r="K14" s="340"/>
      <c r="L14" s="340"/>
      <c r="M14" s="340"/>
      <c r="N14" s="340"/>
      <c r="O14" s="340"/>
      <c r="P14" s="340"/>
      <c r="Q14" s="340"/>
      <c r="R14" s="340"/>
      <c r="T14" s="300"/>
      <c r="AB14" s="659"/>
    </row>
    <row r="15" spans="1:28" ht="20.100000000000001" customHeight="1" x14ac:dyDescent="0.3">
      <c r="A15" s="298"/>
      <c r="D15" s="304"/>
      <c r="E15" s="304"/>
      <c r="F15" s="304"/>
      <c r="G15" s="223"/>
      <c r="H15" s="223"/>
      <c r="I15" s="223"/>
      <c r="J15" s="223"/>
      <c r="K15" s="223"/>
      <c r="L15" s="223"/>
      <c r="M15" s="223"/>
      <c r="N15" s="223"/>
      <c r="O15" s="223"/>
      <c r="P15" s="223"/>
      <c r="Q15" s="223"/>
      <c r="R15" s="340"/>
      <c r="T15" s="300"/>
      <c r="AB15" s="659"/>
    </row>
    <row r="16" spans="1:28" ht="24" customHeight="1" x14ac:dyDescent="0.3">
      <c r="A16" s="298"/>
      <c r="G16" s="1118" t="s">
        <v>1123</v>
      </c>
      <c r="H16" s="1120"/>
      <c r="I16" s="1120"/>
      <c r="J16" s="1120"/>
      <c r="K16" s="1120"/>
      <c r="L16" s="1119"/>
      <c r="M16" s="522" t="s">
        <v>1124</v>
      </c>
      <c r="N16" s="1118" t="s">
        <v>1125</v>
      </c>
      <c r="O16" s="1119"/>
      <c r="P16" s="1118" t="s">
        <v>1126</v>
      </c>
      <c r="Q16" s="1119"/>
      <c r="R16" s="192"/>
      <c r="T16" s="300"/>
      <c r="AB16" s="659"/>
    </row>
    <row r="17" spans="1:20" ht="21" customHeight="1" x14ac:dyDescent="0.3">
      <c r="A17" s="1125" t="s">
        <v>2</v>
      </c>
      <c r="B17" s="1126"/>
      <c r="C17" s="1126"/>
      <c r="D17" s="1126"/>
      <c r="E17" s="1126"/>
      <c r="F17" s="1127"/>
      <c r="G17" s="629" t="s">
        <v>1093</v>
      </c>
      <c r="H17" s="629" t="s">
        <v>1094</v>
      </c>
      <c r="I17" s="629" t="s">
        <v>1118</v>
      </c>
      <c r="J17" s="629" t="s">
        <v>1119</v>
      </c>
      <c r="K17" s="629" t="s">
        <v>1120</v>
      </c>
      <c r="L17" s="629" t="s">
        <v>1122</v>
      </c>
      <c r="M17" s="629" t="s">
        <v>1121</v>
      </c>
      <c r="N17" s="629" t="s">
        <v>1093</v>
      </c>
      <c r="O17" s="629" t="s">
        <v>1094</v>
      </c>
      <c r="P17" s="629" t="s">
        <v>1093</v>
      </c>
      <c r="Q17" s="629" t="s">
        <v>1094</v>
      </c>
      <c r="R17" s="609" t="s">
        <v>1100</v>
      </c>
      <c r="S17" s="609" t="s">
        <v>1099</v>
      </c>
      <c r="T17" s="609" t="s">
        <v>3</v>
      </c>
    </row>
    <row r="18" spans="1:20" ht="21" hidden="1" customHeight="1" x14ac:dyDescent="0.3">
      <c r="A18" s="475"/>
      <c r="B18" s="472"/>
      <c r="C18" s="472"/>
      <c r="D18" s="472"/>
      <c r="E18" s="472"/>
      <c r="F18" s="473"/>
      <c r="G18" s="223" t="str">
        <f>IFERROR(VLOOKUP(G17,BANCO_DRENAGEM!$L$2:$S$309,8,0),"")</f>
        <v/>
      </c>
      <c r="H18" s="223" t="str">
        <f>IFERROR(VLOOKUP(H17,BANCO_DRENAGEM!$L$2:$S$309,8,0),"")</f>
        <v/>
      </c>
      <c r="I18" s="223" t="str">
        <f>IFERROR(VLOOKUP(I17,BANCO_DRENAGEM!$L$2:$S$309,8,0),"")</f>
        <v/>
      </c>
      <c r="J18" s="223" t="str">
        <f>IFERROR(VLOOKUP(J17,BANCO_DRENAGEM!$L$2:$S$309,8,0),"")</f>
        <v/>
      </c>
      <c r="K18" s="223" t="str">
        <f>IFERROR(VLOOKUP(K17,BANCO_DRENAGEM!$L$2:$S$309,8,0),"")</f>
        <v/>
      </c>
      <c r="L18" s="223" t="str">
        <f>IFERROR(VLOOKUP(L17,BANCO_DRENAGEM!$L$2:$S$309,8,0),"")</f>
        <v/>
      </c>
      <c r="M18" s="223" t="str">
        <f>IFERROR(VLOOKUP(M17,BANCO_DRENAGEM!$L$2:$S$309,8,0),"")</f>
        <v/>
      </c>
      <c r="N18" s="223" t="str">
        <f>IFERROR(VLOOKUP(N17,BANCO_DRENAGEM!$L$2:$S$309,8,0),"")</f>
        <v/>
      </c>
      <c r="O18" s="223" t="str">
        <f>IFERROR(VLOOKUP(O17,BANCO_DRENAGEM!$L$2:$S$309,8,0),"")</f>
        <v/>
      </c>
      <c r="P18" s="223" t="str">
        <f>IFERROR(VLOOKUP(P17,BANCO_DRENAGEM!$L$2:$S$309,8,0),"")</f>
        <v/>
      </c>
      <c r="Q18" s="223" t="str">
        <f>IFERROR(VLOOKUP(Q17,BANCO_DRENAGEM!$L$2:$S$309,8,0),"")</f>
        <v/>
      </c>
      <c r="R18" s="223" t="str">
        <f>IFERROR(VLOOKUP(R17,BANCO_DRENAGEM!$L$2:$S$309,8,0),"")</f>
        <v/>
      </c>
      <c r="S18" s="223" t="str">
        <f>IFERROR(VLOOKUP(S17,BANCO_DRENAGEM!$L$2:$S$309,8,0),"")</f>
        <v/>
      </c>
      <c r="T18" s="372"/>
    </row>
    <row r="19" spans="1:20" ht="21" hidden="1" customHeight="1" x14ac:dyDescent="0.3">
      <c r="A19" s="475"/>
      <c r="B19" s="472"/>
      <c r="C19" s="472"/>
      <c r="D19" s="472"/>
      <c r="E19" s="472"/>
      <c r="F19" s="473"/>
      <c r="G19" s="223" t="s">
        <v>1115</v>
      </c>
      <c r="H19" s="223" t="str">
        <f>IFERROR(VLOOKUP(H17,BANCO_DRENAGEM!$L$2:$S$309,7,0),"")</f>
        <v/>
      </c>
      <c r="I19" s="223" t="str">
        <f>IFERROR(VLOOKUP(I17,BANCO_DRENAGEM!$L$2:$S$309,7,0),"")</f>
        <v/>
      </c>
      <c r="J19" s="223" t="str">
        <f>IFERROR(VLOOKUP(J17,BANCO_DRENAGEM!$L$2:$S$309,7,0),"")</f>
        <v/>
      </c>
      <c r="K19" s="223" t="str">
        <f>IFERROR(VLOOKUP(K17,BANCO_DRENAGEM!$L$2:$S$309,7,0),"")</f>
        <v/>
      </c>
      <c r="L19" s="223" t="str">
        <f>IFERROR(VLOOKUP(L17,BANCO_DRENAGEM!$L$2:$S$309,7,0),"")</f>
        <v/>
      </c>
      <c r="M19" s="223" t="str">
        <f>IFERROR(VLOOKUP(M17,BANCO_DRENAGEM!$L$2:$S$309,7,0),"")</f>
        <v/>
      </c>
      <c r="N19" s="223" t="s">
        <v>1116</v>
      </c>
      <c r="O19" s="223" t="s">
        <v>1116</v>
      </c>
      <c r="P19" s="223" t="s">
        <v>1117</v>
      </c>
      <c r="Q19" s="223" t="s">
        <v>1117</v>
      </c>
      <c r="R19" s="223" t="str">
        <f>IFERROR(VLOOKUP(R17,BANCO_DRENAGEM!$L$2:$S$309,7,0),"")</f>
        <v/>
      </c>
      <c r="S19" s="223" t="str">
        <f>IFERROR(VLOOKUP(S17,BANCO_DRENAGEM!$L$2:$S$309,7,0),"")</f>
        <v/>
      </c>
      <c r="T19" s="372"/>
    </row>
    <row r="20" spans="1:20" ht="15" customHeight="1" x14ac:dyDescent="0.3">
      <c r="A20" s="1084" t="s">
        <v>112</v>
      </c>
      <c r="B20" s="1083" t="s">
        <v>110</v>
      </c>
      <c r="C20" s="1083"/>
      <c r="D20" s="1083"/>
      <c r="E20" s="1083"/>
      <c r="F20" s="1083"/>
      <c r="G20" s="394"/>
      <c r="H20" s="394"/>
      <c r="I20" s="394"/>
      <c r="J20" s="394"/>
      <c r="K20" s="394"/>
      <c r="L20" s="394"/>
      <c r="M20" s="394"/>
      <c r="N20" s="394"/>
      <c r="O20" s="394"/>
      <c r="P20" s="394"/>
      <c r="Q20" s="394"/>
      <c r="R20" s="394"/>
      <c r="S20" s="394"/>
      <c r="T20" s="383">
        <f>TRUNC(SUM(G20:S20),2)</f>
        <v>0</v>
      </c>
    </row>
    <row r="21" spans="1:20" ht="15" customHeight="1" x14ac:dyDescent="0.3">
      <c r="A21" s="1085"/>
      <c r="B21" s="1083" t="s">
        <v>113</v>
      </c>
      <c r="C21" s="1083"/>
      <c r="D21" s="1083"/>
      <c r="E21" s="1083"/>
      <c r="F21" s="1083"/>
      <c r="G21" s="395" t="e">
        <f t="shared" ref="G21:S21" si="0">G20+G22</f>
        <v>#N/A</v>
      </c>
      <c r="H21" s="395" t="e">
        <f t="shared" si="0"/>
        <v>#N/A</v>
      </c>
      <c r="I21" s="395" t="e">
        <f t="shared" si="0"/>
        <v>#N/A</v>
      </c>
      <c r="J21" s="395" t="e">
        <f t="shared" si="0"/>
        <v>#N/A</v>
      </c>
      <c r="K21" s="395" t="e">
        <f t="shared" si="0"/>
        <v>#N/A</v>
      </c>
      <c r="L21" s="395" t="e">
        <f t="shared" si="0"/>
        <v>#N/A</v>
      </c>
      <c r="M21" s="395" t="e">
        <f t="shared" si="0"/>
        <v>#N/A</v>
      </c>
      <c r="N21" s="395" t="e">
        <f t="shared" si="0"/>
        <v>#N/A</v>
      </c>
      <c r="O21" s="395" t="e">
        <f t="shared" si="0"/>
        <v>#N/A</v>
      </c>
      <c r="P21" s="395" t="e">
        <f t="shared" si="0"/>
        <v>#N/A</v>
      </c>
      <c r="Q21" s="395" t="e">
        <f t="shared" si="0"/>
        <v>#N/A</v>
      </c>
      <c r="R21" s="395">
        <f t="shared" si="0"/>
        <v>0</v>
      </c>
      <c r="S21" s="395">
        <f t="shared" si="0"/>
        <v>0</v>
      </c>
      <c r="T21" s="396" t="e">
        <f>TRUNC(SUM(G21:S21),2)</f>
        <v>#N/A</v>
      </c>
    </row>
    <row r="22" spans="1:20" ht="15" customHeight="1" x14ac:dyDescent="0.3">
      <c r="A22" s="1085"/>
      <c r="B22" s="1083" t="s">
        <v>111</v>
      </c>
      <c r="C22" s="1083"/>
      <c r="D22" s="1083"/>
      <c r="E22" s="1083"/>
      <c r="F22" s="1083"/>
      <c r="G22" s="394" t="e" cm="1">
        <f t="array" ref="G22">IF(OR(LEFT(G17,6)="TRECHO",LEFT(G17,7)="RTRECHO"),INDEX(BANCO_DRENAGEM!$L$2:$AA$345,MATCH(G17&amp;G19&amp;G18,BANCO_DRENAGEM!$L$2:$L$345&amp;BANCO_DRENAGEM!$R$2:$R$345&amp;BANCO_DRENAGEM!$S$2:$S$345,0),3),IF(G17="BIGODE 40",SUMIFS(BANCO_DRENAGEM!$N$3:$N$345,BANCO_DRENAGEM!$T$3:$T$345,G17),IF(G17="RBIGODE 40",SUMIFS(BANCO_DRENAGEM!$N$3:$N$345,BANCO_DRENAGEM!$T$3:$T$345,G17),IF(G17="BIGODE 60",SUMIFS(BANCO_DRENAGEM!$N$3:$N$345,BANCO_DRENAGEM!$T$3:$T$345,G17)))))</f>
        <v>#N/A</v>
      </c>
      <c r="H22" s="394" t="e" cm="1">
        <f t="array" ref="H22">IF(OR(LEFT(H17,6)="TRECHO",LEFT(H17,7)="RTRECHO"),INDEX(BANCO_DRENAGEM!$L$2:$AA$345,MATCH(H17&amp;H19&amp;H18,BANCO_DRENAGEM!$L$2:$L$345&amp;BANCO_DRENAGEM!$R$2:$R$345&amp;BANCO_DRENAGEM!$S$2:$S$345,0),3),IF(H17="BIGODE 40",SUMIFS(BANCO_DRENAGEM!$N$3:$N$345,BANCO_DRENAGEM!$T$3:$T$345,H17),IF(H17="RBIGODE 40",SUMIFS(BANCO_DRENAGEM!$N$3:$N$345,BANCO_DRENAGEM!$T$3:$T$345,H17),IF(H17="BIGODE 60",SUMIFS(BANCO_DRENAGEM!$N$3:$N$345,BANCO_DRENAGEM!$T$3:$T$345,H17)))))</f>
        <v>#N/A</v>
      </c>
      <c r="I22" s="394" t="e" cm="1">
        <f t="array" ref="I22">IF(OR(LEFT(I17,6)="TRECHO",LEFT(I17,7)="RTRECHO"),INDEX(BANCO_DRENAGEM!$L$2:$AA$345,MATCH(I17&amp;I19&amp;I18,BANCO_DRENAGEM!$L$2:$L$345&amp;BANCO_DRENAGEM!$R$2:$R$345&amp;BANCO_DRENAGEM!$S$2:$S$345,0),3),IF(I17="BIGODE 40",SUMIFS(BANCO_DRENAGEM!$N$3:$N$345,BANCO_DRENAGEM!$T$3:$T$345,I17),IF(I17="RBIGODE 40",SUMIFS(BANCO_DRENAGEM!$N$3:$N$345,BANCO_DRENAGEM!$T$3:$T$345,I17),IF(I17="BIGODE 60",SUMIFS(BANCO_DRENAGEM!$N$3:$N$345,BANCO_DRENAGEM!$T$3:$T$345,I17)))))</f>
        <v>#N/A</v>
      </c>
      <c r="J22" s="394" t="e" cm="1">
        <f t="array" ref="J22">IF(OR(LEFT(J17,6)="TRECHO",LEFT(J17,7)="RTRECHO"),INDEX(BANCO_DRENAGEM!$L$2:$AA$345,MATCH(J17&amp;J19&amp;J18,BANCO_DRENAGEM!$L$2:$L$345&amp;BANCO_DRENAGEM!$R$2:$R$345&amp;BANCO_DRENAGEM!$S$2:$S$345,0),3),IF(J17="BIGODE 40",SUMIFS(BANCO_DRENAGEM!$N$3:$N$345,BANCO_DRENAGEM!$T$3:$T$345,J17),IF(J17="RBIGODE 40",SUMIFS(BANCO_DRENAGEM!$N$3:$N$345,BANCO_DRENAGEM!$T$3:$T$345,J17),IF(J17="BIGODE 60",SUMIFS(BANCO_DRENAGEM!$N$3:$N$345,BANCO_DRENAGEM!$T$3:$T$345,J17)))))</f>
        <v>#N/A</v>
      </c>
      <c r="K22" s="394" t="e" cm="1">
        <f t="array" ref="K22">IF(OR(LEFT(K17,6)="TRECHO",LEFT(K17,7)="RTRECHO"),INDEX(BANCO_DRENAGEM!$L$2:$AA$345,MATCH(K17&amp;K19&amp;K18,BANCO_DRENAGEM!$L$2:$L$345&amp;BANCO_DRENAGEM!$R$2:$R$345&amp;BANCO_DRENAGEM!$S$2:$S$345,0),3),IF(K17="BIGODE 40",SUMIFS(BANCO_DRENAGEM!$N$3:$N$345,BANCO_DRENAGEM!$T$3:$T$345,K17),IF(K17="RBIGODE 40",SUMIFS(BANCO_DRENAGEM!$N$3:$N$345,BANCO_DRENAGEM!$T$3:$T$345,K17),IF(K17="BIGODE 60",SUMIFS(BANCO_DRENAGEM!$N$3:$N$345,BANCO_DRENAGEM!$T$3:$T$345,K17)))))</f>
        <v>#N/A</v>
      </c>
      <c r="L22" s="394" t="e" cm="1">
        <f t="array" ref="L22">IF(OR(LEFT(L17,6)="TRECHO",LEFT(L17,7)="RTRECHO"),INDEX(BANCO_DRENAGEM!$L$2:$AA$345,MATCH(L17&amp;L19&amp;L18,BANCO_DRENAGEM!$L$2:$L$345&amp;BANCO_DRENAGEM!$R$2:$R$345&amp;BANCO_DRENAGEM!$S$2:$S$345,0),3),IF(L17="BIGODE 40",SUMIFS(BANCO_DRENAGEM!$N$3:$N$345,BANCO_DRENAGEM!$T$3:$T$345,L17),IF(L17="RBIGODE 40",SUMIFS(BANCO_DRENAGEM!$N$3:$N$345,BANCO_DRENAGEM!$T$3:$T$345,L17),IF(L17="BIGODE 60",SUMIFS(BANCO_DRENAGEM!$N$3:$N$345,BANCO_DRENAGEM!$T$3:$T$345,L17)))))</f>
        <v>#N/A</v>
      </c>
      <c r="M22" s="394" t="e" cm="1">
        <f t="array" ref="M22">IF(OR(LEFT(M17,6)="TRECHO",LEFT(M17,7)="RTRECHO"),INDEX(BANCO_DRENAGEM!$L$2:$AA$345,MATCH(M17&amp;M19&amp;M18,BANCO_DRENAGEM!$L$2:$L$345&amp;BANCO_DRENAGEM!$R$2:$R$345&amp;BANCO_DRENAGEM!$S$2:$S$345,0),3),IF(M17="BIGODE 40",SUMIFS(BANCO_DRENAGEM!$N$3:$N$345,BANCO_DRENAGEM!$T$3:$T$345,M17),IF(M17="RBIGODE 40",SUMIFS(BANCO_DRENAGEM!$N$3:$N$345,BANCO_DRENAGEM!$T$3:$T$345,M17),IF(M17="BIGODE 60",SUMIFS(BANCO_DRENAGEM!$N$3:$N$345,BANCO_DRENAGEM!$T$3:$T$345,M17)))))</f>
        <v>#N/A</v>
      </c>
      <c r="N22" s="394" t="e" cm="1">
        <f t="array" ref="N22">IF(OR(LEFT(N17,6)="TRECHO",LEFT(N17,7)="RTRECHO"),INDEX(BANCO_DRENAGEM!$L$2:$AA$345,MATCH(N17&amp;N19&amp;N18,BANCO_DRENAGEM!$L$2:$L$345&amp;BANCO_DRENAGEM!$R$2:$R$345&amp;BANCO_DRENAGEM!$S$2:$S$345,0),3),IF(N17="BIGODE 40",SUMIFS(BANCO_DRENAGEM!$N$3:$N$345,BANCO_DRENAGEM!$T$3:$T$345,N17),IF(N17="RBIGODE 40",SUMIFS(BANCO_DRENAGEM!$N$3:$N$345,BANCO_DRENAGEM!$T$3:$T$345,N17),IF(N17="BIGODE 60",SUMIFS(BANCO_DRENAGEM!$N$3:$N$345,BANCO_DRENAGEM!$T$3:$T$345,N17)))))</f>
        <v>#N/A</v>
      </c>
      <c r="O22" s="394" t="e" cm="1">
        <f t="array" ref="O22">IF(OR(LEFT(O17,6)="TRECHO",LEFT(O17,7)="RTRECHO"),INDEX(BANCO_DRENAGEM!$L$2:$AA$345,MATCH(O17&amp;O19&amp;O18,BANCO_DRENAGEM!$L$2:$L$345&amp;BANCO_DRENAGEM!$R$2:$R$345&amp;BANCO_DRENAGEM!$S$2:$S$345,0),3),IF(O17="BIGODE 40",SUMIFS(BANCO_DRENAGEM!$N$3:$N$345,BANCO_DRENAGEM!$T$3:$T$345,O17),IF(O17="RBIGODE 40",SUMIFS(BANCO_DRENAGEM!$N$3:$N$345,BANCO_DRENAGEM!$T$3:$T$345,O17),IF(O17="BIGODE 60",SUMIFS(BANCO_DRENAGEM!$N$3:$N$345,BANCO_DRENAGEM!$T$3:$T$345,O17)))))</f>
        <v>#N/A</v>
      </c>
      <c r="P22" s="394" t="e" cm="1">
        <f t="array" ref="P22">IF(OR(LEFT(P17,6)="TRECHO",LEFT(P17,7)="RTRECHO"),INDEX(BANCO_DRENAGEM!$L$2:$AA$345,MATCH(P17&amp;P19&amp;P18,BANCO_DRENAGEM!$L$2:$L$345&amp;BANCO_DRENAGEM!$R$2:$R$345&amp;BANCO_DRENAGEM!$S$2:$S$345,0),3),IF(P17="BIGODE 40",SUMIFS(BANCO_DRENAGEM!$N$3:$N$345,BANCO_DRENAGEM!$T$3:$T$345,P17),IF(P17="RBIGODE 40",SUMIFS(BANCO_DRENAGEM!$N$3:$N$345,BANCO_DRENAGEM!$T$3:$T$345,P17),IF(P17="BIGODE 60",SUMIFS(BANCO_DRENAGEM!$N$3:$N$345,BANCO_DRENAGEM!$T$3:$T$345,P17)))))</f>
        <v>#N/A</v>
      </c>
      <c r="Q22" s="394" t="e" cm="1">
        <f t="array" ref="Q22">IF(OR(LEFT(Q17,6)="TRECHO",LEFT(Q17,7)="RTRECHO"),INDEX(BANCO_DRENAGEM!$L$2:$AA$345,MATCH(Q17&amp;Q19&amp;Q18,BANCO_DRENAGEM!$L$2:$L$345&amp;BANCO_DRENAGEM!$R$2:$R$345&amp;BANCO_DRENAGEM!$S$2:$S$345,0),3),IF(Q17="BIGODE 40",SUMIFS(BANCO_DRENAGEM!$N$3:$N$345,BANCO_DRENAGEM!$T$3:$T$345,Q17),IF(Q17="RBIGODE 40",SUMIFS(BANCO_DRENAGEM!$N$3:$N$345,BANCO_DRENAGEM!$T$3:$T$345,Q17),IF(Q17="BIGODE 60",SUMIFS(BANCO_DRENAGEM!$N$3:$N$345,BANCO_DRENAGEM!$T$3:$T$345,Q17)))))</f>
        <v>#N/A</v>
      </c>
      <c r="R22" s="394">
        <v>0</v>
      </c>
      <c r="S22" s="394" cm="1">
        <f t="array" ref="S22">IF(OR(LEFT(S17,6)="TRECHO",LEFT(S17,7)="RTRECHO"),INDEX(BANCO_DRENAGEM!$L$2:$AA$345,MATCH(S17&amp;S19&amp;S18,BANCO_DRENAGEM!$L$2:$L$345&amp;BANCO_DRENAGEM!$R$2:$R$345&amp;BANCO_DRENAGEM!$S$2:$S$345,0),3),IF(S17="BIGODE 40",SUMIFS(BANCO_DRENAGEM!$N$3:$N$345,BANCO_DRENAGEM!$T$3:$T$345,S17),IF(S17="RBIGODE 40",SUMIFS(BANCO_DRENAGEM!$N$3:$N$345,BANCO_DRENAGEM!$T$3:$T$345,S17),IF(S17="BIGODE 60",SUMIFS(BANCO_DRENAGEM!$N$3:$N$345,BANCO_DRENAGEM!$T$3:$T$345,S17)))))</f>
        <v>0</v>
      </c>
      <c r="T22" s="383" t="e">
        <f>TRUNC(SUM(G22:S22),2)</f>
        <v>#N/A</v>
      </c>
    </row>
    <row r="23" spans="1:20" ht="15" customHeight="1" x14ac:dyDescent="0.3">
      <c r="A23" s="1085"/>
      <c r="B23" s="1083" t="s">
        <v>370</v>
      </c>
      <c r="C23" s="1083"/>
      <c r="D23" s="1083"/>
      <c r="E23" s="1083"/>
      <c r="F23" s="1083"/>
      <c r="G23" s="395" t="e">
        <f t="shared" ref="G23:S23" si="1">G21*0.3</f>
        <v>#N/A</v>
      </c>
      <c r="H23" s="395" t="e">
        <f t="shared" si="1"/>
        <v>#N/A</v>
      </c>
      <c r="I23" s="395" t="e">
        <f t="shared" si="1"/>
        <v>#N/A</v>
      </c>
      <c r="J23" s="395" t="e">
        <f t="shared" si="1"/>
        <v>#N/A</v>
      </c>
      <c r="K23" s="395" t="e">
        <f t="shared" si="1"/>
        <v>#N/A</v>
      </c>
      <c r="L23" s="395" t="e">
        <f t="shared" si="1"/>
        <v>#N/A</v>
      </c>
      <c r="M23" s="395" t="e">
        <f t="shared" si="1"/>
        <v>#N/A</v>
      </c>
      <c r="N23" s="395" t="e">
        <f t="shared" si="1"/>
        <v>#N/A</v>
      </c>
      <c r="O23" s="395" t="e">
        <f t="shared" si="1"/>
        <v>#N/A</v>
      </c>
      <c r="P23" s="395" t="e">
        <f t="shared" si="1"/>
        <v>#N/A</v>
      </c>
      <c r="Q23" s="395" t="e">
        <f t="shared" si="1"/>
        <v>#N/A</v>
      </c>
      <c r="R23" s="395">
        <f t="shared" si="1"/>
        <v>0</v>
      </c>
      <c r="S23" s="395">
        <f t="shared" si="1"/>
        <v>0</v>
      </c>
      <c r="T23" s="396" t="e">
        <f>TRUNC(SUM(G23:S23),2)</f>
        <v>#N/A</v>
      </c>
    </row>
    <row r="24" spans="1:20" ht="15" customHeight="1" x14ac:dyDescent="0.3">
      <c r="A24" s="1085"/>
      <c r="B24" s="1083" t="s">
        <v>4</v>
      </c>
      <c r="C24" s="1083"/>
      <c r="D24" s="1083"/>
      <c r="E24" s="1083"/>
      <c r="F24" s="1083"/>
      <c r="G24" s="397">
        <v>1</v>
      </c>
      <c r="H24" s="397">
        <v>1</v>
      </c>
      <c r="I24" s="397">
        <v>1</v>
      </c>
      <c r="J24" s="397">
        <v>1</v>
      </c>
      <c r="K24" s="397">
        <v>1</v>
      </c>
      <c r="L24" s="397">
        <v>1</v>
      </c>
      <c r="M24" s="397">
        <v>1</v>
      </c>
      <c r="N24" s="397">
        <v>1</v>
      </c>
      <c r="O24" s="397">
        <v>1</v>
      </c>
      <c r="P24" s="397">
        <v>1</v>
      </c>
      <c r="Q24" s="397">
        <v>1</v>
      </c>
      <c r="R24" s="397">
        <v>1</v>
      </c>
      <c r="S24" s="397">
        <v>1</v>
      </c>
      <c r="T24" s="398"/>
    </row>
    <row r="25" spans="1:20" ht="15" customHeight="1" x14ac:dyDescent="0.3">
      <c r="A25" s="1085"/>
      <c r="B25" s="1083" t="s">
        <v>30</v>
      </c>
      <c r="C25" s="1083"/>
      <c r="D25" s="1083"/>
      <c r="E25" s="1083"/>
      <c r="F25" s="1083"/>
      <c r="G25" s="394" t="e" cm="1">
        <f t="array" ref="G25">IF(OR(LEFT(G17,6)="TRECHO",LEFT(G17,7)="RTRECHO"),INDEX(BANCO_DRENAGEM!$L$2:$AA$345,MATCH(G17&amp;G19&amp;G18,BANCO_DRENAGEM!$L$2:$L$345&amp;BANCO_DRENAGEM!$R$2:$R$345&amp;BANCO_DRENAGEM!$S$2:$S$345,0),2),IF(G17="BIGODE 40",SUMIFS(BANCO_DRENAGEM!$N$3:$N$345,BANCO_DRENAGEM!$T$3:$T$345,G17),IF(G17="RBIGODE 40",SUMIFS(BANCO_DRENAGEM!$N$3:$N$345,BANCO_DRENAGEM!$T$3:$T$345,G17),IF(G17="BIGODE 60",SUMIFS(BANCO_DRENAGEM!$N$3:$N$345,BANCO_DRENAGEM!$T$3:$T$345,G17)))))/1000</f>
        <v>#N/A</v>
      </c>
      <c r="H25" s="394" t="e" cm="1">
        <f t="array" ref="H25">IF(OR(LEFT(H17,6)="TRECHO",LEFT(H17,7)="RTRECHO"),INDEX(BANCO_DRENAGEM!$L$2:$AA$345,MATCH(H17&amp;H19&amp;H18,BANCO_DRENAGEM!$L$2:$L$345&amp;BANCO_DRENAGEM!$R$2:$R$345&amp;BANCO_DRENAGEM!$S$2:$S$345,0),2),IF(H17="BIGODE 40",SUMIFS(BANCO_DRENAGEM!$N$3:$N$345,BANCO_DRENAGEM!$T$3:$T$345,H17),IF(H17="RBIGODE 40",SUMIFS(BANCO_DRENAGEM!$N$3:$N$345,BANCO_DRENAGEM!$T$3:$T$345,H17),IF(H17="BIGODE 60",SUMIFS(BANCO_DRENAGEM!$N$3:$N$345,BANCO_DRENAGEM!$T$3:$T$345,H17)))))/1000</f>
        <v>#N/A</v>
      </c>
      <c r="I25" s="394" t="e" cm="1">
        <f t="array" ref="I25">IF(OR(LEFT(I17,6)="TRECHO",LEFT(I17,7)="RTRECHO"),INDEX(BANCO_DRENAGEM!$L$2:$AA$345,MATCH(I17&amp;I19&amp;I18,BANCO_DRENAGEM!$L$2:$L$345&amp;BANCO_DRENAGEM!$R$2:$R$345&amp;BANCO_DRENAGEM!$S$2:$S$345,0),2),IF(I17="BIGODE 40",SUMIFS(BANCO_DRENAGEM!$N$3:$N$345,BANCO_DRENAGEM!$T$3:$T$345,I17),IF(I17="RBIGODE 40",SUMIFS(BANCO_DRENAGEM!$N$3:$N$345,BANCO_DRENAGEM!$T$3:$T$345,I17),IF(I17="BIGODE 60",SUMIFS(BANCO_DRENAGEM!$N$3:$N$345,BANCO_DRENAGEM!$T$3:$T$345,I17)))))/1000</f>
        <v>#N/A</v>
      </c>
      <c r="J25" s="394" t="e" cm="1">
        <f t="array" ref="J25">IF(OR(LEFT(J17,6)="TRECHO",LEFT(J17,7)="RTRECHO"),INDEX(BANCO_DRENAGEM!$L$2:$AA$345,MATCH(J17&amp;J19&amp;J18,BANCO_DRENAGEM!$L$2:$L$345&amp;BANCO_DRENAGEM!$R$2:$R$345&amp;BANCO_DRENAGEM!$S$2:$S$345,0),2),IF(J17="BIGODE 40",SUMIFS(BANCO_DRENAGEM!$N$3:$N$345,BANCO_DRENAGEM!$T$3:$T$345,J17),IF(J17="RBIGODE 40",SUMIFS(BANCO_DRENAGEM!$N$3:$N$345,BANCO_DRENAGEM!$T$3:$T$345,J17),IF(J17="BIGODE 60",SUMIFS(BANCO_DRENAGEM!$N$3:$N$345,BANCO_DRENAGEM!$T$3:$T$345,J17)))))/1000</f>
        <v>#N/A</v>
      </c>
      <c r="K25" s="394" t="e" cm="1">
        <f t="array" ref="K25">IF(OR(LEFT(K17,6)="TRECHO",LEFT(K17,7)="RTRECHO"),INDEX(BANCO_DRENAGEM!$L$2:$AA$345,MATCH(K17&amp;K19&amp;K18,BANCO_DRENAGEM!$L$2:$L$345&amp;BANCO_DRENAGEM!$R$2:$R$345&amp;BANCO_DRENAGEM!$S$2:$S$345,0),2),IF(K17="BIGODE 40",SUMIFS(BANCO_DRENAGEM!$N$3:$N$345,BANCO_DRENAGEM!$T$3:$T$345,K17),IF(K17="RBIGODE 40",SUMIFS(BANCO_DRENAGEM!$N$3:$N$345,BANCO_DRENAGEM!$T$3:$T$345,K17),IF(K17="BIGODE 60",SUMIFS(BANCO_DRENAGEM!$N$3:$N$345,BANCO_DRENAGEM!$T$3:$T$345,K17)))))/1000</f>
        <v>#N/A</v>
      </c>
      <c r="L25" s="394" t="e" cm="1">
        <f t="array" ref="L25">IF(OR(LEFT(L17,6)="TRECHO",LEFT(L17,7)="RTRECHO"),INDEX(BANCO_DRENAGEM!$L$2:$AA$345,MATCH(L17&amp;L19&amp;L18,BANCO_DRENAGEM!$L$2:$L$345&amp;BANCO_DRENAGEM!$R$2:$R$345&amp;BANCO_DRENAGEM!$S$2:$S$345,0),2),IF(L17="BIGODE 40",SUMIFS(BANCO_DRENAGEM!$N$3:$N$345,BANCO_DRENAGEM!$T$3:$T$345,L17),IF(L17="RBIGODE 40",SUMIFS(BANCO_DRENAGEM!$N$3:$N$345,BANCO_DRENAGEM!$T$3:$T$345,L17),IF(L17="BIGODE 60",SUMIFS(BANCO_DRENAGEM!$N$3:$N$345,BANCO_DRENAGEM!$T$3:$T$345,L17)))))/1000</f>
        <v>#N/A</v>
      </c>
      <c r="M25" s="394" t="e" cm="1">
        <f t="array" ref="M25">IF(OR(LEFT(M17,6)="TRECHO",LEFT(M17,7)="RTRECHO"),INDEX(BANCO_DRENAGEM!$L$2:$AA$345,MATCH(M17&amp;M19&amp;M18,BANCO_DRENAGEM!$L$2:$L$345&amp;BANCO_DRENAGEM!$R$2:$R$345&amp;BANCO_DRENAGEM!$S$2:$S$345,0),2),IF(M17="BIGODE 40",SUMIFS(BANCO_DRENAGEM!$N$3:$N$345,BANCO_DRENAGEM!$T$3:$T$345,M17),IF(M17="RBIGODE 40",SUMIFS(BANCO_DRENAGEM!$N$3:$N$345,BANCO_DRENAGEM!$T$3:$T$345,M17),IF(M17="BIGODE 60",SUMIFS(BANCO_DRENAGEM!$N$3:$N$345,BANCO_DRENAGEM!$T$3:$T$345,M17)))))/1000</f>
        <v>#N/A</v>
      </c>
      <c r="N25" s="394" t="e" cm="1">
        <f t="array" ref="N25">IF(OR(LEFT(N17,6)="TRECHO",LEFT(N17,7)="RTRECHO"),INDEX(BANCO_DRENAGEM!$L$2:$AA$345,MATCH(N17&amp;N19&amp;N18,BANCO_DRENAGEM!$L$2:$L$345&amp;BANCO_DRENAGEM!$R$2:$R$345&amp;BANCO_DRENAGEM!$S$2:$S$345,0),2),IF(N17="BIGODE 40",SUMIFS(BANCO_DRENAGEM!$N$3:$N$345,BANCO_DRENAGEM!$T$3:$T$345,N17),IF(N17="RBIGODE 40",SUMIFS(BANCO_DRENAGEM!$N$3:$N$345,BANCO_DRENAGEM!$T$3:$T$345,N17),IF(N17="BIGODE 60",SUMIFS(BANCO_DRENAGEM!$N$3:$N$345,BANCO_DRENAGEM!$T$3:$T$345,N17)))))/1000</f>
        <v>#N/A</v>
      </c>
      <c r="O25" s="394" t="e" cm="1">
        <f t="array" ref="O25">IF(OR(LEFT(O17,6)="TRECHO",LEFT(O17,7)="RTRECHO"),INDEX(BANCO_DRENAGEM!$L$2:$AA$345,MATCH(O17&amp;O19&amp;O18,BANCO_DRENAGEM!$L$2:$L$345&amp;BANCO_DRENAGEM!$R$2:$R$345&amp;BANCO_DRENAGEM!$S$2:$S$345,0),2),IF(O17="BIGODE 40",SUMIFS(BANCO_DRENAGEM!$N$3:$N$345,BANCO_DRENAGEM!$T$3:$T$345,O17),IF(O17="RBIGODE 40",SUMIFS(BANCO_DRENAGEM!$N$3:$N$345,BANCO_DRENAGEM!$T$3:$T$345,O17),IF(O17="BIGODE 60",SUMIFS(BANCO_DRENAGEM!$N$3:$N$345,BANCO_DRENAGEM!$T$3:$T$345,O17)))))/1000</f>
        <v>#N/A</v>
      </c>
      <c r="P25" s="394" t="e" cm="1">
        <f t="array" ref="P25">IF(OR(LEFT(P17,6)="TRECHO",LEFT(P17,7)="RTRECHO"),INDEX(BANCO_DRENAGEM!$L$2:$AA$345,MATCH(P17&amp;P19&amp;P18,BANCO_DRENAGEM!$L$2:$L$345&amp;BANCO_DRENAGEM!$R$2:$R$345&amp;BANCO_DRENAGEM!$S$2:$S$345,0),2),IF(P17="BIGODE 40",SUMIFS(BANCO_DRENAGEM!$N$3:$N$345,BANCO_DRENAGEM!$T$3:$T$345,P17),IF(P17="RBIGODE 40",SUMIFS(BANCO_DRENAGEM!$N$3:$N$345,BANCO_DRENAGEM!$T$3:$T$345,P17),IF(P17="BIGODE 60",SUMIFS(BANCO_DRENAGEM!$N$3:$N$345,BANCO_DRENAGEM!$T$3:$T$345,P17)))))/1000</f>
        <v>#N/A</v>
      </c>
      <c r="Q25" s="394" t="e" cm="1">
        <f t="array" ref="Q25">IF(OR(LEFT(Q17,6)="TRECHO",LEFT(Q17,7)="RTRECHO"),INDEX(BANCO_DRENAGEM!$L$2:$AA$345,MATCH(Q17&amp;Q19&amp;Q18,BANCO_DRENAGEM!$L$2:$L$345&amp;BANCO_DRENAGEM!$R$2:$R$345&amp;BANCO_DRENAGEM!$S$2:$S$345,0),2),IF(Q17="BIGODE 40",SUMIFS(BANCO_DRENAGEM!$N$3:$N$345,BANCO_DRENAGEM!$T$3:$T$345,Q17),IF(Q17="RBIGODE 40",SUMIFS(BANCO_DRENAGEM!$N$3:$N$345,BANCO_DRENAGEM!$T$3:$T$345,Q17),IF(Q17="BIGODE 60",SUMIFS(BANCO_DRENAGEM!$N$3:$N$345,BANCO_DRENAGEM!$T$3:$T$345,Q17)))))/1000</f>
        <v>#N/A</v>
      </c>
      <c r="R25" s="394">
        <v>0.6</v>
      </c>
      <c r="S25" s="394">
        <v>0.4</v>
      </c>
      <c r="T25" s="398"/>
    </row>
    <row r="26" spans="1:20" ht="14.25" customHeight="1" x14ac:dyDescent="0.3">
      <c r="A26" s="1085"/>
      <c r="B26" s="1083" t="s">
        <v>271</v>
      </c>
      <c r="C26" s="1083"/>
      <c r="D26" s="1083"/>
      <c r="E26" s="1083"/>
      <c r="F26" s="1083"/>
      <c r="G26" s="399" t="e" cm="1">
        <f t="array" ref="G26">IF(OR(LEFT(G17,6)="TRECHO",LEFT(G17,7)="RTRECHO"),INDEX(BANCO_DRENAGEM!$L$2:$AA$345,MATCH(G17&amp;G19&amp;G18,BANCO_DRENAGEM!$L$2:$L$345&amp;BANCO_DRENAGEM!$R$2:$R$345&amp;BANCO_DRENAGEM!$S$2:$S$345,0),5))</f>
        <v>#N/A</v>
      </c>
      <c r="H26" s="399" t="e" cm="1">
        <f t="array" ref="H26">IF(OR(LEFT(H17,6)="TRECHO",LEFT(H17,7)="RTRECHO"),INDEX(BANCO_DRENAGEM!$L$2:$AA$345,MATCH(H17&amp;H19&amp;H18,BANCO_DRENAGEM!$L$2:$L$345&amp;BANCO_DRENAGEM!$R$2:$R$345&amp;BANCO_DRENAGEM!$S$2:$S$345,0),5))</f>
        <v>#N/A</v>
      </c>
      <c r="I26" s="399" t="e" cm="1">
        <f t="array" ref="I26">IF(OR(LEFT(I17,6)="TRECHO",LEFT(I17,7)="RTRECHO"),INDEX(BANCO_DRENAGEM!$L$2:$AA$345,MATCH(I17&amp;I19&amp;I18,BANCO_DRENAGEM!$L$2:$L$345&amp;BANCO_DRENAGEM!$R$2:$R$345&amp;BANCO_DRENAGEM!$S$2:$S$345,0),5))</f>
        <v>#N/A</v>
      </c>
      <c r="J26" s="399" t="e" cm="1">
        <f t="array" ref="J26">IF(OR(LEFT(J17,6)="TRECHO",LEFT(J17,7)="RTRECHO"),INDEX(BANCO_DRENAGEM!$L$2:$AA$345,MATCH(J17&amp;J19&amp;J18,BANCO_DRENAGEM!$L$2:$L$345&amp;BANCO_DRENAGEM!$R$2:$R$345&amp;BANCO_DRENAGEM!$S$2:$S$345,0),5))</f>
        <v>#N/A</v>
      </c>
      <c r="K26" s="399" t="e" cm="1">
        <f t="array" ref="K26">IF(OR(LEFT(K17,6)="TRECHO",LEFT(K17,7)="RTRECHO"),INDEX(BANCO_DRENAGEM!$L$2:$AA$345,MATCH(K17&amp;K19&amp;K18,BANCO_DRENAGEM!$L$2:$L$345&amp;BANCO_DRENAGEM!$R$2:$R$345&amp;BANCO_DRENAGEM!$S$2:$S$345,0),5))</f>
        <v>#N/A</v>
      </c>
      <c r="L26" s="399" t="e" cm="1">
        <f t="array" ref="L26">IF(OR(LEFT(L17,6)="TRECHO",LEFT(L17,7)="RTRECHO"),INDEX(BANCO_DRENAGEM!$L$2:$AA$345,MATCH(L17&amp;L19&amp;L18,BANCO_DRENAGEM!$L$2:$L$345&amp;BANCO_DRENAGEM!$R$2:$R$345&amp;BANCO_DRENAGEM!$S$2:$S$345,0),5))</f>
        <v>#N/A</v>
      </c>
      <c r="M26" s="399" t="e" cm="1">
        <f t="array" ref="M26">IF(OR(LEFT(M17,6)="TRECHO",LEFT(M17,7)="RTRECHO"),INDEX(BANCO_DRENAGEM!$L$2:$AA$345,MATCH(M17&amp;M19&amp;M18,BANCO_DRENAGEM!$L$2:$L$345&amp;BANCO_DRENAGEM!$R$2:$R$345&amp;BANCO_DRENAGEM!$S$2:$S$345,0),5))</f>
        <v>#N/A</v>
      </c>
      <c r="N26" s="399" t="e" cm="1">
        <f t="array" ref="N26">IF(OR(LEFT(N17,6)="TRECHO",LEFT(N17,7)="RTRECHO"),INDEX(BANCO_DRENAGEM!$L$2:$AA$345,MATCH(N17&amp;N19&amp;N18,BANCO_DRENAGEM!$L$2:$L$345&amp;BANCO_DRENAGEM!$R$2:$R$345&amp;BANCO_DRENAGEM!$S$2:$S$345,0),5))</f>
        <v>#N/A</v>
      </c>
      <c r="O26" s="399" t="e" cm="1">
        <f t="array" ref="O26">IF(OR(LEFT(O17,6)="TRECHO",LEFT(O17,7)="RTRECHO"),INDEX(BANCO_DRENAGEM!$L$2:$AA$345,MATCH(O17&amp;O19&amp;O18,BANCO_DRENAGEM!$L$2:$L$345&amp;BANCO_DRENAGEM!$R$2:$R$345&amp;BANCO_DRENAGEM!$S$2:$S$345,0),5))</f>
        <v>#N/A</v>
      </c>
      <c r="P26" s="399" t="e" cm="1">
        <f t="array" ref="P26">IF(OR(LEFT(P17,6)="TRECHO",LEFT(P17,7)="RTRECHO"),INDEX(BANCO_DRENAGEM!$L$2:$AA$345,MATCH(P17&amp;P19&amp;P18,BANCO_DRENAGEM!$L$2:$L$345&amp;BANCO_DRENAGEM!$R$2:$R$345&amp;BANCO_DRENAGEM!$S$2:$S$345,0),5))</f>
        <v>#N/A</v>
      </c>
      <c r="Q26" s="399" t="e" cm="1">
        <f t="array" ref="Q26">IF(OR(LEFT(Q17,6)="TRECHO",LEFT(Q17,7)="RTRECHO"),INDEX(BANCO_DRENAGEM!$L$2:$AA$345,MATCH(Q17&amp;Q19&amp;Q18,BANCO_DRENAGEM!$L$2:$L$345&amp;BANCO_DRENAGEM!$R$2:$R$345&amp;BANCO_DRENAGEM!$S$2:$S$345,0),5))</f>
        <v>#N/A</v>
      </c>
      <c r="R26" s="399"/>
      <c r="S26" s="399"/>
      <c r="T26" s="400"/>
    </row>
    <row r="27" spans="1:20" ht="15" customHeight="1" x14ac:dyDescent="0.3">
      <c r="A27" s="1085"/>
      <c r="B27" s="1083" t="s">
        <v>272</v>
      </c>
      <c r="C27" s="1083"/>
      <c r="D27" s="1083"/>
      <c r="E27" s="1083"/>
      <c r="F27" s="1083"/>
      <c r="G27" s="401" t="e" cm="1">
        <f t="array" ref="G27">IF(OR(LEFT(G17,6)="TRECHO",LEFT(G17,7)="RTRECHO"),INDEX(BANCO_DRENAGEM!$L$2:$AA$345,MATCH(G17&amp;G19&amp;G18,BANCO_DRENAGEM!$L$2:$L$345&amp;BANCO_DRENAGEM!$R$2:$R$345&amp;BANCO_DRENAGEM!$S$2:$S$345,0),6))</f>
        <v>#N/A</v>
      </c>
      <c r="H27" s="401" t="e" cm="1">
        <f t="array" ref="H27">IF(OR(LEFT(H17,6)="TRECHO",LEFT(H17,7)="RTRECHO"),INDEX(BANCO_DRENAGEM!$L$2:$AA$345,MATCH(H17&amp;H19&amp;H18,BANCO_DRENAGEM!$L$2:$L$345&amp;BANCO_DRENAGEM!$R$2:$R$345&amp;BANCO_DRENAGEM!$S$2:$S$345,0),6))</f>
        <v>#N/A</v>
      </c>
      <c r="I27" s="401" t="e" cm="1">
        <f t="array" ref="I27">IF(OR(LEFT(I17,6)="TRECHO",LEFT(I17,7)="RTRECHO"),INDEX(BANCO_DRENAGEM!$L$2:$AA$345,MATCH(I17&amp;I19&amp;I18,BANCO_DRENAGEM!$L$2:$L$345&amp;BANCO_DRENAGEM!$R$2:$R$345&amp;BANCO_DRENAGEM!$S$2:$S$345,0),6))</f>
        <v>#N/A</v>
      </c>
      <c r="J27" s="401" t="e" cm="1">
        <f t="array" ref="J27">IF(OR(LEFT(J17,6)="TRECHO",LEFT(J17,7)="RTRECHO"),INDEX(BANCO_DRENAGEM!$L$2:$AA$345,MATCH(J17&amp;J19&amp;J18,BANCO_DRENAGEM!$L$2:$L$345&amp;BANCO_DRENAGEM!$R$2:$R$345&amp;BANCO_DRENAGEM!$S$2:$S$345,0),6))</f>
        <v>#N/A</v>
      </c>
      <c r="K27" s="401" t="e" cm="1">
        <f t="array" ref="K27">IF(OR(LEFT(K17,6)="TRECHO",LEFT(K17,7)="RTRECHO"),INDEX(BANCO_DRENAGEM!$L$2:$AA$345,MATCH(K17&amp;K19&amp;K18,BANCO_DRENAGEM!$L$2:$L$345&amp;BANCO_DRENAGEM!$R$2:$R$345&amp;BANCO_DRENAGEM!$S$2:$S$345,0),6))</f>
        <v>#N/A</v>
      </c>
      <c r="L27" s="401" t="e" cm="1">
        <f t="array" ref="L27">IF(OR(LEFT(L17,6)="TRECHO",LEFT(L17,7)="RTRECHO"),INDEX(BANCO_DRENAGEM!$L$2:$AA$345,MATCH(L17&amp;L19&amp;L18,BANCO_DRENAGEM!$L$2:$L$345&amp;BANCO_DRENAGEM!$R$2:$R$345&amp;BANCO_DRENAGEM!$S$2:$S$345,0),6))</f>
        <v>#N/A</v>
      </c>
      <c r="M27" s="401" t="e" cm="1">
        <f t="array" ref="M27">IF(OR(LEFT(M17,6)="TRECHO",LEFT(M17,7)="RTRECHO"),INDEX(BANCO_DRENAGEM!$L$2:$AA$345,MATCH(M17&amp;M19&amp;M18,BANCO_DRENAGEM!$L$2:$L$345&amp;BANCO_DRENAGEM!$R$2:$R$345&amp;BANCO_DRENAGEM!$S$2:$S$345,0),6))</f>
        <v>#N/A</v>
      </c>
      <c r="N27" s="401" t="e" cm="1">
        <f t="array" ref="N27">IF(OR(LEFT(N17,6)="TRECHO",LEFT(N17,7)="RTRECHO"),INDEX(BANCO_DRENAGEM!$L$2:$AA$345,MATCH(N17&amp;N19&amp;N18,BANCO_DRENAGEM!$L$2:$L$345&amp;BANCO_DRENAGEM!$R$2:$R$345&amp;BANCO_DRENAGEM!$S$2:$S$345,0),6))</f>
        <v>#N/A</v>
      </c>
      <c r="O27" s="401" t="e" cm="1">
        <f t="array" ref="O27">IF(OR(LEFT(O17,6)="TRECHO",LEFT(O17,7)="RTRECHO"),INDEX(BANCO_DRENAGEM!$L$2:$AA$345,MATCH(O17&amp;O19&amp;O18,BANCO_DRENAGEM!$L$2:$L$345&amp;BANCO_DRENAGEM!$R$2:$R$345&amp;BANCO_DRENAGEM!$S$2:$S$345,0),6))</f>
        <v>#N/A</v>
      </c>
      <c r="P27" s="401" t="e" cm="1">
        <f t="array" ref="P27">IF(OR(LEFT(P17,6)="TRECHO",LEFT(P17,7)="RTRECHO"),INDEX(BANCO_DRENAGEM!$L$2:$AA$345,MATCH(P17&amp;P19&amp;P18,BANCO_DRENAGEM!$L$2:$L$345&amp;BANCO_DRENAGEM!$R$2:$R$345&amp;BANCO_DRENAGEM!$S$2:$S$345,0),6))</f>
        <v>#N/A</v>
      </c>
      <c r="Q27" s="401" t="e" cm="1">
        <f t="array" ref="Q27">IF(OR(LEFT(Q17,6)="TRECHO",LEFT(Q17,7)="RTRECHO"),INDEX(BANCO_DRENAGEM!$L$2:$AA$345,MATCH(Q17&amp;Q19&amp;Q18,BANCO_DRENAGEM!$L$2:$L$345&amp;BANCO_DRENAGEM!$R$2:$R$345&amp;BANCO_DRENAGEM!$S$2:$S$345,0),6))</f>
        <v>#N/A</v>
      </c>
      <c r="R27" s="401"/>
      <c r="S27" s="401"/>
      <c r="T27" s="400"/>
    </row>
    <row r="28" spans="1:20" ht="15" customHeight="1" x14ac:dyDescent="0.3">
      <c r="A28" s="1085"/>
      <c r="B28" s="1083" t="s">
        <v>31</v>
      </c>
      <c r="C28" s="1083"/>
      <c r="D28" s="1083"/>
      <c r="E28" s="1083"/>
      <c r="F28" s="1083"/>
      <c r="G28" s="395" t="e" cm="1">
        <f t="array" ref="G28">IF(OR(LEFT(G17,6)="TRECHO",LEFT(G17,7)="RTRECHO"),INDEX(BANCO_DRENAGEM!$L$2:$AA$345,MATCH(G17&amp;G19&amp;G18,BANCO_DRENAGEM!$L$2:$L$345&amp;BANCO_DRENAGEM!$R$2:$R$345&amp;BANCO_DRENAGEM!$S$2:$S$345,0),14))</f>
        <v>#N/A</v>
      </c>
      <c r="H28" s="395" t="e" cm="1">
        <f t="array" ref="H28">IF(OR(LEFT(H17,6)="TRECHO",LEFT(H17,7)="RTRECHO"),INDEX(BANCO_DRENAGEM!$L$2:$AA$345,MATCH(H17&amp;H19&amp;H18,BANCO_DRENAGEM!$L$2:$L$345&amp;BANCO_DRENAGEM!$R$2:$R$345&amp;BANCO_DRENAGEM!$S$2:$S$345,0),14))</f>
        <v>#N/A</v>
      </c>
      <c r="I28" s="395" t="e" cm="1">
        <f t="array" ref="I28">IF(OR(LEFT(I17,6)="TRECHO",LEFT(I17,7)="RTRECHO"),INDEX(BANCO_DRENAGEM!$L$2:$AA$345,MATCH(I17&amp;I19&amp;I18,BANCO_DRENAGEM!$L$2:$L$345&amp;BANCO_DRENAGEM!$R$2:$R$345&amp;BANCO_DRENAGEM!$S$2:$S$345,0),14))</f>
        <v>#N/A</v>
      </c>
      <c r="J28" s="395" t="e" cm="1">
        <f t="array" ref="J28">IF(OR(LEFT(J17,6)="TRECHO",LEFT(J17,7)="RTRECHO"),INDEX(BANCO_DRENAGEM!$L$2:$AA$345,MATCH(J17&amp;J19&amp;J18,BANCO_DRENAGEM!$L$2:$L$345&amp;BANCO_DRENAGEM!$R$2:$R$345&amp;BANCO_DRENAGEM!$S$2:$S$345,0),14))</f>
        <v>#N/A</v>
      </c>
      <c r="K28" s="395" t="e" cm="1">
        <f t="array" ref="K28">IF(OR(LEFT(K17,6)="TRECHO",LEFT(K17,7)="RTRECHO"),INDEX(BANCO_DRENAGEM!$L$2:$AA$345,MATCH(K17&amp;K19&amp;K18,BANCO_DRENAGEM!$L$2:$L$345&amp;BANCO_DRENAGEM!$R$2:$R$345&amp;BANCO_DRENAGEM!$S$2:$S$345,0),14))</f>
        <v>#N/A</v>
      </c>
      <c r="L28" s="395" t="e" cm="1">
        <f t="array" ref="L28">IF(OR(LEFT(L17,6)="TRECHO",LEFT(L17,7)="RTRECHO"),INDEX(BANCO_DRENAGEM!$L$2:$AA$345,MATCH(L17&amp;L19&amp;L18,BANCO_DRENAGEM!$L$2:$L$345&amp;BANCO_DRENAGEM!$R$2:$R$345&amp;BANCO_DRENAGEM!$S$2:$S$345,0),14))</f>
        <v>#N/A</v>
      </c>
      <c r="M28" s="395" t="e" cm="1">
        <f t="array" ref="M28">IF(OR(LEFT(M17,6)="TRECHO",LEFT(M17,7)="RTRECHO"),INDEX(BANCO_DRENAGEM!$L$2:$AA$345,MATCH(M17&amp;M19&amp;M18,BANCO_DRENAGEM!$L$2:$L$345&amp;BANCO_DRENAGEM!$R$2:$R$345&amp;BANCO_DRENAGEM!$S$2:$S$345,0),14))</f>
        <v>#N/A</v>
      </c>
      <c r="N28" s="395" t="e" cm="1">
        <f t="array" ref="N28">IF(OR(LEFT(N17,6)="TRECHO",LEFT(N17,7)="RTRECHO"),INDEX(BANCO_DRENAGEM!$L$2:$AA$345,MATCH(N17&amp;N19&amp;N18,BANCO_DRENAGEM!$L$2:$L$345&amp;BANCO_DRENAGEM!$R$2:$R$345&amp;BANCO_DRENAGEM!$S$2:$S$345,0),14))</f>
        <v>#N/A</v>
      </c>
      <c r="O28" s="395" t="e" cm="1">
        <f t="array" ref="O28">IF(OR(LEFT(O17,6)="TRECHO",LEFT(O17,7)="RTRECHO"),INDEX(BANCO_DRENAGEM!$L$2:$AA$345,MATCH(O17&amp;O19&amp;O18,BANCO_DRENAGEM!$L$2:$L$345&amp;BANCO_DRENAGEM!$R$2:$R$345&amp;BANCO_DRENAGEM!$S$2:$S$345,0),14))</f>
        <v>#N/A</v>
      </c>
      <c r="P28" s="395" t="e" cm="1">
        <f t="array" ref="P28">IF(OR(LEFT(P17,6)="TRECHO",LEFT(P17,7)="RTRECHO"),INDEX(BANCO_DRENAGEM!$L$2:$AA$345,MATCH(P17&amp;P19&amp;P18,BANCO_DRENAGEM!$L$2:$L$345&amp;BANCO_DRENAGEM!$R$2:$R$345&amp;BANCO_DRENAGEM!$S$2:$S$345,0),14))</f>
        <v>#N/A</v>
      </c>
      <c r="Q28" s="395" t="e" cm="1">
        <f t="array" ref="Q28">IF(OR(LEFT(Q17,6)="TRECHO",LEFT(Q17,7)="RTRECHO"),INDEX(BANCO_DRENAGEM!$L$2:$AA$345,MATCH(Q17&amp;Q19&amp;Q18,BANCO_DRENAGEM!$L$2:$L$345&amp;BANCO_DRENAGEM!$R$2:$R$345&amp;BANCO_DRENAGEM!$S$2:$S$345,0),14))</f>
        <v>#N/A</v>
      </c>
      <c r="R28" s="395">
        <v>1.8</v>
      </c>
      <c r="S28" s="395">
        <v>1.2</v>
      </c>
      <c r="T28" s="398"/>
    </row>
    <row r="29" spans="1:20" ht="15" customHeight="1" x14ac:dyDescent="0.3">
      <c r="A29" s="1085"/>
      <c r="B29" s="1083" t="s">
        <v>32</v>
      </c>
      <c r="C29" s="1083"/>
      <c r="D29" s="1083"/>
      <c r="E29" s="1083"/>
      <c r="F29" s="1083"/>
      <c r="G29" s="395" t="e">
        <f t="shared" ref="G29:Q29" si="2">G28+0.2</f>
        <v>#N/A</v>
      </c>
      <c r="H29" s="395" t="e">
        <f t="shared" si="2"/>
        <v>#N/A</v>
      </c>
      <c r="I29" s="395" t="e">
        <f t="shared" si="2"/>
        <v>#N/A</v>
      </c>
      <c r="J29" s="395" t="e">
        <f t="shared" si="2"/>
        <v>#N/A</v>
      </c>
      <c r="K29" s="395" t="e">
        <f t="shared" si="2"/>
        <v>#N/A</v>
      </c>
      <c r="L29" s="395" t="e">
        <f t="shared" si="2"/>
        <v>#N/A</v>
      </c>
      <c r="M29" s="395" t="e">
        <f t="shared" si="2"/>
        <v>#N/A</v>
      </c>
      <c r="N29" s="395" t="e">
        <f t="shared" si="2"/>
        <v>#N/A</v>
      </c>
      <c r="O29" s="395" t="e">
        <f t="shared" si="2"/>
        <v>#N/A</v>
      </c>
      <c r="P29" s="395" t="e">
        <f t="shared" si="2"/>
        <v>#N/A</v>
      </c>
      <c r="Q29" s="395" t="e">
        <f t="shared" si="2"/>
        <v>#N/A</v>
      </c>
      <c r="R29" s="395">
        <v>2</v>
      </c>
      <c r="S29" s="395">
        <f>S28+0.2</f>
        <v>1.4</v>
      </c>
      <c r="T29" s="398"/>
    </row>
    <row r="30" spans="1:20" ht="15" customHeight="1" x14ac:dyDescent="0.3">
      <c r="A30" s="1085"/>
      <c r="B30" s="1083" t="s">
        <v>33</v>
      </c>
      <c r="C30" s="1083"/>
      <c r="D30" s="1083"/>
      <c r="E30" s="1083"/>
      <c r="F30" s="1083"/>
      <c r="G30" s="394" t="e" cm="1">
        <f t="array" ref="G30">IF(OR(LEFT(G17,6)="TRECHO",LEFT(G17,7)="RTRECHO"),INDEX(BANCO_DRENAGEM!$L$2:$AA$345,MATCH(G17&amp;G19&amp;G18,BANCO_DRENAGEM!$L$2:$L$345&amp;BANCO_DRENAGEM!$R$2:$R$345&amp;BANCO_DRENAGEM!$S$2:$S$345,0),15))</f>
        <v>#N/A</v>
      </c>
      <c r="H30" s="394" t="e" cm="1">
        <f t="array" ref="H30">IF(OR(LEFT(H17,6)="TRECHO",LEFT(H17,7)="RTRECHO"),INDEX(BANCO_DRENAGEM!$L$2:$AA$345,MATCH(H17&amp;H19&amp;H18,BANCO_DRENAGEM!$L$2:$L$345&amp;BANCO_DRENAGEM!$R$2:$R$345&amp;BANCO_DRENAGEM!$S$2:$S$345,0),15))</f>
        <v>#N/A</v>
      </c>
      <c r="I30" s="394" t="e" cm="1">
        <f t="array" ref="I30">IF(OR(LEFT(I17,6)="TRECHO",LEFT(I17,7)="RTRECHO"),INDEX(BANCO_DRENAGEM!$L$2:$AA$345,MATCH(I17&amp;I19&amp;I18,BANCO_DRENAGEM!$L$2:$L$345&amp;BANCO_DRENAGEM!$R$2:$R$345&amp;BANCO_DRENAGEM!$S$2:$S$345,0),15))</f>
        <v>#N/A</v>
      </c>
      <c r="J30" s="394" t="e" cm="1">
        <f t="array" ref="J30">IF(OR(LEFT(J17,6)="TRECHO",LEFT(J17,7)="RTRECHO"),INDEX(BANCO_DRENAGEM!$L$2:$AA$345,MATCH(J17&amp;J19&amp;J18,BANCO_DRENAGEM!$L$2:$L$345&amp;BANCO_DRENAGEM!$R$2:$R$345&amp;BANCO_DRENAGEM!$S$2:$S$345,0),15))</f>
        <v>#N/A</v>
      </c>
      <c r="K30" s="394" t="e" cm="1">
        <f t="array" ref="K30">IF(OR(LEFT(K17,6)="TRECHO",LEFT(K17,7)="RTRECHO"),INDEX(BANCO_DRENAGEM!$L$2:$AA$345,MATCH(K17&amp;K19&amp;K18,BANCO_DRENAGEM!$L$2:$L$345&amp;BANCO_DRENAGEM!$R$2:$R$345&amp;BANCO_DRENAGEM!$S$2:$S$345,0),15))</f>
        <v>#N/A</v>
      </c>
      <c r="L30" s="394" t="e" cm="1">
        <f t="array" ref="L30">IF(OR(LEFT(L17,6)="TRECHO",LEFT(L17,7)="RTRECHO"),INDEX(BANCO_DRENAGEM!$L$2:$AA$345,MATCH(L17&amp;L19&amp;L18,BANCO_DRENAGEM!$L$2:$L$345&amp;BANCO_DRENAGEM!$R$2:$R$345&amp;BANCO_DRENAGEM!$S$2:$S$345,0),15))</f>
        <v>#N/A</v>
      </c>
      <c r="M30" s="394" t="e" cm="1">
        <f t="array" ref="M30">IF(OR(LEFT(M17,6)="TRECHO",LEFT(M17,7)="RTRECHO"),INDEX(BANCO_DRENAGEM!$L$2:$AA$345,MATCH(M17&amp;M19&amp;M18,BANCO_DRENAGEM!$L$2:$L$345&amp;BANCO_DRENAGEM!$R$2:$R$345&amp;BANCO_DRENAGEM!$S$2:$S$345,0),15))</f>
        <v>#N/A</v>
      </c>
      <c r="N30" s="394" t="e" cm="1">
        <f t="array" ref="N30">IF(OR(LEFT(N17,6)="TRECHO",LEFT(N17,7)="RTRECHO"),INDEX(BANCO_DRENAGEM!$L$2:$AA$345,MATCH(N17&amp;N19&amp;N18,BANCO_DRENAGEM!$L$2:$L$345&amp;BANCO_DRENAGEM!$R$2:$R$345&amp;BANCO_DRENAGEM!$S$2:$S$345,0),15))</f>
        <v>#N/A</v>
      </c>
      <c r="O30" s="394" t="e" cm="1">
        <f t="array" ref="O30">IF(OR(LEFT(O17,6)="TRECHO",LEFT(O17,7)="RTRECHO"),INDEX(BANCO_DRENAGEM!$L$2:$AA$345,MATCH(O17&amp;O19&amp;O18,BANCO_DRENAGEM!$L$2:$L$345&amp;BANCO_DRENAGEM!$R$2:$R$345&amp;BANCO_DRENAGEM!$S$2:$S$345,0),15))</f>
        <v>#N/A</v>
      </c>
      <c r="P30" s="394" t="e" cm="1">
        <f t="array" ref="P30">IF(OR(LEFT(P17,6)="TRECHO",LEFT(P17,7)="RTRECHO"),INDEX(BANCO_DRENAGEM!$L$2:$AA$345,MATCH(P17&amp;P19&amp;P18,BANCO_DRENAGEM!$L$2:$L$345&amp;BANCO_DRENAGEM!$R$2:$R$345&amp;BANCO_DRENAGEM!$S$2:$S$345,0),15))</f>
        <v>#N/A</v>
      </c>
      <c r="Q30" s="394" t="e" cm="1">
        <f t="array" ref="Q30">IF(OR(LEFT(Q17,6)="TRECHO",LEFT(Q17,7)="RTRECHO"),INDEX(BANCO_DRENAGEM!$L$2:$AA$345,MATCH(Q17&amp;Q19&amp;Q18,BANCO_DRENAGEM!$L$2:$L$345&amp;BANCO_DRENAGEM!$R$2:$R$345&amp;BANCO_DRENAGEM!$S$2:$S$345,0),15))</f>
        <v>#N/A</v>
      </c>
      <c r="R30" s="394"/>
      <c r="S30" s="394"/>
      <c r="T30" s="398"/>
    </row>
    <row r="31" spans="1:20" ht="15" customHeight="1" x14ac:dyDescent="0.3">
      <c r="A31" s="1085"/>
      <c r="B31" s="1083" t="s">
        <v>34</v>
      </c>
      <c r="C31" s="1083"/>
      <c r="D31" s="1083"/>
      <c r="E31" s="1083"/>
      <c r="F31" s="1083"/>
      <c r="G31" s="395" t="e">
        <f t="shared" ref="G31:S31" si="3">G30+0.2</f>
        <v>#N/A</v>
      </c>
      <c r="H31" s="395" t="e">
        <f t="shared" si="3"/>
        <v>#N/A</v>
      </c>
      <c r="I31" s="395" t="e">
        <f t="shared" si="3"/>
        <v>#N/A</v>
      </c>
      <c r="J31" s="395" t="e">
        <f t="shared" si="3"/>
        <v>#N/A</v>
      </c>
      <c r="K31" s="395" t="e">
        <f t="shared" si="3"/>
        <v>#N/A</v>
      </c>
      <c r="L31" s="395" t="e">
        <f t="shared" si="3"/>
        <v>#N/A</v>
      </c>
      <c r="M31" s="395" t="e">
        <f t="shared" si="3"/>
        <v>#N/A</v>
      </c>
      <c r="N31" s="395" t="e">
        <f t="shared" si="3"/>
        <v>#N/A</v>
      </c>
      <c r="O31" s="395" t="e">
        <f t="shared" si="3"/>
        <v>#N/A</v>
      </c>
      <c r="P31" s="395" t="e">
        <f t="shared" si="3"/>
        <v>#N/A</v>
      </c>
      <c r="Q31" s="395" t="e">
        <f t="shared" si="3"/>
        <v>#N/A</v>
      </c>
      <c r="R31" s="395">
        <f t="shared" si="3"/>
        <v>0.2</v>
      </c>
      <c r="S31" s="395">
        <f t="shared" si="3"/>
        <v>0.2</v>
      </c>
      <c r="T31" s="398"/>
    </row>
    <row r="32" spans="1:20" ht="14.25" customHeight="1" x14ac:dyDescent="0.3">
      <c r="A32" s="1085"/>
      <c r="B32" s="1083" t="s">
        <v>35</v>
      </c>
      <c r="C32" s="1083"/>
      <c r="D32" s="1083"/>
      <c r="E32" s="1083"/>
      <c r="F32" s="1083"/>
      <c r="G32" s="395" t="e">
        <f t="shared" ref="G32:Q32" si="4">ROUND((G29+G31)/2,2)</f>
        <v>#N/A</v>
      </c>
      <c r="H32" s="395" t="e">
        <f t="shared" si="4"/>
        <v>#N/A</v>
      </c>
      <c r="I32" s="395" t="e">
        <f t="shared" si="4"/>
        <v>#N/A</v>
      </c>
      <c r="J32" s="395" t="e">
        <f t="shared" si="4"/>
        <v>#N/A</v>
      </c>
      <c r="K32" s="395" t="e">
        <f t="shared" si="4"/>
        <v>#N/A</v>
      </c>
      <c r="L32" s="395" t="e">
        <f t="shared" si="4"/>
        <v>#N/A</v>
      </c>
      <c r="M32" s="395" t="e">
        <f t="shared" si="4"/>
        <v>#N/A</v>
      </c>
      <c r="N32" s="395" t="e">
        <f t="shared" si="4"/>
        <v>#N/A</v>
      </c>
      <c r="O32" s="395" t="e">
        <f t="shared" si="4"/>
        <v>#N/A</v>
      </c>
      <c r="P32" s="395" t="e">
        <f t="shared" si="4"/>
        <v>#N/A</v>
      </c>
      <c r="Q32" s="395" t="e">
        <f t="shared" si="4"/>
        <v>#N/A</v>
      </c>
      <c r="R32" s="395">
        <v>1.5</v>
      </c>
      <c r="S32" s="395">
        <v>1.5</v>
      </c>
      <c r="T32" s="398"/>
    </row>
    <row r="33" spans="1:20" ht="14.25" customHeight="1" x14ac:dyDescent="0.3">
      <c r="A33" s="1085"/>
      <c r="B33" s="1083" t="s">
        <v>36</v>
      </c>
      <c r="C33" s="1083"/>
      <c r="D33" s="1083"/>
      <c r="E33" s="1083"/>
      <c r="F33" s="1083"/>
      <c r="G33" s="395" t="e">
        <f t="shared" ref="G33:S33" si="5">ROUND(G32/5,2)</f>
        <v>#N/A</v>
      </c>
      <c r="H33" s="395" t="e">
        <f t="shared" si="5"/>
        <v>#N/A</v>
      </c>
      <c r="I33" s="395" t="e">
        <f t="shared" si="5"/>
        <v>#N/A</v>
      </c>
      <c r="J33" s="395" t="e">
        <f t="shared" si="5"/>
        <v>#N/A</v>
      </c>
      <c r="K33" s="395" t="e">
        <f t="shared" si="5"/>
        <v>#N/A</v>
      </c>
      <c r="L33" s="395" t="e">
        <f t="shared" si="5"/>
        <v>#N/A</v>
      </c>
      <c r="M33" s="395" t="e">
        <f t="shared" si="5"/>
        <v>#N/A</v>
      </c>
      <c r="N33" s="395" t="e">
        <f t="shared" si="5"/>
        <v>#N/A</v>
      </c>
      <c r="O33" s="395" t="e">
        <f t="shared" si="5"/>
        <v>#N/A</v>
      </c>
      <c r="P33" s="395" t="e">
        <f t="shared" si="5"/>
        <v>#N/A</v>
      </c>
      <c r="Q33" s="395" t="e">
        <f t="shared" si="5"/>
        <v>#N/A</v>
      </c>
      <c r="R33" s="395">
        <f t="shared" si="5"/>
        <v>0.3</v>
      </c>
      <c r="S33" s="395">
        <f t="shared" si="5"/>
        <v>0.3</v>
      </c>
      <c r="T33" s="398"/>
    </row>
    <row r="34" spans="1:20" ht="15" customHeight="1" x14ac:dyDescent="0.3">
      <c r="A34" s="1085"/>
      <c r="B34" s="1083" t="s">
        <v>37</v>
      </c>
      <c r="C34" s="1083"/>
      <c r="D34" s="1083"/>
      <c r="E34" s="1083"/>
      <c r="F34" s="1083"/>
      <c r="G34" s="395" t="e">
        <f>ROUND((G35+G33),2)</f>
        <v>#N/A</v>
      </c>
      <c r="H34" s="395" t="e">
        <f t="shared" ref="H34:S34" si="6">ROUND((H35+H33),2)</f>
        <v>#N/A</v>
      </c>
      <c r="I34" s="395" t="e">
        <f t="shared" si="6"/>
        <v>#N/A</v>
      </c>
      <c r="J34" s="395" t="e">
        <f t="shared" si="6"/>
        <v>#N/A</v>
      </c>
      <c r="K34" s="395" t="e">
        <f t="shared" si="6"/>
        <v>#N/A</v>
      </c>
      <c r="L34" s="395" t="e">
        <f t="shared" si="6"/>
        <v>#N/A</v>
      </c>
      <c r="M34" s="395" t="e">
        <f t="shared" si="6"/>
        <v>#N/A</v>
      </c>
      <c r="N34" s="395" t="e">
        <f t="shared" si="6"/>
        <v>#N/A</v>
      </c>
      <c r="O34" s="395" t="e">
        <f t="shared" si="6"/>
        <v>#N/A</v>
      </c>
      <c r="P34" s="395" t="e">
        <f t="shared" si="6"/>
        <v>#N/A</v>
      </c>
      <c r="Q34" s="395" t="e">
        <f t="shared" si="6"/>
        <v>#N/A</v>
      </c>
      <c r="R34" s="395">
        <f t="shared" si="6"/>
        <v>1.5</v>
      </c>
      <c r="S34" s="395">
        <f t="shared" si="6"/>
        <v>1.1000000000000001</v>
      </c>
      <c r="T34" s="398"/>
    </row>
    <row r="35" spans="1:20" ht="15" customHeight="1" x14ac:dyDescent="0.3">
      <c r="A35" s="1085"/>
      <c r="B35" s="1083" t="s">
        <v>38</v>
      </c>
      <c r="C35" s="1083"/>
      <c r="D35" s="1083"/>
      <c r="E35" s="1083"/>
      <c r="F35" s="1083"/>
      <c r="G35" s="395" t="e">
        <f t="shared" ref="G35:S35" si="7">ROUND(2*G25,2)</f>
        <v>#N/A</v>
      </c>
      <c r="H35" s="395" t="e">
        <f t="shared" si="7"/>
        <v>#N/A</v>
      </c>
      <c r="I35" s="395" t="e">
        <f t="shared" si="7"/>
        <v>#N/A</v>
      </c>
      <c r="J35" s="395" t="e">
        <f t="shared" si="7"/>
        <v>#N/A</v>
      </c>
      <c r="K35" s="395" t="e">
        <f t="shared" si="7"/>
        <v>#N/A</v>
      </c>
      <c r="L35" s="395" t="e">
        <f t="shared" si="7"/>
        <v>#N/A</v>
      </c>
      <c r="M35" s="395" t="e">
        <f t="shared" si="7"/>
        <v>#N/A</v>
      </c>
      <c r="N35" s="395" t="e">
        <f t="shared" si="7"/>
        <v>#N/A</v>
      </c>
      <c r="O35" s="395" t="e">
        <f t="shared" si="7"/>
        <v>#N/A</v>
      </c>
      <c r="P35" s="395" t="e">
        <f t="shared" si="7"/>
        <v>#N/A</v>
      </c>
      <c r="Q35" s="395" t="e">
        <f t="shared" si="7"/>
        <v>#N/A</v>
      </c>
      <c r="R35" s="395">
        <f t="shared" si="7"/>
        <v>1.2</v>
      </c>
      <c r="S35" s="395">
        <f t="shared" si="7"/>
        <v>0.8</v>
      </c>
      <c r="T35" s="398"/>
    </row>
    <row r="36" spans="1:20" ht="14.25" customHeight="1" x14ac:dyDescent="0.3">
      <c r="A36" s="1085"/>
      <c r="B36" s="1083" t="s">
        <v>911</v>
      </c>
      <c r="C36" s="1083"/>
      <c r="D36" s="1083"/>
      <c r="E36" s="1083"/>
      <c r="F36" s="1083"/>
      <c r="G36" s="395" t="e">
        <f t="shared" ref="G36:S36" si="8">G35*G21*0.2</f>
        <v>#N/A</v>
      </c>
      <c r="H36" s="395" t="e">
        <f t="shared" si="8"/>
        <v>#N/A</v>
      </c>
      <c r="I36" s="395" t="e">
        <f t="shared" si="8"/>
        <v>#N/A</v>
      </c>
      <c r="J36" s="395" t="e">
        <f t="shared" si="8"/>
        <v>#N/A</v>
      </c>
      <c r="K36" s="395" t="e">
        <f t="shared" si="8"/>
        <v>#N/A</v>
      </c>
      <c r="L36" s="395" t="e">
        <f t="shared" si="8"/>
        <v>#N/A</v>
      </c>
      <c r="M36" s="395" t="e">
        <f t="shared" si="8"/>
        <v>#N/A</v>
      </c>
      <c r="N36" s="395" t="e">
        <f t="shared" si="8"/>
        <v>#N/A</v>
      </c>
      <c r="O36" s="395" t="e">
        <f t="shared" si="8"/>
        <v>#N/A</v>
      </c>
      <c r="P36" s="395" t="e">
        <f t="shared" si="8"/>
        <v>#N/A</v>
      </c>
      <c r="Q36" s="395" t="e">
        <f t="shared" si="8"/>
        <v>#N/A</v>
      </c>
      <c r="R36" s="395">
        <f t="shared" si="8"/>
        <v>0</v>
      </c>
      <c r="S36" s="395">
        <f t="shared" si="8"/>
        <v>0</v>
      </c>
      <c r="T36" s="396" t="e">
        <f>TRUNC(SUM(G36:S36),2)</f>
        <v>#N/A</v>
      </c>
    </row>
    <row r="37" spans="1:20" ht="15" customHeight="1" x14ac:dyDescent="0.3">
      <c r="A37" s="1086"/>
      <c r="B37" s="1083" t="s">
        <v>39</v>
      </c>
      <c r="C37" s="1083"/>
      <c r="D37" s="1083"/>
      <c r="E37" s="1083"/>
      <c r="F37" s="1083"/>
      <c r="G37" s="395" t="e">
        <f t="shared" ref="G37:S37" si="9">ROUND((PI()*(G25*1.2)^2/4)*G24,2)</f>
        <v>#N/A</v>
      </c>
      <c r="H37" s="395" t="e">
        <f t="shared" si="9"/>
        <v>#N/A</v>
      </c>
      <c r="I37" s="395" t="e">
        <f t="shared" si="9"/>
        <v>#N/A</v>
      </c>
      <c r="J37" s="395" t="e">
        <f t="shared" si="9"/>
        <v>#N/A</v>
      </c>
      <c r="K37" s="395" t="e">
        <f t="shared" si="9"/>
        <v>#N/A</v>
      </c>
      <c r="L37" s="395" t="e">
        <f t="shared" si="9"/>
        <v>#N/A</v>
      </c>
      <c r="M37" s="395" t="e">
        <f t="shared" si="9"/>
        <v>#N/A</v>
      </c>
      <c r="N37" s="395" t="e">
        <f t="shared" si="9"/>
        <v>#N/A</v>
      </c>
      <c r="O37" s="395" t="e">
        <f t="shared" si="9"/>
        <v>#N/A</v>
      </c>
      <c r="P37" s="395" t="e">
        <f t="shared" si="9"/>
        <v>#N/A</v>
      </c>
      <c r="Q37" s="395" t="e">
        <f t="shared" si="9"/>
        <v>#N/A</v>
      </c>
      <c r="R37" s="395">
        <f t="shared" si="9"/>
        <v>0.41</v>
      </c>
      <c r="S37" s="395">
        <f t="shared" si="9"/>
        <v>0.18</v>
      </c>
      <c r="T37" s="402"/>
    </row>
    <row r="38" spans="1:20" ht="3.95" hidden="1" customHeight="1" x14ac:dyDescent="0.3">
      <c r="A38" s="403"/>
      <c r="B38" s="404"/>
      <c r="C38" s="404"/>
      <c r="D38" s="404"/>
      <c r="E38" s="404"/>
      <c r="F38" s="404"/>
      <c r="G38" s="405"/>
      <c r="H38" s="405"/>
      <c r="I38" s="405"/>
      <c r="J38" s="405"/>
      <c r="K38" s="405"/>
      <c r="L38" s="405"/>
      <c r="M38" s="405"/>
      <c r="N38" s="405"/>
      <c r="O38" s="405"/>
      <c r="P38" s="405"/>
      <c r="Q38" s="405"/>
      <c r="R38" s="405"/>
      <c r="S38" s="405"/>
      <c r="T38" s="406"/>
    </row>
    <row r="39" spans="1:20" hidden="1" x14ac:dyDescent="0.3">
      <c r="A39" s="1103" t="s">
        <v>5</v>
      </c>
      <c r="B39" s="1083" t="s">
        <v>795</v>
      </c>
      <c r="C39" s="1083"/>
      <c r="D39" s="1083"/>
      <c r="E39" s="1083"/>
      <c r="F39" s="1083"/>
      <c r="G39" s="395" t="e">
        <f t="shared" ref="G39:S39" si="10">IF(G22=0,0,(G22*(G34)))</f>
        <v>#N/A</v>
      </c>
      <c r="H39" s="395" t="e">
        <f t="shared" si="10"/>
        <v>#N/A</v>
      </c>
      <c r="I39" s="395" t="e">
        <f t="shared" si="10"/>
        <v>#N/A</v>
      </c>
      <c r="J39" s="395" t="e">
        <f t="shared" si="10"/>
        <v>#N/A</v>
      </c>
      <c r="K39" s="395" t="e">
        <f t="shared" si="10"/>
        <v>#N/A</v>
      </c>
      <c r="L39" s="395" t="e">
        <f t="shared" si="10"/>
        <v>#N/A</v>
      </c>
      <c r="M39" s="395" t="e">
        <f t="shared" si="10"/>
        <v>#N/A</v>
      </c>
      <c r="N39" s="395" t="e">
        <f t="shared" si="10"/>
        <v>#N/A</v>
      </c>
      <c r="O39" s="395" t="e">
        <f t="shared" si="10"/>
        <v>#N/A</v>
      </c>
      <c r="P39" s="395" t="e">
        <f t="shared" si="10"/>
        <v>#N/A</v>
      </c>
      <c r="Q39" s="395" t="e">
        <f t="shared" si="10"/>
        <v>#N/A</v>
      </c>
      <c r="R39" s="395">
        <f t="shared" si="10"/>
        <v>0</v>
      </c>
      <c r="S39" s="395">
        <f t="shared" si="10"/>
        <v>0</v>
      </c>
      <c r="T39" s="396" t="e">
        <f t="shared" ref="T39:T51" si="11">TRUNC(SUM(G39:S39),2)</f>
        <v>#N/A</v>
      </c>
    </row>
    <row r="40" spans="1:20" hidden="1" x14ac:dyDescent="0.3">
      <c r="A40" s="1103"/>
      <c r="B40" s="1073" t="s">
        <v>1073</v>
      </c>
      <c r="C40" s="805"/>
      <c r="D40" s="805"/>
      <c r="E40" s="805"/>
      <c r="F40" s="806"/>
      <c r="G40" s="395">
        <v>0.03</v>
      </c>
      <c r="H40" s="395">
        <v>0.03</v>
      </c>
      <c r="I40" s="395">
        <v>0.03</v>
      </c>
      <c r="J40" s="395">
        <v>0.03</v>
      </c>
      <c r="K40" s="395">
        <v>0.03</v>
      </c>
      <c r="L40" s="395">
        <v>0.03</v>
      </c>
      <c r="M40" s="395">
        <v>0.03</v>
      </c>
      <c r="N40" s="395">
        <v>0.03</v>
      </c>
      <c r="O40" s="395">
        <v>0.03</v>
      </c>
      <c r="P40" s="395">
        <v>0.03</v>
      </c>
      <c r="Q40" s="395">
        <v>0.03</v>
      </c>
      <c r="R40" s="395">
        <v>0.03</v>
      </c>
      <c r="S40" s="395">
        <v>0.03</v>
      </c>
      <c r="T40" s="396">
        <f t="shared" si="11"/>
        <v>0.39</v>
      </c>
    </row>
    <row r="41" spans="1:20" hidden="1" x14ac:dyDescent="0.3">
      <c r="A41" s="1103"/>
      <c r="B41" s="1073" t="s">
        <v>23</v>
      </c>
      <c r="C41" s="805"/>
      <c r="D41" s="805"/>
      <c r="E41" s="805"/>
      <c r="F41" s="806"/>
      <c r="G41" s="395" t="e">
        <f t="shared" ref="G41:S41" si="12">G40*G39</f>
        <v>#N/A</v>
      </c>
      <c r="H41" s="395" t="e">
        <f t="shared" si="12"/>
        <v>#N/A</v>
      </c>
      <c r="I41" s="395" t="e">
        <f t="shared" si="12"/>
        <v>#N/A</v>
      </c>
      <c r="J41" s="395" t="e">
        <f t="shared" si="12"/>
        <v>#N/A</v>
      </c>
      <c r="K41" s="395" t="e">
        <f t="shared" si="12"/>
        <v>#N/A</v>
      </c>
      <c r="L41" s="395" t="e">
        <f t="shared" si="12"/>
        <v>#N/A</v>
      </c>
      <c r="M41" s="395" t="e">
        <f t="shared" si="12"/>
        <v>#N/A</v>
      </c>
      <c r="N41" s="395" t="e">
        <f t="shared" si="12"/>
        <v>#N/A</v>
      </c>
      <c r="O41" s="395" t="e">
        <f t="shared" si="12"/>
        <v>#N/A</v>
      </c>
      <c r="P41" s="395" t="e">
        <f t="shared" si="12"/>
        <v>#N/A</v>
      </c>
      <c r="Q41" s="395" t="e">
        <f t="shared" si="12"/>
        <v>#N/A</v>
      </c>
      <c r="R41" s="395">
        <f t="shared" si="12"/>
        <v>0</v>
      </c>
      <c r="S41" s="395">
        <f t="shared" si="12"/>
        <v>0</v>
      </c>
      <c r="T41" s="396" t="e">
        <f t="shared" si="11"/>
        <v>#N/A</v>
      </c>
    </row>
    <row r="42" spans="1:20" hidden="1" x14ac:dyDescent="0.3">
      <c r="A42" s="1103"/>
      <c r="B42" s="1074" t="s">
        <v>42</v>
      </c>
      <c r="C42" s="1075"/>
      <c r="D42" s="1075"/>
      <c r="E42" s="1076"/>
      <c r="F42" s="393" t="s">
        <v>24</v>
      </c>
      <c r="G42" s="395">
        <v>0.3</v>
      </c>
      <c r="H42" s="395">
        <v>0.3</v>
      </c>
      <c r="I42" s="395">
        <v>0.3</v>
      </c>
      <c r="J42" s="395">
        <v>0.3</v>
      </c>
      <c r="K42" s="395">
        <v>0.3</v>
      </c>
      <c r="L42" s="395">
        <v>0.3</v>
      </c>
      <c r="M42" s="395">
        <v>0.3</v>
      </c>
      <c r="N42" s="395">
        <v>0.3</v>
      </c>
      <c r="O42" s="395">
        <v>0.3</v>
      </c>
      <c r="P42" s="395">
        <v>0.3</v>
      </c>
      <c r="Q42" s="395">
        <v>0.3</v>
      </c>
      <c r="R42" s="395">
        <v>0.3</v>
      </c>
      <c r="S42" s="395">
        <v>0.3</v>
      </c>
      <c r="T42" s="396">
        <f t="shared" si="11"/>
        <v>3.9</v>
      </c>
    </row>
    <row r="43" spans="1:20" hidden="1" x14ac:dyDescent="0.3">
      <c r="A43" s="1103"/>
      <c r="B43" s="1077"/>
      <c r="C43" s="1078"/>
      <c r="D43" s="1078"/>
      <c r="E43" s="1079"/>
      <c r="F43" s="393" t="s">
        <v>945</v>
      </c>
      <c r="G43" s="395" t="e">
        <f t="shared" ref="G43:S43" si="13">G39*G40*(1+G42)</f>
        <v>#N/A</v>
      </c>
      <c r="H43" s="395" t="e">
        <f t="shared" si="13"/>
        <v>#N/A</v>
      </c>
      <c r="I43" s="395" t="e">
        <f t="shared" si="13"/>
        <v>#N/A</v>
      </c>
      <c r="J43" s="395" t="e">
        <f t="shared" si="13"/>
        <v>#N/A</v>
      </c>
      <c r="K43" s="395" t="e">
        <f t="shared" si="13"/>
        <v>#N/A</v>
      </c>
      <c r="L43" s="395" t="e">
        <f t="shared" si="13"/>
        <v>#N/A</v>
      </c>
      <c r="M43" s="395" t="e">
        <f t="shared" si="13"/>
        <v>#N/A</v>
      </c>
      <c r="N43" s="395" t="e">
        <f t="shared" si="13"/>
        <v>#N/A</v>
      </c>
      <c r="O43" s="395" t="e">
        <f t="shared" si="13"/>
        <v>#N/A</v>
      </c>
      <c r="P43" s="395" t="e">
        <f t="shared" si="13"/>
        <v>#N/A</v>
      </c>
      <c r="Q43" s="395" t="e">
        <f t="shared" si="13"/>
        <v>#N/A</v>
      </c>
      <c r="R43" s="395">
        <f t="shared" si="13"/>
        <v>0</v>
      </c>
      <c r="S43" s="395">
        <f t="shared" si="13"/>
        <v>0</v>
      </c>
      <c r="T43" s="396" t="e">
        <f t="shared" si="11"/>
        <v>#N/A</v>
      </c>
    </row>
    <row r="44" spans="1:20" hidden="1" x14ac:dyDescent="0.3">
      <c r="A44" s="1103"/>
      <c r="B44" s="1077"/>
      <c r="C44" s="1078"/>
      <c r="D44" s="1078"/>
      <c r="E44" s="1079"/>
      <c r="F44" s="476" t="s">
        <v>25</v>
      </c>
      <c r="G44" s="395">
        <f t="shared" ref="G44:S44" si="14">$B$11</f>
        <v>5.8</v>
      </c>
      <c r="H44" s="395">
        <f t="shared" si="14"/>
        <v>5.8</v>
      </c>
      <c r="I44" s="395">
        <f t="shared" si="14"/>
        <v>5.8</v>
      </c>
      <c r="J44" s="395">
        <f t="shared" si="14"/>
        <v>5.8</v>
      </c>
      <c r="K44" s="395">
        <f t="shared" si="14"/>
        <v>5.8</v>
      </c>
      <c r="L44" s="395">
        <f t="shared" si="14"/>
        <v>5.8</v>
      </c>
      <c r="M44" s="395">
        <f t="shared" si="14"/>
        <v>5.8</v>
      </c>
      <c r="N44" s="395">
        <f t="shared" si="14"/>
        <v>5.8</v>
      </c>
      <c r="O44" s="395">
        <f t="shared" si="14"/>
        <v>5.8</v>
      </c>
      <c r="P44" s="395">
        <f t="shared" si="14"/>
        <v>5.8</v>
      </c>
      <c r="Q44" s="395">
        <f t="shared" si="14"/>
        <v>5.8</v>
      </c>
      <c r="R44" s="395">
        <f t="shared" si="14"/>
        <v>5.8</v>
      </c>
      <c r="S44" s="395">
        <f t="shared" si="14"/>
        <v>5.8</v>
      </c>
      <c r="T44" s="396">
        <f t="shared" si="11"/>
        <v>75.400000000000006</v>
      </c>
    </row>
    <row r="45" spans="1:20" hidden="1" x14ac:dyDescent="0.3">
      <c r="A45" s="1103"/>
      <c r="B45" s="1080"/>
      <c r="C45" s="1081"/>
      <c r="D45" s="1081"/>
      <c r="E45" s="1082"/>
      <c r="F45" s="393" t="s">
        <v>26</v>
      </c>
      <c r="G45" s="395" t="e">
        <f t="shared" ref="G45:S45" si="15">G44*G43</f>
        <v>#N/A</v>
      </c>
      <c r="H45" s="395" t="e">
        <f t="shared" si="15"/>
        <v>#N/A</v>
      </c>
      <c r="I45" s="395" t="e">
        <f t="shared" si="15"/>
        <v>#N/A</v>
      </c>
      <c r="J45" s="395" t="e">
        <f t="shared" si="15"/>
        <v>#N/A</v>
      </c>
      <c r="K45" s="395" t="e">
        <f t="shared" si="15"/>
        <v>#N/A</v>
      </c>
      <c r="L45" s="395" t="e">
        <f t="shared" si="15"/>
        <v>#N/A</v>
      </c>
      <c r="M45" s="395" t="e">
        <f t="shared" si="15"/>
        <v>#N/A</v>
      </c>
      <c r="N45" s="395" t="e">
        <f t="shared" si="15"/>
        <v>#N/A</v>
      </c>
      <c r="O45" s="395" t="e">
        <f t="shared" si="15"/>
        <v>#N/A</v>
      </c>
      <c r="P45" s="395" t="e">
        <f t="shared" si="15"/>
        <v>#N/A</v>
      </c>
      <c r="Q45" s="395" t="e">
        <f t="shared" si="15"/>
        <v>#N/A</v>
      </c>
      <c r="R45" s="395">
        <f t="shared" si="15"/>
        <v>0</v>
      </c>
      <c r="S45" s="395">
        <f t="shared" si="15"/>
        <v>0</v>
      </c>
      <c r="T45" s="396" t="e">
        <f t="shared" si="11"/>
        <v>#N/A</v>
      </c>
    </row>
    <row r="46" spans="1:20" hidden="1" x14ac:dyDescent="0.3">
      <c r="A46" s="1103"/>
      <c r="B46" s="1083" t="s">
        <v>1074</v>
      </c>
      <c r="C46" s="1083"/>
      <c r="D46" s="1083"/>
      <c r="E46" s="1083"/>
      <c r="F46" s="1083"/>
      <c r="G46" s="395" t="e">
        <f t="shared" ref="G46:S46" si="16">G47*G39</f>
        <v>#N/A</v>
      </c>
      <c r="H46" s="395" t="e">
        <f t="shared" si="16"/>
        <v>#N/A</v>
      </c>
      <c r="I46" s="395" t="e">
        <f t="shared" si="16"/>
        <v>#N/A</v>
      </c>
      <c r="J46" s="395" t="e">
        <f t="shared" si="16"/>
        <v>#N/A</v>
      </c>
      <c r="K46" s="395" t="e">
        <f t="shared" si="16"/>
        <v>#N/A</v>
      </c>
      <c r="L46" s="395" t="e">
        <f t="shared" si="16"/>
        <v>#N/A</v>
      </c>
      <c r="M46" s="395" t="e">
        <f t="shared" si="16"/>
        <v>#N/A</v>
      </c>
      <c r="N46" s="395" t="e">
        <f t="shared" si="16"/>
        <v>#N/A</v>
      </c>
      <c r="O46" s="395" t="e">
        <f t="shared" si="16"/>
        <v>#N/A</v>
      </c>
      <c r="P46" s="395" t="e">
        <f t="shared" si="16"/>
        <v>#N/A</v>
      </c>
      <c r="Q46" s="395" t="e">
        <f t="shared" si="16"/>
        <v>#N/A</v>
      </c>
      <c r="R46" s="395">
        <f t="shared" si="16"/>
        <v>0</v>
      </c>
      <c r="S46" s="395">
        <f t="shared" si="16"/>
        <v>0</v>
      </c>
      <c r="T46" s="396" t="e">
        <f t="shared" si="11"/>
        <v>#N/A</v>
      </c>
    </row>
    <row r="47" spans="1:20" hidden="1" x14ac:dyDescent="0.3">
      <c r="A47" s="1103"/>
      <c r="B47" s="1073" t="s">
        <v>1075</v>
      </c>
      <c r="C47" s="805"/>
      <c r="D47" s="805"/>
      <c r="E47" s="805"/>
      <c r="F47" s="806"/>
      <c r="G47" s="395">
        <v>0.15</v>
      </c>
      <c r="H47" s="395">
        <v>0.15</v>
      </c>
      <c r="I47" s="395">
        <v>0.15</v>
      </c>
      <c r="J47" s="395">
        <v>0.15</v>
      </c>
      <c r="K47" s="395">
        <v>0.15</v>
      </c>
      <c r="L47" s="395">
        <v>0.15</v>
      </c>
      <c r="M47" s="395">
        <v>0.15</v>
      </c>
      <c r="N47" s="395">
        <v>0.15</v>
      </c>
      <c r="O47" s="395">
        <v>0.15</v>
      </c>
      <c r="P47" s="395">
        <v>0.15</v>
      </c>
      <c r="Q47" s="395">
        <v>0.15</v>
      </c>
      <c r="R47" s="395">
        <v>0.15</v>
      </c>
      <c r="S47" s="395">
        <v>0.15</v>
      </c>
      <c r="T47" s="396">
        <f t="shared" si="11"/>
        <v>1.95</v>
      </c>
    </row>
    <row r="48" spans="1:20" hidden="1" x14ac:dyDescent="0.3">
      <c r="A48" s="1103"/>
      <c r="B48" s="1074" t="s">
        <v>42</v>
      </c>
      <c r="C48" s="1075"/>
      <c r="D48" s="1075"/>
      <c r="E48" s="1076"/>
      <c r="F48" s="393" t="s">
        <v>24</v>
      </c>
      <c r="G48" s="395">
        <v>0.3</v>
      </c>
      <c r="H48" s="395">
        <v>0.3</v>
      </c>
      <c r="I48" s="395">
        <v>0.3</v>
      </c>
      <c r="J48" s="395">
        <v>0.3</v>
      </c>
      <c r="K48" s="395">
        <v>0.3</v>
      </c>
      <c r="L48" s="395">
        <v>0.3</v>
      </c>
      <c r="M48" s="395">
        <v>0.3</v>
      </c>
      <c r="N48" s="395">
        <v>0.3</v>
      </c>
      <c r="O48" s="395">
        <v>0.3</v>
      </c>
      <c r="P48" s="395">
        <v>0.3</v>
      </c>
      <c r="Q48" s="395">
        <v>0.3</v>
      </c>
      <c r="R48" s="395">
        <v>0.3</v>
      </c>
      <c r="S48" s="395">
        <v>0.3</v>
      </c>
      <c r="T48" s="396">
        <f t="shared" si="11"/>
        <v>3.9</v>
      </c>
    </row>
    <row r="49" spans="1:20" hidden="1" x14ac:dyDescent="0.3">
      <c r="A49" s="1103"/>
      <c r="B49" s="1077"/>
      <c r="C49" s="1078"/>
      <c r="D49" s="1078"/>
      <c r="E49" s="1079"/>
      <c r="F49" s="393" t="s">
        <v>945</v>
      </c>
      <c r="G49" s="395" t="e">
        <f t="shared" ref="G49:S49" si="17">G46*(1+G48)</f>
        <v>#N/A</v>
      </c>
      <c r="H49" s="395" t="e">
        <f t="shared" si="17"/>
        <v>#N/A</v>
      </c>
      <c r="I49" s="395" t="e">
        <f t="shared" si="17"/>
        <v>#N/A</v>
      </c>
      <c r="J49" s="395" t="e">
        <f t="shared" si="17"/>
        <v>#N/A</v>
      </c>
      <c r="K49" s="395" t="e">
        <f t="shared" si="17"/>
        <v>#N/A</v>
      </c>
      <c r="L49" s="395" t="e">
        <f t="shared" si="17"/>
        <v>#N/A</v>
      </c>
      <c r="M49" s="395" t="e">
        <f t="shared" si="17"/>
        <v>#N/A</v>
      </c>
      <c r="N49" s="395" t="e">
        <f t="shared" si="17"/>
        <v>#N/A</v>
      </c>
      <c r="O49" s="395" t="e">
        <f t="shared" si="17"/>
        <v>#N/A</v>
      </c>
      <c r="P49" s="395" t="e">
        <f t="shared" si="17"/>
        <v>#N/A</v>
      </c>
      <c r="Q49" s="395" t="e">
        <f t="shared" si="17"/>
        <v>#N/A</v>
      </c>
      <c r="R49" s="395">
        <f t="shared" si="17"/>
        <v>0</v>
      </c>
      <c r="S49" s="395">
        <f t="shared" si="17"/>
        <v>0</v>
      </c>
      <c r="T49" s="396" t="e">
        <f t="shared" si="11"/>
        <v>#N/A</v>
      </c>
    </row>
    <row r="50" spans="1:20" hidden="1" x14ac:dyDescent="0.3">
      <c r="A50" s="1103"/>
      <c r="B50" s="1077"/>
      <c r="C50" s="1078"/>
      <c r="D50" s="1078"/>
      <c r="E50" s="1079"/>
      <c r="F50" s="476" t="s">
        <v>25</v>
      </c>
      <c r="G50" s="395">
        <f t="shared" ref="G50:S50" si="18">$B$11</f>
        <v>5.8</v>
      </c>
      <c r="H50" s="395">
        <f t="shared" si="18"/>
        <v>5.8</v>
      </c>
      <c r="I50" s="395">
        <f t="shared" si="18"/>
        <v>5.8</v>
      </c>
      <c r="J50" s="395">
        <f t="shared" si="18"/>
        <v>5.8</v>
      </c>
      <c r="K50" s="395">
        <f t="shared" si="18"/>
        <v>5.8</v>
      </c>
      <c r="L50" s="395">
        <f t="shared" si="18"/>
        <v>5.8</v>
      </c>
      <c r="M50" s="395">
        <f t="shared" si="18"/>
        <v>5.8</v>
      </c>
      <c r="N50" s="395">
        <f t="shared" si="18"/>
        <v>5.8</v>
      </c>
      <c r="O50" s="395">
        <f t="shared" si="18"/>
        <v>5.8</v>
      </c>
      <c r="P50" s="395">
        <f t="shared" si="18"/>
        <v>5.8</v>
      </c>
      <c r="Q50" s="395">
        <f t="shared" si="18"/>
        <v>5.8</v>
      </c>
      <c r="R50" s="395">
        <f t="shared" si="18"/>
        <v>5.8</v>
      </c>
      <c r="S50" s="395">
        <f t="shared" si="18"/>
        <v>5.8</v>
      </c>
      <c r="T50" s="396">
        <f t="shared" si="11"/>
        <v>75.400000000000006</v>
      </c>
    </row>
    <row r="51" spans="1:20" hidden="1" x14ac:dyDescent="0.3">
      <c r="A51" s="1103"/>
      <c r="B51" s="1080"/>
      <c r="C51" s="1081"/>
      <c r="D51" s="1081"/>
      <c r="E51" s="1082"/>
      <c r="F51" s="393" t="s">
        <v>26</v>
      </c>
      <c r="G51" s="395" t="e">
        <f t="shared" ref="G51:S51" si="19">G50*G49</f>
        <v>#N/A</v>
      </c>
      <c r="H51" s="395" t="e">
        <f t="shared" si="19"/>
        <v>#N/A</v>
      </c>
      <c r="I51" s="395" t="e">
        <f t="shared" si="19"/>
        <v>#N/A</v>
      </c>
      <c r="J51" s="395" t="e">
        <f t="shared" si="19"/>
        <v>#N/A</v>
      </c>
      <c r="K51" s="395" t="e">
        <f t="shared" si="19"/>
        <v>#N/A</v>
      </c>
      <c r="L51" s="395" t="e">
        <f t="shared" si="19"/>
        <v>#N/A</v>
      </c>
      <c r="M51" s="395" t="e">
        <f t="shared" si="19"/>
        <v>#N/A</v>
      </c>
      <c r="N51" s="395" t="e">
        <f t="shared" si="19"/>
        <v>#N/A</v>
      </c>
      <c r="O51" s="395" t="e">
        <f t="shared" si="19"/>
        <v>#N/A</v>
      </c>
      <c r="P51" s="395" t="e">
        <f t="shared" si="19"/>
        <v>#N/A</v>
      </c>
      <c r="Q51" s="395" t="e">
        <f t="shared" si="19"/>
        <v>#N/A</v>
      </c>
      <c r="R51" s="395">
        <f t="shared" si="19"/>
        <v>0</v>
      </c>
      <c r="S51" s="395">
        <f t="shared" si="19"/>
        <v>0</v>
      </c>
      <c r="T51" s="396" t="e">
        <f t="shared" si="11"/>
        <v>#N/A</v>
      </c>
    </row>
    <row r="52" spans="1:20" ht="3.95" customHeight="1" x14ac:dyDescent="0.3">
      <c r="A52" s="635"/>
      <c r="B52" s="632"/>
      <c r="C52" s="632"/>
      <c r="D52" s="632"/>
      <c r="E52" s="632"/>
      <c r="F52" s="632"/>
      <c r="G52" s="633"/>
      <c r="H52" s="633"/>
      <c r="I52" s="633"/>
      <c r="J52" s="633"/>
      <c r="K52" s="633"/>
      <c r="L52" s="633"/>
      <c r="M52" s="633"/>
      <c r="N52" s="633"/>
      <c r="O52" s="633"/>
      <c r="P52" s="633"/>
      <c r="Q52" s="633"/>
      <c r="R52" s="633"/>
      <c r="S52" s="633"/>
      <c r="T52" s="636"/>
    </row>
    <row r="53" spans="1:20" ht="15" customHeight="1" x14ac:dyDescent="0.3">
      <c r="A53" s="1099" t="s">
        <v>6</v>
      </c>
      <c r="B53" s="806" t="s">
        <v>40</v>
      </c>
      <c r="C53" s="1083"/>
      <c r="D53" s="1083"/>
      <c r="E53" s="1083"/>
      <c r="F53" s="1083"/>
      <c r="G53" s="395" t="e">
        <f t="shared" ref="G53:S53" si="20">G54+G55+G56+G57+G58+G59+G60+G61+G62</f>
        <v>#N/A</v>
      </c>
      <c r="H53" s="395" t="e">
        <f t="shared" si="20"/>
        <v>#N/A</v>
      </c>
      <c r="I53" s="395" t="e">
        <f t="shared" si="20"/>
        <v>#N/A</v>
      </c>
      <c r="J53" s="395" t="e">
        <f t="shared" si="20"/>
        <v>#N/A</v>
      </c>
      <c r="K53" s="395" t="e">
        <f t="shared" si="20"/>
        <v>#N/A</v>
      </c>
      <c r="L53" s="395" t="e">
        <f t="shared" si="20"/>
        <v>#N/A</v>
      </c>
      <c r="M53" s="395" t="e">
        <f t="shared" si="20"/>
        <v>#N/A</v>
      </c>
      <c r="N53" s="395" t="e">
        <f t="shared" si="20"/>
        <v>#N/A</v>
      </c>
      <c r="O53" s="395" t="e">
        <f t="shared" si="20"/>
        <v>#N/A</v>
      </c>
      <c r="P53" s="395" t="e">
        <f t="shared" si="20"/>
        <v>#N/A</v>
      </c>
      <c r="Q53" s="395" t="e">
        <f t="shared" si="20"/>
        <v>#N/A</v>
      </c>
      <c r="R53" s="395">
        <f t="shared" si="20"/>
        <v>0</v>
      </c>
      <c r="S53" s="395">
        <f t="shared" si="20"/>
        <v>0</v>
      </c>
      <c r="T53" s="396" t="e">
        <f t="shared" ref="T53:T63" si="21">TRUNC(SUM(G53:S53),2)</f>
        <v>#N/A</v>
      </c>
    </row>
    <row r="54" spans="1:20" x14ac:dyDescent="0.3">
      <c r="A54" s="1100"/>
      <c r="B54" s="806" t="s">
        <v>102</v>
      </c>
      <c r="C54" s="1083"/>
      <c r="D54" s="1083"/>
      <c r="E54" s="1083"/>
      <c r="F54" s="1083"/>
      <c r="G54" s="395" t="e">
        <f t="shared" ref="G54:S54" si="22">IF(IF(G32&lt;=(1.5),IF(G35&lt;=(0.8),(G34+G35)/2*G32*G21))=FALSE,0,IF(AND(G32&lt;=(1.5),(G35&lt;=(0.8))),(G34+G35)/2*G32*G21))</f>
        <v>#N/A</v>
      </c>
      <c r="H54" s="395" t="e">
        <f t="shared" si="22"/>
        <v>#N/A</v>
      </c>
      <c r="I54" s="395" t="e">
        <f t="shared" si="22"/>
        <v>#N/A</v>
      </c>
      <c r="J54" s="395" t="e">
        <f t="shared" si="22"/>
        <v>#N/A</v>
      </c>
      <c r="K54" s="395" t="e">
        <f t="shared" si="22"/>
        <v>#N/A</v>
      </c>
      <c r="L54" s="395" t="e">
        <f t="shared" si="22"/>
        <v>#N/A</v>
      </c>
      <c r="M54" s="395" t="e">
        <f t="shared" si="22"/>
        <v>#N/A</v>
      </c>
      <c r="N54" s="395" t="e">
        <f t="shared" si="22"/>
        <v>#N/A</v>
      </c>
      <c r="O54" s="395" t="e">
        <f t="shared" si="22"/>
        <v>#N/A</v>
      </c>
      <c r="P54" s="395" t="e">
        <f t="shared" si="22"/>
        <v>#N/A</v>
      </c>
      <c r="Q54" s="395" t="e">
        <f t="shared" si="22"/>
        <v>#N/A</v>
      </c>
      <c r="R54" s="395">
        <f t="shared" si="22"/>
        <v>0</v>
      </c>
      <c r="S54" s="395">
        <f t="shared" si="22"/>
        <v>0</v>
      </c>
      <c r="T54" s="396" t="e">
        <f t="shared" si="21"/>
        <v>#N/A</v>
      </c>
    </row>
    <row r="55" spans="1:20" x14ac:dyDescent="0.3">
      <c r="A55" s="1100"/>
      <c r="B55" s="806" t="s">
        <v>103</v>
      </c>
      <c r="C55" s="1083"/>
      <c r="D55" s="1083"/>
      <c r="E55" s="1083"/>
      <c r="F55" s="1083"/>
      <c r="G55" s="395" t="e">
        <f t="shared" ref="G55:S55" si="23">IF(AND(G32&lt;=(3),G32&gt;=(1.5),G35&gt;(0.8),G35&lt;=(1.5),(G34+G35)/2*G32*G21)=FALSE,0,IF(AND(G32&lt;=(3),G32&gt;=(1.5),G35&gt;(0.8),G35&lt;=(1.5)),(G34+G35)/2*G32*G21,0))</f>
        <v>#N/A</v>
      </c>
      <c r="H55" s="395" t="e">
        <f t="shared" si="23"/>
        <v>#N/A</v>
      </c>
      <c r="I55" s="395" t="e">
        <f t="shared" si="23"/>
        <v>#N/A</v>
      </c>
      <c r="J55" s="395" t="e">
        <f t="shared" si="23"/>
        <v>#N/A</v>
      </c>
      <c r="K55" s="395" t="e">
        <f t="shared" si="23"/>
        <v>#N/A</v>
      </c>
      <c r="L55" s="395" t="e">
        <f t="shared" si="23"/>
        <v>#N/A</v>
      </c>
      <c r="M55" s="395" t="e">
        <f t="shared" si="23"/>
        <v>#N/A</v>
      </c>
      <c r="N55" s="395" t="e">
        <f t="shared" si="23"/>
        <v>#N/A</v>
      </c>
      <c r="O55" s="395" t="e">
        <f t="shared" si="23"/>
        <v>#N/A</v>
      </c>
      <c r="P55" s="395" t="e">
        <f t="shared" si="23"/>
        <v>#N/A</v>
      </c>
      <c r="Q55" s="395" t="e">
        <f t="shared" si="23"/>
        <v>#N/A</v>
      </c>
      <c r="R55" s="395">
        <f t="shared" si="23"/>
        <v>0</v>
      </c>
      <c r="S55" s="395">
        <f t="shared" si="23"/>
        <v>0</v>
      </c>
      <c r="T55" s="396" t="e">
        <f t="shared" si="21"/>
        <v>#N/A</v>
      </c>
    </row>
    <row r="56" spans="1:20" x14ac:dyDescent="0.3">
      <c r="A56" s="1100"/>
      <c r="B56" s="806" t="s">
        <v>101</v>
      </c>
      <c r="C56" s="1083"/>
      <c r="D56" s="1083"/>
      <c r="E56" s="1083"/>
      <c r="F56" s="1083"/>
      <c r="G56" s="395" t="e">
        <f t="shared" ref="G56:Q56" si="24">IF(AND(G32&lt;=(3),G32&gt;(1.5),G35&gt;(1.5),G35&lt;=(3.5),(G34+G35)/2*G32*G21)=FALSE,0,IF(AND(G32&lt;=(3),G32&gt;(1.5),G35&gt;(1.5),G35&lt;=(3.5)),(G34+G35)/2*G32*G21,0))</f>
        <v>#N/A</v>
      </c>
      <c r="H56" s="395" t="e">
        <f t="shared" si="24"/>
        <v>#N/A</v>
      </c>
      <c r="I56" s="395" t="e">
        <f t="shared" si="24"/>
        <v>#N/A</v>
      </c>
      <c r="J56" s="395" t="e">
        <f t="shared" si="24"/>
        <v>#N/A</v>
      </c>
      <c r="K56" s="395" t="e">
        <f t="shared" si="24"/>
        <v>#N/A</v>
      </c>
      <c r="L56" s="395" t="e">
        <f t="shared" si="24"/>
        <v>#N/A</v>
      </c>
      <c r="M56" s="395" t="e">
        <f t="shared" si="24"/>
        <v>#N/A</v>
      </c>
      <c r="N56" s="395" t="e">
        <f t="shared" si="24"/>
        <v>#N/A</v>
      </c>
      <c r="O56" s="395" t="e">
        <f t="shared" si="24"/>
        <v>#N/A</v>
      </c>
      <c r="P56" s="395" t="e">
        <f t="shared" si="24"/>
        <v>#N/A</v>
      </c>
      <c r="Q56" s="395" t="e">
        <f t="shared" si="24"/>
        <v>#N/A</v>
      </c>
      <c r="R56" s="395">
        <f>IF(AND(R32&lt;=(3),R32&gt;(1.5),R35&gt;(1.5),R35&lt;=(3.5),(R34+R35)/2*R32*R21)=FALSE,0,IF(AND(R32&lt;=(3),R32&gt;=(1.5),R35&gt;(1.5),R35&lt;=(3.5)),(R34+R35)/2*R32*R21,0))</f>
        <v>0</v>
      </c>
      <c r="S56" s="395">
        <f>IF(AND(S32&lt;=(3),S32&gt;(1.5),S35&gt;(1.5),S35&lt;=(3.5),(S34+S35)/2*S32*S21)=FALSE,0,IF(AND(S32&lt;=(3),S32&gt;=(1.5),S35&gt;(1.5),S35&lt;=(3.5)),(S34+S35)/2*S32*S21,0))</f>
        <v>0</v>
      </c>
      <c r="T56" s="396" t="e">
        <f t="shared" si="21"/>
        <v>#N/A</v>
      </c>
    </row>
    <row r="57" spans="1:20" x14ac:dyDescent="0.3">
      <c r="A57" s="1100"/>
      <c r="B57" s="806" t="s">
        <v>51</v>
      </c>
      <c r="C57" s="1083"/>
      <c r="D57" s="1083"/>
      <c r="E57" s="1083"/>
      <c r="F57" s="1083"/>
      <c r="G57" s="395" t="e">
        <f t="shared" ref="G57:S57" si="25">IF(AND(G32&lt;=(4.5),G32&gt;(3),(G34+G35)/2*G32*G21)=FALSE,0,IF(AND(G32&lt;=(4.5),G32&gt;(3)),(G34+G35)/2*G32*G21,0))</f>
        <v>#N/A</v>
      </c>
      <c r="H57" s="395" t="e">
        <f t="shared" si="25"/>
        <v>#N/A</v>
      </c>
      <c r="I57" s="395" t="e">
        <f t="shared" si="25"/>
        <v>#N/A</v>
      </c>
      <c r="J57" s="395" t="e">
        <f t="shared" si="25"/>
        <v>#N/A</v>
      </c>
      <c r="K57" s="395" t="e">
        <f t="shared" si="25"/>
        <v>#N/A</v>
      </c>
      <c r="L57" s="395" t="e">
        <f t="shared" si="25"/>
        <v>#N/A</v>
      </c>
      <c r="M57" s="395" t="e">
        <f t="shared" si="25"/>
        <v>#N/A</v>
      </c>
      <c r="N57" s="395" t="e">
        <f t="shared" si="25"/>
        <v>#N/A</v>
      </c>
      <c r="O57" s="395" t="e">
        <f t="shared" si="25"/>
        <v>#N/A</v>
      </c>
      <c r="P57" s="395" t="e">
        <f t="shared" si="25"/>
        <v>#N/A</v>
      </c>
      <c r="Q57" s="395" t="e">
        <f t="shared" si="25"/>
        <v>#N/A</v>
      </c>
      <c r="R57" s="395">
        <f t="shared" si="25"/>
        <v>0</v>
      </c>
      <c r="S57" s="395">
        <f t="shared" si="25"/>
        <v>0</v>
      </c>
      <c r="T57" s="396" t="e">
        <f t="shared" si="21"/>
        <v>#N/A</v>
      </c>
    </row>
    <row r="58" spans="1:20" x14ac:dyDescent="0.3">
      <c r="A58" s="1100"/>
      <c r="B58" s="806" t="s">
        <v>52</v>
      </c>
      <c r="C58" s="1083"/>
      <c r="D58" s="1083"/>
      <c r="E58" s="1083"/>
      <c r="F58" s="1083"/>
      <c r="G58" s="395" t="e">
        <f t="shared" ref="G58:S58" si="26">IF(AND(G32&gt;(4.5),G32&lt;=(6),G32&gt;(3),(G34+G35)/2*G32*G21)=FALSE,0,IF(AND(G32&gt;(4.5),G32&lt;=(6),G32&gt;(3)),(G34+G35)/2*G32*G21,0))</f>
        <v>#N/A</v>
      </c>
      <c r="H58" s="395" t="e">
        <f t="shared" si="26"/>
        <v>#N/A</v>
      </c>
      <c r="I58" s="395" t="e">
        <f t="shared" si="26"/>
        <v>#N/A</v>
      </c>
      <c r="J58" s="395" t="e">
        <f t="shared" si="26"/>
        <v>#N/A</v>
      </c>
      <c r="K58" s="395" t="e">
        <f t="shared" si="26"/>
        <v>#N/A</v>
      </c>
      <c r="L58" s="395" t="e">
        <f t="shared" si="26"/>
        <v>#N/A</v>
      </c>
      <c r="M58" s="395" t="e">
        <f t="shared" si="26"/>
        <v>#N/A</v>
      </c>
      <c r="N58" s="395" t="e">
        <f t="shared" si="26"/>
        <v>#N/A</v>
      </c>
      <c r="O58" s="395" t="e">
        <f t="shared" si="26"/>
        <v>#N/A</v>
      </c>
      <c r="P58" s="395" t="e">
        <f t="shared" si="26"/>
        <v>#N/A</v>
      </c>
      <c r="Q58" s="395" t="e">
        <f t="shared" si="26"/>
        <v>#N/A</v>
      </c>
      <c r="R58" s="395">
        <f t="shared" si="26"/>
        <v>0</v>
      </c>
      <c r="S58" s="395">
        <f t="shared" si="26"/>
        <v>0</v>
      </c>
      <c r="T58" s="396" t="e">
        <f t="shared" si="21"/>
        <v>#N/A</v>
      </c>
    </row>
    <row r="59" spans="1:20" x14ac:dyDescent="0.3">
      <c r="A59" s="1100"/>
      <c r="B59" s="806" t="s">
        <v>53</v>
      </c>
      <c r="C59" s="1083"/>
      <c r="D59" s="1083"/>
      <c r="E59" s="1083"/>
      <c r="F59" s="1083"/>
      <c r="G59" s="395" t="e">
        <f t="shared" ref="G59:S59" si="27">IF(IF(G32&lt;=1.5,(G54)*0.05,0)=FALSE,0,IF(G32&lt;=1.5,(G54)*0.05,0))</f>
        <v>#N/A</v>
      </c>
      <c r="H59" s="395" t="e">
        <f t="shared" si="27"/>
        <v>#N/A</v>
      </c>
      <c r="I59" s="395" t="e">
        <f t="shared" si="27"/>
        <v>#N/A</v>
      </c>
      <c r="J59" s="395" t="e">
        <f t="shared" si="27"/>
        <v>#N/A</v>
      </c>
      <c r="K59" s="395" t="e">
        <f t="shared" si="27"/>
        <v>#N/A</v>
      </c>
      <c r="L59" s="395" t="e">
        <f t="shared" si="27"/>
        <v>#N/A</v>
      </c>
      <c r="M59" s="395" t="e">
        <f t="shared" si="27"/>
        <v>#N/A</v>
      </c>
      <c r="N59" s="395" t="e">
        <f t="shared" si="27"/>
        <v>#N/A</v>
      </c>
      <c r="O59" s="395" t="e">
        <f t="shared" si="27"/>
        <v>#N/A</v>
      </c>
      <c r="P59" s="395" t="e">
        <f t="shared" si="27"/>
        <v>#N/A</v>
      </c>
      <c r="Q59" s="395" t="e">
        <f t="shared" si="27"/>
        <v>#N/A</v>
      </c>
      <c r="R59" s="395">
        <f t="shared" si="27"/>
        <v>0</v>
      </c>
      <c r="S59" s="395">
        <f t="shared" si="27"/>
        <v>0</v>
      </c>
      <c r="T59" s="383" t="e">
        <f t="shared" si="21"/>
        <v>#N/A</v>
      </c>
    </row>
    <row r="60" spans="1:20" x14ac:dyDescent="0.3">
      <c r="A60" s="1100"/>
      <c r="B60" s="806" t="s">
        <v>54</v>
      </c>
      <c r="C60" s="1083"/>
      <c r="D60" s="1083"/>
      <c r="E60" s="1083"/>
      <c r="F60" s="1083"/>
      <c r="G60" s="395" t="e">
        <f t="shared" ref="G60:S60" si="28">IF(G32&gt;(1.5),IF(G32&lt;=(3),(G55+G56)*0.05,0),0)</f>
        <v>#N/A</v>
      </c>
      <c r="H60" s="395" t="e">
        <f t="shared" si="28"/>
        <v>#N/A</v>
      </c>
      <c r="I60" s="395" t="e">
        <f t="shared" si="28"/>
        <v>#N/A</v>
      </c>
      <c r="J60" s="395" t="e">
        <f t="shared" si="28"/>
        <v>#N/A</v>
      </c>
      <c r="K60" s="395" t="e">
        <f t="shared" si="28"/>
        <v>#N/A</v>
      </c>
      <c r="L60" s="395" t="e">
        <f t="shared" si="28"/>
        <v>#N/A</v>
      </c>
      <c r="M60" s="395" t="e">
        <f t="shared" si="28"/>
        <v>#N/A</v>
      </c>
      <c r="N60" s="395" t="e">
        <f t="shared" si="28"/>
        <v>#N/A</v>
      </c>
      <c r="O60" s="395" t="e">
        <f t="shared" si="28"/>
        <v>#N/A</v>
      </c>
      <c r="P60" s="395" t="e">
        <f t="shared" si="28"/>
        <v>#N/A</v>
      </c>
      <c r="Q60" s="395" t="e">
        <f t="shared" si="28"/>
        <v>#N/A</v>
      </c>
      <c r="R60" s="395">
        <f t="shared" si="28"/>
        <v>0</v>
      </c>
      <c r="S60" s="395">
        <f t="shared" si="28"/>
        <v>0</v>
      </c>
      <c r="T60" s="383" t="e">
        <f t="shared" si="21"/>
        <v>#N/A</v>
      </c>
    </row>
    <row r="61" spans="1:20" ht="14.45" customHeight="1" x14ac:dyDescent="0.3">
      <c r="A61" s="1100"/>
      <c r="B61" s="806" t="s">
        <v>55</v>
      </c>
      <c r="C61" s="1083"/>
      <c r="D61" s="1083"/>
      <c r="E61" s="1083"/>
      <c r="F61" s="1083"/>
      <c r="G61" s="395" t="e">
        <f>(G57)*0.05</f>
        <v>#N/A</v>
      </c>
      <c r="H61" s="395" t="e">
        <f t="shared" ref="H61:N61" si="29">(H57)*0.05</f>
        <v>#N/A</v>
      </c>
      <c r="I61" s="395" t="e">
        <f t="shared" si="29"/>
        <v>#N/A</v>
      </c>
      <c r="J61" s="395" t="e">
        <f t="shared" si="29"/>
        <v>#N/A</v>
      </c>
      <c r="K61" s="395" t="e">
        <f t="shared" si="29"/>
        <v>#N/A</v>
      </c>
      <c r="L61" s="395" t="e">
        <f t="shared" si="29"/>
        <v>#N/A</v>
      </c>
      <c r="M61" s="395" t="e">
        <f t="shared" si="29"/>
        <v>#N/A</v>
      </c>
      <c r="N61" s="395" t="e">
        <f t="shared" si="29"/>
        <v>#N/A</v>
      </c>
      <c r="O61" s="395" t="e">
        <f t="shared" ref="O61:S62" si="30">(O57)*0.05</f>
        <v>#N/A</v>
      </c>
      <c r="P61" s="395" t="e">
        <f t="shared" si="30"/>
        <v>#N/A</v>
      </c>
      <c r="Q61" s="395" t="e">
        <f t="shared" si="30"/>
        <v>#N/A</v>
      </c>
      <c r="R61" s="395">
        <f t="shared" si="30"/>
        <v>0</v>
      </c>
      <c r="S61" s="395">
        <f t="shared" si="30"/>
        <v>0</v>
      </c>
      <c r="T61" s="383" t="e">
        <f t="shared" si="21"/>
        <v>#N/A</v>
      </c>
    </row>
    <row r="62" spans="1:20" x14ac:dyDescent="0.3">
      <c r="A62" s="1100"/>
      <c r="B62" s="806" t="s">
        <v>56</v>
      </c>
      <c r="C62" s="1083"/>
      <c r="D62" s="1083"/>
      <c r="E62" s="1083"/>
      <c r="F62" s="1083"/>
      <c r="G62" s="395" t="e">
        <f>(G58)*0.05</f>
        <v>#N/A</v>
      </c>
      <c r="H62" s="395" t="e">
        <f t="shared" ref="H62:N62" si="31">(H58)*0.05</f>
        <v>#N/A</v>
      </c>
      <c r="I62" s="395" t="e">
        <f t="shared" si="31"/>
        <v>#N/A</v>
      </c>
      <c r="J62" s="395" t="e">
        <f t="shared" si="31"/>
        <v>#N/A</v>
      </c>
      <c r="K62" s="395" t="e">
        <f t="shared" si="31"/>
        <v>#N/A</v>
      </c>
      <c r="L62" s="395" t="e">
        <f t="shared" si="31"/>
        <v>#N/A</v>
      </c>
      <c r="M62" s="395" t="e">
        <f t="shared" si="31"/>
        <v>#N/A</v>
      </c>
      <c r="N62" s="395" t="e">
        <f t="shared" si="31"/>
        <v>#N/A</v>
      </c>
      <c r="O62" s="395" t="e">
        <f t="shared" si="30"/>
        <v>#N/A</v>
      </c>
      <c r="P62" s="395" t="e">
        <f t="shared" si="30"/>
        <v>#N/A</v>
      </c>
      <c r="Q62" s="395" t="e">
        <f t="shared" si="30"/>
        <v>#N/A</v>
      </c>
      <c r="R62" s="395">
        <f t="shared" si="30"/>
        <v>0</v>
      </c>
      <c r="S62" s="395">
        <f t="shared" si="30"/>
        <v>0</v>
      </c>
      <c r="T62" s="383" t="e">
        <f t="shared" si="21"/>
        <v>#N/A</v>
      </c>
    </row>
    <row r="63" spans="1:20" x14ac:dyDescent="0.3">
      <c r="A63" s="1100"/>
      <c r="B63" s="1104" t="s">
        <v>42</v>
      </c>
      <c r="C63" s="1105"/>
      <c r="D63" s="1105"/>
      <c r="E63" s="1105"/>
      <c r="F63" s="393" t="s">
        <v>23</v>
      </c>
      <c r="G63" s="395" t="e">
        <f t="shared" ref="G63:S63" si="32">G53</f>
        <v>#N/A</v>
      </c>
      <c r="H63" s="395" t="e">
        <f t="shared" si="32"/>
        <v>#N/A</v>
      </c>
      <c r="I63" s="395" t="e">
        <f t="shared" si="32"/>
        <v>#N/A</v>
      </c>
      <c r="J63" s="395" t="e">
        <f t="shared" si="32"/>
        <v>#N/A</v>
      </c>
      <c r="K63" s="395" t="e">
        <f t="shared" si="32"/>
        <v>#N/A</v>
      </c>
      <c r="L63" s="395" t="e">
        <f t="shared" si="32"/>
        <v>#N/A</v>
      </c>
      <c r="M63" s="395" t="e">
        <f t="shared" si="32"/>
        <v>#N/A</v>
      </c>
      <c r="N63" s="395" t="e">
        <f t="shared" si="32"/>
        <v>#N/A</v>
      </c>
      <c r="O63" s="395" t="e">
        <f t="shared" si="32"/>
        <v>#N/A</v>
      </c>
      <c r="P63" s="395" t="e">
        <f t="shared" si="32"/>
        <v>#N/A</v>
      </c>
      <c r="Q63" s="395" t="e">
        <f t="shared" si="32"/>
        <v>#N/A</v>
      </c>
      <c r="R63" s="395">
        <f t="shared" si="32"/>
        <v>0</v>
      </c>
      <c r="S63" s="395">
        <f t="shared" si="32"/>
        <v>0</v>
      </c>
      <c r="T63" s="383" t="e">
        <f t="shared" si="21"/>
        <v>#N/A</v>
      </c>
    </row>
    <row r="64" spans="1:20" x14ac:dyDescent="0.3">
      <c r="A64" s="1100"/>
      <c r="B64" s="1104"/>
      <c r="C64" s="1105"/>
      <c r="D64" s="1105"/>
      <c r="E64" s="1105"/>
      <c r="F64" s="393" t="s">
        <v>24</v>
      </c>
      <c r="G64" s="408">
        <v>0.3</v>
      </c>
      <c r="H64" s="408">
        <v>0.3</v>
      </c>
      <c r="I64" s="408">
        <v>0.3</v>
      </c>
      <c r="J64" s="408">
        <v>0.3</v>
      </c>
      <c r="K64" s="408">
        <v>0.3</v>
      </c>
      <c r="L64" s="408">
        <v>0.3</v>
      </c>
      <c r="M64" s="408">
        <v>0.3</v>
      </c>
      <c r="N64" s="408">
        <v>0.3</v>
      </c>
      <c r="O64" s="408">
        <v>0.3</v>
      </c>
      <c r="P64" s="408">
        <v>0.3</v>
      </c>
      <c r="Q64" s="408">
        <v>0.3</v>
      </c>
      <c r="R64" s="408">
        <v>0.3</v>
      </c>
      <c r="S64" s="408">
        <v>0.3</v>
      </c>
      <c r="T64" s="383"/>
    </row>
    <row r="65" spans="1:20" x14ac:dyDescent="0.3">
      <c r="A65" s="1100"/>
      <c r="B65" s="1104"/>
      <c r="C65" s="1105"/>
      <c r="D65" s="1105"/>
      <c r="E65" s="1105"/>
      <c r="F65" s="393" t="s">
        <v>25</v>
      </c>
      <c r="G65" s="395">
        <f t="shared" ref="G65:S65" si="33">$B$11</f>
        <v>5.8</v>
      </c>
      <c r="H65" s="395">
        <f t="shared" si="33"/>
        <v>5.8</v>
      </c>
      <c r="I65" s="395">
        <f t="shared" si="33"/>
        <v>5.8</v>
      </c>
      <c r="J65" s="395">
        <f t="shared" si="33"/>
        <v>5.8</v>
      </c>
      <c r="K65" s="395">
        <f t="shared" si="33"/>
        <v>5.8</v>
      </c>
      <c r="L65" s="395">
        <f t="shared" si="33"/>
        <v>5.8</v>
      </c>
      <c r="M65" s="395">
        <f t="shared" si="33"/>
        <v>5.8</v>
      </c>
      <c r="N65" s="395">
        <f t="shared" si="33"/>
        <v>5.8</v>
      </c>
      <c r="O65" s="395">
        <f t="shared" si="33"/>
        <v>5.8</v>
      </c>
      <c r="P65" s="395">
        <f t="shared" si="33"/>
        <v>5.8</v>
      </c>
      <c r="Q65" s="395">
        <f t="shared" si="33"/>
        <v>5.8</v>
      </c>
      <c r="R65" s="395">
        <f t="shared" si="33"/>
        <v>5.8</v>
      </c>
      <c r="S65" s="395">
        <f t="shared" si="33"/>
        <v>5.8</v>
      </c>
      <c r="T65" s="402"/>
    </row>
    <row r="66" spans="1:20" x14ac:dyDescent="0.3">
      <c r="A66" s="1100"/>
      <c r="B66" s="1104"/>
      <c r="C66" s="1105"/>
      <c r="D66" s="1105"/>
      <c r="E66" s="1105"/>
      <c r="F66" s="393" t="s">
        <v>26</v>
      </c>
      <c r="G66" s="395" t="e">
        <f t="shared" ref="G66:S66" si="34">ROUND(G63*(1+G64)*G65,2)</f>
        <v>#N/A</v>
      </c>
      <c r="H66" s="395" t="e">
        <f t="shared" si="34"/>
        <v>#N/A</v>
      </c>
      <c r="I66" s="395" t="e">
        <f t="shared" si="34"/>
        <v>#N/A</v>
      </c>
      <c r="J66" s="395" t="e">
        <f t="shared" si="34"/>
        <v>#N/A</v>
      </c>
      <c r="K66" s="395" t="e">
        <f t="shared" si="34"/>
        <v>#N/A</v>
      </c>
      <c r="L66" s="395" t="e">
        <f t="shared" si="34"/>
        <v>#N/A</v>
      </c>
      <c r="M66" s="395" t="e">
        <f t="shared" si="34"/>
        <v>#N/A</v>
      </c>
      <c r="N66" s="395" t="e">
        <f t="shared" si="34"/>
        <v>#N/A</v>
      </c>
      <c r="O66" s="395" t="e">
        <f t="shared" si="34"/>
        <v>#N/A</v>
      </c>
      <c r="P66" s="395" t="e">
        <f t="shared" si="34"/>
        <v>#N/A</v>
      </c>
      <c r="Q66" s="395" t="e">
        <f t="shared" si="34"/>
        <v>#N/A</v>
      </c>
      <c r="R66" s="395">
        <f t="shared" si="34"/>
        <v>0</v>
      </c>
      <c r="S66" s="395">
        <f t="shared" si="34"/>
        <v>0</v>
      </c>
      <c r="T66" s="383" t="e">
        <f>TRUNC(SUM(G66:S66),2)</f>
        <v>#N/A</v>
      </c>
    </row>
    <row r="67" spans="1:20" ht="3.95" hidden="1" customHeight="1" x14ac:dyDescent="0.3">
      <c r="A67" s="1100"/>
      <c r="B67" s="409"/>
      <c r="C67" s="409"/>
      <c r="D67" s="409"/>
      <c r="E67" s="409"/>
      <c r="F67" s="410"/>
      <c r="G67" s="405"/>
      <c r="H67" s="405"/>
      <c r="I67" s="405"/>
      <c r="J67" s="405"/>
      <c r="K67" s="405"/>
      <c r="L67" s="405"/>
      <c r="M67" s="405"/>
      <c r="N67" s="405"/>
      <c r="O67" s="405"/>
      <c r="P67" s="405"/>
      <c r="Q67" s="405"/>
      <c r="R67" s="405"/>
      <c r="S67" s="405"/>
      <c r="T67" s="407"/>
    </row>
    <row r="68" spans="1:20" ht="16.5" hidden="1" customHeight="1" x14ac:dyDescent="0.3">
      <c r="A68" s="1101"/>
      <c r="B68" s="1083" t="s">
        <v>66</v>
      </c>
      <c r="C68" s="1083"/>
      <c r="D68" s="1083"/>
      <c r="E68" s="1083"/>
      <c r="F68" s="1083"/>
      <c r="G68" s="395" t="e">
        <f t="shared" ref="G68:S68" si="35">IF(G32&lt;=(1.5),G32*G21*2,0)</f>
        <v>#N/A</v>
      </c>
      <c r="H68" s="395" t="e">
        <f t="shared" si="35"/>
        <v>#N/A</v>
      </c>
      <c r="I68" s="395" t="e">
        <f t="shared" si="35"/>
        <v>#N/A</v>
      </c>
      <c r="J68" s="395" t="e">
        <f t="shared" si="35"/>
        <v>#N/A</v>
      </c>
      <c r="K68" s="395" t="e">
        <f t="shared" si="35"/>
        <v>#N/A</v>
      </c>
      <c r="L68" s="395" t="e">
        <f t="shared" si="35"/>
        <v>#N/A</v>
      </c>
      <c r="M68" s="395" t="e">
        <f t="shared" si="35"/>
        <v>#N/A</v>
      </c>
      <c r="N68" s="395" t="e">
        <f t="shared" si="35"/>
        <v>#N/A</v>
      </c>
      <c r="O68" s="395" t="e">
        <f t="shared" si="35"/>
        <v>#N/A</v>
      </c>
      <c r="P68" s="395" t="e">
        <f t="shared" si="35"/>
        <v>#N/A</v>
      </c>
      <c r="Q68" s="395" t="e">
        <f t="shared" si="35"/>
        <v>#N/A</v>
      </c>
      <c r="R68" s="395">
        <f t="shared" si="35"/>
        <v>0</v>
      </c>
      <c r="S68" s="395">
        <f t="shared" si="35"/>
        <v>0</v>
      </c>
      <c r="T68" s="383" t="e">
        <f t="shared" ref="T68:T73" si="36">TRUNC(SUM(G68:S68),2)</f>
        <v>#N/A</v>
      </c>
    </row>
    <row r="69" spans="1:20" ht="24.75" hidden="1" customHeight="1" x14ac:dyDescent="0.3">
      <c r="A69" s="1101"/>
      <c r="B69" s="1088" t="s">
        <v>67</v>
      </c>
      <c r="C69" s="1088"/>
      <c r="D69" s="1088"/>
      <c r="E69" s="1088"/>
      <c r="F69" s="1088"/>
      <c r="G69" s="395" t="e">
        <f t="shared" ref="G69:S69" si="37">IF(AND(G32&gt;(1.5),G32&lt;=(3),2*G25&lt;=(1.5)),G32*2*G21,0)</f>
        <v>#N/A</v>
      </c>
      <c r="H69" s="395" t="e">
        <f t="shared" si="37"/>
        <v>#N/A</v>
      </c>
      <c r="I69" s="395" t="e">
        <f t="shared" si="37"/>
        <v>#N/A</v>
      </c>
      <c r="J69" s="395" t="e">
        <f t="shared" si="37"/>
        <v>#N/A</v>
      </c>
      <c r="K69" s="395" t="e">
        <f t="shared" si="37"/>
        <v>#N/A</v>
      </c>
      <c r="L69" s="395" t="e">
        <f t="shared" si="37"/>
        <v>#N/A</v>
      </c>
      <c r="M69" s="395" t="e">
        <f t="shared" si="37"/>
        <v>#N/A</v>
      </c>
      <c r="N69" s="395" t="e">
        <f t="shared" si="37"/>
        <v>#N/A</v>
      </c>
      <c r="O69" s="395" t="e">
        <f t="shared" si="37"/>
        <v>#N/A</v>
      </c>
      <c r="P69" s="395" t="e">
        <f t="shared" si="37"/>
        <v>#N/A</v>
      </c>
      <c r="Q69" s="395" t="e">
        <f t="shared" si="37"/>
        <v>#N/A</v>
      </c>
      <c r="R69" s="395">
        <f t="shared" si="37"/>
        <v>0</v>
      </c>
      <c r="S69" s="395">
        <f t="shared" si="37"/>
        <v>0</v>
      </c>
      <c r="T69" s="383" t="e">
        <f t="shared" si="36"/>
        <v>#N/A</v>
      </c>
    </row>
    <row r="70" spans="1:20" ht="24" hidden="1" customHeight="1" x14ac:dyDescent="0.3">
      <c r="A70" s="1101"/>
      <c r="B70" s="1088" t="s">
        <v>916</v>
      </c>
      <c r="C70" s="1088"/>
      <c r="D70" s="1088"/>
      <c r="E70" s="1088"/>
      <c r="F70" s="1088"/>
      <c r="G70" s="395" t="e">
        <f t="shared" ref="G70:S70" si="38">IF(AND(G32&lt;(1.5),2*G25&gt;=(1.5),2*G25&lt;(3)),G32*2*G21,0)</f>
        <v>#N/A</v>
      </c>
      <c r="H70" s="395" t="e">
        <f t="shared" si="38"/>
        <v>#N/A</v>
      </c>
      <c r="I70" s="395" t="e">
        <f t="shared" si="38"/>
        <v>#N/A</v>
      </c>
      <c r="J70" s="395" t="e">
        <f t="shared" si="38"/>
        <v>#N/A</v>
      </c>
      <c r="K70" s="395" t="e">
        <f t="shared" si="38"/>
        <v>#N/A</v>
      </c>
      <c r="L70" s="395" t="e">
        <f t="shared" si="38"/>
        <v>#N/A</v>
      </c>
      <c r="M70" s="395" t="e">
        <f t="shared" si="38"/>
        <v>#N/A</v>
      </c>
      <c r="N70" s="395" t="e">
        <f t="shared" si="38"/>
        <v>#N/A</v>
      </c>
      <c r="O70" s="395" t="e">
        <f t="shared" si="38"/>
        <v>#N/A</v>
      </c>
      <c r="P70" s="395" t="e">
        <f t="shared" si="38"/>
        <v>#N/A</v>
      </c>
      <c r="Q70" s="395" t="e">
        <f t="shared" si="38"/>
        <v>#N/A</v>
      </c>
      <c r="R70" s="395">
        <f t="shared" si="38"/>
        <v>0</v>
      </c>
      <c r="S70" s="395">
        <f t="shared" si="38"/>
        <v>0</v>
      </c>
      <c r="T70" s="383" t="e">
        <f t="shared" si="36"/>
        <v>#N/A</v>
      </c>
    </row>
    <row r="71" spans="1:20" ht="27" hidden="1" customHeight="1" x14ac:dyDescent="0.3">
      <c r="A71" s="1101"/>
      <c r="B71" s="1088" t="s">
        <v>68</v>
      </c>
      <c r="C71" s="1088"/>
      <c r="D71" s="1088"/>
      <c r="E71" s="1088"/>
      <c r="F71" s="1088"/>
      <c r="G71" s="395" t="e">
        <f t="shared" ref="G71:S71" si="39">IF(AND(G32&gt;(1.5),G32&lt;=(3),2*G25&gt;=(1.5),2*G25&lt;(3)),(G32*2*G21),0)</f>
        <v>#N/A</v>
      </c>
      <c r="H71" s="395" t="e">
        <f t="shared" si="39"/>
        <v>#N/A</v>
      </c>
      <c r="I71" s="395" t="e">
        <f t="shared" si="39"/>
        <v>#N/A</v>
      </c>
      <c r="J71" s="395" t="e">
        <f t="shared" si="39"/>
        <v>#N/A</v>
      </c>
      <c r="K71" s="395" t="e">
        <f t="shared" si="39"/>
        <v>#N/A</v>
      </c>
      <c r="L71" s="395" t="e">
        <f t="shared" si="39"/>
        <v>#N/A</v>
      </c>
      <c r="M71" s="395" t="e">
        <f t="shared" si="39"/>
        <v>#N/A</v>
      </c>
      <c r="N71" s="395" t="e">
        <f t="shared" si="39"/>
        <v>#N/A</v>
      </c>
      <c r="O71" s="395" t="e">
        <f t="shared" si="39"/>
        <v>#N/A</v>
      </c>
      <c r="P71" s="395" t="e">
        <f t="shared" si="39"/>
        <v>#N/A</v>
      </c>
      <c r="Q71" s="395" t="e">
        <f t="shared" si="39"/>
        <v>#N/A</v>
      </c>
      <c r="R71" s="395">
        <f t="shared" si="39"/>
        <v>0</v>
      </c>
      <c r="S71" s="395">
        <f t="shared" si="39"/>
        <v>0</v>
      </c>
      <c r="T71" s="383" t="e">
        <f t="shared" si="36"/>
        <v>#N/A</v>
      </c>
    </row>
    <row r="72" spans="1:20" ht="27" hidden="1" customHeight="1" x14ac:dyDescent="0.3">
      <c r="A72" s="1101"/>
      <c r="B72" s="1088" t="s">
        <v>917</v>
      </c>
      <c r="C72" s="1088"/>
      <c r="D72" s="1088"/>
      <c r="E72" s="1088"/>
      <c r="F72" s="1088"/>
      <c r="G72" s="395" t="e">
        <f t="shared" ref="G72:S72" si="40">IF(AND(G32&gt;(3),G32&lt;=(4.5),2*G25&lt;=(1.5)),G32*2*G21,0)</f>
        <v>#N/A</v>
      </c>
      <c r="H72" s="395" t="e">
        <f t="shared" si="40"/>
        <v>#N/A</v>
      </c>
      <c r="I72" s="395" t="e">
        <f t="shared" si="40"/>
        <v>#N/A</v>
      </c>
      <c r="J72" s="395" t="e">
        <f t="shared" si="40"/>
        <v>#N/A</v>
      </c>
      <c r="K72" s="395" t="e">
        <f t="shared" si="40"/>
        <v>#N/A</v>
      </c>
      <c r="L72" s="395" t="e">
        <f t="shared" si="40"/>
        <v>#N/A</v>
      </c>
      <c r="M72" s="395" t="e">
        <f t="shared" si="40"/>
        <v>#N/A</v>
      </c>
      <c r="N72" s="395" t="e">
        <f t="shared" si="40"/>
        <v>#N/A</v>
      </c>
      <c r="O72" s="395" t="e">
        <f t="shared" si="40"/>
        <v>#N/A</v>
      </c>
      <c r="P72" s="395" t="e">
        <f t="shared" si="40"/>
        <v>#N/A</v>
      </c>
      <c r="Q72" s="395" t="e">
        <f t="shared" si="40"/>
        <v>#N/A</v>
      </c>
      <c r="R72" s="395">
        <f t="shared" si="40"/>
        <v>0</v>
      </c>
      <c r="S72" s="395">
        <f t="shared" si="40"/>
        <v>0</v>
      </c>
      <c r="T72" s="383" t="e">
        <f t="shared" si="36"/>
        <v>#N/A</v>
      </c>
    </row>
    <row r="73" spans="1:20" ht="27" hidden="1" customHeight="1" x14ac:dyDescent="0.3">
      <c r="A73" s="1101"/>
      <c r="B73" s="1088" t="s">
        <v>918</v>
      </c>
      <c r="C73" s="1088"/>
      <c r="D73" s="1088"/>
      <c r="E73" s="1088"/>
      <c r="F73" s="1088"/>
      <c r="G73" s="395" t="e">
        <f t="shared" ref="G73:S73" si="41">IF(AND(G32&gt;(3),G32&lt;=(4.5),2*G25&gt;=(1.5),2*G25&lt;(3)),(G32*2*G21),0)</f>
        <v>#N/A</v>
      </c>
      <c r="H73" s="395" t="e">
        <f t="shared" si="41"/>
        <v>#N/A</v>
      </c>
      <c r="I73" s="395" t="e">
        <f t="shared" si="41"/>
        <v>#N/A</v>
      </c>
      <c r="J73" s="395" t="e">
        <f t="shared" si="41"/>
        <v>#N/A</v>
      </c>
      <c r="K73" s="395" t="e">
        <f t="shared" si="41"/>
        <v>#N/A</v>
      </c>
      <c r="L73" s="395" t="e">
        <f t="shared" si="41"/>
        <v>#N/A</v>
      </c>
      <c r="M73" s="395" t="e">
        <f t="shared" si="41"/>
        <v>#N/A</v>
      </c>
      <c r="N73" s="395" t="e">
        <f t="shared" si="41"/>
        <v>#N/A</v>
      </c>
      <c r="O73" s="395" t="e">
        <f t="shared" si="41"/>
        <v>#N/A</v>
      </c>
      <c r="P73" s="395" t="e">
        <f t="shared" si="41"/>
        <v>#N/A</v>
      </c>
      <c r="Q73" s="395" t="e">
        <f t="shared" si="41"/>
        <v>#N/A</v>
      </c>
      <c r="R73" s="395">
        <f t="shared" si="41"/>
        <v>0</v>
      </c>
      <c r="S73" s="395">
        <f t="shared" si="41"/>
        <v>0</v>
      </c>
      <c r="T73" s="383" t="e">
        <f t="shared" si="36"/>
        <v>#N/A</v>
      </c>
    </row>
    <row r="74" spans="1:20" ht="3.95" hidden="1" customHeight="1" x14ac:dyDescent="0.3">
      <c r="A74" s="1100"/>
      <c r="B74" s="411"/>
      <c r="C74" s="411"/>
      <c r="D74" s="411"/>
      <c r="E74" s="411"/>
      <c r="F74" s="411"/>
      <c r="G74" s="405"/>
      <c r="H74" s="405"/>
      <c r="I74" s="405"/>
      <c r="J74" s="405"/>
      <c r="K74" s="405"/>
      <c r="L74" s="405"/>
      <c r="M74" s="405"/>
      <c r="N74" s="405"/>
      <c r="O74" s="405"/>
      <c r="P74" s="405"/>
      <c r="Q74" s="405"/>
      <c r="R74" s="405"/>
      <c r="S74" s="405"/>
      <c r="T74" s="407"/>
    </row>
    <row r="75" spans="1:20" hidden="1" x14ac:dyDescent="0.3">
      <c r="A75" s="1101"/>
      <c r="B75" s="1083" t="s">
        <v>919</v>
      </c>
      <c r="C75" s="1083"/>
      <c r="D75" s="1083"/>
      <c r="E75" s="1083"/>
      <c r="F75" s="1083"/>
      <c r="G75" s="395" t="e">
        <f t="shared" ref="G75:S75" si="42">IF(2*G25&lt;(1.5),2*G25*G24*G21,0)</f>
        <v>#N/A</v>
      </c>
      <c r="H75" s="395" t="e">
        <f t="shared" si="42"/>
        <v>#N/A</v>
      </c>
      <c r="I75" s="395" t="e">
        <f t="shared" si="42"/>
        <v>#N/A</v>
      </c>
      <c r="J75" s="395" t="e">
        <f t="shared" si="42"/>
        <v>#N/A</v>
      </c>
      <c r="K75" s="395" t="e">
        <f t="shared" si="42"/>
        <v>#N/A</v>
      </c>
      <c r="L75" s="395" t="e">
        <f t="shared" si="42"/>
        <v>#N/A</v>
      </c>
      <c r="M75" s="395" t="e">
        <f t="shared" si="42"/>
        <v>#N/A</v>
      </c>
      <c r="N75" s="395" t="e">
        <f t="shared" si="42"/>
        <v>#N/A</v>
      </c>
      <c r="O75" s="395" t="e">
        <f t="shared" si="42"/>
        <v>#N/A</v>
      </c>
      <c r="P75" s="395" t="e">
        <f t="shared" si="42"/>
        <v>#N/A</v>
      </c>
      <c r="Q75" s="395" t="e">
        <f t="shared" si="42"/>
        <v>#N/A</v>
      </c>
      <c r="R75" s="395">
        <f t="shared" si="42"/>
        <v>0</v>
      </c>
      <c r="S75" s="395">
        <f t="shared" si="42"/>
        <v>0</v>
      </c>
      <c r="T75" s="383" t="e">
        <f>TRUNC(SUM(G75:S75),2)</f>
        <v>#N/A</v>
      </c>
    </row>
    <row r="76" spans="1:20" ht="26.25" hidden="1" customHeight="1" x14ac:dyDescent="0.3">
      <c r="A76" s="1101"/>
      <c r="B76" s="1088" t="s">
        <v>920</v>
      </c>
      <c r="C76" s="1088"/>
      <c r="D76" s="1088"/>
      <c r="E76" s="1088"/>
      <c r="F76" s="1088"/>
      <c r="G76" s="395" t="e">
        <f t="shared" ref="G76:S76" si="43">IF(2*G25&gt;=(1.5),2*G25*G24*G21,0)</f>
        <v>#N/A</v>
      </c>
      <c r="H76" s="395" t="e">
        <f t="shared" si="43"/>
        <v>#N/A</v>
      </c>
      <c r="I76" s="395" t="e">
        <f t="shared" si="43"/>
        <v>#N/A</v>
      </c>
      <c r="J76" s="395" t="e">
        <f t="shared" si="43"/>
        <v>#N/A</v>
      </c>
      <c r="K76" s="395" t="e">
        <f t="shared" si="43"/>
        <v>#N/A</v>
      </c>
      <c r="L76" s="395" t="e">
        <f t="shared" si="43"/>
        <v>#N/A</v>
      </c>
      <c r="M76" s="395" t="e">
        <f t="shared" si="43"/>
        <v>#N/A</v>
      </c>
      <c r="N76" s="395" t="e">
        <f t="shared" si="43"/>
        <v>#N/A</v>
      </c>
      <c r="O76" s="395" t="e">
        <f t="shared" si="43"/>
        <v>#N/A</v>
      </c>
      <c r="P76" s="395" t="e">
        <f t="shared" si="43"/>
        <v>#N/A</v>
      </c>
      <c r="Q76" s="395" t="e">
        <f t="shared" si="43"/>
        <v>#N/A</v>
      </c>
      <c r="R76" s="395">
        <f t="shared" si="43"/>
        <v>0</v>
      </c>
      <c r="S76" s="395">
        <f t="shared" si="43"/>
        <v>0</v>
      </c>
      <c r="T76" s="383" t="e">
        <f>TRUNC(SUM(G76:S76),2)</f>
        <v>#N/A</v>
      </c>
    </row>
    <row r="77" spans="1:20" ht="3.95" customHeight="1" x14ac:dyDescent="0.3">
      <c r="A77" s="1100"/>
      <c r="B77" s="640"/>
      <c r="C77" s="640"/>
      <c r="D77" s="640"/>
      <c r="E77" s="640"/>
      <c r="F77" s="640"/>
      <c r="G77" s="633"/>
      <c r="H77" s="633"/>
      <c r="I77" s="633"/>
      <c r="J77" s="633"/>
      <c r="K77" s="633"/>
      <c r="L77" s="633"/>
      <c r="M77" s="633"/>
      <c r="N77" s="633"/>
      <c r="O77" s="633"/>
      <c r="P77" s="633"/>
      <c r="Q77" s="633"/>
      <c r="R77" s="633"/>
      <c r="S77" s="633"/>
      <c r="T77" s="636"/>
    </row>
    <row r="78" spans="1:20" x14ac:dyDescent="0.3">
      <c r="A78" s="1101"/>
      <c r="B78" s="1083" t="s">
        <v>57</v>
      </c>
      <c r="C78" s="1083"/>
      <c r="D78" s="1083"/>
      <c r="E78" s="1083"/>
      <c r="F78" s="1083"/>
      <c r="G78" s="395" t="e">
        <f t="shared" ref="G78:S78" si="44">(G54+G55+G56+G57+G58+G59+G60+G61)-(G37*G21)</f>
        <v>#N/A</v>
      </c>
      <c r="H78" s="395" t="e">
        <f t="shared" si="44"/>
        <v>#N/A</v>
      </c>
      <c r="I78" s="395" t="e">
        <f t="shared" si="44"/>
        <v>#N/A</v>
      </c>
      <c r="J78" s="395" t="e">
        <f t="shared" si="44"/>
        <v>#N/A</v>
      </c>
      <c r="K78" s="395" t="e">
        <f t="shared" si="44"/>
        <v>#N/A</v>
      </c>
      <c r="L78" s="395" t="e">
        <f t="shared" si="44"/>
        <v>#N/A</v>
      </c>
      <c r="M78" s="395" t="e">
        <f t="shared" si="44"/>
        <v>#N/A</v>
      </c>
      <c r="N78" s="395" t="e">
        <f t="shared" si="44"/>
        <v>#N/A</v>
      </c>
      <c r="O78" s="395" t="e">
        <f t="shared" si="44"/>
        <v>#N/A</v>
      </c>
      <c r="P78" s="395" t="e">
        <f t="shared" si="44"/>
        <v>#N/A</v>
      </c>
      <c r="Q78" s="395" t="e">
        <f t="shared" si="44"/>
        <v>#N/A</v>
      </c>
      <c r="R78" s="395">
        <f t="shared" si="44"/>
        <v>0</v>
      </c>
      <c r="S78" s="395">
        <f t="shared" si="44"/>
        <v>0</v>
      </c>
      <c r="T78" s="396" t="e">
        <f t="shared" ref="T78:T84" si="45">TRUNC(SUM(G78:S78),2)</f>
        <v>#N/A</v>
      </c>
    </row>
    <row r="79" spans="1:20" x14ac:dyDescent="0.3">
      <c r="A79" s="1101"/>
      <c r="B79" s="1083" t="s">
        <v>104</v>
      </c>
      <c r="C79" s="1083"/>
      <c r="D79" s="1083"/>
      <c r="E79" s="1083"/>
      <c r="F79" s="1083"/>
      <c r="G79" s="395" t="e">
        <f t="shared" ref="G79:S79" si="46">IF(AND(G32&lt;=(1.5),G35&lt;=(0.8),ROUND((G54+G59)-(G37*G21),2))=FALSE,0,IF(AND(G32&lt;=(1.5),G35&lt;=(0.8)),ROUND((G54+G59)-(G37*G21),2),0))</f>
        <v>#N/A</v>
      </c>
      <c r="H79" s="395" t="e">
        <f t="shared" si="46"/>
        <v>#N/A</v>
      </c>
      <c r="I79" s="395" t="e">
        <f t="shared" si="46"/>
        <v>#N/A</v>
      </c>
      <c r="J79" s="395" t="e">
        <f t="shared" si="46"/>
        <v>#N/A</v>
      </c>
      <c r="K79" s="395" t="e">
        <f t="shared" si="46"/>
        <v>#N/A</v>
      </c>
      <c r="L79" s="395" t="e">
        <f t="shared" si="46"/>
        <v>#N/A</v>
      </c>
      <c r="M79" s="395" t="e">
        <f t="shared" si="46"/>
        <v>#N/A</v>
      </c>
      <c r="N79" s="395" t="e">
        <f t="shared" si="46"/>
        <v>#N/A</v>
      </c>
      <c r="O79" s="395" t="e">
        <f t="shared" si="46"/>
        <v>#N/A</v>
      </c>
      <c r="P79" s="395" t="e">
        <f t="shared" si="46"/>
        <v>#N/A</v>
      </c>
      <c r="Q79" s="395" t="e">
        <f t="shared" si="46"/>
        <v>#N/A</v>
      </c>
      <c r="R79" s="395">
        <f t="shared" si="46"/>
        <v>0</v>
      </c>
      <c r="S79" s="395">
        <f t="shared" si="46"/>
        <v>0</v>
      </c>
      <c r="T79" s="396" t="e">
        <f t="shared" si="45"/>
        <v>#N/A</v>
      </c>
    </row>
    <row r="80" spans="1:20" x14ac:dyDescent="0.3">
      <c r="A80" s="1101"/>
      <c r="B80" s="1083" t="s">
        <v>105</v>
      </c>
      <c r="C80" s="1083"/>
      <c r="D80" s="1083"/>
      <c r="E80" s="1083"/>
      <c r="F80" s="1083"/>
      <c r="G80" s="395" t="e">
        <f t="shared" ref="G80:Q80" si="47">IF(AND(G32&lt;=(3),G32&gt;(1.5),G35&gt;=(0.8),G35&lt;(1.5),ROUND((G55+G60)-(G37*G21),2))=FALSE,0,IF(AND(G32&lt;=(3),G32&gt;(1.5),G35&gt;=(0.8),G35&lt;(1.5)),ROUND((G55+G60)-(G37*G21),2),0))</f>
        <v>#N/A</v>
      </c>
      <c r="H80" s="395" t="e">
        <f t="shared" si="47"/>
        <v>#N/A</v>
      </c>
      <c r="I80" s="395" t="e">
        <f t="shared" si="47"/>
        <v>#N/A</v>
      </c>
      <c r="J80" s="395" t="e">
        <f t="shared" si="47"/>
        <v>#N/A</v>
      </c>
      <c r="K80" s="395" t="e">
        <f t="shared" si="47"/>
        <v>#N/A</v>
      </c>
      <c r="L80" s="395" t="e">
        <f t="shared" si="47"/>
        <v>#N/A</v>
      </c>
      <c r="M80" s="395" t="e">
        <f t="shared" si="47"/>
        <v>#N/A</v>
      </c>
      <c r="N80" s="395" t="e">
        <f t="shared" si="47"/>
        <v>#N/A</v>
      </c>
      <c r="O80" s="395" t="e">
        <f t="shared" si="47"/>
        <v>#N/A</v>
      </c>
      <c r="P80" s="395" t="e">
        <f t="shared" si="47"/>
        <v>#N/A</v>
      </c>
      <c r="Q80" s="395" t="e">
        <f t="shared" si="47"/>
        <v>#N/A</v>
      </c>
      <c r="R80" s="395">
        <f>IF(AND(R32&lt;=(3),R32&gt;(1.5),R35&gt;=(0.8),R35&lt;(1.5),ROUND((R55+R60)-(R37*R21),2))=FALSE,0,IF(AND(R32&lt;=(3),R32&gt;=(1.5),R35&gt;=(0.8),R35&lt;(1.5)),ROUND((R55+R60)-(R37*R21),2),0))</f>
        <v>0</v>
      </c>
      <c r="S80" s="395">
        <f>IF(AND(S32&lt;=(3),S32&gt;(1.5),S35&gt;=(0.8),S35&lt;(1.5),ROUND((S55+S60)-(S37*S21),2))=FALSE,0,IF(AND(S32&lt;=(3),S32&gt;=(1.5),S35&gt;=(0.8),S35&lt;(1.5)),ROUND((S55+S60)-(S37*S21),2),0))</f>
        <v>0</v>
      </c>
      <c r="T80" s="396" t="e">
        <f t="shared" si="45"/>
        <v>#N/A</v>
      </c>
    </row>
    <row r="81" spans="1:20" x14ac:dyDescent="0.3">
      <c r="A81" s="1101"/>
      <c r="B81" s="1083" t="s">
        <v>106</v>
      </c>
      <c r="C81" s="1083"/>
      <c r="D81" s="1083"/>
      <c r="E81" s="1083"/>
      <c r="F81" s="1083"/>
      <c r="G81" s="395" t="e">
        <f t="shared" ref="G81:Q81" si="48">IF(AND(G32&lt;=(3),G32&gt;(1.5),G35&gt;=(1.5),G35&lt;(3.5),ROUND((G56+G61)-(G37*G21),2))=FALSE,0,IF(AND(G32&lt;=(3),G32&gt;(1.5),G35&gt;=(1.5),G35&lt;(3.5)),ROUND((G56+G61)-(G37*G21),2),0))</f>
        <v>#N/A</v>
      </c>
      <c r="H81" s="395" t="e">
        <f t="shared" si="48"/>
        <v>#N/A</v>
      </c>
      <c r="I81" s="395" t="e">
        <f t="shared" si="48"/>
        <v>#N/A</v>
      </c>
      <c r="J81" s="395" t="e">
        <f t="shared" si="48"/>
        <v>#N/A</v>
      </c>
      <c r="K81" s="395" t="e">
        <f t="shared" si="48"/>
        <v>#N/A</v>
      </c>
      <c r="L81" s="395" t="e">
        <f t="shared" si="48"/>
        <v>#N/A</v>
      </c>
      <c r="M81" s="395" t="e">
        <f t="shared" si="48"/>
        <v>#N/A</v>
      </c>
      <c r="N81" s="395" t="e">
        <f t="shared" si="48"/>
        <v>#N/A</v>
      </c>
      <c r="O81" s="395" t="e">
        <f t="shared" si="48"/>
        <v>#N/A</v>
      </c>
      <c r="P81" s="395" t="e">
        <f t="shared" si="48"/>
        <v>#N/A</v>
      </c>
      <c r="Q81" s="395" t="e">
        <f t="shared" si="48"/>
        <v>#N/A</v>
      </c>
      <c r="R81" s="395">
        <f>IF(AND(R32&lt;=(3),R32&gt;=(1.5),R35&gt;=(1.5),R35&lt;(3.5),ROUND((R56+R61)-(R37*R21),2))=FALSE,0,IF(AND(R32&lt;=(3),R32&gt;(1.5),R35&gt;=(1.5),R35&lt;(3.5)),ROUND((R56+R61)-(R37*R21),2),0))</f>
        <v>0</v>
      </c>
      <c r="S81" s="395">
        <f>IF(AND(S32&lt;=(3),S32&gt;=(1.5),S35&gt;=(1.5),S35&lt;(3.5),ROUND((S56+S61)-(S37*S21),2))=FALSE,0,IF(AND(S32&lt;=(3),S32&gt;(1.5),S35&gt;=(1.5),S35&lt;(3.5)),ROUND((S56+S61)-(S37*S21),2),0))</f>
        <v>0</v>
      </c>
      <c r="T81" s="396" t="e">
        <f t="shared" si="45"/>
        <v>#N/A</v>
      </c>
    </row>
    <row r="82" spans="1:20" x14ac:dyDescent="0.3">
      <c r="A82" s="1101"/>
      <c r="B82" s="1083" t="s">
        <v>58</v>
      </c>
      <c r="C82" s="1083"/>
      <c r="D82" s="1083"/>
      <c r="E82" s="1083"/>
      <c r="F82" s="1083"/>
      <c r="G82" s="395" t="e">
        <f t="shared" ref="G82:S82" si="49">IF(AND(G32&lt;=(4.5),G32&gt;(3),ROUND((G57+G61)-(G37*G21),2))=FALSE,0,IF(AND(G32&lt;=(4.5),G32&gt;(3)),ROUND((G57+G61)-(G37*G21),2),0))</f>
        <v>#N/A</v>
      </c>
      <c r="H82" s="395" t="e">
        <f t="shared" si="49"/>
        <v>#N/A</v>
      </c>
      <c r="I82" s="395" t="e">
        <f t="shared" si="49"/>
        <v>#N/A</v>
      </c>
      <c r="J82" s="395" t="e">
        <f t="shared" si="49"/>
        <v>#N/A</v>
      </c>
      <c r="K82" s="395" t="e">
        <f t="shared" si="49"/>
        <v>#N/A</v>
      </c>
      <c r="L82" s="395" t="e">
        <f t="shared" si="49"/>
        <v>#N/A</v>
      </c>
      <c r="M82" s="395" t="e">
        <f t="shared" si="49"/>
        <v>#N/A</v>
      </c>
      <c r="N82" s="395" t="e">
        <f t="shared" si="49"/>
        <v>#N/A</v>
      </c>
      <c r="O82" s="395" t="e">
        <f t="shared" si="49"/>
        <v>#N/A</v>
      </c>
      <c r="P82" s="395" t="e">
        <f t="shared" si="49"/>
        <v>#N/A</v>
      </c>
      <c r="Q82" s="395" t="e">
        <f t="shared" si="49"/>
        <v>#N/A</v>
      </c>
      <c r="R82" s="395">
        <f t="shared" si="49"/>
        <v>0</v>
      </c>
      <c r="S82" s="395">
        <f t="shared" si="49"/>
        <v>0</v>
      </c>
      <c r="T82" s="396" t="e">
        <f t="shared" si="45"/>
        <v>#N/A</v>
      </c>
    </row>
    <row r="83" spans="1:20" x14ac:dyDescent="0.3">
      <c r="A83" s="1101"/>
      <c r="B83" s="1083" t="s">
        <v>59</v>
      </c>
      <c r="C83" s="1083"/>
      <c r="D83" s="1083"/>
      <c r="E83" s="1083"/>
      <c r="F83" s="1083"/>
      <c r="G83" s="395" t="e">
        <f t="shared" ref="G83:S83" si="50">IF(AND(G32&lt;=(6),G32&gt;(4.5),ROUND((G58+G62)-(G37*G21),2))=FALSE,0,IF(AND(G32&lt;=(6),G32&gt;(4.5)),ROUND((G58+G62)-(G37*G21),2),0))</f>
        <v>#N/A</v>
      </c>
      <c r="H83" s="395" t="e">
        <f t="shared" si="50"/>
        <v>#N/A</v>
      </c>
      <c r="I83" s="395" t="e">
        <f t="shared" si="50"/>
        <v>#N/A</v>
      </c>
      <c r="J83" s="395" t="e">
        <f t="shared" si="50"/>
        <v>#N/A</v>
      </c>
      <c r="K83" s="395" t="e">
        <f t="shared" si="50"/>
        <v>#N/A</v>
      </c>
      <c r="L83" s="395" t="e">
        <f t="shared" si="50"/>
        <v>#N/A</v>
      </c>
      <c r="M83" s="395" t="e">
        <f t="shared" si="50"/>
        <v>#N/A</v>
      </c>
      <c r="N83" s="395" t="e">
        <f t="shared" si="50"/>
        <v>#N/A</v>
      </c>
      <c r="O83" s="395" t="e">
        <f t="shared" si="50"/>
        <v>#N/A</v>
      </c>
      <c r="P83" s="395" t="e">
        <f t="shared" si="50"/>
        <v>#N/A</v>
      </c>
      <c r="Q83" s="395" t="e">
        <f t="shared" si="50"/>
        <v>#N/A</v>
      </c>
      <c r="R83" s="395">
        <f t="shared" si="50"/>
        <v>0</v>
      </c>
      <c r="S83" s="395">
        <f t="shared" si="50"/>
        <v>0</v>
      </c>
      <c r="T83" s="396" t="e">
        <f t="shared" si="45"/>
        <v>#N/A</v>
      </c>
    </row>
    <row r="84" spans="1:20" x14ac:dyDescent="0.3">
      <c r="A84" s="1101"/>
      <c r="B84" s="1083" t="s">
        <v>41</v>
      </c>
      <c r="C84" s="1083"/>
      <c r="D84" s="1083"/>
      <c r="E84" s="1083"/>
      <c r="F84" s="1083"/>
      <c r="G84" s="395" t="e">
        <f t="shared" ref="G84:S84" si="51">G53-G78</f>
        <v>#N/A</v>
      </c>
      <c r="H84" s="395" t="e">
        <f t="shared" si="51"/>
        <v>#N/A</v>
      </c>
      <c r="I84" s="395" t="e">
        <f t="shared" si="51"/>
        <v>#N/A</v>
      </c>
      <c r="J84" s="395" t="e">
        <f t="shared" si="51"/>
        <v>#N/A</v>
      </c>
      <c r="K84" s="395" t="e">
        <f t="shared" si="51"/>
        <v>#N/A</v>
      </c>
      <c r="L84" s="395" t="e">
        <f t="shared" si="51"/>
        <v>#N/A</v>
      </c>
      <c r="M84" s="395" t="e">
        <f t="shared" si="51"/>
        <v>#N/A</v>
      </c>
      <c r="N84" s="395" t="e">
        <f t="shared" si="51"/>
        <v>#N/A</v>
      </c>
      <c r="O84" s="395" t="e">
        <f t="shared" si="51"/>
        <v>#N/A</v>
      </c>
      <c r="P84" s="395" t="e">
        <f t="shared" si="51"/>
        <v>#N/A</v>
      </c>
      <c r="Q84" s="395" t="e">
        <f t="shared" si="51"/>
        <v>#N/A</v>
      </c>
      <c r="R84" s="395">
        <f t="shared" si="51"/>
        <v>0</v>
      </c>
      <c r="S84" s="395">
        <f t="shared" si="51"/>
        <v>0</v>
      </c>
      <c r="T84" s="396" t="e">
        <f t="shared" si="45"/>
        <v>#N/A</v>
      </c>
    </row>
    <row r="85" spans="1:20" ht="13.9" customHeight="1" x14ac:dyDescent="0.3">
      <c r="A85" s="1101"/>
      <c r="B85" s="1103" t="s">
        <v>369</v>
      </c>
      <c r="C85" s="1103"/>
      <c r="D85" s="1103"/>
      <c r="E85" s="1103"/>
      <c r="F85" s="393" t="s">
        <v>23</v>
      </c>
      <c r="G85" s="395" t="e">
        <f t="shared" ref="G85:S85" si="52">G84*(1+G86)</f>
        <v>#N/A</v>
      </c>
      <c r="H85" s="395" t="e">
        <f t="shared" si="52"/>
        <v>#N/A</v>
      </c>
      <c r="I85" s="395" t="e">
        <f t="shared" si="52"/>
        <v>#N/A</v>
      </c>
      <c r="J85" s="395" t="e">
        <f t="shared" si="52"/>
        <v>#N/A</v>
      </c>
      <c r="K85" s="395" t="e">
        <f t="shared" si="52"/>
        <v>#N/A</v>
      </c>
      <c r="L85" s="395" t="e">
        <f t="shared" si="52"/>
        <v>#N/A</v>
      </c>
      <c r="M85" s="395" t="e">
        <f t="shared" si="52"/>
        <v>#N/A</v>
      </c>
      <c r="N85" s="395" t="e">
        <f t="shared" si="52"/>
        <v>#N/A</v>
      </c>
      <c r="O85" s="395" t="e">
        <f t="shared" si="52"/>
        <v>#N/A</v>
      </c>
      <c r="P85" s="395" t="e">
        <f t="shared" si="52"/>
        <v>#N/A</v>
      </c>
      <c r="Q85" s="395" t="e">
        <f t="shared" si="52"/>
        <v>#N/A</v>
      </c>
      <c r="R85" s="395">
        <f t="shared" si="52"/>
        <v>0</v>
      </c>
      <c r="S85" s="395">
        <f t="shared" si="52"/>
        <v>0</v>
      </c>
      <c r="T85" s="396" t="e">
        <f>SUM(G85:S85)</f>
        <v>#N/A</v>
      </c>
    </row>
    <row r="86" spans="1:20" ht="13.9" customHeight="1" x14ac:dyDescent="0.3">
      <c r="A86" s="1101"/>
      <c r="B86" s="1103"/>
      <c r="C86" s="1103"/>
      <c r="D86" s="1103"/>
      <c r="E86" s="1103"/>
      <c r="F86" s="393" t="s">
        <v>976</v>
      </c>
      <c r="G86" s="408">
        <v>0.3</v>
      </c>
      <c r="H86" s="408">
        <v>0.3</v>
      </c>
      <c r="I86" s="408">
        <v>0.3</v>
      </c>
      <c r="J86" s="408">
        <v>0.3</v>
      </c>
      <c r="K86" s="408">
        <v>0.3</v>
      </c>
      <c r="L86" s="408">
        <v>0.3</v>
      </c>
      <c r="M86" s="408">
        <v>0.3</v>
      </c>
      <c r="N86" s="408">
        <v>0.3</v>
      </c>
      <c r="O86" s="408">
        <v>0.3</v>
      </c>
      <c r="P86" s="408">
        <v>0.3</v>
      </c>
      <c r="Q86" s="408">
        <v>0.3</v>
      </c>
      <c r="R86" s="408">
        <v>0.3</v>
      </c>
      <c r="S86" s="408">
        <v>0.3</v>
      </c>
      <c r="T86" s="402"/>
    </row>
    <row r="87" spans="1:20" ht="13.9" customHeight="1" x14ac:dyDescent="0.3">
      <c r="A87" s="1101"/>
      <c r="B87" s="1103"/>
      <c r="C87" s="1103"/>
      <c r="D87" s="1103"/>
      <c r="E87" s="1103"/>
      <c r="F87" s="393" t="s">
        <v>25</v>
      </c>
      <c r="G87" s="395">
        <f>$B$13</f>
        <v>5.8</v>
      </c>
      <c r="H87" s="395">
        <f t="shared" ref="H87:S87" si="53">$B$13</f>
        <v>5.8</v>
      </c>
      <c r="I87" s="395">
        <f t="shared" si="53"/>
        <v>5.8</v>
      </c>
      <c r="J87" s="395">
        <f t="shared" si="53"/>
        <v>5.8</v>
      </c>
      <c r="K87" s="395">
        <f t="shared" si="53"/>
        <v>5.8</v>
      </c>
      <c r="L87" s="395">
        <f t="shared" si="53"/>
        <v>5.8</v>
      </c>
      <c r="M87" s="395">
        <f t="shared" si="53"/>
        <v>5.8</v>
      </c>
      <c r="N87" s="395">
        <f t="shared" si="53"/>
        <v>5.8</v>
      </c>
      <c r="O87" s="395">
        <f t="shared" si="53"/>
        <v>5.8</v>
      </c>
      <c r="P87" s="395">
        <f t="shared" si="53"/>
        <v>5.8</v>
      </c>
      <c r="Q87" s="395">
        <f t="shared" si="53"/>
        <v>5.8</v>
      </c>
      <c r="R87" s="395">
        <f t="shared" si="53"/>
        <v>5.8</v>
      </c>
      <c r="S87" s="395">
        <f t="shared" si="53"/>
        <v>5.8</v>
      </c>
      <c r="T87" s="402"/>
    </row>
    <row r="88" spans="1:20" ht="13.9" customHeight="1" x14ac:dyDescent="0.3">
      <c r="A88" s="1102"/>
      <c r="B88" s="1103"/>
      <c r="C88" s="1103"/>
      <c r="D88" s="1103"/>
      <c r="E88" s="1103"/>
      <c r="F88" s="393" t="s">
        <v>26</v>
      </c>
      <c r="G88" s="395" t="e">
        <f t="shared" ref="G88:S88" si="54">ROUND(G85*G87,2)</f>
        <v>#N/A</v>
      </c>
      <c r="H88" s="395" t="e">
        <f t="shared" si="54"/>
        <v>#N/A</v>
      </c>
      <c r="I88" s="395" t="e">
        <f t="shared" si="54"/>
        <v>#N/A</v>
      </c>
      <c r="J88" s="395" t="e">
        <f t="shared" si="54"/>
        <v>#N/A</v>
      </c>
      <c r="K88" s="395" t="e">
        <f t="shared" si="54"/>
        <v>#N/A</v>
      </c>
      <c r="L88" s="395" t="e">
        <f t="shared" si="54"/>
        <v>#N/A</v>
      </c>
      <c r="M88" s="395" t="e">
        <f t="shared" si="54"/>
        <v>#N/A</v>
      </c>
      <c r="N88" s="395" t="e">
        <f t="shared" si="54"/>
        <v>#N/A</v>
      </c>
      <c r="O88" s="395" t="e">
        <f t="shared" si="54"/>
        <v>#N/A</v>
      </c>
      <c r="P88" s="395" t="e">
        <f t="shared" si="54"/>
        <v>#N/A</v>
      </c>
      <c r="Q88" s="395" t="e">
        <f t="shared" si="54"/>
        <v>#N/A</v>
      </c>
      <c r="R88" s="395">
        <f t="shared" si="54"/>
        <v>0</v>
      </c>
      <c r="S88" s="395">
        <f t="shared" si="54"/>
        <v>0</v>
      </c>
      <c r="T88" s="396" t="e">
        <f>TRUNC(SUM(G88:S88),2)</f>
        <v>#N/A</v>
      </c>
    </row>
    <row r="89" spans="1:20" ht="3.95" customHeight="1" x14ac:dyDescent="0.3">
      <c r="A89" s="641"/>
      <c r="B89" s="642"/>
      <c r="C89" s="642"/>
      <c r="D89" s="642"/>
      <c r="E89" s="642"/>
      <c r="F89" s="638"/>
      <c r="G89" s="633"/>
      <c r="H89" s="633"/>
      <c r="I89" s="633"/>
      <c r="J89" s="633"/>
      <c r="K89" s="633"/>
      <c r="L89" s="633"/>
      <c r="M89" s="633"/>
      <c r="N89" s="633"/>
      <c r="O89" s="633"/>
      <c r="P89" s="633"/>
      <c r="Q89" s="633"/>
      <c r="R89" s="633"/>
      <c r="S89" s="633"/>
      <c r="T89" s="636"/>
    </row>
    <row r="90" spans="1:20" ht="13.9" customHeight="1" x14ac:dyDescent="0.3">
      <c r="A90" s="1101" t="s">
        <v>7</v>
      </c>
      <c r="B90" s="1083" t="s">
        <v>273</v>
      </c>
      <c r="C90" s="1083"/>
      <c r="D90" s="1083"/>
      <c r="E90" s="1083"/>
      <c r="F90" s="1083"/>
      <c r="G90" s="395" t="e">
        <f t="shared" ref="G90:S90" si="55">IF(G25=(0.4),G21*G24,0)</f>
        <v>#N/A</v>
      </c>
      <c r="H90" s="395" t="e">
        <f t="shared" si="55"/>
        <v>#N/A</v>
      </c>
      <c r="I90" s="395" t="e">
        <f t="shared" si="55"/>
        <v>#N/A</v>
      </c>
      <c r="J90" s="395" t="e">
        <f t="shared" si="55"/>
        <v>#N/A</v>
      </c>
      <c r="K90" s="395" t="e">
        <f t="shared" si="55"/>
        <v>#N/A</v>
      </c>
      <c r="L90" s="395" t="e">
        <f t="shared" si="55"/>
        <v>#N/A</v>
      </c>
      <c r="M90" s="395" t="e">
        <f t="shared" si="55"/>
        <v>#N/A</v>
      </c>
      <c r="N90" s="395" t="e">
        <f t="shared" si="55"/>
        <v>#N/A</v>
      </c>
      <c r="O90" s="395" t="e">
        <f t="shared" si="55"/>
        <v>#N/A</v>
      </c>
      <c r="P90" s="395" t="e">
        <f t="shared" si="55"/>
        <v>#N/A</v>
      </c>
      <c r="Q90" s="395" t="e">
        <f t="shared" si="55"/>
        <v>#N/A</v>
      </c>
      <c r="R90" s="395">
        <f t="shared" si="55"/>
        <v>0</v>
      </c>
      <c r="S90" s="395">
        <f t="shared" si="55"/>
        <v>0</v>
      </c>
      <c r="T90" s="413" t="e">
        <f t="shared" ref="T90:T102" si="56">ROUND(SUM(G90:S90),3)</f>
        <v>#N/A</v>
      </c>
    </row>
    <row r="91" spans="1:20" ht="13.9" customHeight="1" x14ac:dyDescent="0.3">
      <c r="A91" s="1101"/>
      <c r="B91" s="1083" t="s">
        <v>274</v>
      </c>
      <c r="C91" s="1083"/>
      <c r="D91" s="1083"/>
      <c r="E91" s="1083"/>
      <c r="F91" s="1083"/>
      <c r="G91" s="395" t="e">
        <f t="shared" ref="G91:S91" si="57">IF(G25=(0.6),G21*G24,0)</f>
        <v>#N/A</v>
      </c>
      <c r="H91" s="395" t="e">
        <f t="shared" si="57"/>
        <v>#N/A</v>
      </c>
      <c r="I91" s="395" t="e">
        <f t="shared" si="57"/>
        <v>#N/A</v>
      </c>
      <c r="J91" s="395" t="e">
        <f t="shared" si="57"/>
        <v>#N/A</v>
      </c>
      <c r="K91" s="395" t="e">
        <f t="shared" si="57"/>
        <v>#N/A</v>
      </c>
      <c r="L91" s="395" t="e">
        <f t="shared" si="57"/>
        <v>#N/A</v>
      </c>
      <c r="M91" s="395" t="e">
        <f t="shared" si="57"/>
        <v>#N/A</v>
      </c>
      <c r="N91" s="395" t="e">
        <f t="shared" si="57"/>
        <v>#N/A</v>
      </c>
      <c r="O91" s="395" t="e">
        <f t="shared" si="57"/>
        <v>#N/A</v>
      </c>
      <c r="P91" s="395" t="e">
        <f t="shared" si="57"/>
        <v>#N/A</v>
      </c>
      <c r="Q91" s="395" t="e">
        <f t="shared" si="57"/>
        <v>#N/A</v>
      </c>
      <c r="R91" s="395">
        <f t="shared" si="57"/>
        <v>0</v>
      </c>
      <c r="S91" s="395">
        <f t="shared" si="57"/>
        <v>0</v>
      </c>
      <c r="T91" s="413" t="e">
        <f t="shared" si="56"/>
        <v>#N/A</v>
      </c>
    </row>
    <row r="92" spans="1:20" ht="13.9" customHeight="1" x14ac:dyDescent="0.3">
      <c r="A92" s="1101"/>
      <c r="B92" s="1083" t="s">
        <v>275</v>
      </c>
      <c r="C92" s="1083"/>
      <c r="D92" s="1083"/>
      <c r="E92" s="1083"/>
      <c r="F92" s="1083"/>
      <c r="G92" s="395" t="e">
        <f t="shared" ref="G92:S92" si="58">IF(G25=(0.8),G21*G24,0)</f>
        <v>#N/A</v>
      </c>
      <c r="H92" s="395" t="e">
        <f t="shared" si="58"/>
        <v>#N/A</v>
      </c>
      <c r="I92" s="395" t="e">
        <f t="shared" si="58"/>
        <v>#N/A</v>
      </c>
      <c r="J92" s="395" t="e">
        <f t="shared" si="58"/>
        <v>#N/A</v>
      </c>
      <c r="K92" s="395" t="e">
        <f t="shared" si="58"/>
        <v>#N/A</v>
      </c>
      <c r="L92" s="395" t="e">
        <f t="shared" si="58"/>
        <v>#N/A</v>
      </c>
      <c r="M92" s="395" t="e">
        <f t="shared" si="58"/>
        <v>#N/A</v>
      </c>
      <c r="N92" s="395" t="e">
        <f t="shared" si="58"/>
        <v>#N/A</v>
      </c>
      <c r="O92" s="395" t="e">
        <f t="shared" si="58"/>
        <v>#N/A</v>
      </c>
      <c r="P92" s="395" t="e">
        <f t="shared" si="58"/>
        <v>#N/A</v>
      </c>
      <c r="Q92" s="395" t="e">
        <f t="shared" si="58"/>
        <v>#N/A</v>
      </c>
      <c r="R92" s="395">
        <f t="shared" si="58"/>
        <v>0</v>
      </c>
      <c r="S92" s="395">
        <f t="shared" si="58"/>
        <v>0</v>
      </c>
      <c r="T92" s="413" t="e">
        <f t="shared" si="56"/>
        <v>#N/A</v>
      </c>
    </row>
    <row r="93" spans="1:20" ht="13.9" customHeight="1" x14ac:dyDescent="0.3">
      <c r="A93" s="1101"/>
      <c r="B93" s="1083" t="s">
        <v>276</v>
      </c>
      <c r="C93" s="1083"/>
      <c r="D93" s="1083"/>
      <c r="E93" s="1083"/>
      <c r="F93" s="1083"/>
      <c r="G93" s="395" t="e">
        <f t="shared" ref="G93:S93" si="59">IF(G25=(1),G21*G24,0)</f>
        <v>#N/A</v>
      </c>
      <c r="H93" s="395" t="e">
        <f t="shared" si="59"/>
        <v>#N/A</v>
      </c>
      <c r="I93" s="395" t="e">
        <f t="shared" si="59"/>
        <v>#N/A</v>
      </c>
      <c r="J93" s="395" t="e">
        <f t="shared" si="59"/>
        <v>#N/A</v>
      </c>
      <c r="K93" s="395" t="e">
        <f t="shared" si="59"/>
        <v>#N/A</v>
      </c>
      <c r="L93" s="395" t="e">
        <f t="shared" si="59"/>
        <v>#N/A</v>
      </c>
      <c r="M93" s="395" t="e">
        <f t="shared" si="59"/>
        <v>#N/A</v>
      </c>
      <c r="N93" s="395" t="e">
        <f t="shared" si="59"/>
        <v>#N/A</v>
      </c>
      <c r="O93" s="395" t="e">
        <f t="shared" si="59"/>
        <v>#N/A</v>
      </c>
      <c r="P93" s="395" t="e">
        <f t="shared" si="59"/>
        <v>#N/A</v>
      </c>
      <c r="Q93" s="395" t="e">
        <f t="shared" si="59"/>
        <v>#N/A</v>
      </c>
      <c r="R93" s="395">
        <f t="shared" si="59"/>
        <v>0</v>
      </c>
      <c r="S93" s="395">
        <f t="shared" si="59"/>
        <v>0</v>
      </c>
      <c r="T93" s="413" t="e">
        <f t="shared" si="56"/>
        <v>#N/A</v>
      </c>
    </row>
    <row r="94" spans="1:20" ht="13.9" customHeight="1" x14ac:dyDescent="0.3">
      <c r="A94" s="1101"/>
      <c r="B94" s="1083" t="s">
        <v>277</v>
      </c>
      <c r="C94" s="1083"/>
      <c r="D94" s="1083"/>
      <c r="E94" s="1083"/>
      <c r="F94" s="1083"/>
      <c r="G94" s="395" t="e">
        <f t="shared" ref="G94:S94" si="60">IF(G25=(1.2),G21*G24,0)</f>
        <v>#N/A</v>
      </c>
      <c r="H94" s="395" t="e">
        <f t="shared" si="60"/>
        <v>#N/A</v>
      </c>
      <c r="I94" s="395" t="e">
        <f t="shared" si="60"/>
        <v>#N/A</v>
      </c>
      <c r="J94" s="395" t="e">
        <f t="shared" si="60"/>
        <v>#N/A</v>
      </c>
      <c r="K94" s="395" t="e">
        <f t="shared" si="60"/>
        <v>#N/A</v>
      </c>
      <c r="L94" s="395" t="e">
        <f t="shared" si="60"/>
        <v>#N/A</v>
      </c>
      <c r="M94" s="395" t="e">
        <f t="shared" si="60"/>
        <v>#N/A</v>
      </c>
      <c r="N94" s="395" t="e">
        <f t="shared" si="60"/>
        <v>#N/A</v>
      </c>
      <c r="O94" s="395" t="e">
        <f t="shared" si="60"/>
        <v>#N/A</v>
      </c>
      <c r="P94" s="395" t="e">
        <f t="shared" si="60"/>
        <v>#N/A</v>
      </c>
      <c r="Q94" s="395" t="e">
        <f t="shared" si="60"/>
        <v>#N/A</v>
      </c>
      <c r="R94" s="395">
        <f t="shared" si="60"/>
        <v>0</v>
      </c>
      <c r="S94" s="395">
        <f t="shared" si="60"/>
        <v>0</v>
      </c>
      <c r="T94" s="413" t="e">
        <f t="shared" si="56"/>
        <v>#N/A</v>
      </c>
    </row>
    <row r="95" spans="1:20" ht="13.9" customHeight="1" x14ac:dyDescent="0.3">
      <c r="A95" s="1101"/>
      <c r="B95" s="1083" t="s">
        <v>278</v>
      </c>
      <c r="C95" s="1083"/>
      <c r="D95" s="1083"/>
      <c r="E95" s="1083"/>
      <c r="F95" s="1083"/>
      <c r="G95" s="395" t="e">
        <f t="shared" ref="G95:S95" si="61">IF(G25=(1.5),G21*G24,0)</f>
        <v>#N/A</v>
      </c>
      <c r="H95" s="395" t="e">
        <f t="shared" si="61"/>
        <v>#N/A</v>
      </c>
      <c r="I95" s="395" t="e">
        <f t="shared" si="61"/>
        <v>#N/A</v>
      </c>
      <c r="J95" s="395" t="e">
        <f t="shared" si="61"/>
        <v>#N/A</v>
      </c>
      <c r="K95" s="395" t="e">
        <f t="shared" si="61"/>
        <v>#N/A</v>
      </c>
      <c r="L95" s="395" t="e">
        <f t="shared" si="61"/>
        <v>#N/A</v>
      </c>
      <c r="M95" s="395" t="e">
        <f t="shared" si="61"/>
        <v>#N/A</v>
      </c>
      <c r="N95" s="395" t="e">
        <f t="shared" si="61"/>
        <v>#N/A</v>
      </c>
      <c r="O95" s="395" t="e">
        <f t="shared" si="61"/>
        <v>#N/A</v>
      </c>
      <c r="P95" s="395" t="e">
        <f t="shared" si="61"/>
        <v>#N/A</v>
      </c>
      <c r="Q95" s="395" t="e">
        <f t="shared" si="61"/>
        <v>#N/A</v>
      </c>
      <c r="R95" s="395">
        <f t="shared" si="61"/>
        <v>0</v>
      </c>
      <c r="S95" s="395">
        <f t="shared" si="61"/>
        <v>0</v>
      </c>
      <c r="T95" s="413" t="e">
        <f t="shared" si="56"/>
        <v>#N/A</v>
      </c>
    </row>
    <row r="96" spans="1:20" ht="13.9" customHeight="1" x14ac:dyDescent="0.3">
      <c r="A96" s="1101"/>
      <c r="B96" s="1083" t="s">
        <v>403</v>
      </c>
      <c r="C96" s="1083"/>
      <c r="D96" s="1083"/>
      <c r="E96" s="1083"/>
      <c r="F96" s="1083"/>
      <c r="G96" s="395" t="e">
        <f t="shared" ref="G96:S96" si="62">G90*$E$10</f>
        <v>#N/A</v>
      </c>
      <c r="H96" s="395" t="e">
        <f t="shared" si="62"/>
        <v>#N/A</v>
      </c>
      <c r="I96" s="395" t="e">
        <f t="shared" si="62"/>
        <v>#N/A</v>
      </c>
      <c r="J96" s="395" t="e">
        <f t="shared" si="62"/>
        <v>#N/A</v>
      </c>
      <c r="K96" s="395" t="e">
        <f t="shared" si="62"/>
        <v>#N/A</v>
      </c>
      <c r="L96" s="395" t="e">
        <f t="shared" si="62"/>
        <v>#N/A</v>
      </c>
      <c r="M96" s="395" t="e">
        <f t="shared" si="62"/>
        <v>#N/A</v>
      </c>
      <c r="N96" s="395" t="e">
        <f t="shared" si="62"/>
        <v>#N/A</v>
      </c>
      <c r="O96" s="395" t="e">
        <f t="shared" si="62"/>
        <v>#N/A</v>
      </c>
      <c r="P96" s="395" t="e">
        <f t="shared" si="62"/>
        <v>#N/A</v>
      </c>
      <c r="Q96" s="395" t="e">
        <f t="shared" si="62"/>
        <v>#N/A</v>
      </c>
      <c r="R96" s="395">
        <f t="shared" si="62"/>
        <v>0</v>
      </c>
      <c r="S96" s="395">
        <f t="shared" si="62"/>
        <v>0</v>
      </c>
      <c r="T96" s="383" t="e">
        <f t="shared" si="56"/>
        <v>#N/A</v>
      </c>
    </row>
    <row r="97" spans="1:20" ht="13.9" customHeight="1" x14ac:dyDescent="0.3">
      <c r="A97" s="1101"/>
      <c r="B97" s="1083" t="s">
        <v>404</v>
      </c>
      <c r="C97" s="1083"/>
      <c r="D97" s="1083"/>
      <c r="E97" s="1083"/>
      <c r="F97" s="1083"/>
      <c r="G97" s="395" t="e">
        <f t="shared" ref="G97:S97" si="63">G91*$E$11</f>
        <v>#N/A</v>
      </c>
      <c r="H97" s="395" t="e">
        <f t="shared" si="63"/>
        <v>#N/A</v>
      </c>
      <c r="I97" s="395" t="e">
        <f t="shared" si="63"/>
        <v>#N/A</v>
      </c>
      <c r="J97" s="395" t="e">
        <f t="shared" si="63"/>
        <v>#N/A</v>
      </c>
      <c r="K97" s="395" t="e">
        <f t="shared" si="63"/>
        <v>#N/A</v>
      </c>
      <c r="L97" s="395" t="e">
        <f t="shared" si="63"/>
        <v>#N/A</v>
      </c>
      <c r="M97" s="395" t="e">
        <f t="shared" si="63"/>
        <v>#N/A</v>
      </c>
      <c r="N97" s="395" t="e">
        <f t="shared" si="63"/>
        <v>#N/A</v>
      </c>
      <c r="O97" s="395" t="e">
        <f t="shared" si="63"/>
        <v>#N/A</v>
      </c>
      <c r="P97" s="395" t="e">
        <f t="shared" si="63"/>
        <v>#N/A</v>
      </c>
      <c r="Q97" s="395" t="e">
        <f t="shared" si="63"/>
        <v>#N/A</v>
      </c>
      <c r="R97" s="395">
        <f t="shared" si="63"/>
        <v>0</v>
      </c>
      <c r="S97" s="395">
        <f t="shared" si="63"/>
        <v>0</v>
      </c>
      <c r="T97" s="383" t="e">
        <f t="shared" si="56"/>
        <v>#N/A</v>
      </c>
    </row>
    <row r="98" spans="1:20" ht="13.9" customHeight="1" x14ac:dyDescent="0.3">
      <c r="A98" s="1101"/>
      <c r="B98" s="1083" t="s">
        <v>405</v>
      </c>
      <c r="C98" s="1083"/>
      <c r="D98" s="1083"/>
      <c r="E98" s="1083"/>
      <c r="F98" s="1083"/>
      <c r="G98" s="395" t="e">
        <f t="shared" ref="G98:S98" si="64">G92*$E$12</f>
        <v>#N/A</v>
      </c>
      <c r="H98" s="395" t="e">
        <f t="shared" si="64"/>
        <v>#N/A</v>
      </c>
      <c r="I98" s="395" t="e">
        <f t="shared" si="64"/>
        <v>#N/A</v>
      </c>
      <c r="J98" s="395" t="e">
        <f t="shared" si="64"/>
        <v>#N/A</v>
      </c>
      <c r="K98" s="395" t="e">
        <f t="shared" si="64"/>
        <v>#N/A</v>
      </c>
      <c r="L98" s="395" t="e">
        <f t="shared" si="64"/>
        <v>#N/A</v>
      </c>
      <c r="M98" s="395" t="e">
        <f t="shared" si="64"/>
        <v>#N/A</v>
      </c>
      <c r="N98" s="395" t="e">
        <f t="shared" si="64"/>
        <v>#N/A</v>
      </c>
      <c r="O98" s="395" t="e">
        <f t="shared" si="64"/>
        <v>#N/A</v>
      </c>
      <c r="P98" s="395" t="e">
        <f t="shared" si="64"/>
        <v>#N/A</v>
      </c>
      <c r="Q98" s="395" t="e">
        <f t="shared" si="64"/>
        <v>#N/A</v>
      </c>
      <c r="R98" s="395">
        <f t="shared" si="64"/>
        <v>0</v>
      </c>
      <c r="S98" s="395">
        <f t="shared" si="64"/>
        <v>0</v>
      </c>
      <c r="T98" s="383" t="e">
        <f t="shared" si="56"/>
        <v>#N/A</v>
      </c>
    </row>
    <row r="99" spans="1:20" ht="13.9" hidden="1" customHeight="1" x14ac:dyDescent="0.3">
      <c r="A99" s="1101"/>
      <c r="B99" s="1083" t="s">
        <v>406</v>
      </c>
      <c r="C99" s="1083"/>
      <c r="D99" s="1083"/>
      <c r="E99" s="1083"/>
      <c r="F99" s="1083"/>
      <c r="G99" s="395" t="e">
        <f t="shared" ref="G99:S99" si="65">G93*$E$13</f>
        <v>#N/A</v>
      </c>
      <c r="H99" s="395" t="e">
        <f t="shared" si="65"/>
        <v>#N/A</v>
      </c>
      <c r="I99" s="395" t="e">
        <f t="shared" si="65"/>
        <v>#N/A</v>
      </c>
      <c r="J99" s="395" t="e">
        <f t="shared" si="65"/>
        <v>#N/A</v>
      </c>
      <c r="K99" s="395" t="e">
        <f t="shared" si="65"/>
        <v>#N/A</v>
      </c>
      <c r="L99" s="395" t="e">
        <f t="shared" si="65"/>
        <v>#N/A</v>
      </c>
      <c r="M99" s="395" t="e">
        <f t="shared" si="65"/>
        <v>#N/A</v>
      </c>
      <c r="N99" s="395" t="e">
        <f t="shared" si="65"/>
        <v>#N/A</v>
      </c>
      <c r="O99" s="395" t="e">
        <f t="shared" si="65"/>
        <v>#N/A</v>
      </c>
      <c r="P99" s="395" t="e">
        <f t="shared" si="65"/>
        <v>#N/A</v>
      </c>
      <c r="Q99" s="395" t="e">
        <f t="shared" si="65"/>
        <v>#N/A</v>
      </c>
      <c r="R99" s="395">
        <f t="shared" si="65"/>
        <v>0</v>
      </c>
      <c r="S99" s="395">
        <f t="shared" si="65"/>
        <v>0</v>
      </c>
      <c r="T99" s="383" t="e">
        <f t="shared" si="56"/>
        <v>#N/A</v>
      </c>
    </row>
    <row r="100" spans="1:20" ht="13.9" hidden="1" customHeight="1" x14ac:dyDescent="0.3">
      <c r="A100" s="1101"/>
      <c r="B100" s="1083" t="s">
        <v>408</v>
      </c>
      <c r="C100" s="1083"/>
      <c r="D100" s="1083"/>
      <c r="E100" s="1083"/>
      <c r="F100" s="1083"/>
      <c r="G100" s="395" t="e">
        <f t="shared" ref="G100:S100" si="66">G94*$E$14</f>
        <v>#N/A</v>
      </c>
      <c r="H100" s="395" t="e">
        <f t="shared" si="66"/>
        <v>#N/A</v>
      </c>
      <c r="I100" s="395" t="e">
        <f t="shared" si="66"/>
        <v>#N/A</v>
      </c>
      <c r="J100" s="395" t="e">
        <f t="shared" si="66"/>
        <v>#N/A</v>
      </c>
      <c r="K100" s="395" t="e">
        <f t="shared" si="66"/>
        <v>#N/A</v>
      </c>
      <c r="L100" s="395" t="e">
        <f t="shared" si="66"/>
        <v>#N/A</v>
      </c>
      <c r="M100" s="395" t="e">
        <f t="shared" si="66"/>
        <v>#N/A</v>
      </c>
      <c r="N100" s="395" t="e">
        <f t="shared" si="66"/>
        <v>#N/A</v>
      </c>
      <c r="O100" s="395" t="e">
        <f t="shared" si="66"/>
        <v>#N/A</v>
      </c>
      <c r="P100" s="395" t="e">
        <f t="shared" si="66"/>
        <v>#N/A</v>
      </c>
      <c r="Q100" s="395" t="e">
        <f t="shared" si="66"/>
        <v>#N/A</v>
      </c>
      <c r="R100" s="395">
        <f t="shared" si="66"/>
        <v>0</v>
      </c>
      <c r="S100" s="395">
        <f t="shared" si="66"/>
        <v>0</v>
      </c>
      <c r="T100" s="383" t="e">
        <f t="shared" si="56"/>
        <v>#N/A</v>
      </c>
    </row>
    <row r="101" spans="1:20" ht="13.9" hidden="1" customHeight="1" x14ac:dyDescent="0.3">
      <c r="A101" s="1101"/>
      <c r="B101" s="1083" t="s">
        <v>407</v>
      </c>
      <c r="C101" s="1083"/>
      <c r="D101" s="1083"/>
      <c r="E101" s="1083"/>
      <c r="F101" s="1083"/>
      <c r="G101" s="395" t="e">
        <f t="shared" ref="G101:S101" si="67">G95*$E$15</f>
        <v>#N/A</v>
      </c>
      <c r="H101" s="395" t="e">
        <f t="shared" si="67"/>
        <v>#N/A</v>
      </c>
      <c r="I101" s="395" t="e">
        <f t="shared" si="67"/>
        <v>#N/A</v>
      </c>
      <c r="J101" s="395" t="e">
        <f t="shared" si="67"/>
        <v>#N/A</v>
      </c>
      <c r="K101" s="395" t="e">
        <f t="shared" si="67"/>
        <v>#N/A</v>
      </c>
      <c r="L101" s="395" t="e">
        <f t="shared" si="67"/>
        <v>#N/A</v>
      </c>
      <c r="M101" s="395" t="e">
        <f t="shared" si="67"/>
        <v>#N/A</v>
      </c>
      <c r="N101" s="395" t="e">
        <f t="shared" si="67"/>
        <v>#N/A</v>
      </c>
      <c r="O101" s="395" t="e">
        <f t="shared" si="67"/>
        <v>#N/A</v>
      </c>
      <c r="P101" s="395" t="e">
        <f t="shared" si="67"/>
        <v>#N/A</v>
      </c>
      <c r="Q101" s="395" t="e">
        <f t="shared" si="67"/>
        <v>#N/A</v>
      </c>
      <c r="R101" s="395">
        <f t="shared" si="67"/>
        <v>0</v>
      </c>
      <c r="S101" s="395">
        <f t="shared" si="67"/>
        <v>0</v>
      </c>
      <c r="T101" s="383" t="e">
        <f t="shared" si="56"/>
        <v>#N/A</v>
      </c>
    </row>
    <row r="102" spans="1:20" ht="13.9" customHeight="1" x14ac:dyDescent="0.3">
      <c r="A102" s="1101"/>
      <c r="B102" s="1083" t="s">
        <v>43</v>
      </c>
      <c r="C102" s="1083"/>
      <c r="D102" s="1083"/>
      <c r="E102" s="1083"/>
      <c r="F102" s="1083"/>
      <c r="G102" s="395" t="e">
        <f t="shared" ref="G102:S102" si="68">ROUND(((G90)*$E$10)+((G91)*$E$11)+((G92)*$E$12)+((G93)*$E$13)+((G94)*$E$14)+((G95)*$E$15),2)</f>
        <v>#N/A</v>
      </c>
      <c r="H102" s="395" t="e">
        <f t="shared" si="68"/>
        <v>#N/A</v>
      </c>
      <c r="I102" s="395" t="e">
        <f t="shared" si="68"/>
        <v>#N/A</v>
      </c>
      <c r="J102" s="395" t="e">
        <f t="shared" si="68"/>
        <v>#N/A</v>
      </c>
      <c r="K102" s="395" t="e">
        <f t="shared" si="68"/>
        <v>#N/A</v>
      </c>
      <c r="L102" s="395" t="e">
        <f t="shared" si="68"/>
        <v>#N/A</v>
      </c>
      <c r="M102" s="395" t="e">
        <f t="shared" si="68"/>
        <v>#N/A</v>
      </c>
      <c r="N102" s="395" t="e">
        <f t="shared" si="68"/>
        <v>#N/A</v>
      </c>
      <c r="O102" s="395" t="e">
        <f t="shared" si="68"/>
        <v>#N/A</v>
      </c>
      <c r="P102" s="395" t="e">
        <f t="shared" si="68"/>
        <v>#N/A</v>
      </c>
      <c r="Q102" s="395" t="e">
        <f t="shared" si="68"/>
        <v>#N/A</v>
      </c>
      <c r="R102" s="395">
        <f t="shared" si="68"/>
        <v>0</v>
      </c>
      <c r="S102" s="395">
        <f t="shared" si="68"/>
        <v>0</v>
      </c>
      <c r="T102" s="383" t="e">
        <f t="shared" si="56"/>
        <v>#N/A</v>
      </c>
    </row>
    <row r="103" spans="1:20" ht="13.9" hidden="1" customHeight="1" x14ac:dyDescent="0.3">
      <c r="A103" s="1101"/>
      <c r="B103" s="1063" t="s">
        <v>44</v>
      </c>
      <c r="C103" s="1063"/>
      <c r="D103" s="1063"/>
      <c r="E103" s="1063"/>
      <c r="F103" s="393" t="s">
        <v>25</v>
      </c>
      <c r="G103" s="395">
        <f t="shared" ref="G103:S103" si="69">IF($B$10&gt;=30,30,$B$10)</f>
        <v>30</v>
      </c>
      <c r="H103" s="395">
        <f t="shared" si="69"/>
        <v>30</v>
      </c>
      <c r="I103" s="395">
        <f t="shared" si="69"/>
        <v>30</v>
      </c>
      <c r="J103" s="395">
        <f t="shared" si="69"/>
        <v>30</v>
      </c>
      <c r="K103" s="395">
        <f t="shared" si="69"/>
        <v>30</v>
      </c>
      <c r="L103" s="395">
        <f t="shared" si="69"/>
        <v>30</v>
      </c>
      <c r="M103" s="395">
        <f t="shared" si="69"/>
        <v>30</v>
      </c>
      <c r="N103" s="395">
        <f t="shared" si="69"/>
        <v>30</v>
      </c>
      <c r="O103" s="395">
        <f t="shared" si="69"/>
        <v>30</v>
      </c>
      <c r="P103" s="395">
        <f t="shared" si="69"/>
        <v>30</v>
      </c>
      <c r="Q103" s="395">
        <f t="shared" si="69"/>
        <v>30</v>
      </c>
      <c r="R103" s="395">
        <f t="shared" si="69"/>
        <v>30</v>
      </c>
      <c r="S103" s="395">
        <f t="shared" si="69"/>
        <v>30</v>
      </c>
      <c r="T103" s="402"/>
    </row>
    <row r="104" spans="1:20" ht="13.9" hidden="1" customHeight="1" x14ac:dyDescent="0.3">
      <c r="A104" s="1101"/>
      <c r="B104" s="1063"/>
      <c r="C104" s="1063"/>
      <c r="D104" s="1063"/>
      <c r="E104" s="1063"/>
      <c r="F104" s="393" t="s">
        <v>318</v>
      </c>
      <c r="G104" s="395">
        <f t="shared" ref="G104:S104" si="70">IF($B$10&gt;=30,$B$10-30,0)</f>
        <v>70</v>
      </c>
      <c r="H104" s="395">
        <f t="shared" si="70"/>
        <v>70</v>
      </c>
      <c r="I104" s="395">
        <f t="shared" si="70"/>
        <v>70</v>
      </c>
      <c r="J104" s="395">
        <f t="shared" si="70"/>
        <v>70</v>
      </c>
      <c r="K104" s="395">
        <f t="shared" si="70"/>
        <v>70</v>
      </c>
      <c r="L104" s="395">
        <f t="shared" si="70"/>
        <v>70</v>
      </c>
      <c r="M104" s="395">
        <f t="shared" si="70"/>
        <v>70</v>
      </c>
      <c r="N104" s="395">
        <f t="shared" si="70"/>
        <v>70</v>
      </c>
      <c r="O104" s="395">
        <f t="shared" si="70"/>
        <v>70</v>
      </c>
      <c r="P104" s="395">
        <f t="shared" si="70"/>
        <v>70</v>
      </c>
      <c r="Q104" s="395">
        <f t="shared" si="70"/>
        <v>70</v>
      </c>
      <c r="R104" s="395">
        <f t="shared" si="70"/>
        <v>70</v>
      </c>
      <c r="S104" s="395">
        <f t="shared" si="70"/>
        <v>70</v>
      </c>
      <c r="T104" s="402"/>
    </row>
    <row r="105" spans="1:20" ht="13.9" hidden="1" customHeight="1" x14ac:dyDescent="0.3">
      <c r="A105" s="1101"/>
      <c r="B105" s="1063"/>
      <c r="C105" s="1063"/>
      <c r="D105" s="1063"/>
      <c r="E105" s="1063"/>
      <c r="F105" s="393" t="s">
        <v>26</v>
      </c>
      <c r="G105" s="395" t="e">
        <f t="shared" ref="G105:S105" si="71">ROUND(G102*G103,2)</f>
        <v>#N/A</v>
      </c>
      <c r="H105" s="395" t="e">
        <f t="shared" si="71"/>
        <v>#N/A</v>
      </c>
      <c r="I105" s="395" t="e">
        <f t="shared" si="71"/>
        <v>#N/A</v>
      </c>
      <c r="J105" s="395" t="e">
        <f t="shared" si="71"/>
        <v>#N/A</v>
      </c>
      <c r="K105" s="395" t="e">
        <f t="shared" si="71"/>
        <v>#N/A</v>
      </c>
      <c r="L105" s="395" t="e">
        <f t="shared" si="71"/>
        <v>#N/A</v>
      </c>
      <c r="M105" s="395" t="e">
        <f t="shared" si="71"/>
        <v>#N/A</v>
      </c>
      <c r="N105" s="395" t="e">
        <f t="shared" si="71"/>
        <v>#N/A</v>
      </c>
      <c r="O105" s="395" t="e">
        <f t="shared" si="71"/>
        <v>#N/A</v>
      </c>
      <c r="P105" s="395" t="e">
        <f t="shared" si="71"/>
        <v>#N/A</v>
      </c>
      <c r="Q105" s="395" t="e">
        <f t="shared" si="71"/>
        <v>#N/A</v>
      </c>
      <c r="R105" s="395">
        <f t="shared" si="71"/>
        <v>0</v>
      </c>
      <c r="S105" s="395">
        <f t="shared" si="71"/>
        <v>0</v>
      </c>
      <c r="T105" s="396" t="e">
        <f>TRUNC(SUM(G105:S105),2)</f>
        <v>#N/A</v>
      </c>
    </row>
    <row r="106" spans="1:20" hidden="1" x14ac:dyDescent="0.3">
      <c r="A106" s="1101"/>
      <c r="B106" s="1063"/>
      <c r="C106" s="1063"/>
      <c r="D106" s="1063"/>
      <c r="E106" s="1063"/>
      <c r="F106" s="412" t="s">
        <v>319</v>
      </c>
      <c r="G106" s="395" t="e">
        <f t="shared" ref="G106:S106" si="72">ROUND(G102*G104,2)</f>
        <v>#N/A</v>
      </c>
      <c r="H106" s="395" t="e">
        <f t="shared" si="72"/>
        <v>#N/A</v>
      </c>
      <c r="I106" s="395" t="e">
        <f t="shared" si="72"/>
        <v>#N/A</v>
      </c>
      <c r="J106" s="395" t="e">
        <f t="shared" si="72"/>
        <v>#N/A</v>
      </c>
      <c r="K106" s="395" t="e">
        <f t="shared" si="72"/>
        <v>#N/A</v>
      </c>
      <c r="L106" s="395" t="e">
        <f t="shared" si="72"/>
        <v>#N/A</v>
      </c>
      <c r="M106" s="395" t="e">
        <f t="shared" si="72"/>
        <v>#N/A</v>
      </c>
      <c r="N106" s="395" t="e">
        <f t="shared" si="72"/>
        <v>#N/A</v>
      </c>
      <c r="O106" s="395" t="e">
        <f t="shared" si="72"/>
        <v>#N/A</v>
      </c>
      <c r="P106" s="395" t="e">
        <f t="shared" si="72"/>
        <v>#N/A</v>
      </c>
      <c r="Q106" s="395" t="e">
        <f t="shared" si="72"/>
        <v>#N/A</v>
      </c>
      <c r="R106" s="395">
        <f t="shared" si="72"/>
        <v>0</v>
      </c>
      <c r="S106" s="395">
        <f t="shared" si="72"/>
        <v>0</v>
      </c>
      <c r="T106" s="396" t="e">
        <f>TRUNC(SUM(G106:S106),2)</f>
        <v>#N/A</v>
      </c>
    </row>
    <row r="107" spans="1:20" ht="28.5" customHeight="1" x14ac:dyDescent="0.3">
      <c r="A107" s="1101"/>
      <c r="B107" s="1024" t="s">
        <v>2</v>
      </c>
      <c r="C107" s="1024"/>
      <c r="D107" s="1024"/>
      <c r="E107" s="1024"/>
      <c r="F107" s="1024"/>
      <c r="G107" s="383" t="str">
        <f t="shared" ref="G107:Q107" si="73">G17</f>
        <v>RTRECHO -  01</v>
      </c>
      <c r="H107" s="383" t="str">
        <f t="shared" si="73"/>
        <v>RTRECHO -  02</v>
      </c>
      <c r="I107" s="383" t="str">
        <f t="shared" si="73"/>
        <v>RTRECHO -  03</v>
      </c>
      <c r="J107" s="383" t="str">
        <f t="shared" si="73"/>
        <v>RTRECHO -  04</v>
      </c>
      <c r="K107" s="383" t="str">
        <f t="shared" si="73"/>
        <v>RTRECHO -  05</v>
      </c>
      <c r="L107" s="383" t="str">
        <f t="shared" si="73"/>
        <v>RTRECHO -  06</v>
      </c>
      <c r="M107" s="383" t="str">
        <f t="shared" si="73"/>
        <v>RTRECHO -  07</v>
      </c>
      <c r="N107" s="383" t="str">
        <f t="shared" si="73"/>
        <v>RTRECHO -  01</v>
      </c>
      <c r="O107" s="383" t="str">
        <f t="shared" si="73"/>
        <v>RTRECHO -  02</v>
      </c>
      <c r="P107" s="383" t="str">
        <f t="shared" si="73"/>
        <v>RTRECHO -  01</v>
      </c>
      <c r="Q107" s="383" t="str">
        <f t="shared" si="73"/>
        <v>RTRECHO -  02</v>
      </c>
      <c r="R107" s="395"/>
      <c r="S107" s="395"/>
      <c r="T107" s="383"/>
    </row>
    <row r="108" spans="1:20" ht="13.9" customHeight="1" x14ac:dyDescent="0.3">
      <c r="A108" s="1101"/>
      <c r="B108" s="1072" t="s">
        <v>912</v>
      </c>
      <c r="C108" s="1072"/>
      <c r="D108" s="1072"/>
      <c r="E108" s="1072"/>
      <c r="F108" s="1072"/>
      <c r="G108" s="414">
        <f>COUNTIFS(BANCO_DRENAGEM!$S:$S,G18,BANCO_DRENAGEM!$R:$R,G19,BANCO_DRENAGEM!$L:$L,G17,BANCO_DRENAGEM!$AA:$AA,"PV")</f>
        <v>0</v>
      </c>
      <c r="H108" s="414">
        <f>COUNTIFS(BANCO_DRENAGEM!$S:$S,H18,BANCO_DRENAGEM!$R:$R,H19,BANCO_DRENAGEM!$L:$L,H17,BANCO_DRENAGEM!$AA:$AA,"PV")</f>
        <v>0</v>
      </c>
      <c r="I108" s="414">
        <f>COUNTIFS(BANCO_DRENAGEM!$S:$S,I18,BANCO_DRENAGEM!$R:$R,I19,BANCO_DRENAGEM!$L:$L,I17,BANCO_DRENAGEM!$AA:$AA,"PV")</f>
        <v>0</v>
      </c>
      <c r="J108" s="414">
        <f>COUNTIFS(BANCO_DRENAGEM!$S:$S,J18,BANCO_DRENAGEM!$R:$R,J19,BANCO_DRENAGEM!$L:$L,J17,BANCO_DRENAGEM!$AA:$AA,"PV")</f>
        <v>0</v>
      </c>
      <c r="K108" s="414">
        <f>COUNTIFS(BANCO_DRENAGEM!$S:$S,K18,BANCO_DRENAGEM!$R:$R,K19,BANCO_DRENAGEM!$L:$L,K17,BANCO_DRENAGEM!$AA:$AA,"PV")</f>
        <v>0</v>
      </c>
      <c r="L108" s="414">
        <f>COUNTIFS(BANCO_DRENAGEM!$S:$S,L18,BANCO_DRENAGEM!$R:$R,L19,BANCO_DRENAGEM!$L:$L,L17,BANCO_DRENAGEM!$AA:$AA,"PV")</f>
        <v>0</v>
      </c>
      <c r="M108" s="414">
        <f>COUNTIFS(BANCO_DRENAGEM!$S:$S,M18,BANCO_DRENAGEM!$R:$R,M19,BANCO_DRENAGEM!$L:$L,M17,BANCO_DRENAGEM!$AA:$AA,"PV")</f>
        <v>0</v>
      </c>
      <c r="N108" s="414">
        <f>COUNTIFS(BANCO_DRENAGEM!$S:$S,N18,BANCO_DRENAGEM!$R:$R,N19,BANCO_DRENAGEM!$L:$L,N17,BANCO_DRENAGEM!$AA:$AA,"PV")</f>
        <v>0</v>
      </c>
      <c r="O108" s="414">
        <f>COUNTIFS(BANCO_DRENAGEM!$S:$S,O18,BANCO_DRENAGEM!$R:$R,O19,BANCO_DRENAGEM!$L:$L,O17,BANCO_DRENAGEM!$AA:$AA,"PV")</f>
        <v>0</v>
      </c>
      <c r="P108" s="414">
        <f>COUNTIFS(BANCO_DRENAGEM!$S:$S,P18,BANCO_DRENAGEM!$R:$R,P19,BANCO_DRENAGEM!$L:$L,P17,BANCO_DRENAGEM!$AA:$AA,"PV")</f>
        <v>0</v>
      </c>
      <c r="Q108" s="414">
        <f>COUNTIFS(BANCO_DRENAGEM!$S:$S,Q18,BANCO_DRENAGEM!$R:$R,Q19,BANCO_DRENAGEM!$L:$L,Q17,BANCO_DRENAGEM!$AA:$AA,"PV")</f>
        <v>0</v>
      </c>
      <c r="R108" s="414"/>
      <c r="S108" s="414"/>
      <c r="T108" s="396">
        <f t="shared" ref="T108:T121" si="74">TRUNC(SUM(G108:S108),2)</f>
        <v>0</v>
      </c>
    </row>
    <row r="109" spans="1:20" ht="13.9" customHeight="1" x14ac:dyDescent="0.3">
      <c r="A109" s="1101"/>
      <c r="B109" s="1072" t="s">
        <v>913</v>
      </c>
      <c r="C109" s="1072"/>
      <c r="D109" s="1072"/>
      <c r="E109" s="1072"/>
      <c r="F109" s="1072"/>
      <c r="G109" s="414">
        <f>COUNTIFS(BANCO_DRENAGEM!$S:$S,G18,BANCO_DRENAGEM!$R:$R,G19,BANCO_DRENAGEM!$L:$L,G17,BANCO_DRENAGEM!$AA:$AA,"CA")</f>
        <v>0</v>
      </c>
      <c r="H109" s="414">
        <f>COUNTIFS(BANCO_DRENAGEM!$S:$S,H18,BANCO_DRENAGEM!$R:$R,H19,BANCO_DRENAGEM!$L:$L,H17,BANCO_DRENAGEM!$AA:$AA,"CA")</f>
        <v>0</v>
      </c>
      <c r="I109" s="414">
        <f>COUNTIFS(BANCO_DRENAGEM!$S:$S,I18,BANCO_DRENAGEM!$R:$R,I19,BANCO_DRENAGEM!$L:$L,I17,BANCO_DRENAGEM!$AA:$AA,"CA")</f>
        <v>0</v>
      </c>
      <c r="J109" s="414">
        <f>COUNTIFS(BANCO_DRENAGEM!$S:$S,J18,BANCO_DRENAGEM!$R:$R,J19,BANCO_DRENAGEM!$L:$L,J17,BANCO_DRENAGEM!$AA:$AA,"CA")</f>
        <v>0</v>
      </c>
      <c r="K109" s="414">
        <f>COUNTIFS(BANCO_DRENAGEM!$S:$S,K18,BANCO_DRENAGEM!$R:$R,K19,BANCO_DRENAGEM!$L:$L,K17,BANCO_DRENAGEM!$AA:$AA,"CA")</f>
        <v>0</v>
      </c>
      <c r="L109" s="414">
        <f>COUNTIFS(BANCO_DRENAGEM!$S:$S,L18,BANCO_DRENAGEM!$R:$R,L19,BANCO_DRENAGEM!$L:$L,L17,BANCO_DRENAGEM!$AA:$AA,"CA")</f>
        <v>0</v>
      </c>
      <c r="M109" s="414">
        <f>COUNTIFS(BANCO_DRENAGEM!$S:$S,M18,BANCO_DRENAGEM!$R:$R,M19,BANCO_DRENAGEM!$L:$L,M17,BANCO_DRENAGEM!$AA:$AA,"CA")</f>
        <v>0</v>
      </c>
      <c r="N109" s="414">
        <f>COUNTIFS(BANCO_DRENAGEM!$S:$S,N18,BANCO_DRENAGEM!$R:$R,N19,BANCO_DRENAGEM!$L:$L,N17,BANCO_DRENAGEM!$AA:$AA,"CA")</f>
        <v>0</v>
      </c>
      <c r="O109" s="414"/>
      <c r="P109" s="414"/>
      <c r="Q109" s="414"/>
      <c r="R109" s="398"/>
      <c r="S109" s="398"/>
      <c r="T109" s="396">
        <f t="shared" si="74"/>
        <v>0</v>
      </c>
    </row>
    <row r="110" spans="1:20" ht="13.9" hidden="1" customHeight="1" x14ac:dyDescent="0.3">
      <c r="A110" s="1101"/>
      <c r="B110" s="1024" t="s">
        <v>45</v>
      </c>
      <c r="C110" s="1024"/>
      <c r="D110" s="1024"/>
      <c r="E110" s="1024"/>
      <c r="F110" s="1024"/>
      <c r="G110" s="415" t="e">
        <f t="shared" ref="G110:P110" si="75">IF(G25=0.6,G28-1.12,IF(G25=0.8,G28-1.32,IF(G25=1,G28-1.62,IF(G25=1.2,G28-1.82,IF(G25=1.5,G28-2.12,"")))))</f>
        <v>#N/A</v>
      </c>
      <c r="H110" s="415" t="e">
        <f t="shared" si="75"/>
        <v>#N/A</v>
      </c>
      <c r="I110" s="415" t="e">
        <f t="shared" si="75"/>
        <v>#N/A</v>
      </c>
      <c r="J110" s="415" t="e">
        <f t="shared" si="75"/>
        <v>#N/A</v>
      </c>
      <c r="K110" s="415" t="e">
        <f t="shared" si="75"/>
        <v>#N/A</v>
      </c>
      <c r="L110" s="415" t="e">
        <f t="shared" si="75"/>
        <v>#N/A</v>
      </c>
      <c r="M110" s="415" t="e">
        <f t="shared" si="75"/>
        <v>#N/A</v>
      </c>
      <c r="N110" s="415" t="e">
        <f t="shared" si="75"/>
        <v>#N/A</v>
      </c>
      <c r="O110" s="415" t="e">
        <f t="shared" si="75"/>
        <v>#N/A</v>
      </c>
      <c r="P110" s="415" t="e">
        <f t="shared" si="75"/>
        <v>#N/A</v>
      </c>
      <c r="Q110" s="415"/>
      <c r="R110" s="398"/>
      <c r="S110" s="398"/>
      <c r="T110" s="396" t="e">
        <f t="shared" si="74"/>
        <v>#N/A</v>
      </c>
    </row>
    <row r="111" spans="1:20" ht="13.9" hidden="1" customHeight="1" x14ac:dyDescent="0.3">
      <c r="A111" s="1101"/>
      <c r="B111" s="1024" t="s">
        <v>46</v>
      </c>
      <c r="C111" s="1024"/>
      <c r="D111" s="1024"/>
      <c r="E111" s="1024"/>
      <c r="F111" s="1024"/>
      <c r="G111" s="415">
        <f t="shared" ref="G111:P111" si="76">G108</f>
        <v>0</v>
      </c>
      <c r="H111" s="415">
        <f t="shared" si="76"/>
        <v>0</v>
      </c>
      <c r="I111" s="415">
        <f t="shared" si="76"/>
        <v>0</v>
      </c>
      <c r="J111" s="415">
        <f t="shared" si="76"/>
        <v>0</v>
      </c>
      <c r="K111" s="415">
        <f t="shared" si="76"/>
        <v>0</v>
      </c>
      <c r="L111" s="415">
        <f t="shared" si="76"/>
        <v>0</v>
      </c>
      <c r="M111" s="415">
        <f t="shared" si="76"/>
        <v>0</v>
      </c>
      <c r="N111" s="415">
        <f t="shared" si="76"/>
        <v>0</v>
      </c>
      <c r="O111" s="415">
        <f t="shared" si="76"/>
        <v>0</v>
      </c>
      <c r="P111" s="415">
        <f t="shared" si="76"/>
        <v>0</v>
      </c>
      <c r="Q111" s="415"/>
      <c r="R111" s="398"/>
      <c r="S111" s="398"/>
      <c r="T111" s="396">
        <f t="shared" si="74"/>
        <v>0</v>
      </c>
    </row>
    <row r="112" spans="1:20" ht="13.9" hidden="1" customHeight="1" x14ac:dyDescent="0.3">
      <c r="A112" s="1101"/>
      <c r="B112" s="1024" t="s">
        <v>47</v>
      </c>
      <c r="C112" s="1024"/>
      <c r="D112" s="1024"/>
      <c r="E112" s="1024"/>
      <c r="F112" s="1024"/>
      <c r="G112" s="414"/>
      <c r="H112" s="414"/>
      <c r="I112" s="414"/>
      <c r="J112" s="414"/>
      <c r="K112" s="414"/>
      <c r="L112" s="414"/>
      <c r="M112" s="414"/>
      <c r="N112" s="414"/>
      <c r="O112" s="414"/>
      <c r="P112" s="414"/>
      <c r="Q112" s="414"/>
      <c r="R112" s="416"/>
      <c r="S112" s="416">
        <f>COUNTIFS(BANCO_DRENAGEM!$F:$F,"BLS")</f>
        <v>0</v>
      </c>
      <c r="T112" s="396">
        <f t="shared" si="74"/>
        <v>0</v>
      </c>
    </row>
    <row r="113" spans="1:20" ht="13.9" hidden="1" customHeight="1" x14ac:dyDescent="0.3">
      <c r="A113" s="1101"/>
      <c r="B113" s="1024" t="s">
        <v>48</v>
      </c>
      <c r="C113" s="1024"/>
      <c r="D113" s="1024"/>
      <c r="E113" s="1024"/>
      <c r="F113" s="1024"/>
      <c r="G113" s="414"/>
      <c r="H113" s="414"/>
      <c r="I113" s="414"/>
      <c r="J113" s="414"/>
      <c r="K113" s="414"/>
      <c r="L113" s="414"/>
      <c r="M113" s="414"/>
      <c r="N113" s="414"/>
      <c r="O113" s="414"/>
      <c r="P113" s="414"/>
      <c r="Q113" s="414"/>
      <c r="R113" s="416"/>
      <c r="S113" s="416">
        <f>COUNTIFS(BANCO_DRENAGEM!$F:$F,"BLD")</f>
        <v>18</v>
      </c>
      <c r="T113" s="396">
        <f t="shared" si="74"/>
        <v>18</v>
      </c>
    </row>
    <row r="114" spans="1:20" ht="13.9" hidden="1" customHeight="1" x14ac:dyDescent="0.3">
      <c r="A114" s="1101"/>
      <c r="B114" s="1024" t="s">
        <v>49</v>
      </c>
      <c r="C114" s="1024"/>
      <c r="D114" s="1024"/>
      <c r="E114" s="1024"/>
      <c r="F114" s="1024"/>
      <c r="G114" s="414"/>
      <c r="H114" s="414"/>
      <c r="I114" s="414"/>
      <c r="J114" s="414"/>
      <c r="K114" s="414"/>
      <c r="L114" s="414"/>
      <c r="M114" s="414"/>
      <c r="N114" s="414"/>
      <c r="O114" s="414"/>
      <c r="P114" s="414"/>
      <c r="Q114" s="414"/>
      <c r="R114" s="416"/>
      <c r="S114" s="416">
        <f>COUNTIFS(BANCO_DRENAGEM!$F:$F,"BLT")</f>
        <v>4</v>
      </c>
      <c r="T114" s="396">
        <f t="shared" si="74"/>
        <v>4</v>
      </c>
    </row>
    <row r="115" spans="1:20" ht="13.9" customHeight="1" x14ac:dyDescent="0.3">
      <c r="A115" s="1101"/>
      <c r="B115" s="1024" t="s">
        <v>1096</v>
      </c>
      <c r="C115" s="1024"/>
      <c r="D115" s="1024"/>
      <c r="E115" s="1024"/>
      <c r="F115" s="1024"/>
      <c r="G115" s="414"/>
      <c r="H115" s="414"/>
      <c r="I115" s="414"/>
      <c r="J115" s="414"/>
      <c r="K115" s="414"/>
      <c r="L115" s="414"/>
      <c r="M115" s="414"/>
      <c r="N115" s="414"/>
      <c r="O115" s="414"/>
      <c r="P115" s="414"/>
      <c r="Q115" s="414"/>
      <c r="R115" s="416"/>
      <c r="S115" s="416">
        <f>COUNTIFS(BANCO_DRENAGEM!$F:$F,"RBL")</f>
        <v>0</v>
      </c>
      <c r="T115" s="396">
        <f t="shared" si="74"/>
        <v>0</v>
      </c>
    </row>
    <row r="116" spans="1:20" ht="13.9" customHeight="1" x14ac:dyDescent="0.3">
      <c r="A116" s="1101"/>
      <c r="B116" s="1024" t="s">
        <v>1098</v>
      </c>
      <c r="C116" s="1024"/>
      <c r="D116" s="1024"/>
      <c r="E116" s="1024"/>
      <c r="F116" s="1024"/>
      <c r="G116" s="414"/>
      <c r="H116" s="414"/>
      <c r="I116" s="414"/>
      <c r="J116" s="414"/>
      <c r="K116" s="414"/>
      <c r="L116" s="414"/>
      <c r="M116" s="414"/>
      <c r="N116" s="414"/>
      <c r="O116" s="414"/>
      <c r="P116" s="414"/>
      <c r="Q116" s="414"/>
      <c r="R116" s="416"/>
      <c r="S116" s="416">
        <f>COUNTIFS(BANCO_DRENAGEM!$F:$F,"RPV")</f>
        <v>0</v>
      </c>
      <c r="T116" s="396">
        <f t="shared" si="74"/>
        <v>0</v>
      </c>
    </row>
    <row r="117" spans="1:20" ht="13.9" hidden="1" customHeight="1" x14ac:dyDescent="0.3">
      <c r="A117" s="1101"/>
      <c r="B117" s="1072" t="s">
        <v>240</v>
      </c>
      <c r="C117" s="1072"/>
      <c r="D117" s="1072"/>
      <c r="E117" s="1072"/>
      <c r="F117" s="1072"/>
      <c r="G117" s="414"/>
      <c r="H117" s="414"/>
      <c r="I117" s="414"/>
      <c r="J117" s="414"/>
      <c r="K117" s="414"/>
      <c r="L117" s="414"/>
      <c r="M117" s="414"/>
      <c r="N117" s="414"/>
      <c r="O117" s="414"/>
      <c r="P117" s="414"/>
      <c r="Q117" s="414"/>
      <c r="R117" s="416"/>
      <c r="S117" s="416"/>
      <c r="T117" s="396">
        <f t="shared" si="74"/>
        <v>0</v>
      </c>
    </row>
    <row r="118" spans="1:20" ht="13.9" hidden="1" customHeight="1" x14ac:dyDescent="0.3">
      <c r="A118" s="1101"/>
      <c r="B118" s="1072" t="s">
        <v>312</v>
      </c>
      <c r="C118" s="1072"/>
      <c r="D118" s="1072"/>
      <c r="E118" s="1072"/>
      <c r="F118" s="1072"/>
      <c r="G118" s="414"/>
      <c r="H118" s="414"/>
      <c r="I118" s="414"/>
      <c r="J118" s="414"/>
      <c r="K118" s="414"/>
      <c r="L118" s="414"/>
      <c r="M118" s="414"/>
      <c r="N118" s="414"/>
      <c r="O118" s="414"/>
      <c r="P118" s="414"/>
      <c r="Q118" s="414"/>
      <c r="R118" s="416"/>
      <c r="S118" s="416"/>
      <c r="T118" s="396">
        <f t="shared" si="74"/>
        <v>0</v>
      </c>
    </row>
    <row r="119" spans="1:20" ht="13.9" hidden="1" customHeight="1" x14ac:dyDescent="0.3">
      <c r="A119" s="1101"/>
      <c r="B119" s="1072" t="s">
        <v>313</v>
      </c>
      <c r="C119" s="1072"/>
      <c r="D119" s="1072"/>
      <c r="E119" s="1072"/>
      <c r="F119" s="1072"/>
      <c r="G119" s="414"/>
      <c r="H119" s="414"/>
      <c r="I119" s="414"/>
      <c r="J119" s="414"/>
      <c r="K119" s="414"/>
      <c r="L119" s="414"/>
      <c r="M119" s="414"/>
      <c r="N119" s="414"/>
      <c r="O119" s="414"/>
      <c r="P119" s="414"/>
      <c r="Q119" s="414"/>
      <c r="R119" s="416"/>
      <c r="S119" s="416"/>
      <c r="T119" s="396">
        <f t="shared" si="74"/>
        <v>0</v>
      </c>
    </row>
    <row r="120" spans="1:20" ht="13.9" customHeight="1" x14ac:dyDescent="0.3">
      <c r="A120" s="1101"/>
      <c r="B120" s="1072" t="s">
        <v>314</v>
      </c>
      <c r="C120" s="1072"/>
      <c r="D120" s="1072"/>
      <c r="E120" s="1072"/>
      <c r="F120" s="1072"/>
      <c r="G120" s="414"/>
      <c r="H120" s="414"/>
      <c r="I120" s="414"/>
      <c r="J120" s="414"/>
      <c r="K120" s="414"/>
      <c r="L120" s="414"/>
      <c r="M120" s="414"/>
      <c r="N120" s="414"/>
      <c r="O120" s="414"/>
      <c r="P120" s="414"/>
      <c r="Q120" s="414"/>
      <c r="R120" s="416"/>
      <c r="S120" s="416">
        <f>COUNTIFS(BANCO_DRENAGEM!$F:$F,"DIS")-1</f>
        <v>1</v>
      </c>
      <c r="T120" s="396">
        <f t="shared" si="74"/>
        <v>1</v>
      </c>
    </row>
    <row r="121" spans="1:20" ht="13.9" hidden="1" customHeight="1" x14ac:dyDescent="0.3">
      <c r="A121" s="1102"/>
      <c r="B121" s="1072" t="s">
        <v>321</v>
      </c>
      <c r="C121" s="1072"/>
      <c r="D121" s="1072"/>
      <c r="E121" s="1072"/>
      <c r="F121" s="1072"/>
      <c r="G121" s="414"/>
      <c r="H121" s="414"/>
      <c r="I121" s="414"/>
      <c r="J121" s="414"/>
      <c r="K121" s="414"/>
      <c r="L121" s="414"/>
      <c r="M121" s="414"/>
      <c r="N121" s="414"/>
      <c r="O121" s="414"/>
      <c r="P121" s="414"/>
      <c r="Q121" s="414"/>
      <c r="R121" s="416"/>
      <c r="S121" s="416"/>
      <c r="T121" s="396">
        <f t="shared" si="74"/>
        <v>0</v>
      </c>
    </row>
  </sheetData>
  <mergeCells count="97">
    <mergeCell ref="B121:F121"/>
    <mergeCell ref="A90:A121"/>
    <mergeCell ref="B90:F90"/>
    <mergeCell ref="B91:F91"/>
    <mergeCell ref="B92:F92"/>
    <mergeCell ref="B93:F93"/>
    <mergeCell ref="B94:F94"/>
    <mergeCell ref="B95:F95"/>
    <mergeCell ref="B96:F96"/>
    <mergeCell ref="B97:F97"/>
    <mergeCell ref="B98:F98"/>
    <mergeCell ref="B114:F114"/>
    <mergeCell ref="B115:F115"/>
    <mergeCell ref="B116:F116"/>
    <mergeCell ref="B117:F117"/>
    <mergeCell ref="B118:F118"/>
    <mergeCell ref="B101:F101"/>
    <mergeCell ref="B102:F102"/>
    <mergeCell ref="B103:E106"/>
    <mergeCell ref="B107:F107"/>
    <mergeCell ref="B120:F120"/>
    <mergeCell ref="B85:E88"/>
    <mergeCell ref="B72:F72"/>
    <mergeCell ref="B73:F73"/>
    <mergeCell ref="B75:F75"/>
    <mergeCell ref="B119:F119"/>
    <mergeCell ref="B108:F108"/>
    <mergeCell ref="B109:F109"/>
    <mergeCell ref="B110:F110"/>
    <mergeCell ref="B111:F111"/>
    <mergeCell ref="B112:F112"/>
    <mergeCell ref="B113:F113"/>
    <mergeCell ref="B76:F76"/>
    <mergeCell ref="B78:F78"/>
    <mergeCell ref="B79:F79"/>
    <mergeCell ref="B99:F99"/>
    <mergeCell ref="B100:F100"/>
    <mergeCell ref="B71:F71"/>
    <mergeCell ref="A53:A88"/>
    <mergeCell ref="B53:F53"/>
    <mergeCell ref="B54:F54"/>
    <mergeCell ref="B55:F55"/>
    <mergeCell ref="B56:F56"/>
    <mergeCell ref="B57:F57"/>
    <mergeCell ref="B58:F58"/>
    <mergeCell ref="B59:F59"/>
    <mergeCell ref="B60:F60"/>
    <mergeCell ref="B61:F61"/>
    <mergeCell ref="B80:F80"/>
    <mergeCell ref="B81:F81"/>
    <mergeCell ref="B82:F82"/>
    <mergeCell ref="B83:F83"/>
    <mergeCell ref="B84:F84"/>
    <mergeCell ref="B62:F62"/>
    <mergeCell ref="B63:E66"/>
    <mergeCell ref="B68:F68"/>
    <mergeCell ref="B69:F69"/>
    <mergeCell ref="B70:F70"/>
    <mergeCell ref="A39:A51"/>
    <mergeCell ref="B39:F39"/>
    <mergeCell ref="B40:F40"/>
    <mergeCell ref="B41:F41"/>
    <mergeCell ref="B42:E45"/>
    <mergeCell ref="B46:F46"/>
    <mergeCell ref="B47:F47"/>
    <mergeCell ref="B48:E51"/>
    <mergeCell ref="B27:F27"/>
    <mergeCell ref="B28:F28"/>
    <mergeCell ref="B29:F29"/>
    <mergeCell ref="B30:F30"/>
    <mergeCell ref="B37:F37"/>
    <mergeCell ref="S6:T7"/>
    <mergeCell ref="A17:F17"/>
    <mergeCell ref="A20:A37"/>
    <mergeCell ref="B20:F20"/>
    <mergeCell ref="B21:F21"/>
    <mergeCell ref="B22:F22"/>
    <mergeCell ref="B23:F23"/>
    <mergeCell ref="B24:F24"/>
    <mergeCell ref="B31:F31"/>
    <mergeCell ref="B32:F32"/>
    <mergeCell ref="B33:F33"/>
    <mergeCell ref="B34:F34"/>
    <mergeCell ref="B35:F35"/>
    <mergeCell ref="B36:F36"/>
    <mergeCell ref="B25:F25"/>
    <mergeCell ref="B26:F26"/>
    <mergeCell ref="S2:T2"/>
    <mergeCell ref="Z2:AB2"/>
    <mergeCell ref="S3:T3"/>
    <mergeCell ref="Z3:AB3"/>
    <mergeCell ref="S5:T5"/>
    <mergeCell ref="A9:B9"/>
    <mergeCell ref="D9:F9"/>
    <mergeCell ref="P16:Q16"/>
    <mergeCell ref="N16:O16"/>
    <mergeCell ref="G16:L16"/>
  </mergeCells>
  <phoneticPr fontId="3" type="noConversion"/>
  <conditionalFormatting sqref="G17:T121">
    <cfRule type="cellIs" dxfId="13" priority="3" operator="lessThan">
      <formula>0</formula>
    </cfRule>
  </conditionalFormatting>
  <conditionalFormatting sqref="G16 N16">
    <cfRule type="cellIs" dxfId="12" priority="2" operator="lessThan">
      <formula>0</formula>
    </cfRule>
  </conditionalFormatting>
  <conditionalFormatting sqref="P16">
    <cfRule type="cellIs" dxfId="11" priority="1" operator="lessThan">
      <formula>0</formula>
    </cfRule>
  </conditionalFormatting>
  <printOptions horizontalCentered="1"/>
  <pageMargins left="0.23622047244094491" right="0.23622047244094491" top="0.74803149606299213" bottom="0.74803149606299213" header="0.31496062992125984" footer="0.31496062992125984"/>
  <pageSetup paperSize="9" scale="79" fitToWidth="4" fitToHeight="2" orientation="landscape" horizontalDpi="300" verticalDpi="300" r:id="rId1"/>
  <headerFooter>
    <oddFooter>Página &amp;P de &amp;N</oddFooter>
  </headerFooter>
  <colBreaks count="1" manualBreakCount="1">
    <brk id="13" max="120" man="1"/>
  </colBreaks>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9"/>
  <dimension ref="A1:AA345"/>
  <sheetViews>
    <sheetView workbookViewId="0">
      <selection activeCell="G69" sqref="G69"/>
    </sheetView>
  </sheetViews>
  <sheetFormatPr defaultRowHeight="15" x14ac:dyDescent="0.25"/>
  <cols>
    <col min="1" max="1" width="27.140625" customWidth="1"/>
    <col min="2" max="3" width="15.28515625" bestFit="1" customWidth="1"/>
    <col min="4" max="4" width="19.85546875" bestFit="1" customWidth="1"/>
    <col min="5" max="5" width="20.7109375" customWidth="1"/>
    <col min="6" max="6" width="13.5703125" customWidth="1"/>
    <col min="9" max="9" width="10.7109375" bestFit="1" customWidth="1"/>
    <col min="10" max="10" width="6.42578125" customWidth="1"/>
    <col min="12" max="12" width="16.42578125" customWidth="1"/>
    <col min="13" max="13" width="5" bestFit="1" customWidth="1"/>
    <col min="14" max="14" width="14.85546875" style="170" bestFit="1" customWidth="1"/>
    <col min="15" max="15" width="13.42578125" bestFit="1" customWidth="1"/>
    <col min="16" max="16" width="11.85546875" customWidth="1"/>
    <col min="17" max="17" width="8" bestFit="1" customWidth="1"/>
    <col min="18" max="18" width="30.7109375" customWidth="1"/>
    <col min="19" max="19" width="10.7109375" style="519" customWidth="1"/>
    <col min="20" max="20" width="12.5703125" bestFit="1" customWidth="1"/>
    <col min="21" max="21" width="10.85546875" bestFit="1" customWidth="1"/>
    <col min="22" max="22" width="38.85546875" customWidth="1"/>
    <col min="23" max="23" width="12" customWidth="1"/>
    <col min="24" max="24" width="9" bestFit="1" customWidth="1"/>
    <col min="25" max="25" width="15.42578125" customWidth="1"/>
    <col min="26" max="26" width="14.85546875" customWidth="1"/>
    <col min="27" max="27" width="14.5703125" customWidth="1"/>
  </cols>
  <sheetData>
    <row r="1" spans="1:27" ht="21" x14ac:dyDescent="0.35">
      <c r="A1" s="1131" t="s">
        <v>783</v>
      </c>
      <c r="B1" s="1132"/>
      <c r="C1" s="1132"/>
      <c r="D1" s="1132"/>
      <c r="E1" s="1132"/>
      <c r="F1" s="1132"/>
      <c r="L1" s="1128" t="s">
        <v>2</v>
      </c>
      <c r="M1" s="1129"/>
      <c r="N1" s="1129"/>
      <c r="O1" s="1129"/>
      <c r="P1" s="1129"/>
      <c r="Q1" s="1129"/>
      <c r="R1" s="1129"/>
      <c r="S1" s="1130"/>
      <c r="T1" s="1129"/>
      <c r="U1" s="1129"/>
      <c r="V1" s="1129"/>
      <c r="W1" s="1129"/>
      <c r="X1" s="1129"/>
      <c r="Y1" s="1129"/>
      <c r="Z1" s="1129"/>
      <c r="AA1" s="1129"/>
    </row>
    <row r="2" spans="1:27" ht="21" x14ac:dyDescent="0.25">
      <c r="A2" s="161" t="s">
        <v>772</v>
      </c>
      <c r="B2" s="161" t="s">
        <v>773</v>
      </c>
      <c r="C2" s="161" t="s">
        <v>774</v>
      </c>
      <c r="D2" s="161" t="s">
        <v>775</v>
      </c>
      <c r="E2" s="161" t="s">
        <v>1095</v>
      </c>
      <c r="F2" s="163" t="s">
        <v>792</v>
      </c>
      <c r="G2" s="4"/>
      <c r="H2" s="166"/>
      <c r="I2" s="4" t="s">
        <v>791</v>
      </c>
      <c r="J2" s="4"/>
      <c r="K2" s="4"/>
      <c r="L2" s="162" t="s">
        <v>777</v>
      </c>
      <c r="M2" s="163" t="s">
        <v>778</v>
      </c>
      <c r="N2" s="168" t="s">
        <v>779</v>
      </c>
      <c r="O2" s="163" t="s">
        <v>780</v>
      </c>
      <c r="P2" s="163" t="s">
        <v>781</v>
      </c>
      <c r="Q2" s="163" t="s">
        <v>782</v>
      </c>
      <c r="R2" s="514" t="s">
        <v>1095</v>
      </c>
      <c r="S2" s="163" t="s">
        <v>784</v>
      </c>
      <c r="T2" s="163" t="s">
        <v>784</v>
      </c>
      <c r="U2" s="163" t="s">
        <v>785</v>
      </c>
      <c r="V2" s="163" t="s">
        <v>786</v>
      </c>
      <c r="W2" s="163" t="s">
        <v>787</v>
      </c>
      <c r="X2" s="163" t="s">
        <v>788</v>
      </c>
      <c r="Y2" s="163" t="s">
        <v>790</v>
      </c>
      <c r="Z2" s="163" t="s">
        <v>789</v>
      </c>
      <c r="AA2" s="163" t="s">
        <v>792</v>
      </c>
    </row>
    <row r="3" spans="1:27" x14ac:dyDescent="0.25">
      <c r="A3" s="515"/>
      <c r="B3" s="515"/>
      <c r="C3" s="515"/>
      <c r="D3" s="515"/>
      <c r="E3" s="164"/>
      <c r="F3" s="167" t="str">
        <f t="shared" ref="F3:F66" si="0">IF(AND(LEFT(A3,4)&lt;&gt;"PV",LEFT(A3,4)&lt;&gt;"CX"),IF(LEFT(A3,1)="R",RIGHT(LEFT(A3,3),4),IF(LEFT(A3,1)="I",RIGHT(LEFT(A3,4),3),LEFT(A3,3))))</f>
        <v/>
      </c>
      <c r="H3" s="165"/>
      <c r="L3" s="540"/>
      <c r="M3" s="540"/>
      <c r="N3" s="541"/>
      <c r="O3" s="540"/>
      <c r="P3" s="540"/>
      <c r="Q3" s="540"/>
      <c r="R3" s="164"/>
      <c r="S3" s="515"/>
      <c r="T3" s="165" t="str">
        <f t="shared" ref="T3:T66" si="1">IF(S3="E","EXISTENTE",IF(AND(S3="R",LEFT(L3,7)="RBIGODE",M3=400),"RBIGODE 40",IF(AND(LEFT(L3,7)="RBIGODE",M3=600),"RBIGODE 60",IF(AND(S3="I",LEFT(L3,6)="BIGODE",M3=400),"BIGODE 40",IF(AND(LEFT(L3,6)="BIGODE",M3=600),"BIGODE 60",LEFT(L3,7))))))</f>
        <v/>
      </c>
      <c r="U3" s="515"/>
      <c r="V3" s="515"/>
      <c r="W3" s="165" cm="1">
        <f t="array" ref="W3">IFERROR(INDEX($A$3:$F$345,MATCH(U3&amp;R3,$A$3:$A$345&amp;$E$3:$E$345,0),2),"")</f>
        <v>0</v>
      </c>
      <c r="X3" s="165" cm="1">
        <f t="array" ref="X3">IFERROR(INDEX($A$3:$F$345,MATCH(V3&amp;R3,$A$3:$A$345&amp;$E$3:$E$345,0),2),"")</f>
        <v>0</v>
      </c>
      <c r="Y3" s="165" cm="1">
        <f t="array" ref="Y3">IFERROR(INDEX($A$3:$F$345,MATCH(U3&amp;R3,$A$3:$A$345&amp;$E$3:$E$345,0),4),"")</f>
        <v>0</v>
      </c>
      <c r="Z3" s="165" cm="1">
        <f t="array" ref="Z3">IFERROR(INDEX($A$3:$F$345,MATCH(V3&amp;R3,$A$3:$A$345&amp;$E$3:$E$345,0),4),"")</f>
        <v>0</v>
      </c>
      <c r="AA3" s="165" t="str">
        <f t="shared" ref="AA3:AA66" si="2">IFERROR((IF(LEFT(U3,1)="R",RIGHT(LEFT(U3,3),2),LEFT(U3,2))),"")</f>
        <v/>
      </c>
    </row>
    <row r="4" spans="1:27" x14ac:dyDescent="0.25">
      <c r="A4" s="515"/>
      <c r="B4" s="515"/>
      <c r="C4" s="515"/>
      <c r="D4" s="515"/>
      <c r="E4" s="164"/>
      <c r="F4" s="167" t="str">
        <f t="shared" si="0"/>
        <v/>
      </c>
      <c r="L4" s="540"/>
      <c r="M4" s="540"/>
      <c r="N4" s="541"/>
      <c r="O4" s="540"/>
      <c r="P4" s="540"/>
      <c r="Q4" s="540"/>
      <c r="R4" s="164"/>
      <c r="S4" s="515"/>
      <c r="T4" s="165" t="str">
        <f t="shared" si="1"/>
        <v/>
      </c>
      <c r="U4" s="515"/>
      <c r="V4" s="515"/>
      <c r="W4" s="165" cm="1">
        <f t="array" ref="W4">IFERROR(INDEX($A$3:$F$345,MATCH(U4&amp;R4,$A$3:$A$345&amp;$E$3:$E$345,0),2),"")</f>
        <v>0</v>
      </c>
      <c r="X4" s="165" cm="1">
        <f t="array" ref="X4">IFERROR(INDEX($A$3:$F$345,MATCH(V4&amp;R4,$A$3:$A$345&amp;$E$3:$E$345,0),2),"")</f>
        <v>0</v>
      </c>
      <c r="Y4" s="165" cm="1">
        <f t="array" ref="Y4">IFERROR(INDEX($A$3:$F$345,MATCH(U4&amp;R4,$A$3:$A$345&amp;$E$3:$E$345,0),4),"")</f>
        <v>0</v>
      </c>
      <c r="Z4" s="165" cm="1">
        <f t="array" ref="Z4">IFERROR(INDEX($A$3:$F$345,MATCH(V4&amp;R4,$A$3:$A$345&amp;$E$3:$E$345,0),4),"")</f>
        <v>0</v>
      </c>
      <c r="AA4" s="165" t="str">
        <f t="shared" si="2"/>
        <v/>
      </c>
    </row>
    <row r="5" spans="1:27" x14ac:dyDescent="0.25">
      <c r="A5" s="515"/>
      <c r="B5" s="515"/>
      <c r="C5" s="515"/>
      <c r="D5" s="515"/>
      <c r="E5" s="164"/>
      <c r="F5" s="167" t="str">
        <f t="shared" si="0"/>
        <v/>
      </c>
      <c r="L5" s="735"/>
      <c r="M5" s="735"/>
      <c r="N5" s="736"/>
      <c r="O5" s="737"/>
      <c r="P5" s="735"/>
      <c r="Q5" s="735"/>
      <c r="R5" s="164"/>
      <c r="S5" s="515"/>
      <c r="T5" s="165" t="str">
        <f t="shared" si="1"/>
        <v/>
      </c>
      <c r="U5" s="515"/>
      <c r="V5" s="515"/>
      <c r="W5" s="165" cm="1">
        <f t="array" ref="W5">IFERROR(INDEX($A$3:$F$345,MATCH(U5&amp;R5,$A$3:$A$345&amp;$E$3:$E$345,0),2),"")</f>
        <v>0</v>
      </c>
      <c r="X5" s="165" cm="1">
        <f t="array" ref="X5">IFERROR(INDEX($A$3:$F$345,MATCH(V5&amp;R5,$A$3:$A$345&amp;$E$3:$E$345,0),2),"")</f>
        <v>0</v>
      </c>
      <c r="Y5" s="165" cm="1">
        <f t="array" ref="Y5">IFERROR(INDEX($A$3:$F$345,MATCH(U5&amp;R5,$A$3:$A$345&amp;$E$3:$E$345,0),4),"")</f>
        <v>0</v>
      </c>
      <c r="Z5" s="165" cm="1">
        <f t="array" ref="Z5">IFERROR(INDEX($A$3:$F$345,MATCH(V5&amp;R5,$A$3:$A$345&amp;$E$3:$E$345,0),4),"")</f>
        <v>0</v>
      </c>
      <c r="AA5" s="165" t="str">
        <f t="shared" si="2"/>
        <v/>
      </c>
    </row>
    <row r="6" spans="1:27" x14ac:dyDescent="0.25">
      <c r="A6" s="515"/>
      <c r="B6" s="515"/>
      <c r="C6" s="515"/>
      <c r="D6" s="515"/>
      <c r="E6" s="164"/>
      <c r="F6" s="167" t="str">
        <f t="shared" si="0"/>
        <v/>
      </c>
      <c r="L6" s="540"/>
      <c r="M6" s="540"/>
      <c r="N6" s="541"/>
      <c r="O6" s="540"/>
      <c r="P6" s="540"/>
      <c r="Q6" s="540"/>
      <c r="R6" s="164"/>
      <c r="S6" s="515"/>
      <c r="T6" s="165" t="str">
        <f t="shared" si="1"/>
        <v/>
      </c>
      <c r="U6" s="515"/>
      <c r="V6" s="515"/>
      <c r="W6" s="165" cm="1">
        <f t="array" ref="W6">IFERROR(INDEX($A$3:$F$345,MATCH(U6&amp;R6,$A$3:$A$345&amp;$E$3:$E$345,0),2),"")</f>
        <v>0</v>
      </c>
      <c r="X6" s="165" cm="1">
        <f t="array" ref="X6">IFERROR(INDEX($A$3:$F$345,MATCH(V6&amp;R6,$A$3:$A$345&amp;$E$3:$E$345,0),2),"")</f>
        <v>0</v>
      </c>
      <c r="Y6" s="165" cm="1">
        <f t="array" ref="Y6">IFERROR(INDEX($A$3:$F$345,MATCH(U6&amp;R6,$A$3:$A$345&amp;$E$3:$E$345,0),4),"")</f>
        <v>0</v>
      </c>
      <c r="Z6" s="165" cm="1">
        <f t="array" ref="Z6">IFERROR(INDEX($A$3:$F$345,MATCH(V6&amp;R6,$A$3:$A$345&amp;$E$3:$E$345,0),4),"")</f>
        <v>0</v>
      </c>
      <c r="AA6" s="165" t="str">
        <f t="shared" si="2"/>
        <v/>
      </c>
    </row>
    <row r="7" spans="1:27" x14ac:dyDescent="0.25">
      <c r="A7" s="515"/>
      <c r="B7" s="515"/>
      <c r="C7" s="515"/>
      <c r="D7" s="515"/>
      <c r="E7" s="164"/>
      <c r="F7" s="167" t="str">
        <f t="shared" si="0"/>
        <v/>
      </c>
      <c r="L7" s="540"/>
      <c r="M7" s="540"/>
      <c r="N7" s="541"/>
      <c r="O7" s="540"/>
      <c r="P7" s="540"/>
      <c r="Q7" s="540"/>
      <c r="R7" s="164"/>
      <c r="S7" s="515"/>
      <c r="T7" s="165" t="str">
        <f t="shared" si="1"/>
        <v/>
      </c>
      <c r="U7" s="515"/>
      <c r="V7" s="515"/>
      <c r="W7" s="165" cm="1">
        <f t="array" ref="W7">IFERROR(INDEX($A$3:$F$345,MATCH(U7&amp;R7,$A$3:$A$345&amp;$E$3:$E$345,0),2),"")</f>
        <v>0</v>
      </c>
      <c r="X7" s="165" cm="1">
        <f t="array" ref="X7">IFERROR(INDEX($A$3:$F$345,MATCH(V7&amp;R7,$A$3:$A$345&amp;$E$3:$E$345,0),2),"")</f>
        <v>0</v>
      </c>
      <c r="Y7" s="165" cm="1">
        <f t="array" ref="Y7">IFERROR(INDEX($A$3:$F$345,MATCH(U7&amp;R7,$A$3:$A$345&amp;$E$3:$E$345,0),4),"")</f>
        <v>0</v>
      </c>
      <c r="Z7" s="165" cm="1">
        <f t="array" ref="Z7">IFERROR(INDEX($A$3:$F$345,MATCH(V7&amp;R7,$A$3:$A$345&amp;$E$3:$E$345,0),4),"")</f>
        <v>0</v>
      </c>
      <c r="AA7" s="165" t="str">
        <f t="shared" si="2"/>
        <v/>
      </c>
    </row>
    <row r="8" spans="1:27" x14ac:dyDescent="0.25">
      <c r="A8" s="515"/>
      <c r="B8" s="515"/>
      <c r="C8" s="515"/>
      <c r="D8" s="515"/>
      <c r="E8" s="164"/>
      <c r="F8" s="167" t="str">
        <f t="shared" si="0"/>
        <v/>
      </c>
      <c r="L8" s="540"/>
      <c r="M8" s="540"/>
      <c r="N8" s="541"/>
      <c r="O8" s="540"/>
      <c r="P8" s="540"/>
      <c r="Q8" s="540"/>
      <c r="R8" s="164"/>
      <c r="S8" s="515"/>
      <c r="T8" s="165" t="str">
        <f t="shared" si="1"/>
        <v/>
      </c>
      <c r="U8" s="515"/>
      <c r="V8" s="515"/>
      <c r="W8" s="165" cm="1">
        <f t="array" ref="W8">IFERROR(INDEX($A$3:$F$345,MATCH(U8&amp;R8,$A$3:$A$345&amp;$E$3:$E$345,0),2),"")</f>
        <v>0</v>
      </c>
      <c r="X8" s="165" cm="1">
        <f t="array" ref="X8">IFERROR(INDEX($A$3:$F$345,MATCH(V8&amp;R8,$A$3:$A$345&amp;$E$3:$E$345,0),2),"")</f>
        <v>0</v>
      </c>
      <c r="Y8" s="165" cm="1">
        <f t="array" ref="Y8">IFERROR(INDEX($A$3:$F$345,MATCH(U8&amp;R8,$A$3:$A$345&amp;$E$3:$E$345,0),4),"")</f>
        <v>0</v>
      </c>
      <c r="Z8" s="165" cm="1">
        <f t="array" ref="Z8">IFERROR(INDEX($A$3:$F$345,MATCH(V8&amp;R8,$A$3:$A$345&amp;$E$3:$E$345,0),4),"")</f>
        <v>0</v>
      </c>
      <c r="AA8" s="165" t="str">
        <f t="shared" si="2"/>
        <v/>
      </c>
    </row>
    <row r="9" spans="1:27" x14ac:dyDescent="0.25">
      <c r="A9" s="515"/>
      <c r="B9" s="515"/>
      <c r="C9" s="515"/>
      <c r="D9" s="515"/>
      <c r="E9" s="164"/>
      <c r="F9" s="167" t="str">
        <f t="shared" si="0"/>
        <v/>
      </c>
      <c r="L9" s="540"/>
      <c r="M9" s="540"/>
      <c r="N9" s="541"/>
      <c r="O9" s="540"/>
      <c r="P9" s="540"/>
      <c r="Q9" s="540"/>
      <c r="R9" s="164"/>
      <c r="S9" s="515"/>
      <c r="T9" s="165" t="str">
        <f t="shared" si="1"/>
        <v/>
      </c>
      <c r="U9" s="515"/>
      <c r="V9" s="515"/>
      <c r="W9" s="165" cm="1">
        <f t="array" ref="W9">IFERROR(INDEX($A$3:$F$345,MATCH(U9&amp;R9,$A$3:$A$345&amp;$E$3:$E$345,0),2),"")</f>
        <v>0</v>
      </c>
      <c r="X9" s="165" cm="1">
        <f t="array" ref="X9">IFERROR(INDEX($A$3:$F$345,MATCH(V9&amp;R9,$A$3:$A$345&amp;$E$3:$E$345,0),2),"")</f>
        <v>0</v>
      </c>
      <c r="Y9" s="165" cm="1">
        <f t="array" ref="Y9">IFERROR(INDEX($A$3:$F$345,MATCH(U9&amp;R9,$A$3:$A$345&amp;$E$3:$E$345,0),4),"")</f>
        <v>0</v>
      </c>
      <c r="Z9" s="165" cm="1">
        <f t="array" ref="Z9">IFERROR(INDEX($A$3:$F$345,MATCH(V9&amp;R9,$A$3:$A$345&amp;$E$3:$E$345,0),4),"")</f>
        <v>0</v>
      </c>
      <c r="AA9" s="165" t="str">
        <f t="shared" si="2"/>
        <v/>
      </c>
    </row>
    <row r="10" spans="1:27" x14ac:dyDescent="0.25">
      <c r="A10" s="515"/>
      <c r="B10" s="515"/>
      <c r="C10" s="515"/>
      <c r="D10" s="515"/>
      <c r="E10" s="164"/>
      <c r="F10" s="167" t="str">
        <f t="shared" si="0"/>
        <v/>
      </c>
      <c r="L10" s="540"/>
      <c r="M10" s="540"/>
      <c r="N10" s="541"/>
      <c r="O10" s="540"/>
      <c r="P10" s="540"/>
      <c r="Q10" s="540"/>
      <c r="R10" s="164"/>
      <c r="S10" s="515"/>
      <c r="T10" s="165" t="str">
        <f t="shared" si="1"/>
        <v/>
      </c>
      <c r="U10" s="515"/>
      <c r="V10" s="515"/>
      <c r="W10" s="165" cm="1">
        <f t="array" ref="W10">IFERROR(INDEX($A$3:$F$345,MATCH(U10&amp;R10,$A$3:$A$345&amp;$E$3:$E$345,0),2),"")</f>
        <v>0</v>
      </c>
      <c r="X10" s="165" cm="1">
        <f t="array" ref="X10">IFERROR(INDEX($A$3:$F$345,MATCH(V10&amp;R10,$A$3:$A$345&amp;$E$3:$E$345,0),2),"")</f>
        <v>0</v>
      </c>
      <c r="Y10" s="165" cm="1">
        <f t="array" ref="Y10">IFERROR(INDEX($A$3:$F$345,MATCH(U10&amp;R10,$A$3:$A$345&amp;$E$3:$E$345,0),4),"")</f>
        <v>0</v>
      </c>
      <c r="Z10" s="165" cm="1">
        <f t="array" ref="Z10">IFERROR(INDEX($A$3:$F$345,MATCH(V10&amp;R10,$A$3:$A$345&amp;$E$3:$E$345,0),4),"")</f>
        <v>0</v>
      </c>
      <c r="AA10" s="165" t="str">
        <f t="shared" si="2"/>
        <v/>
      </c>
    </row>
    <row r="11" spans="1:27" x14ac:dyDescent="0.25">
      <c r="A11" s="515"/>
      <c r="B11" s="515"/>
      <c r="C11" s="515"/>
      <c r="D11" s="515"/>
      <c r="E11" s="164"/>
      <c r="F11" s="167" t="str">
        <f t="shared" si="0"/>
        <v/>
      </c>
      <c r="L11" s="735"/>
      <c r="M11" s="735"/>
      <c r="N11" s="736"/>
      <c r="O11" s="737"/>
      <c r="P11" s="735"/>
      <c r="Q11" s="735"/>
      <c r="R11" s="164"/>
      <c r="S11" s="515"/>
      <c r="T11" s="165" t="str">
        <f t="shared" si="1"/>
        <v/>
      </c>
      <c r="U11" s="515"/>
      <c r="V11" s="515"/>
      <c r="W11" s="165" cm="1">
        <f t="array" ref="W11">IFERROR(INDEX($A$3:$F$345,MATCH(U11&amp;R11,$A$3:$A$345&amp;$E$3:$E$345,0),2),"")</f>
        <v>0</v>
      </c>
      <c r="X11" s="165" cm="1">
        <f t="array" ref="X11">IFERROR(INDEX($A$3:$F$345,MATCH(V11&amp;R11,$A$3:$A$345&amp;$E$3:$E$345,0),2),"")</f>
        <v>0</v>
      </c>
      <c r="Y11" s="165" cm="1">
        <f t="array" ref="Y11">IFERROR(INDEX($A$3:$F$345,MATCH(U11&amp;R11,$A$3:$A$345&amp;$E$3:$E$345,0),4),"")</f>
        <v>0</v>
      </c>
      <c r="Z11" s="165" cm="1">
        <f t="array" ref="Z11">IFERROR(INDEX($A$3:$F$345,MATCH(V11&amp;R11,$A$3:$A$345&amp;$E$3:$E$345,0),4),"")</f>
        <v>0</v>
      </c>
      <c r="AA11" s="165" t="str">
        <f t="shared" si="2"/>
        <v/>
      </c>
    </row>
    <row r="12" spans="1:27" x14ac:dyDescent="0.25">
      <c r="A12" s="515"/>
      <c r="B12" s="515"/>
      <c r="C12" s="515"/>
      <c r="D12" s="515"/>
      <c r="E12" s="164"/>
      <c r="F12" s="167" t="str">
        <f t="shared" si="0"/>
        <v/>
      </c>
      <c r="L12" s="540"/>
      <c r="M12" s="540"/>
      <c r="N12" s="541"/>
      <c r="O12" s="540"/>
      <c r="P12" s="540"/>
      <c r="Q12" s="540"/>
      <c r="R12" s="164"/>
      <c r="S12" s="515"/>
      <c r="T12" s="165" t="str">
        <f t="shared" si="1"/>
        <v/>
      </c>
      <c r="U12" s="515"/>
      <c r="V12" s="515"/>
      <c r="W12" s="165" cm="1">
        <f t="array" ref="W12">IFERROR(INDEX($A$3:$F$345,MATCH(U12&amp;R12,$A$3:$A$345&amp;$E$3:$E$345,0),2),"")</f>
        <v>0</v>
      </c>
      <c r="X12" s="165" cm="1">
        <f t="array" ref="X12">IFERROR(INDEX($A$3:$F$345,MATCH(V12&amp;R12,$A$3:$A$345&amp;$E$3:$E$345,0),2),"")</f>
        <v>0</v>
      </c>
      <c r="Y12" s="165" cm="1">
        <f t="array" ref="Y12">IFERROR(INDEX($A$3:$F$345,MATCH(U12&amp;R12,$A$3:$A$345&amp;$E$3:$E$345,0),4),"")</f>
        <v>0</v>
      </c>
      <c r="Z12" s="165" cm="1">
        <f t="array" ref="Z12">IFERROR(INDEX($A$3:$F$345,MATCH(V12&amp;R12,$A$3:$A$345&amp;$E$3:$E$345,0),4),"")</f>
        <v>0</v>
      </c>
      <c r="AA12" s="165" t="str">
        <f t="shared" si="2"/>
        <v/>
      </c>
    </row>
    <row r="13" spans="1:27" x14ac:dyDescent="0.25">
      <c r="A13" s="515"/>
      <c r="B13" s="515"/>
      <c r="C13" s="515"/>
      <c r="D13" s="515"/>
      <c r="E13" s="164"/>
      <c r="F13" s="167" t="str">
        <f t="shared" si="0"/>
        <v/>
      </c>
      <c r="L13" s="735"/>
      <c r="M13" s="735"/>
      <c r="N13" s="736"/>
      <c r="O13" s="737"/>
      <c r="P13" s="735"/>
      <c r="Q13" s="735"/>
      <c r="R13" s="164"/>
      <c r="S13" s="515"/>
      <c r="T13" s="165" t="str">
        <f t="shared" si="1"/>
        <v/>
      </c>
      <c r="U13" s="515"/>
      <c r="V13" s="515"/>
      <c r="W13" s="165" cm="1">
        <f t="array" ref="W13">IFERROR(INDEX($A$3:$F$345,MATCH(U13&amp;R13,$A$3:$A$345&amp;$E$3:$E$345,0),2),"")</f>
        <v>0</v>
      </c>
      <c r="X13" s="165" cm="1">
        <f t="array" ref="X13">IFERROR(INDEX($A$3:$F$345,MATCH(V13&amp;R13,$A$3:$A$345&amp;$E$3:$E$345,0),2),"")</f>
        <v>0</v>
      </c>
      <c r="Y13" s="165" cm="1">
        <f t="array" ref="Y13">IFERROR(INDEX($A$3:$F$345,MATCH(U13&amp;R13,$A$3:$A$345&amp;$E$3:$E$345,0),4),"")</f>
        <v>0</v>
      </c>
      <c r="Z13" s="165" cm="1">
        <f t="array" ref="Z13">IFERROR(INDEX($A$3:$F$345,MATCH(V13&amp;R13,$A$3:$A$345&amp;$E$3:$E$345,0),4),"")</f>
        <v>0</v>
      </c>
      <c r="AA13" s="165" t="str">
        <f t="shared" si="2"/>
        <v/>
      </c>
    </row>
    <row r="14" spans="1:27" x14ac:dyDescent="0.25">
      <c r="A14" s="515"/>
      <c r="B14" s="515"/>
      <c r="C14" s="515"/>
      <c r="D14" s="515"/>
      <c r="E14" s="164"/>
      <c r="F14" s="167" t="str">
        <f t="shared" si="0"/>
        <v/>
      </c>
      <c r="L14" s="540"/>
      <c r="M14" s="540"/>
      <c r="N14" s="541"/>
      <c r="O14" s="540"/>
      <c r="P14" s="540"/>
      <c r="Q14" s="540"/>
      <c r="R14" s="164"/>
      <c r="S14" s="515"/>
      <c r="T14" s="165" t="str">
        <f t="shared" si="1"/>
        <v/>
      </c>
      <c r="U14" s="515"/>
      <c r="V14" s="515"/>
      <c r="W14" s="165" cm="1">
        <f t="array" ref="W14">IFERROR(INDEX($A$3:$F$345,MATCH(U14&amp;R14,$A$3:$A$345&amp;$E$3:$E$345,0),2),"")</f>
        <v>0</v>
      </c>
      <c r="X14" s="165" cm="1">
        <f t="array" ref="X14">IFERROR(INDEX($A$3:$F$345,MATCH(V14&amp;R14,$A$3:$A$345&amp;$E$3:$E$345,0),2),"")</f>
        <v>0</v>
      </c>
      <c r="Y14" s="165" cm="1">
        <f t="array" ref="Y14">IFERROR(INDEX($A$3:$F$345,MATCH(U14&amp;R14,$A$3:$A$345&amp;$E$3:$E$345,0),4),"")</f>
        <v>0</v>
      </c>
      <c r="Z14" s="165" cm="1">
        <f t="array" ref="Z14">IFERROR(INDEX($A$3:$F$345,MATCH(V14&amp;R14,$A$3:$A$345&amp;$E$3:$E$345,0),4),"")</f>
        <v>0</v>
      </c>
      <c r="AA14" s="165" t="str">
        <f t="shared" si="2"/>
        <v/>
      </c>
    </row>
    <row r="15" spans="1:27" x14ac:dyDescent="0.25">
      <c r="A15" s="515"/>
      <c r="B15" s="515"/>
      <c r="C15" s="515"/>
      <c r="D15" s="515"/>
      <c r="E15" s="164"/>
      <c r="F15" s="167" t="str">
        <f t="shared" si="0"/>
        <v/>
      </c>
      <c r="L15" s="540"/>
      <c r="M15" s="540"/>
      <c r="N15" s="541"/>
      <c r="O15" s="540"/>
      <c r="P15" s="540"/>
      <c r="Q15" s="540"/>
      <c r="R15" s="164"/>
      <c r="S15" s="515"/>
      <c r="T15" s="165" t="str">
        <f t="shared" si="1"/>
        <v/>
      </c>
      <c r="U15" s="515"/>
      <c r="V15" s="515"/>
      <c r="W15" s="165" cm="1">
        <f t="array" ref="W15">IFERROR(INDEX($A$3:$F$345,MATCH(U15&amp;R15,$A$3:$A$345&amp;$E$3:$E$345,0),2),"")</f>
        <v>0</v>
      </c>
      <c r="X15" s="165" cm="1">
        <f t="array" ref="X15">IFERROR(INDEX($A$3:$F$345,MATCH(V15&amp;R15,$A$3:$A$345&amp;$E$3:$E$345,0),2),"")</f>
        <v>0</v>
      </c>
      <c r="Y15" s="165" cm="1">
        <f t="array" ref="Y15">IFERROR(INDEX($A$3:$F$345,MATCH(U15&amp;R15,$A$3:$A$345&amp;$E$3:$E$345,0),4),"")</f>
        <v>0</v>
      </c>
      <c r="Z15" s="165" cm="1">
        <f t="array" ref="Z15">IFERROR(INDEX($A$3:$F$345,MATCH(V15&amp;R15,$A$3:$A$345&amp;$E$3:$E$345,0),4),"")</f>
        <v>0</v>
      </c>
      <c r="AA15" s="165" t="str">
        <f t="shared" si="2"/>
        <v/>
      </c>
    </row>
    <row r="16" spans="1:27" x14ac:dyDescent="0.25">
      <c r="A16" s="515"/>
      <c r="B16" s="515"/>
      <c r="C16" s="515"/>
      <c r="D16" s="515"/>
      <c r="E16" s="164"/>
      <c r="F16" s="167" t="str">
        <f t="shared" si="0"/>
        <v/>
      </c>
      <c r="L16" s="540"/>
      <c r="M16" s="540"/>
      <c r="N16" s="541"/>
      <c r="O16" s="540"/>
      <c r="P16" s="540"/>
      <c r="Q16" s="540"/>
      <c r="R16" s="164"/>
      <c r="S16" s="515"/>
      <c r="T16" s="165" t="str">
        <f t="shared" si="1"/>
        <v/>
      </c>
      <c r="U16" s="515"/>
      <c r="V16" s="515"/>
      <c r="W16" s="165" cm="1">
        <f t="array" ref="W16">IFERROR(INDEX($A$3:$F$345,MATCH(U16&amp;R16,$A$3:$A$345&amp;$E$3:$E$345,0),2),"")</f>
        <v>0</v>
      </c>
      <c r="X16" s="165" cm="1">
        <f t="array" ref="X16">IFERROR(INDEX($A$3:$F$345,MATCH(V16&amp;R16,$A$3:$A$345&amp;$E$3:$E$345,0),2),"")</f>
        <v>0</v>
      </c>
      <c r="Y16" s="165" cm="1">
        <f t="array" ref="Y16">IFERROR(INDEX($A$3:$F$345,MATCH(U16&amp;R16,$A$3:$A$345&amp;$E$3:$E$345,0),4),"")</f>
        <v>0</v>
      </c>
      <c r="Z16" s="165" cm="1">
        <f t="array" ref="Z16">IFERROR(INDEX($A$3:$F$345,MATCH(V16&amp;R16,$A$3:$A$345&amp;$E$3:$E$345,0),4),"")</f>
        <v>0</v>
      </c>
      <c r="AA16" s="165" t="str">
        <f t="shared" si="2"/>
        <v/>
      </c>
    </row>
    <row r="17" spans="1:27" x14ac:dyDescent="0.25">
      <c r="A17" s="515"/>
      <c r="B17" s="515"/>
      <c r="C17" s="515"/>
      <c r="D17" s="515"/>
      <c r="E17" s="164"/>
      <c r="F17" s="167" t="str">
        <f t="shared" si="0"/>
        <v/>
      </c>
      <c r="L17" s="540"/>
      <c r="M17" s="540"/>
      <c r="N17" s="541"/>
      <c r="O17" s="540"/>
      <c r="P17" s="540"/>
      <c r="Q17" s="540"/>
      <c r="R17" s="164"/>
      <c r="S17" s="515"/>
      <c r="T17" s="165" t="str">
        <f t="shared" si="1"/>
        <v/>
      </c>
      <c r="U17" s="515"/>
      <c r="V17" s="515"/>
      <c r="W17" s="165" cm="1">
        <f t="array" ref="W17">IFERROR(INDEX($A$3:$F$345,MATCH(U17&amp;R17,$A$3:$A$345&amp;$E$3:$E$345,0),2),"")</f>
        <v>0</v>
      </c>
      <c r="X17" s="165" cm="1">
        <f t="array" ref="X17">IFERROR(INDEX($A$3:$F$345,MATCH(V17&amp;R17,$A$3:$A$345&amp;$E$3:$E$345,0),2),"")</f>
        <v>0</v>
      </c>
      <c r="Y17" s="165" cm="1">
        <f t="array" ref="Y17">IFERROR(INDEX($A$3:$F$345,MATCH(U17&amp;R17,$A$3:$A$345&amp;$E$3:$E$345,0),4),"")</f>
        <v>0</v>
      </c>
      <c r="Z17" s="165" cm="1">
        <f t="array" ref="Z17">IFERROR(INDEX($A$3:$F$345,MATCH(V17&amp;R17,$A$3:$A$345&amp;$E$3:$E$345,0),4),"")</f>
        <v>0</v>
      </c>
      <c r="AA17" s="165" t="str">
        <f t="shared" si="2"/>
        <v/>
      </c>
    </row>
    <row r="18" spans="1:27" x14ac:dyDescent="0.25">
      <c r="A18" s="515"/>
      <c r="B18" s="515"/>
      <c r="C18" s="515"/>
      <c r="D18" s="515"/>
      <c r="E18" s="164"/>
      <c r="F18" s="167" t="str">
        <f t="shared" si="0"/>
        <v/>
      </c>
      <c r="L18" s="540"/>
      <c r="M18" s="540"/>
      <c r="N18" s="541"/>
      <c r="O18" s="540"/>
      <c r="P18" s="540"/>
      <c r="Q18" s="540"/>
      <c r="R18" s="164"/>
      <c r="S18" s="515"/>
      <c r="T18" s="165" t="str">
        <f t="shared" si="1"/>
        <v/>
      </c>
      <c r="U18" s="515"/>
      <c r="V18" s="515"/>
      <c r="W18" s="165" cm="1">
        <f t="array" ref="W18">IFERROR(INDEX($A$3:$F$345,MATCH(U18&amp;R18,$A$3:$A$345&amp;$E$3:$E$345,0),2),"")</f>
        <v>0</v>
      </c>
      <c r="X18" s="165" cm="1">
        <f t="array" ref="X18">IFERROR(INDEX($A$3:$F$345,MATCH(V18&amp;R18,$A$3:$A$345&amp;$E$3:$E$345,0),2),"")</f>
        <v>0</v>
      </c>
      <c r="Y18" s="165" cm="1">
        <f t="array" ref="Y18">IFERROR(INDEX($A$3:$F$345,MATCH(U18&amp;R18,$A$3:$A$345&amp;$E$3:$E$345,0),4),"")</f>
        <v>0</v>
      </c>
      <c r="Z18" s="165" cm="1">
        <f t="array" ref="Z18">IFERROR(INDEX($A$3:$F$345,MATCH(V18&amp;R18,$A$3:$A$345&amp;$E$3:$E$345,0),4),"")</f>
        <v>0</v>
      </c>
      <c r="AA18" s="165" t="str">
        <f t="shared" si="2"/>
        <v/>
      </c>
    </row>
    <row r="19" spans="1:27" x14ac:dyDescent="0.25">
      <c r="A19" s="515"/>
      <c r="B19" s="515"/>
      <c r="C19" s="515"/>
      <c r="D19" s="515"/>
      <c r="E19" s="164"/>
      <c r="F19" s="167" t="str">
        <f t="shared" si="0"/>
        <v/>
      </c>
      <c r="L19" s="540"/>
      <c r="M19" s="540"/>
      <c r="N19" s="541"/>
      <c r="O19" s="540"/>
      <c r="P19" s="540"/>
      <c r="Q19" s="540"/>
      <c r="R19" s="164"/>
      <c r="S19" s="515"/>
      <c r="T19" s="165" t="str">
        <f t="shared" si="1"/>
        <v/>
      </c>
      <c r="U19" s="515"/>
      <c r="V19" s="515"/>
      <c r="W19" s="165" cm="1">
        <f t="array" ref="W19">IFERROR(INDEX($A$3:$F$345,MATCH(U19&amp;R19,$A$3:$A$345&amp;$E$3:$E$345,0),2),"")</f>
        <v>0</v>
      </c>
      <c r="X19" s="165" cm="1">
        <f t="array" ref="X19">IFERROR(INDEX($A$3:$F$345,MATCH(V19&amp;R19,$A$3:$A$345&amp;$E$3:$E$345,0),2),"")</f>
        <v>0</v>
      </c>
      <c r="Y19" s="165" cm="1">
        <f t="array" ref="Y19">IFERROR(INDEX($A$3:$F$345,MATCH(U19&amp;R19,$A$3:$A$345&amp;$E$3:$E$345,0),4),"")</f>
        <v>0</v>
      </c>
      <c r="Z19" s="165" cm="1">
        <f t="array" ref="Z19">IFERROR(INDEX($A$3:$F$345,MATCH(V19&amp;R19,$A$3:$A$345&amp;$E$3:$E$345,0),4),"")</f>
        <v>0</v>
      </c>
      <c r="AA19" s="165" t="str">
        <f t="shared" si="2"/>
        <v/>
      </c>
    </row>
    <row r="20" spans="1:27" x14ac:dyDescent="0.25">
      <c r="A20" s="515"/>
      <c r="B20" s="515"/>
      <c r="C20" s="515"/>
      <c r="D20" s="515"/>
      <c r="E20" s="164"/>
      <c r="F20" s="167" t="str">
        <f t="shared" si="0"/>
        <v/>
      </c>
      <c r="L20" s="540"/>
      <c r="M20" s="540"/>
      <c r="N20" s="541"/>
      <c r="O20" s="540"/>
      <c r="P20" s="540"/>
      <c r="Q20" s="540"/>
      <c r="R20" s="164"/>
      <c r="S20" s="515"/>
      <c r="T20" s="165" t="str">
        <f t="shared" si="1"/>
        <v/>
      </c>
      <c r="U20" s="515"/>
      <c r="V20" s="515"/>
      <c r="W20" s="165" cm="1">
        <f t="array" ref="W20">IFERROR(INDEX($A$3:$F$345,MATCH(U20&amp;R20,$A$3:$A$345&amp;$E$3:$E$345,0),2),"")</f>
        <v>0</v>
      </c>
      <c r="X20" s="165" cm="1">
        <f t="array" ref="X20">IFERROR(INDEX($A$3:$F$345,MATCH(V20&amp;R20,$A$3:$A$345&amp;$E$3:$E$345,0),2),"")</f>
        <v>0</v>
      </c>
      <c r="Y20" s="165" cm="1">
        <f t="array" ref="Y20">IFERROR(INDEX($A$3:$F$345,MATCH(U20&amp;R20,$A$3:$A$345&amp;$E$3:$E$345,0),4),"")</f>
        <v>0</v>
      </c>
      <c r="Z20" s="165" cm="1">
        <f t="array" ref="Z20">IFERROR(INDEX($A$3:$F$345,MATCH(V20&amp;R20,$A$3:$A$345&amp;$E$3:$E$345,0),4),"")</f>
        <v>0</v>
      </c>
      <c r="AA20" s="165" t="str">
        <f t="shared" si="2"/>
        <v/>
      </c>
    </row>
    <row r="21" spans="1:27" x14ac:dyDescent="0.25">
      <c r="A21" s="515"/>
      <c r="B21" s="515"/>
      <c r="C21" s="515"/>
      <c r="D21" s="515"/>
      <c r="E21" s="164"/>
      <c r="F21" s="167" t="str">
        <f t="shared" si="0"/>
        <v/>
      </c>
      <c r="L21" s="540"/>
      <c r="M21" s="540"/>
      <c r="N21" s="541"/>
      <c r="O21" s="540"/>
      <c r="P21" s="540"/>
      <c r="Q21" s="540"/>
      <c r="R21" s="164"/>
      <c r="S21" s="515"/>
      <c r="T21" s="165" t="str">
        <f t="shared" si="1"/>
        <v/>
      </c>
      <c r="U21" s="515"/>
      <c r="V21" s="515"/>
      <c r="W21" s="165" cm="1">
        <f t="array" ref="W21">IFERROR(INDEX($A$3:$F$345,MATCH(U21&amp;R21,$A$3:$A$345&amp;$E$3:$E$345,0),2),"")</f>
        <v>0</v>
      </c>
      <c r="X21" s="165" cm="1">
        <f t="array" ref="X21">IFERROR(INDEX($A$3:$F$345,MATCH(V21&amp;R21,$A$3:$A$345&amp;$E$3:$E$345,0),2),"")</f>
        <v>0</v>
      </c>
      <c r="Y21" s="165" cm="1">
        <f t="array" ref="Y21">IFERROR(INDEX($A$3:$F$345,MATCH(U21&amp;R21,$A$3:$A$345&amp;$E$3:$E$345,0),4),"")</f>
        <v>0</v>
      </c>
      <c r="Z21" s="165" cm="1">
        <f t="array" ref="Z21">IFERROR(INDEX($A$3:$F$345,MATCH(V21&amp;R21,$A$3:$A$345&amp;$E$3:$E$345,0),4),"")</f>
        <v>0</v>
      </c>
      <c r="AA21" s="165" t="str">
        <f t="shared" si="2"/>
        <v/>
      </c>
    </row>
    <row r="22" spans="1:27" x14ac:dyDescent="0.25">
      <c r="A22" s="515"/>
      <c r="B22" s="515"/>
      <c r="C22" s="515"/>
      <c r="D22" s="515"/>
      <c r="E22" s="164"/>
      <c r="F22" s="167" t="str">
        <f t="shared" si="0"/>
        <v/>
      </c>
      <c r="L22" s="540"/>
      <c r="M22" s="540"/>
      <c r="N22" s="541"/>
      <c r="O22" s="540"/>
      <c r="P22" s="540"/>
      <c r="Q22" s="540"/>
      <c r="R22" s="164"/>
      <c r="S22" s="515"/>
      <c r="T22" s="165" t="str">
        <f t="shared" si="1"/>
        <v/>
      </c>
      <c r="U22" s="515"/>
      <c r="V22" s="515"/>
      <c r="W22" s="165" cm="1">
        <f t="array" ref="W22">IFERROR(INDEX($A$3:$F$345,MATCH(U22&amp;R22,$A$3:$A$345&amp;$E$3:$E$345,0),2),"")</f>
        <v>0</v>
      </c>
      <c r="X22" s="165" cm="1">
        <f t="array" ref="X22">IFERROR(INDEX($A$3:$F$345,MATCH(V22&amp;R22,$A$3:$A$345&amp;$E$3:$E$345,0),2),"")</f>
        <v>0</v>
      </c>
      <c r="Y22" s="165" cm="1">
        <f t="array" ref="Y22">IFERROR(INDEX($A$3:$F$345,MATCH(U22&amp;R22,$A$3:$A$345&amp;$E$3:$E$345,0),4),"")</f>
        <v>0</v>
      </c>
      <c r="Z22" s="165" cm="1">
        <f t="array" ref="Z22">IFERROR(INDEX($A$3:$F$345,MATCH(V22&amp;R22,$A$3:$A$345&amp;$E$3:$E$345,0),4),"")</f>
        <v>0</v>
      </c>
      <c r="AA22" s="165" t="str">
        <f t="shared" si="2"/>
        <v/>
      </c>
    </row>
    <row r="23" spans="1:27" x14ac:dyDescent="0.25">
      <c r="A23" s="515"/>
      <c r="B23" s="515"/>
      <c r="C23" s="515"/>
      <c r="D23" s="515"/>
      <c r="E23" s="164"/>
      <c r="F23" s="167" t="str">
        <f t="shared" si="0"/>
        <v/>
      </c>
      <c r="L23" s="540"/>
      <c r="M23" s="540"/>
      <c r="N23" s="541"/>
      <c r="O23" s="540"/>
      <c r="P23" s="540"/>
      <c r="Q23" s="540"/>
      <c r="R23" s="164"/>
      <c r="S23" s="515"/>
      <c r="T23" s="165" t="str">
        <f t="shared" si="1"/>
        <v/>
      </c>
      <c r="U23" s="515"/>
      <c r="V23" s="515"/>
      <c r="W23" s="165" cm="1">
        <f t="array" ref="W23">IFERROR(INDEX($A$3:$F$345,MATCH(U23&amp;R23,$A$3:$A$345&amp;$E$3:$E$345,0),2),"")</f>
        <v>0</v>
      </c>
      <c r="X23" s="165" cm="1">
        <f t="array" ref="X23">IFERROR(INDEX($A$3:$F$345,MATCH(V23&amp;R23,$A$3:$A$345&amp;$E$3:$E$345,0),2),"")</f>
        <v>0</v>
      </c>
      <c r="Y23" s="165" cm="1">
        <f t="array" ref="Y23">IFERROR(INDEX($A$3:$F$345,MATCH(U23&amp;R23,$A$3:$A$345&amp;$E$3:$E$345,0),4),"")</f>
        <v>0</v>
      </c>
      <c r="Z23" s="165" cm="1">
        <f t="array" ref="Z23">IFERROR(INDEX($A$3:$F$345,MATCH(V23&amp;R23,$A$3:$A$345&amp;$E$3:$E$345,0),4),"")</f>
        <v>0</v>
      </c>
      <c r="AA23" s="165" t="str">
        <f t="shared" si="2"/>
        <v/>
      </c>
    </row>
    <row r="24" spans="1:27" x14ac:dyDescent="0.25">
      <c r="A24" s="515"/>
      <c r="B24" s="515"/>
      <c r="C24" s="515"/>
      <c r="D24" s="515"/>
      <c r="E24" s="164"/>
      <c r="F24" s="167" t="str">
        <f t="shared" si="0"/>
        <v/>
      </c>
      <c r="L24" s="540"/>
      <c r="M24" s="540"/>
      <c r="N24" s="541"/>
      <c r="O24" s="540"/>
      <c r="P24" s="735"/>
      <c r="Q24" s="735"/>
      <c r="R24" s="164"/>
      <c r="S24" s="515"/>
      <c r="T24" s="165" t="str">
        <f t="shared" si="1"/>
        <v/>
      </c>
      <c r="U24" s="515"/>
      <c r="V24" s="515"/>
      <c r="W24" s="165" cm="1">
        <f t="array" ref="W24">IFERROR(INDEX($A$3:$F$345,MATCH(U24&amp;R24,$A$3:$A$345&amp;$E$3:$E$345,0),2),"")</f>
        <v>0</v>
      </c>
      <c r="X24" s="165" cm="1">
        <f t="array" ref="X24">IFERROR(INDEX($A$3:$F$345,MATCH(V24&amp;R24,$A$3:$A$345&amp;$E$3:$E$345,0),2),"")</f>
        <v>0</v>
      </c>
      <c r="Y24" s="165" cm="1">
        <f t="array" ref="Y24">IFERROR(INDEX($A$3:$F$345,MATCH(U24&amp;R24,$A$3:$A$345&amp;$E$3:$E$345,0),4),"")</f>
        <v>0</v>
      </c>
      <c r="Z24" s="165" cm="1">
        <f t="array" ref="Z24">IFERROR(INDEX($A$3:$F$345,MATCH(V24&amp;R24,$A$3:$A$345&amp;$E$3:$E$345,0),4),"")</f>
        <v>0</v>
      </c>
      <c r="AA24" s="165" t="str">
        <f t="shared" si="2"/>
        <v/>
      </c>
    </row>
    <row r="25" spans="1:27" x14ac:dyDescent="0.25">
      <c r="A25" s="515"/>
      <c r="B25" s="515"/>
      <c r="C25" s="515"/>
      <c r="D25" s="515"/>
      <c r="E25" s="164"/>
      <c r="F25" s="167" t="str">
        <f t="shared" si="0"/>
        <v/>
      </c>
      <c r="L25" s="540"/>
      <c r="M25" s="540"/>
      <c r="N25" s="541"/>
      <c r="O25" s="540"/>
      <c r="P25" s="540"/>
      <c r="Q25" s="540"/>
      <c r="R25" s="164"/>
      <c r="S25" s="515"/>
      <c r="T25" s="165" t="str">
        <f t="shared" si="1"/>
        <v/>
      </c>
      <c r="U25" s="515"/>
      <c r="V25" s="515"/>
      <c r="W25" s="165" cm="1">
        <f t="array" ref="W25">IFERROR(INDEX($A$3:$F$345,MATCH(U25&amp;R25,$A$3:$A$345&amp;$E$3:$E$345,0),2),"")</f>
        <v>0</v>
      </c>
      <c r="X25" s="165" cm="1">
        <f t="array" ref="X25">IFERROR(INDEX($A$3:$F$345,MATCH(V25&amp;R25,$A$3:$A$345&amp;$E$3:$E$345,0),2),"")</f>
        <v>0</v>
      </c>
      <c r="Y25" s="165" cm="1">
        <f t="array" ref="Y25">IFERROR(INDEX($A$3:$F$345,MATCH(U25&amp;R25,$A$3:$A$345&amp;$E$3:$E$345,0),4),"")</f>
        <v>0</v>
      </c>
      <c r="Z25" s="165" cm="1">
        <f t="array" ref="Z25">IFERROR(INDEX($A$3:$F$345,MATCH(V25&amp;R25,$A$3:$A$345&amp;$E$3:$E$345,0),4),"")</f>
        <v>0</v>
      </c>
      <c r="AA25" s="165" t="str">
        <f t="shared" si="2"/>
        <v/>
      </c>
    </row>
    <row r="26" spans="1:27" x14ac:dyDescent="0.25">
      <c r="A26" s="515"/>
      <c r="B26" s="515"/>
      <c r="C26" s="515"/>
      <c r="D26" s="515"/>
      <c r="E26" s="164"/>
      <c r="F26" s="167" t="str">
        <f t="shared" si="0"/>
        <v/>
      </c>
      <c r="L26" s="540"/>
      <c r="M26" s="540"/>
      <c r="N26" s="541"/>
      <c r="O26" s="540"/>
      <c r="P26" s="540"/>
      <c r="Q26" s="540"/>
      <c r="R26" s="164"/>
      <c r="S26" s="515"/>
      <c r="T26" s="165" t="str">
        <f t="shared" si="1"/>
        <v/>
      </c>
      <c r="U26" s="515"/>
      <c r="V26" s="515"/>
      <c r="W26" s="165" cm="1">
        <f t="array" ref="W26">IFERROR(INDEX($A$3:$F$345,MATCH(U26&amp;R26,$A$3:$A$345&amp;$E$3:$E$345,0),2),"")</f>
        <v>0</v>
      </c>
      <c r="X26" s="165" cm="1">
        <f t="array" ref="X26">IFERROR(INDEX($A$3:$F$345,MATCH(V26&amp;R26,$A$3:$A$345&amp;$E$3:$E$345,0),2),"")</f>
        <v>0</v>
      </c>
      <c r="Y26" s="165" cm="1">
        <f t="array" ref="Y26">IFERROR(INDEX($A$3:$F$345,MATCH(U26&amp;R26,$A$3:$A$345&amp;$E$3:$E$345,0),4),"")</f>
        <v>0</v>
      </c>
      <c r="Z26" s="165" cm="1">
        <f t="array" ref="Z26">IFERROR(INDEX($A$3:$F$345,MATCH(V26&amp;R26,$A$3:$A$345&amp;$E$3:$E$345,0),4),"")</f>
        <v>0</v>
      </c>
      <c r="AA26" s="165" t="str">
        <f t="shared" si="2"/>
        <v/>
      </c>
    </row>
    <row r="27" spans="1:27" x14ac:dyDescent="0.25">
      <c r="A27" s="515"/>
      <c r="B27" s="515"/>
      <c r="C27" s="515"/>
      <c r="D27" s="515"/>
      <c r="E27" s="164"/>
      <c r="F27" s="167" t="str">
        <f t="shared" si="0"/>
        <v/>
      </c>
      <c r="L27" s="540"/>
      <c r="M27" s="540"/>
      <c r="N27" s="541"/>
      <c r="O27" s="540"/>
      <c r="P27" s="540"/>
      <c r="Q27" s="540"/>
      <c r="R27" s="164"/>
      <c r="S27" s="515"/>
      <c r="T27" s="165" t="str">
        <f>IF(S27="E","EXISTENTE",IF(AND(S27="R",LEFT(L27,7)="RBIGODE",M27=400),"RBIGODE 40",IF(AND(LEFT(L27,7)="RBIGODE",M27=600),"RBIGODE 60",IF(AND(S27="I",LEFT(L27,6)="BIGODE",M27=400),"BIGODE 40",IF(AND(LEFT(L27,6)="BIGODE",M27=600),"BIGODE 60",LEFT(L27,7))))))</f>
        <v/>
      </c>
      <c r="U27" s="515"/>
      <c r="V27" s="515"/>
      <c r="W27" s="165" cm="1">
        <f t="array" ref="W27">IFERROR(INDEX($A$3:$F$345,MATCH(U27&amp;R27,$A$3:$A$345&amp;$E$3:$E$345,0),2),"")</f>
        <v>0</v>
      </c>
      <c r="X27" s="165" cm="1">
        <f t="array" ref="X27">IFERROR(INDEX($A$3:$F$345,MATCH(V27&amp;R27,$A$3:$A$345&amp;$E$3:$E$345,0),2),"")</f>
        <v>0</v>
      </c>
      <c r="Y27" s="165" cm="1">
        <f t="array" ref="Y27">IFERROR(INDEX($A$3:$F$345,MATCH(U27&amp;R27,$A$3:$A$345&amp;$E$3:$E$345,0),4),"")</f>
        <v>0</v>
      </c>
      <c r="Z27" s="165" cm="1">
        <f t="array" ref="Z27">IFERROR(INDEX($A$3:$F$345,MATCH(V27&amp;R27,$A$3:$A$345&amp;$E$3:$E$345,0),4),"")</f>
        <v>0</v>
      </c>
      <c r="AA27" s="165" t="str">
        <f t="shared" si="2"/>
        <v/>
      </c>
    </row>
    <row r="28" spans="1:27" x14ac:dyDescent="0.25">
      <c r="A28" s="515"/>
      <c r="B28" s="515"/>
      <c r="C28" s="515"/>
      <c r="D28" s="515"/>
      <c r="E28" s="164"/>
      <c r="F28" s="167" t="str">
        <f t="shared" si="0"/>
        <v/>
      </c>
      <c r="L28" s="540"/>
      <c r="M28" s="540"/>
      <c r="N28" s="541"/>
      <c r="O28" s="540"/>
      <c r="P28" s="540"/>
      <c r="Q28" s="540"/>
      <c r="R28" s="164"/>
      <c r="S28" s="515"/>
      <c r="T28" s="165" t="str">
        <f t="shared" si="1"/>
        <v/>
      </c>
      <c r="U28" s="515"/>
      <c r="V28" s="515"/>
      <c r="W28" s="165" cm="1">
        <f t="array" ref="W28">IFERROR(INDEX($A$3:$F$345,MATCH(U28&amp;R28,$A$3:$A$345&amp;$E$3:$E$345,0),2),"")</f>
        <v>0</v>
      </c>
      <c r="X28" s="165" cm="1">
        <f t="array" ref="X28">IFERROR(INDEX($A$3:$F$345,MATCH(V28&amp;R28,$A$3:$A$345&amp;$E$3:$E$345,0),2),"")</f>
        <v>0</v>
      </c>
      <c r="Y28" s="165" cm="1">
        <f t="array" ref="Y28">IFERROR(INDEX($A$3:$F$345,MATCH(U28&amp;R28,$A$3:$A$345&amp;$E$3:$E$345,0),4),"")</f>
        <v>0</v>
      </c>
      <c r="Z28" s="165" cm="1">
        <f t="array" ref="Z28">IFERROR(INDEX($A$3:$F$345,MATCH(V28&amp;R28,$A$3:$A$345&amp;$E$3:$E$345,0),4),"")</f>
        <v>0</v>
      </c>
      <c r="AA28" s="165" t="str">
        <f>IFERROR((IF(LEFT(U28,1)="R",RIGHT(LEFT(U28,3),2),LEFT(U28,2))),"")</f>
        <v/>
      </c>
    </row>
    <row r="29" spans="1:27" x14ac:dyDescent="0.25">
      <c r="A29" s="515"/>
      <c r="B29" s="515"/>
      <c r="C29" s="515"/>
      <c r="D29" s="515"/>
      <c r="E29" s="164"/>
      <c r="F29" s="167" t="str">
        <f t="shared" si="0"/>
        <v/>
      </c>
      <c r="L29" s="540"/>
      <c r="M29" s="540"/>
      <c r="N29" s="541"/>
      <c r="O29" s="540"/>
      <c r="P29" s="540"/>
      <c r="Q29" s="540"/>
      <c r="R29" s="164"/>
      <c r="S29" s="515"/>
      <c r="T29" s="165" t="str">
        <f t="shared" si="1"/>
        <v/>
      </c>
      <c r="U29" s="515"/>
      <c r="V29" s="515"/>
      <c r="W29" s="165" cm="1">
        <f t="array" ref="W29">IFERROR(INDEX($A$3:$F$345,MATCH(U29&amp;R29,$A$3:$A$345&amp;$E$3:$E$345,0),2),"")</f>
        <v>0</v>
      </c>
      <c r="X29" s="165" cm="1">
        <f t="array" ref="X29">IFERROR(INDEX($A$3:$F$345,MATCH(V29&amp;R29,$A$3:$A$345&amp;$E$3:$E$345,0),2),"")</f>
        <v>0</v>
      </c>
      <c r="Y29" s="165" cm="1">
        <f t="array" ref="Y29">IFERROR(INDEX($A$3:$F$345,MATCH(U29&amp;R29,$A$3:$A$345&amp;$E$3:$E$345,0),4),"")</f>
        <v>0</v>
      </c>
      <c r="Z29" s="165" cm="1">
        <f t="array" ref="Z29">IFERROR(INDEX($A$3:$F$345,MATCH(V29&amp;R29,$A$3:$A$345&amp;$E$3:$E$345,0),4),"")</f>
        <v>0</v>
      </c>
      <c r="AA29" s="165" t="str">
        <f t="shared" si="2"/>
        <v/>
      </c>
    </row>
    <row r="30" spans="1:27" x14ac:dyDescent="0.25">
      <c r="A30" s="515"/>
      <c r="B30" s="515"/>
      <c r="C30" s="515"/>
      <c r="D30" s="515"/>
      <c r="E30" s="164"/>
      <c r="F30" s="167" t="str">
        <f t="shared" si="0"/>
        <v/>
      </c>
      <c r="L30" s="735"/>
      <c r="M30" s="735"/>
      <c r="N30" s="736"/>
      <c r="O30" s="737"/>
      <c r="P30" s="735"/>
      <c r="Q30" s="735"/>
      <c r="R30" s="164"/>
      <c r="S30" s="515"/>
      <c r="T30" s="165" t="str">
        <f t="shared" si="1"/>
        <v/>
      </c>
      <c r="U30" s="515"/>
      <c r="V30" s="515"/>
      <c r="W30" s="165" cm="1">
        <f t="array" ref="W30">IFERROR(INDEX($A$3:$F$345,MATCH(U30&amp;R30,$A$3:$A$345&amp;$E$3:$E$345,0),2),"")</f>
        <v>0</v>
      </c>
      <c r="X30" s="165" cm="1">
        <f t="array" ref="X30">IFERROR(INDEX($A$3:$F$345,MATCH(V30&amp;R30,$A$3:$A$345&amp;$E$3:$E$345,0),2),"")</f>
        <v>0</v>
      </c>
      <c r="Y30" s="165" cm="1">
        <f t="array" ref="Y30">IFERROR(INDEX($A$3:$F$345,MATCH(U30&amp;R30,$A$3:$A$345&amp;$E$3:$E$345,0),4),"")</f>
        <v>0</v>
      </c>
      <c r="Z30" s="165" cm="1">
        <f t="array" ref="Z30">IFERROR(INDEX($A$3:$F$345,MATCH(V30&amp;R30,$A$3:$A$345&amp;$E$3:$E$345,0),4),"")</f>
        <v>0</v>
      </c>
      <c r="AA30" s="165" t="str">
        <f t="shared" si="2"/>
        <v/>
      </c>
    </row>
    <row r="31" spans="1:27" x14ac:dyDescent="0.25">
      <c r="A31" s="515"/>
      <c r="B31" s="515"/>
      <c r="C31" s="515"/>
      <c r="D31" s="515"/>
      <c r="E31" s="164"/>
      <c r="F31" s="167" t="str">
        <f t="shared" si="0"/>
        <v/>
      </c>
      <c r="L31" s="540" t="s">
        <v>1443</v>
      </c>
      <c r="M31" s="540">
        <v>400</v>
      </c>
      <c r="N31" s="541">
        <v>6.9860725021610657</v>
      </c>
      <c r="O31" s="540"/>
      <c r="P31" s="540">
        <v>335.92508418700896</v>
      </c>
      <c r="Q31" s="540">
        <v>335.89015382449816</v>
      </c>
      <c r="R31" s="540" t="s">
        <v>1444</v>
      </c>
      <c r="S31" s="515" t="s">
        <v>1097</v>
      </c>
      <c r="T31" s="165" t="str">
        <f t="shared" si="1"/>
        <v>BIGODE 40</v>
      </c>
      <c r="U31" s="515" t="s">
        <v>1469</v>
      </c>
      <c r="V31" s="515" t="s">
        <v>1482</v>
      </c>
      <c r="W31" s="165" cm="1">
        <f t="array" ref="W31">IFERROR(INDEX($A$3:$F$345,MATCH(U31&amp;R31,$A$3:$A$345&amp;$E$3:$E$345,0),2),"")</f>
        <v>337.12508418700895</v>
      </c>
      <c r="X31" s="165" cm="1">
        <f t="array" ref="X31">IFERROR(INDEX($A$3:$F$345,MATCH(V31&amp;R31,$A$3:$A$345&amp;$E$3:$E$345,0),2),"")</f>
        <v>337.14227006996134</v>
      </c>
      <c r="Y31" s="165" cm="1">
        <f t="array" ref="Y31">IFERROR(INDEX($A$3:$F$345,MATCH(U31&amp;R31,$A$3:$A$345&amp;$E$3:$E$345,0),4),"")</f>
        <v>1.3000000000060936</v>
      </c>
      <c r="Z31" s="165" cm="1">
        <f t="array" ref="Z31">IFERROR(INDEX($A$3:$F$345,MATCH(V31&amp;R31,$A$3:$A$345&amp;$E$3:$E$345,0),4),"")</f>
        <v>1.3999999999999773</v>
      </c>
      <c r="AA31" s="165" t="str">
        <f t="shared" si="2"/>
        <v>BL</v>
      </c>
    </row>
    <row r="32" spans="1:27" x14ac:dyDescent="0.25">
      <c r="A32" s="515" t="s">
        <v>1469</v>
      </c>
      <c r="B32" s="515">
        <v>337.12508418700895</v>
      </c>
      <c r="C32" s="515">
        <v>335.82508418700286</v>
      </c>
      <c r="D32" s="515">
        <v>1.3000000000060936</v>
      </c>
      <c r="E32" s="515" t="s">
        <v>1444</v>
      </c>
      <c r="F32" s="167" t="str">
        <f t="shared" si="0"/>
        <v>BLT</v>
      </c>
      <c r="L32" s="540" t="s">
        <v>1445</v>
      </c>
      <c r="M32" s="540">
        <v>400</v>
      </c>
      <c r="N32" s="541">
        <v>6.9860725015526075</v>
      </c>
      <c r="O32" s="540"/>
      <c r="P32" s="540">
        <v>335.92508418700288</v>
      </c>
      <c r="Q32" s="540">
        <v>335.89015382449514</v>
      </c>
      <c r="R32" s="540" t="s">
        <v>1444</v>
      </c>
      <c r="S32" s="515" t="s">
        <v>1097</v>
      </c>
      <c r="T32" s="165" t="str">
        <f t="shared" si="1"/>
        <v>BIGODE 40</v>
      </c>
      <c r="U32" s="515" t="s">
        <v>1470</v>
      </c>
      <c r="V32" s="515" t="s">
        <v>1482</v>
      </c>
      <c r="W32" s="165" cm="1">
        <f t="array" ref="W32">IFERROR(INDEX($A$3:$F$345,MATCH(U32&amp;R32,$A$3:$A$345&amp;$E$3:$E$345,0),2),"")</f>
        <v>337.12508418700895</v>
      </c>
      <c r="X32" s="165" cm="1">
        <f t="array" ref="X32">IFERROR(INDEX($A$3:$F$345,MATCH(V32&amp;R32,$A$3:$A$345&amp;$E$3:$E$345,0),2),"")</f>
        <v>337.14227006996134</v>
      </c>
      <c r="Y32" s="165" cm="1">
        <f t="array" ref="Y32">IFERROR(INDEX($A$3:$F$345,MATCH(U32&amp;R32,$A$3:$A$345&amp;$E$3:$E$345,0),4),"")</f>
        <v>1.3000000000060936</v>
      </c>
      <c r="Z32" s="165" cm="1">
        <f t="array" ref="Z32">IFERROR(INDEX($A$3:$F$345,MATCH(V32&amp;R32,$A$3:$A$345&amp;$E$3:$E$345,0),4),"")</f>
        <v>1.3999999999999773</v>
      </c>
      <c r="AA32" s="165" t="str">
        <f t="shared" si="2"/>
        <v>BL</v>
      </c>
    </row>
    <row r="33" spans="1:27" x14ac:dyDescent="0.25">
      <c r="A33" s="515" t="s">
        <v>1470</v>
      </c>
      <c r="B33" s="515">
        <v>337.12508418700895</v>
      </c>
      <c r="C33" s="515">
        <v>335.82508418700286</v>
      </c>
      <c r="D33" s="515">
        <v>1.3000000000060936</v>
      </c>
      <c r="E33" s="515" t="s">
        <v>1444</v>
      </c>
      <c r="F33" s="167" t="str">
        <f t="shared" si="0"/>
        <v>BLT</v>
      </c>
      <c r="L33" s="540" t="s">
        <v>1446</v>
      </c>
      <c r="M33" s="540">
        <v>400</v>
      </c>
      <c r="N33" s="541">
        <v>8.6949459482090798</v>
      </c>
      <c r="O33" s="540"/>
      <c r="P33" s="540">
        <v>335.8370754261291</v>
      </c>
      <c r="Q33" s="540">
        <v>335.79360069638807</v>
      </c>
      <c r="R33" s="540" t="s">
        <v>1444</v>
      </c>
      <c r="S33" s="515" t="s">
        <v>1097</v>
      </c>
      <c r="T33" s="165" t="str">
        <f t="shared" si="1"/>
        <v>BIGODE 40</v>
      </c>
      <c r="U33" s="515" t="s">
        <v>1471</v>
      </c>
      <c r="V33" s="515" t="s">
        <v>1484</v>
      </c>
      <c r="W33" s="165" cm="1">
        <f t="array" ref="W33">IFERROR(INDEX($A$3:$F$345,MATCH(U33&amp;R33,$A$3:$A$345&amp;$E$3:$E$345,0),2),"")</f>
        <v>337.03707542612909</v>
      </c>
      <c r="X33" s="165" cm="1">
        <f t="array" ref="X33">IFERROR(INDEX($A$3:$F$345,MATCH(V33&amp;R33,$A$3:$A$345&amp;$E$3:$E$345,0),2),"")</f>
        <v>337.12173739996109</v>
      </c>
      <c r="Y33" s="165" cm="1">
        <f t="array" ref="Y33">IFERROR(INDEX($A$3:$F$345,MATCH(U33&amp;R33,$A$3:$A$345&amp;$E$3:$E$345,0),4),"")</f>
        <v>1.3000000000000114</v>
      </c>
      <c r="Z33" s="165" cm="1">
        <f t="array" ref="Z33">IFERROR(INDEX($A$3:$F$345,MATCH(V33&amp;R33,$A$3:$A$345&amp;$E$3:$E$345,0),4),"")</f>
        <v>2.1768428197112826</v>
      </c>
      <c r="AA33" s="165" t="str">
        <f t="shared" si="2"/>
        <v>BL</v>
      </c>
    </row>
    <row r="34" spans="1:27" x14ac:dyDescent="0.25">
      <c r="A34" s="515" t="s">
        <v>1471</v>
      </c>
      <c r="B34" s="515">
        <v>337.03707542612909</v>
      </c>
      <c r="C34" s="515">
        <v>335.73707542612908</v>
      </c>
      <c r="D34" s="515">
        <v>1.3000000000000114</v>
      </c>
      <c r="E34" s="515" t="s">
        <v>1444</v>
      </c>
      <c r="F34" s="167" t="str">
        <f t="shared" si="0"/>
        <v>BLD</v>
      </c>
      <c r="L34" s="540" t="s">
        <v>1447</v>
      </c>
      <c r="M34" s="540">
        <v>400</v>
      </c>
      <c r="N34" s="541">
        <v>8.9481172644265037</v>
      </c>
      <c r="O34" s="540"/>
      <c r="P34" s="540">
        <v>335.83675703449506</v>
      </c>
      <c r="Q34" s="540">
        <v>335.79201644817294</v>
      </c>
      <c r="R34" s="540" t="s">
        <v>1444</v>
      </c>
      <c r="S34" s="515" t="s">
        <v>1097</v>
      </c>
      <c r="T34" s="165" t="str">
        <f t="shared" si="1"/>
        <v>BIGODE 40</v>
      </c>
      <c r="U34" s="515" t="s">
        <v>1472</v>
      </c>
      <c r="V34" s="515" t="s">
        <v>1484</v>
      </c>
      <c r="W34" s="165" cm="1">
        <f t="array" ref="W34">IFERROR(INDEX($A$3:$F$345,MATCH(U34&amp;R34,$A$3:$A$345&amp;$E$3:$E$345,0),2),"")</f>
        <v>337.03675703449505</v>
      </c>
      <c r="X34" s="165" cm="1">
        <f t="array" ref="X34">IFERROR(INDEX($A$3:$F$345,MATCH(V34&amp;R34,$A$3:$A$345&amp;$E$3:$E$345,0),2),"")</f>
        <v>337.12173739996109</v>
      </c>
      <c r="Y34" s="165" cm="1">
        <f t="array" ref="Y34">IFERROR(INDEX($A$3:$F$345,MATCH(U34&amp;R34,$A$3:$A$345&amp;$E$3:$E$345,0),4),"")</f>
        <v>1.3000000000000114</v>
      </c>
      <c r="Z34" s="165" cm="1">
        <f t="array" ref="Z34">IFERROR(INDEX($A$3:$F$345,MATCH(V34&amp;R34,$A$3:$A$345&amp;$E$3:$E$345,0),4),"")</f>
        <v>2.1768428197112826</v>
      </c>
      <c r="AA34" s="165" t="str">
        <f t="shared" si="2"/>
        <v>BL</v>
      </c>
    </row>
    <row r="35" spans="1:27" x14ac:dyDescent="0.25">
      <c r="A35" s="515" t="s">
        <v>1472</v>
      </c>
      <c r="B35" s="515">
        <v>337.03675703449505</v>
      </c>
      <c r="C35" s="515">
        <v>335.73675703449504</v>
      </c>
      <c r="D35" s="515">
        <v>1.3000000000000114</v>
      </c>
      <c r="E35" s="515" t="s">
        <v>1444</v>
      </c>
      <c r="F35" s="167" t="str">
        <f t="shared" si="0"/>
        <v>BLD</v>
      </c>
      <c r="L35" s="540" t="s">
        <v>1448</v>
      </c>
      <c r="M35" s="540">
        <v>400</v>
      </c>
      <c r="N35" s="541">
        <v>10.0978685885943</v>
      </c>
      <c r="O35" s="540"/>
      <c r="P35" s="540">
        <v>330.9641588728694</v>
      </c>
      <c r="Q35" s="540">
        <v>330.7937699429209</v>
      </c>
      <c r="R35" s="540" t="s">
        <v>1444</v>
      </c>
      <c r="S35" s="515" t="s">
        <v>1097</v>
      </c>
      <c r="T35" s="165" t="str">
        <f t="shared" si="1"/>
        <v>BIGODE 40</v>
      </c>
      <c r="U35" s="515" t="s">
        <v>1473</v>
      </c>
      <c r="V35" s="515" t="s">
        <v>1488</v>
      </c>
      <c r="W35" s="165" cm="1">
        <f t="array" ref="W35">IFERROR(INDEX($A$3:$F$345,MATCH(U35&amp;R35,$A$3:$A$345&amp;$E$3:$E$345,0),2),"")</f>
        <v>332.16415887286939</v>
      </c>
      <c r="X35" s="165" cm="1">
        <f t="array" ref="X35">IFERROR(INDEX($A$3:$F$345,MATCH(V35&amp;R35,$A$3:$A$345&amp;$E$3:$E$345,0),2),"")</f>
        <v>331.99376994292089</v>
      </c>
      <c r="Y35" s="165" cm="1">
        <f t="array" ref="Y35">IFERROR(INDEX($A$3:$F$345,MATCH(U35&amp;R35,$A$3:$A$345&amp;$E$3:$E$345,0),4),"")</f>
        <v>1.3000000000060936</v>
      </c>
      <c r="Z35" s="165" cm="1">
        <f t="array" ref="Z35">IFERROR(INDEX($A$3:$F$345,MATCH(V35&amp;R35,$A$3:$A$345&amp;$E$3:$E$345,0),4),"")</f>
        <v>2.1407599999569698</v>
      </c>
      <c r="AA35" s="165" t="str">
        <f t="shared" si="2"/>
        <v>BL</v>
      </c>
    </row>
    <row r="36" spans="1:27" x14ac:dyDescent="0.25">
      <c r="A36" s="515" t="s">
        <v>1473</v>
      </c>
      <c r="B36" s="515">
        <v>332.16415887286939</v>
      </c>
      <c r="C36" s="515">
        <v>330.8641588728633</v>
      </c>
      <c r="D36" s="515">
        <v>1.3000000000060936</v>
      </c>
      <c r="E36" s="515" t="s">
        <v>1444</v>
      </c>
      <c r="F36" s="167" t="str">
        <f t="shared" si="0"/>
        <v>BLT</v>
      </c>
      <c r="L36" s="540" t="s">
        <v>1449</v>
      </c>
      <c r="M36" s="540">
        <v>400</v>
      </c>
      <c r="N36" s="541">
        <v>10.09786858825467</v>
      </c>
      <c r="O36" s="540"/>
      <c r="P36" s="540">
        <v>330.96415887286452</v>
      </c>
      <c r="Q36" s="540">
        <v>330.7937699429209</v>
      </c>
      <c r="R36" s="540" t="s">
        <v>1444</v>
      </c>
      <c r="S36" s="515" t="s">
        <v>1097</v>
      </c>
      <c r="T36" s="165" t="str">
        <f t="shared" si="1"/>
        <v>BIGODE 40</v>
      </c>
      <c r="U36" s="515" t="s">
        <v>1474</v>
      </c>
      <c r="V36" s="515" t="s">
        <v>1488</v>
      </c>
      <c r="W36" s="165" cm="1">
        <f t="array" ref="W36">IFERROR(INDEX($A$3:$F$345,MATCH(U36&amp;R36,$A$3:$A$345&amp;$E$3:$E$345,0),2),"")</f>
        <v>332.16415887286939</v>
      </c>
      <c r="X36" s="165" cm="1">
        <f t="array" ref="X36">IFERROR(INDEX($A$3:$F$345,MATCH(V36&amp;R36,$A$3:$A$345&amp;$E$3:$E$345,0),2),"")</f>
        <v>331.99376994292089</v>
      </c>
      <c r="Y36" s="165" cm="1">
        <f t="array" ref="Y36">IFERROR(INDEX($A$3:$F$345,MATCH(U36&amp;R36,$A$3:$A$345&amp;$E$3:$E$345,0),4),"")</f>
        <v>1.3000000000060936</v>
      </c>
      <c r="Z36" s="165" cm="1">
        <f t="array" ref="Z36">IFERROR(INDEX($A$3:$F$345,MATCH(V36&amp;R36,$A$3:$A$345&amp;$E$3:$E$345,0),4),"")</f>
        <v>2.1407599999569698</v>
      </c>
      <c r="AA36" s="165" t="str">
        <f t="shared" si="2"/>
        <v>BL</v>
      </c>
    </row>
    <row r="37" spans="1:27" x14ac:dyDescent="0.25">
      <c r="A37" s="515" t="s">
        <v>1474</v>
      </c>
      <c r="B37" s="515">
        <v>332.16415887286939</v>
      </c>
      <c r="C37" s="515">
        <v>330.8641588728633</v>
      </c>
      <c r="D37" s="515">
        <v>1.3000000000060936</v>
      </c>
      <c r="E37" s="515" t="s">
        <v>1444</v>
      </c>
      <c r="F37" s="167" t="str">
        <f t="shared" si="0"/>
        <v>BLT</v>
      </c>
      <c r="L37" s="540" t="s">
        <v>1450</v>
      </c>
      <c r="M37" s="540">
        <v>400</v>
      </c>
      <c r="N37" s="541">
        <v>16.621392336616864</v>
      </c>
      <c r="O37" s="540"/>
      <c r="P37" s="540">
        <v>325.9762190713995</v>
      </c>
      <c r="Q37" s="540">
        <v>325.89311210971641</v>
      </c>
      <c r="R37" s="540" t="s">
        <v>1444</v>
      </c>
      <c r="S37" s="515" t="s">
        <v>1097</v>
      </c>
      <c r="T37" s="165" t="str">
        <f t="shared" si="1"/>
        <v>BIGODE 40</v>
      </c>
      <c r="U37" s="515" t="s">
        <v>1475</v>
      </c>
      <c r="V37" s="515" t="s">
        <v>1491</v>
      </c>
      <c r="W37" s="165" cm="1">
        <f t="array" ref="W37">IFERROR(INDEX($A$3:$F$345,MATCH(U37&amp;R37,$A$3:$A$345&amp;$E$3:$E$345,0),2),"")</f>
        <v>327.3611247915041</v>
      </c>
      <c r="X37" s="165" cm="1">
        <f t="array" ref="X37">IFERROR(INDEX($A$3:$F$345,MATCH(V37&amp;R37,$A$3:$A$345&amp;$E$3:$E$345,0),2),"")</f>
        <v>327.36057222542672</v>
      </c>
      <c r="Y37" s="165" cm="1">
        <f t="array" ref="Y37">IFERROR(INDEX($A$3:$F$345,MATCH(U37&amp;R37,$A$3:$A$345&amp;$E$3:$E$345,0),4),"")</f>
        <v>1.4849057201046207</v>
      </c>
      <c r="Z37" s="165" cm="1">
        <f t="array" ref="Z37">IFERROR(INDEX($A$3:$F$345,MATCH(V37&amp;R37,$A$3:$A$345&amp;$E$3:$E$345,0),4),"")</f>
        <v>2.6244983657745706</v>
      </c>
      <c r="AA37" s="165" t="str">
        <f t="shared" si="2"/>
        <v>BL</v>
      </c>
    </row>
    <row r="38" spans="1:27" x14ac:dyDescent="0.25">
      <c r="A38" s="515" t="s">
        <v>1475</v>
      </c>
      <c r="B38" s="515">
        <v>327.3611247915041</v>
      </c>
      <c r="C38" s="515">
        <v>325.87621907139948</v>
      </c>
      <c r="D38" s="515">
        <v>1.4849057201046207</v>
      </c>
      <c r="E38" s="515" t="s">
        <v>1444</v>
      </c>
      <c r="F38" s="167" t="str">
        <f t="shared" si="0"/>
        <v>BLD</v>
      </c>
      <c r="L38" s="540" t="s">
        <v>1451</v>
      </c>
      <c r="M38" s="540">
        <v>400</v>
      </c>
      <c r="N38" s="541">
        <v>16.545388296151643</v>
      </c>
      <c r="O38" s="540"/>
      <c r="P38" s="540">
        <v>326.16024005202303</v>
      </c>
      <c r="Q38" s="540">
        <v>326.07751311054227</v>
      </c>
      <c r="R38" s="540" t="s">
        <v>1444</v>
      </c>
      <c r="S38" s="515" t="s">
        <v>1097</v>
      </c>
      <c r="T38" s="165" t="str">
        <f t="shared" si="1"/>
        <v>BIGODE 40</v>
      </c>
      <c r="U38" s="515" t="s">
        <v>1476</v>
      </c>
      <c r="V38" s="515" t="s">
        <v>1491</v>
      </c>
      <c r="W38" s="165" cm="1">
        <f t="array" ref="W38">IFERROR(INDEX($A$3:$F$345,MATCH(U38&amp;R38,$A$3:$A$345&amp;$E$3:$E$345,0),2),"")</f>
        <v>327.36024005202302</v>
      </c>
      <c r="X38" s="165" cm="1">
        <f t="array" ref="X38">IFERROR(INDEX($A$3:$F$345,MATCH(V38&amp;R38,$A$3:$A$345&amp;$E$3:$E$345,0),2),"")</f>
        <v>327.36057222542672</v>
      </c>
      <c r="Y38" s="165" cm="1">
        <f t="array" ref="Y38">IFERROR(INDEX($A$3:$F$345,MATCH(U38&amp;R38,$A$3:$A$345&amp;$E$3:$E$345,0),4),"")</f>
        <v>1.3000000000000114</v>
      </c>
      <c r="Z38" s="165" cm="1">
        <f t="array" ref="Z38">IFERROR(INDEX($A$3:$F$345,MATCH(V38&amp;R38,$A$3:$A$345&amp;$E$3:$E$345,0),4),"")</f>
        <v>2.6244983657745706</v>
      </c>
      <c r="AA38" s="165" t="str">
        <f t="shared" si="2"/>
        <v>BL</v>
      </c>
    </row>
    <row r="39" spans="1:27" x14ac:dyDescent="0.25">
      <c r="A39" s="515" t="s">
        <v>1476</v>
      </c>
      <c r="B39" s="515">
        <v>327.36024005202302</v>
      </c>
      <c r="C39" s="515">
        <v>326.060240052023</v>
      </c>
      <c r="D39" s="515">
        <v>1.3000000000000114</v>
      </c>
      <c r="E39" s="515" t="s">
        <v>1444</v>
      </c>
      <c r="F39" s="167" t="str">
        <f t="shared" si="0"/>
        <v>BLD</v>
      </c>
      <c r="L39" s="540" t="s">
        <v>1452</v>
      </c>
      <c r="M39" s="540">
        <v>400</v>
      </c>
      <c r="N39" s="541">
        <v>15.017883479340851</v>
      </c>
      <c r="O39" s="540"/>
      <c r="P39" s="540">
        <v>326.61110872980697</v>
      </c>
      <c r="Q39" s="540">
        <v>326.16057222542673</v>
      </c>
      <c r="R39" s="540" t="s">
        <v>1444</v>
      </c>
      <c r="S39" s="515" t="s">
        <v>1097</v>
      </c>
      <c r="T39" s="165" t="str">
        <f t="shared" si="1"/>
        <v>BIGODE 40</v>
      </c>
      <c r="U39" s="515" t="s">
        <v>1477</v>
      </c>
      <c r="V39" s="515" t="s">
        <v>1491</v>
      </c>
      <c r="W39" s="165" cm="1">
        <f t="array" ref="W39">IFERROR(INDEX($A$3:$F$345,MATCH(U39&amp;R39,$A$3:$A$345&amp;$E$3:$E$345,0),2),"")</f>
        <v>328.64343239746512</v>
      </c>
      <c r="X39" s="165" cm="1">
        <f t="array" ref="X39">IFERROR(INDEX($A$3:$F$345,MATCH(V39&amp;R39,$A$3:$A$345&amp;$E$3:$E$345,0),2),"")</f>
        <v>327.36057222542672</v>
      </c>
      <c r="Y39" s="165" cm="1">
        <f t="array" ref="Y39">IFERROR(INDEX($A$3:$F$345,MATCH(U39&amp;R39,$A$3:$A$345&amp;$E$3:$E$345,0),4),"")</f>
        <v>2.1323236676581701</v>
      </c>
      <c r="Z39" s="165" cm="1">
        <f t="array" ref="Z39">IFERROR(INDEX($A$3:$F$345,MATCH(V39&amp;R39,$A$3:$A$345&amp;$E$3:$E$345,0),4),"")</f>
        <v>2.6244983657745706</v>
      </c>
      <c r="AA39" s="165" t="str">
        <f t="shared" si="2"/>
        <v>BL</v>
      </c>
    </row>
    <row r="40" spans="1:27" x14ac:dyDescent="0.25">
      <c r="A40" s="515" t="s">
        <v>1477</v>
      </c>
      <c r="B40" s="515">
        <v>328.64343239746512</v>
      </c>
      <c r="C40" s="515">
        <v>326.51110872980695</v>
      </c>
      <c r="D40" s="515">
        <v>2.1323236676581701</v>
      </c>
      <c r="E40" s="515" t="s">
        <v>1444</v>
      </c>
      <c r="F40" s="167" t="str">
        <f t="shared" si="0"/>
        <v>BLD</v>
      </c>
      <c r="L40" s="540" t="s">
        <v>1453</v>
      </c>
      <c r="M40" s="540">
        <v>400</v>
      </c>
      <c r="N40" s="541">
        <v>9.6398071757191151</v>
      </c>
      <c r="O40" s="540"/>
      <c r="P40" s="540">
        <v>326.44976644069828</v>
      </c>
      <c r="Q40" s="540">
        <v>326.16057222542673</v>
      </c>
      <c r="R40" s="540" t="s">
        <v>1444</v>
      </c>
      <c r="S40" s="515" t="s">
        <v>1097</v>
      </c>
      <c r="T40" s="165" t="str">
        <f t="shared" si="1"/>
        <v>BIGODE 40</v>
      </c>
      <c r="U40" s="515" t="s">
        <v>1478</v>
      </c>
      <c r="V40" s="515" t="s">
        <v>1491</v>
      </c>
      <c r="W40" s="165" cm="1">
        <f t="array" ref="W40">IFERROR(INDEX($A$3:$F$345,MATCH(U40&amp;R40,$A$3:$A$345&amp;$E$3:$E$345,0),2),"")</f>
        <v>327.83760514347222</v>
      </c>
      <c r="X40" s="165" cm="1">
        <f t="array" ref="X40">IFERROR(INDEX($A$3:$F$345,MATCH(V40&amp;R40,$A$3:$A$345&amp;$E$3:$E$345,0),2),"")</f>
        <v>327.36057222542672</v>
      </c>
      <c r="Y40" s="165" cm="1">
        <f t="array" ref="Y40">IFERROR(INDEX($A$3:$F$345,MATCH(U40&amp;R40,$A$3:$A$345&amp;$E$3:$E$345,0),4),"")</f>
        <v>1.4878387027739564</v>
      </c>
      <c r="Z40" s="165" cm="1">
        <f t="array" ref="Z40">IFERROR(INDEX($A$3:$F$345,MATCH(V40&amp;R40,$A$3:$A$345&amp;$E$3:$E$345,0),4),"")</f>
        <v>2.6244983657745706</v>
      </c>
      <c r="AA40" s="165" t="str">
        <f t="shared" si="2"/>
        <v>BL</v>
      </c>
    </row>
    <row r="41" spans="1:27" x14ac:dyDescent="0.25">
      <c r="A41" s="515" t="s">
        <v>1478</v>
      </c>
      <c r="B41" s="515">
        <v>327.83760514347222</v>
      </c>
      <c r="C41" s="515">
        <v>326.34976644069826</v>
      </c>
      <c r="D41" s="515">
        <v>1.4878387027739564</v>
      </c>
      <c r="E41" s="515" t="s">
        <v>1444</v>
      </c>
      <c r="F41" s="167" t="str">
        <f t="shared" si="0"/>
        <v>BLD</v>
      </c>
      <c r="L41" s="540" t="s">
        <v>1454</v>
      </c>
      <c r="M41" s="540">
        <v>400</v>
      </c>
      <c r="N41" s="541">
        <v>8.5954405745384044</v>
      </c>
      <c r="O41" s="540"/>
      <c r="P41" s="540">
        <v>319.98629824476615</v>
      </c>
      <c r="Q41" s="540">
        <v>319.94332104189346</v>
      </c>
      <c r="R41" s="540" t="s">
        <v>1444</v>
      </c>
      <c r="S41" s="515" t="s">
        <v>1097</v>
      </c>
      <c r="T41" s="165" t="str">
        <f t="shared" si="1"/>
        <v>BIGODE 40</v>
      </c>
      <c r="U41" s="515" t="s">
        <v>1479</v>
      </c>
      <c r="V41" s="515" t="s">
        <v>1494</v>
      </c>
      <c r="W41" s="165" cm="1">
        <f t="array" ref="W41">IFERROR(INDEX($A$3:$F$345,MATCH(U41&amp;R41,$A$3:$A$345&amp;$E$3:$E$345,0),2),"")</f>
        <v>321.18629824476614</v>
      </c>
      <c r="X41" s="165" cm="1">
        <f t="array" ref="X41">IFERROR(INDEX($A$3:$F$345,MATCH(V41&amp;R41,$A$3:$A$345&amp;$E$3:$E$345,0),2),"")</f>
        <v>321.35267665377177</v>
      </c>
      <c r="Y41" s="165" cm="1">
        <f t="array" ref="Y41">IFERROR(INDEX($A$3:$F$345,MATCH(U41&amp;R41,$A$3:$A$345&amp;$E$3:$E$345,0),4),"")</f>
        <v>1.3000000000000114</v>
      </c>
      <c r="Z41" s="165" cm="1">
        <f t="array" ref="Z41">IFERROR(INDEX($A$3:$F$345,MATCH(V41&amp;R41,$A$3:$A$345&amp;$E$3:$E$345,0),4),"")</f>
        <v>2.0086084696104649</v>
      </c>
      <c r="AA41" s="165" t="str">
        <f t="shared" si="2"/>
        <v>BL</v>
      </c>
    </row>
    <row r="42" spans="1:27" x14ac:dyDescent="0.25">
      <c r="A42" s="515" t="s">
        <v>1479</v>
      </c>
      <c r="B42" s="515">
        <v>321.18629824476614</v>
      </c>
      <c r="C42" s="515">
        <v>319.88629824476612</v>
      </c>
      <c r="D42" s="515">
        <v>1.3000000000000114</v>
      </c>
      <c r="E42" s="515" t="s">
        <v>1444</v>
      </c>
      <c r="F42" s="167" t="str">
        <f t="shared" si="0"/>
        <v>BLD</v>
      </c>
      <c r="L42" s="540" t="s">
        <v>1455</v>
      </c>
      <c r="M42" s="540">
        <v>400</v>
      </c>
      <c r="N42" s="541">
        <v>8.5113285739502551</v>
      </c>
      <c r="O42" s="540"/>
      <c r="P42" s="540">
        <v>319.98663985514054</v>
      </c>
      <c r="Q42" s="540">
        <v>319.94408321227081</v>
      </c>
      <c r="R42" s="540" t="s">
        <v>1444</v>
      </c>
      <c r="S42" s="515" t="s">
        <v>1097</v>
      </c>
      <c r="T42" s="165" t="str">
        <f t="shared" si="1"/>
        <v>BIGODE 40</v>
      </c>
      <c r="U42" s="515" t="s">
        <v>1480</v>
      </c>
      <c r="V42" s="515" t="s">
        <v>1494</v>
      </c>
      <c r="W42" s="165" cm="1">
        <f t="array" ref="W42">IFERROR(INDEX($A$3:$F$345,MATCH(U42&amp;R42,$A$3:$A$345&amp;$E$3:$E$345,0),2),"")</f>
        <v>321.18663985514053</v>
      </c>
      <c r="X42" s="165" cm="1">
        <f t="array" ref="X42">IFERROR(INDEX($A$3:$F$345,MATCH(V42&amp;R42,$A$3:$A$345&amp;$E$3:$E$345,0),2),"")</f>
        <v>321.35267665377177</v>
      </c>
      <c r="Y42" s="165" cm="1">
        <f t="array" ref="Y42">IFERROR(INDEX($A$3:$F$345,MATCH(U42&amp;R42,$A$3:$A$345&amp;$E$3:$E$345,0),4),"")</f>
        <v>1.3000000000000114</v>
      </c>
      <c r="Z42" s="165" cm="1">
        <f t="array" ref="Z42">IFERROR(INDEX($A$3:$F$345,MATCH(V42&amp;R42,$A$3:$A$345&amp;$E$3:$E$345,0),4),"")</f>
        <v>2.0086084696104649</v>
      </c>
      <c r="AA42" s="165" t="str">
        <f t="shared" si="2"/>
        <v>BL</v>
      </c>
    </row>
    <row r="43" spans="1:27" x14ac:dyDescent="0.25">
      <c r="A43" s="515" t="s">
        <v>1480</v>
      </c>
      <c r="B43" s="515">
        <v>321.18663985514053</v>
      </c>
      <c r="C43" s="515">
        <v>319.88663985514052</v>
      </c>
      <c r="D43" s="515">
        <v>1.3000000000000114</v>
      </c>
      <c r="E43" s="515" t="s">
        <v>1444</v>
      </c>
      <c r="F43" s="167" t="str">
        <f t="shared" si="0"/>
        <v>BLD</v>
      </c>
      <c r="L43" s="540" t="s">
        <v>1456</v>
      </c>
      <c r="M43" s="540">
        <v>600</v>
      </c>
      <c r="N43" s="541">
        <v>40.298617813790543</v>
      </c>
      <c r="O43" s="540"/>
      <c r="P43" s="540">
        <v>335.84227006996133</v>
      </c>
      <c r="Q43" s="540">
        <v>335.43928389182344</v>
      </c>
      <c r="R43" s="540" t="s">
        <v>1444</v>
      </c>
      <c r="S43" s="515" t="s">
        <v>1097</v>
      </c>
      <c r="T43" s="165" t="str">
        <f t="shared" si="1"/>
        <v xml:space="preserve">TRECHO </v>
      </c>
      <c r="U43" s="515" t="s">
        <v>1482</v>
      </c>
      <c r="V43" s="515" t="s">
        <v>1483</v>
      </c>
      <c r="W43" s="165" cm="1">
        <f t="array" ref="W43">IFERROR(INDEX($A$3:$F$345,MATCH(U43&amp;R43,$A$3:$A$345&amp;$E$3:$E$345,0),2),"")</f>
        <v>337.14227006996134</v>
      </c>
      <c r="X43" s="165" cm="1">
        <f t="array" ref="X43">IFERROR(INDEX($A$3:$F$345,MATCH(V43&amp;R43,$A$3:$A$345&amp;$E$3:$E$345,0),2),"")</f>
        <v>337.13197427855795</v>
      </c>
      <c r="Y43" s="165" cm="1">
        <f t="array" ref="Y43">IFERROR(INDEX($A$3:$F$345,MATCH(U43&amp;R43,$A$3:$A$345&amp;$E$3:$E$345,0),4),"")</f>
        <v>1.3999999999999773</v>
      </c>
      <c r="Z43" s="165" cm="1">
        <f t="array" ref="Z43">IFERROR(INDEX($A$3:$F$345,MATCH(V43&amp;R43,$A$3:$A$345&amp;$E$3:$E$345,0),4),"")</f>
        <v>1.7926903867345345</v>
      </c>
      <c r="AA43" s="165" t="str">
        <f t="shared" si="2"/>
        <v>PV</v>
      </c>
    </row>
    <row r="44" spans="1:27" x14ac:dyDescent="0.25">
      <c r="A44" s="515" t="s">
        <v>1482</v>
      </c>
      <c r="B44" s="515">
        <v>337.14227006996134</v>
      </c>
      <c r="C44" s="515">
        <v>335.74227006996136</v>
      </c>
      <c r="D44" s="515">
        <v>1.3999999999999773</v>
      </c>
      <c r="E44" s="515" t="s">
        <v>1444</v>
      </c>
      <c r="F44" s="167" t="str">
        <f t="shared" si="0"/>
        <v xml:space="preserve">PV </v>
      </c>
      <c r="L44" s="540" t="s">
        <v>1457</v>
      </c>
      <c r="M44" s="540">
        <v>600</v>
      </c>
      <c r="N44" s="541">
        <v>39.438931157359548</v>
      </c>
      <c r="O44" s="540"/>
      <c r="P44" s="540">
        <v>335.43928389182344</v>
      </c>
      <c r="Q44" s="540">
        <v>335.04489458024983</v>
      </c>
      <c r="R44" s="540" t="s">
        <v>1444</v>
      </c>
      <c r="S44" s="515" t="s">
        <v>1097</v>
      </c>
      <c r="T44" s="165" t="str">
        <f t="shared" si="1"/>
        <v xml:space="preserve">TRECHO </v>
      </c>
      <c r="U44" s="515" t="s">
        <v>1483</v>
      </c>
      <c r="V44" s="515" t="s">
        <v>1484</v>
      </c>
      <c r="W44" s="165" cm="1">
        <f t="array" ref="W44">IFERROR(INDEX($A$3:$F$345,MATCH(U44&amp;R44,$A$3:$A$345&amp;$E$3:$E$345,0),2),"")</f>
        <v>337.13197427855795</v>
      </c>
      <c r="X44" s="165" cm="1">
        <f t="array" ref="X44">IFERROR(INDEX($A$3:$F$345,MATCH(V44&amp;R44,$A$3:$A$345&amp;$E$3:$E$345,0),2),"")</f>
        <v>337.12173739996109</v>
      </c>
      <c r="Y44" s="165" cm="1">
        <f t="array" ref="Y44">IFERROR(INDEX($A$3:$F$345,MATCH(U44&amp;R44,$A$3:$A$345&amp;$E$3:$E$345,0),4),"")</f>
        <v>1.7926903867345345</v>
      </c>
      <c r="Z44" s="165" cm="1">
        <f t="array" ref="Z44">IFERROR(INDEX($A$3:$F$345,MATCH(V44&amp;R44,$A$3:$A$345&amp;$E$3:$E$345,0),4),"")</f>
        <v>2.1768428197112826</v>
      </c>
      <c r="AA44" s="165" t="str">
        <f t="shared" si="2"/>
        <v>PV</v>
      </c>
    </row>
    <row r="45" spans="1:27" x14ac:dyDescent="0.25">
      <c r="A45" s="515" t="s">
        <v>1483</v>
      </c>
      <c r="B45" s="515">
        <v>337.13197427855795</v>
      </c>
      <c r="C45" s="515">
        <v>335.33928389182341</v>
      </c>
      <c r="D45" s="515">
        <v>1.7926903867345345</v>
      </c>
      <c r="E45" s="515" t="s">
        <v>1444</v>
      </c>
      <c r="F45" s="167" t="str">
        <f t="shared" si="0"/>
        <v xml:space="preserve">PV </v>
      </c>
      <c r="L45" s="540" t="s">
        <v>1458</v>
      </c>
      <c r="M45" s="540">
        <v>600</v>
      </c>
      <c r="N45" s="541">
        <v>24.62086946550124</v>
      </c>
      <c r="O45" s="540"/>
      <c r="P45" s="540">
        <v>335.04489458024983</v>
      </c>
      <c r="Q45" s="540">
        <v>334.79868588559481</v>
      </c>
      <c r="R45" s="540" t="s">
        <v>1444</v>
      </c>
      <c r="S45" s="515" t="s">
        <v>1097</v>
      </c>
      <c r="T45" s="165" t="str">
        <f t="shared" si="1"/>
        <v xml:space="preserve">TRECHO </v>
      </c>
      <c r="U45" s="515" t="s">
        <v>1484</v>
      </c>
      <c r="V45" s="515" t="s">
        <v>1485</v>
      </c>
      <c r="W45" s="165" cm="1">
        <f t="array" ref="W45">IFERROR(INDEX($A$3:$F$345,MATCH(U45&amp;R45,$A$3:$A$345&amp;$E$3:$E$345,0),2),"")</f>
        <v>337.12173739996109</v>
      </c>
      <c r="X45" s="165" cm="1">
        <f t="array" ref="X45">IFERROR(INDEX($A$3:$F$345,MATCH(V45&amp;R45,$A$3:$A$345&amp;$E$3:$E$345,0),2),"")</f>
        <v>336.93996279552931</v>
      </c>
      <c r="Y45" s="165" cm="1">
        <f t="array" ref="Y45">IFERROR(INDEX($A$3:$F$345,MATCH(U45&amp;R45,$A$3:$A$345&amp;$E$3:$E$345,0),4),"")</f>
        <v>2.1768428197112826</v>
      </c>
      <c r="Z45" s="165" cm="1">
        <f t="array" ref="Z45">IFERROR(INDEX($A$3:$F$345,MATCH(V45&amp;R45,$A$3:$A$345&amp;$E$3:$E$345,0),4),"")</f>
        <v>2.2412769099345269</v>
      </c>
      <c r="AA45" s="165" t="str">
        <f t="shared" si="2"/>
        <v>PV</v>
      </c>
    </row>
    <row r="46" spans="1:27" x14ac:dyDescent="0.25">
      <c r="A46" s="515" t="s">
        <v>1484</v>
      </c>
      <c r="B46" s="515">
        <v>337.12173739996109</v>
      </c>
      <c r="C46" s="515">
        <v>334.94489458024981</v>
      </c>
      <c r="D46" s="515">
        <v>2.1768428197112826</v>
      </c>
      <c r="E46" s="515" t="s">
        <v>1444</v>
      </c>
      <c r="F46" s="167" t="str">
        <f t="shared" si="0"/>
        <v xml:space="preserve">PV </v>
      </c>
      <c r="L46" s="540" t="s">
        <v>1459</v>
      </c>
      <c r="M46" s="540">
        <v>600</v>
      </c>
      <c r="N46" s="541">
        <v>51.089150956595439</v>
      </c>
      <c r="O46" s="540"/>
      <c r="P46" s="540">
        <v>334.79868588559481</v>
      </c>
      <c r="Q46" s="540">
        <v>332.9163135597409</v>
      </c>
      <c r="R46" s="540" t="s">
        <v>1444</v>
      </c>
      <c r="S46" s="515" t="s">
        <v>1097</v>
      </c>
      <c r="T46" s="165" t="str">
        <f t="shared" si="1"/>
        <v xml:space="preserve">TRECHO </v>
      </c>
      <c r="U46" s="515" t="s">
        <v>1485</v>
      </c>
      <c r="V46" s="515" t="s">
        <v>1486</v>
      </c>
      <c r="W46" s="165" cm="1">
        <f t="array" ref="W46">IFERROR(INDEX($A$3:$F$345,MATCH(U46&amp;R46,$A$3:$A$345&amp;$E$3:$E$345,0),2),"")</f>
        <v>336.93996279552931</v>
      </c>
      <c r="X46" s="165" cm="1">
        <f t="array" ref="X46">IFERROR(INDEX($A$3:$F$345,MATCH(V46&amp;R46,$A$3:$A$345&amp;$E$3:$E$345,0),2),"")</f>
        <v>334.21631355974091</v>
      </c>
      <c r="Y46" s="165" cm="1">
        <f t="array" ref="Y46">IFERROR(INDEX($A$3:$F$345,MATCH(U46&amp;R46,$A$3:$A$345&amp;$E$3:$E$345,0),4),"")</f>
        <v>2.2412769099345269</v>
      </c>
      <c r="Z46" s="165" cm="1">
        <f t="array" ref="Z46">IFERROR(INDEX($A$3:$F$345,MATCH(V46&amp;R46,$A$3:$A$345&amp;$E$3:$E$345,0),4),"")</f>
        <v>2.0599997419864167</v>
      </c>
      <c r="AA46" s="165" t="str">
        <f t="shared" si="2"/>
        <v>PV</v>
      </c>
    </row>
    <row r="47" spans="1:27" x14ac:dyDescent="0.25">
      <c r="A47" s="515" t="s">
        <v>1485</v>
      </c>
      <c r="B47" s="515">
        <v>336.93996279552931</v>
      </c>
      <c r="C47" s="515">
        <v>334.69868588559478</v>
      </c>
      <c r="D47" s="515">
        <v>2.2412769099345269</v>
      </c>
      <c r="E47" s="515" t="s">
        <v>1444</v>
      </c>
      <c r="F47" s="167" t="str">
        <f t="shared" si="0"/>
        <v xml:space="preserve">PV </v>
      </c>
      <c r="L47" s="540" t="s">
        <v>1460</v>
      </c>
      <c r="M47" s="540">
        <v>600</v>
      </c>
      <c r="N47" s="541">
        <v>55.624490112185782</v>
      </c>
      <c r="O47" s="540"/>
      <c r="P47" s="540">
        <v>332.25631381776105</v>
      </c>
      <c r="Q47" s="540">
        <v>329.77501600968918</v>
      </c>
      <c r="R47" s="540" t="s">
        <v>1444</v>
      </c>
      <c r="S47" s="515" t="s">
        <v>1097</v>
      </c>
      <c r="T47" s="165" t="str">
        <f t="shared" si="1"/>
        <v xml:space="preserve">TRECHO </v>
      </c>
      <c r="U47" s="515" t="s">
        <v>1486</v>
      </c>
      <c r="V47" s="515" t="s">
        <v>1487</v>
      </c>
      <c r="W47" s="165" cm="1">
        <f t="array" ref="W47">IFERROR(INDEX($A$3:$F$345,MATCH(U47&amp;R47,$A$3:$A$345&amp;$E$3:$E$345,0),2),"")</f>
        <v>334.21631355974091</v>
      </c>
      <c r="X47" s="165" cm="1">
        <f t="array" ref="X47">IFERROR(INDEX($A$3:$F$345,MATCH(V47&amp;R47,$A$3:$A$345&amp;$E$3:$E$345,0),2),"")</f>
        <v>331.07533861013673</v>
      </c>
      <c r="Y47" s="165" cm="1">
        <f t="array" ref="Y47">IFERROR(INDEX($A$3:$F$345,MATCH(U47&amp;R47,$A$3:$A$345&amp;$E$3:$E$345,0),4),"")</f>
        <v>2.0599997419864167</v>
      </c>
      <c r="Z47" s="165" cm="1">
        <f t="array" ref="Z47">IFERROR(INDEX($A$3:$F$345,MATCH(V47&amp;R47,$A$3:$A$345&amp;$E$3:$E$345,0),4),"")</f>
        <v>2.149542192304807</v>
      </c>
      <c r="AA47" s="165" t="str">
        <f t="shared" si="2"/>
        <v>PV</v>
      </c>
    </row>
    <row r="48" spans="1:27" x14ac:dyDescent="0.25">
      <c r="A48" s="515" t="s">
        <v>1486</v>
      </c>
      <c r="B48" s="515">
        <v>334.21631355974091</v>
      </c>
      <c r="C48" s="515">
        <v>332.15631381775449</v>
      </c>
      <c r="D48" s="515">
        <v>2.0599997419864167</v>
      </c>
      <c r="E48" s="515" t="s">
        <v>1444</v>
      </c>
      <c r="F48" s="167" t="str">
        <f t="shared" si="0"/>
        <v xml:space="preserve">PV </v>
      </c>
      <c r="L48" s="540" t="s">
        <v>1461</v>
      </c>
      <c r="M48" s="540">
        <v>600</v>
      </c>
      <c r="N48" s="541">
        <v>52.328189980666899</v>
      </c>
      <c r="O48" s="540"/>
      <c r="P48" s="540">
        <v>329.02579641783194</v>
      </c>
      <c r="Q48" s="540">
        <v>326.20627681489623</v>
      </c>
      <c r="R48" s="540" t="s">
        <v>1444</v>
      </c>
      <c r="S48" s="515" t="s">
        <v>1097</v>
      </c>
      <c r="T48" s="165" t="str">
        <f t="shared" si="1"/>
        <v xml:space="preserve">TRECHO </v>
      </c>
      <c r="U48" s="515" t="s">
        <v>1487</v>
      </c>
      <c r="V48" s="515" t="s">
        <v>1490</v>
      </c>
      <c r="W48" s="165" cm="1">
        <f t="array" ref="W48">IFERROR(INDEX($A$3:$F$345,MATCH(U48&amp;R48,$A$3:$A$345&amp;$E$3:$E$345,0),2),"")</f>
        <v>331.07533861013673</v>
      </c>
      <c r="X48" s="165" cm="1">
        <f t="array" ref="X48">IFERROR(INDEX($A$3:$F$345,MATCH(V48&amp;R48,$A$3:$A$345&amp;$E$3:$E$345,0),2),"")</f>
        <v>328.25549640675348</v>
      </c>
      <c r="Y48" s="165" cm="1">
        <f t="array" ref="Y48">IFERROR(INDEX($A$3:$F$345,MATCH(U48&amp;R48,$A$3:$A$345&amp;$E$3:$E$345,0),4),"")</f>
        <v>2.149542192304807</v>
      </c>
      <c r="Z48" s="165" cm="1">
        <f t="array" ref="Z48">IFERROR(INDEX($A$3:$F$345,MATCH(V48&amp;R48,$A$3:$A$345&amp;$E$3:$E$345,0),4),"")</f>
        <v>2.1492195918572747</v>
      </c>
      <c r="AA48" s="165" t="str">
        <f t="shared" si="2"/>
        <v>PV</v>
      </c>
    </row>
    <row r="49" spans="1:27" x14ac:dyDescent="0.25">
      <c r="A49" s="515" t="s">
        <v>1487</v>
      </c>
      <c r="B49" s="515">
        <v>331.07533861013673</v>
      </c>
      <c r="C49" s="515">
        <v>328.92579641783192</v>
      </c>
      <c r="D49" s="515">
        <v>2.149542192304807</v>
      </c>
      <c r="E49" s="515" t="s">
        <v>1444</v>
      </c>
      <c r="F49" s="167" t="str">
        <f t="shared" si="0"/>
        <v xml:space="preserve">PV </v>
      </c>
      <c r="L49" s="540" t="s">
        <v>1462</v>
      </c>
      <c r="M49" s="540">
        <v>600</v>
      </c>
      <c r="N49" s="541">
        <v>40.007178138969365</v>
      </c>
      <c r="O49" s="540"/>
      <c r="P49" s="540">
        <v>329.95300994296394</v>
      </c>
      <c r="Q49" s="540">
        <v>329.22875631712833</v>
      </c>
      <c r="R49" s="540" t="s">
        <v>1444</v>
      </c>
      <c r="S49" s="515" t="s">
        <v>1097</v>
      </c>
      <c r="T49" s="165" t="str">
        <f t="shared" si="1"/>
        <v xml:space="preserve">TRECHO </v>
      </c>
      <c r="U49" s="515" t="s">
        <v>1488</v>
      </c>
      <c r="V49" s="515" t="s">
        <v>1489</v>
      </c>
      <c r="W49" s="165" cm="1">
        <f t="array" ref="W49">IFERROR(INDEX($A$3:$F$345,MATCH(U49&amp;R49,$A$3:$A$345&amp;$E$3:$E$345,0),2),"")</f>
        <v>331.99376994292089</v>
      </c>
      <c r="X49" s="165" cm="1">
        <f t="array" ref="X49">IFERROR(INDEX($A$3:$F$345,MATCH(V49&amp;R49,$A$3:$A$345&amp;$E$3:$E$345,0),2),"")</f>
        <v>330.52875631712834</v>
      </c>
      <c r="Y49" s="165" cm="1">
        <f t="array" ref="Y49">IFERROR(INDEX($A$3:$F$345,MATCH(U49&amp;R49,$A$3:$A$345&amp;$E$3:$E$345,0),4),"")</f>
        <v>2.1407599999569698</v>
      </c>
      <c r="Z49" s="165" cm="1">
        <f t="array" ref="Z49">IFERROR(INDEX($A$3:$F$345,MATCH(V49&amp;R49,$A$3:$A$345&amp;$E$3:$E$345,0),4),"")</f>
        <v>2.0599997419864167</v>
      </c>
      <c r="AA49" s="165" t="str">
        <f t="shared" si="2"/>
        <v>PV</v>
      </c>
    </row>
    <row r="50" spans="1:27" x14ac:dyDescent="0.25">
      <c r="A50" s="515" t="s">
        <v>1488</v>
      </c>
      <c r="B50" s="515">
        <v>331.99376994292089</v>
      </c>
      <c r="C50" s="515">
        <v>329.85300994296392</v>
      </c>
      <c r="D50" s="515">
        <v>2.1407599999569698</v>
      </c>
      <c r="E50" s="515" t="s">
        <v>1444</v>
      </c>
      <c r="F50" s="167" t="str">
        <f t="shared" si="0"/>
        <v xml:space="preserve">PV </v>
      </c>
      <c r="L50" s="540" t="s">
        <v>1463</v>
      </c>
      <c r="M50" s="540">
        <v>600</v>
      </c>
      <c r="N50" s="541">
        <v>40.053036114200324</v>
      </c>
      <c r="O50" s="540"/>
      <c r="P50" s="540">
        <v>328.56875657514195</v>
      </c>
      <c r="Q50" s="540">
        <v>326.95549640675347</v>
      </c>
      <c r="R50" s="540" t="s">
        <v>1444</v>
      </c>
      <c r="S50" s="515" t="s">
        <v>1097</v>
      </c>
      <c r="T50" s="165" t="str">
        <f t="shared" si="1"/>
        <v xml:space="preserve">TRECHO </v>
      </c>
      <c r="U50" s="515" t="s">
        <v>1489</v>
      </c>
      <c r="V50" s="515" t="s">
        <v>1490</v>
      </c>
      <c r="W50" s="165" cm="1">
        <f t="array" ref="W50">IFERROR(INDEX($A$3:$F$345,MATCH(U50&amp;R50,$A$3:$A$345&amp;$E$3:$E$345,0),2),"")</f>
        <v>330.52875631712834</v>
      </c>
      <c r="X50" s="165" cm="1">
        <f t="array" ref="X50">IFERROR(INDEX($A$3:$F$345,MATCH(V50&amp;R50,$A$3:$A$345&amp;$E$3:$E$345,0),2),"")</f>
        <v>328.25549640675348</v>
      </c>
      <c r="Y50" s="165" cm="1">
        <f t="array" ref="Y50">IFERROR(INDEX($A$3:$F$345,MATCH(U50&amp;R50,$A$3:$A$345&amp;$E$3:$E$345,0),4),"")</f>
        <v>2.0599997419864167</v>
      </c>
      <c r="Z50" s="165" cm="1">
        <f t="array" ref="Z50">IFERROR(INDEX($A$3:$F$345,MATCH(V50&amp;R50,$A$3:$A$345&amp;$E$3:$E$345,0),4),"")</f>
        <v>2.1492195918572747</v>
      </c>
      <c r="AA50" s="165" t="str">
        <f t="shared" si="2"/>
        <v>PV</v>
      </c>
    </row>
    <row r="51" spans="1:27" x14ac:dyDescent="0.25">
      <c r="A51" s="515" t="s">
        <v>1489</v>
      </c>
      <c r="B51" s="515">
        <v>330.52875631712834</v>
      </c>
      <c r="C51" s="515">
        <v>328.46875657514192</v>
      </c>
      <c r="D51" s="515">
        <v>2.0599997419864167</v>
      </c>
      <c r="E51" s="515" t="s">
        <v>1444</v>
      </c>
      <c r="F51" s="167" t="str">
        <f t="shared" si="0"/>
        <v xml:space="preserve">PV </v>
      </c>
      <c r="L51" s="540" t="s">
        <v>1464</v>
      </c>
      <c r="M51" s="540">
        <v>600</v>
      </c>
      <c r="N51" s="541">
        <v>30.42026797647711</v>
      </c>
      <c r="O51" s="540"/>
      <c r="P51" s="540">
        <v>326.20627681489623</v>
      </c>
      <c r="Q51" s="540">
        <v>325.90207413513144</v>
      </c>
      <c r="R51" s="540" t="s">
        <v>1444</v>
      </c>
      <c r="S51" s="515" t="s">
        <v>1097</v>
      </c>
      <c r="T51" s="165" t="str">
        <f t="shared" si="1"/>
        <v xml:space="preserve">TRECHO </v>
      </c>
      <c r="U51" s="515" t="s">
        <v>1490</v>
      </c>
      <c r="V51" s="515" t="s">
        <v>1491</v>
      </c>
      <c r="W51" s="165" cm="1">
        <f t="array" ref="W51">IFERROR(INDEX($A$3:$F$345,MATCH(U51&amp;R51,$A$3:$A$345&amp;$E$3:$E$345,0),2),"")</f>
        <v>328.25549640675348</v>
      </c>
      <c r="X51" s="165" cm="1">
        <f t="array" ref="X51">IFERROR(INDEX($A$3:$F$345,MATCH(V51&amp;R51,$A$3:$A$345&amp;$E$3:$E$345,0),2),"")</f>
        <v>327.36057222542672</v>
      </c>
      <c r="Y51" s="165" cm="1">
        <f t="array" ref="Y51">IFERROR(INDEX($A$3:$F$345,MATCH(U51&amp;R51,$A$3:$A$345&amp;$E$3:$E$345,0),4),"")</f>
        <v>2.1492195918572747</v>
      </c>
      <c r="Z51" s="165" cm="1">
        <f t="array" ref="Z51">IFERROR(INDEX($A$3:$F$345,MATCH(V51&amp;R51,$A$3:$A$345&amp;$E$3:$E$345,0),4),"")</f>
        <v>2.6244983657745706</v>
      </c>
      <c r="AA51" s="165" t="str">
        <f t="shared" si="2"/>
        <v>PV</v>
      </c>
    </row>
    <row r="52" spans="1:27" x14ac:dyDescent="0.25">
      <c r="A52" s="515" t="s">
        <v>1490</v>
      </c>
      <c r="B52" s="515">
        <v>328.25549640675348</v>
      </c>
      <c r="C52" s="515">
        <v>326.1062768148962</v>
      </c>
      <c r="D52" s="515">
        <v>2.1492195918572747</v>
      </c>
      <c r="E52" s="515" t="s">
        <v>1444</v>
      </c>
      <c r="F52" s="167" t="str">
        <f t="shared" si="0"/>
        <v xml:space="preserve">PV </v>
      </c>
      <c r="L52" s="540" t="s">
        <v>1465</v>
      </c>
      <c r="M52" s="540">
        <v>600</v>
      </c>
      <c r="N52" s="541">
        <v>41.497854393647877</v>
      </c>
      <c r="O52" s="540"/>
      <c r="P52" s="540">
        <v>324.83607385965217</v>
      </c>
      <c r="Q52" s="540">
        <v>323.17615968390623</v>
      </c>
      <c r="R52" s="540" t="s">
        <v>1444</v>
      </c>
      <c r="S52" s="515" t="s">
        <v>1097</v>
      </c>
      <c r="T52" s="165" t="str">
        <f t="shared" si="1"/>
        <v xml:space="preserve">TRECHO </v>
      </c>
      <c r="U52" s="515" t="s">
        <v>1491</v>
      </c>
      <c r="V52" s="515" t="s">
        <v>1492</v>
      </c>
      <c r="W52" s="165" cm="1">
        <f t="array" ref="W52">IFERROR(INDEX($A$3:$F$345,MATCH(U52&amp;R52,$A$3:$A$345&amp;$E$3:$E$345,0),2),"")</f>
        <v>327.36057222542672</v>
      </c>
      <c r="X52" s="165" cm="1">
        <f t="array" ref="X52">IFERROR(INDEX($A$3:$F$345,MATCH(V52&amp;R52,$A$3:$A$345&amp;$E$3:$E$345,0),2),"")</f>
        <v>324.67912721282954</v>
      </c>
      <c r="Y52" s="165" cm="1">
        <f t="array" ref="Y52">IFERROR(INDEX($A$3:$F$345,MATCH(U52&amp;R52,$A$3:$A$345&amp;$E$3:$E$345,0),4),"")</f>
        <v>2.6244983657745706</v>
      </c>
      <c r="Z52" s="165" cm="1">
        <f t="array" ref="Z52">IFERROR(INDEX($A$3:$F$345,MATCH(V52&amp;R52,$A$3:$A$345&amp;$E$3:$E$345,0),4),"")</f>
        <v>2.262967270909769</v>
      </c>
      <c r="AA52" s="165" t="str">
        <f t="shared" si="2"/>
        <v>PV</v>
      </c>
    </row>
    <row r="53" spans="1:27" x14ac:dyDescent="0.25">
      <c r="A53" s="515" t="s">
        <v>1491</v>
      </c>
      <c r="B53" s="515">
        <v>327.36057222542672</v>
      </c>
      <c r="C53" s="515">
        <v>324.73607385965215</v>
      </c>
      <c r="D53" s="515">
        <v>2.6244983657745706</v>
      </c>
      <c r="E53" s="515" t="s">
        <v>1444</v>
      </c>
      <c r="F53" s="167" t="str">
        <f t="shared" si="0"/>
        <v xml:space="preserve">PV </v>
      </c>
      <c r="L53" s="540" t="s">
        <v>1466</v>
      </c>
      <c r="M53" s="540">
        <v>600</v>
      </c>
      <c r="N53" s="541">
        <v>40.020372368011294</v>
      </c>
      <c r="O53" s="540"/>
      <c r="P53" s="540">
        <v>322.5161599419198</v>
      </c>
      <c r="Q53" s="540">
        <v>321.60969096375453</v>
      </c>
      <c r="R53" s="540" t="s">
        <v>1444</v>
      </c>
      <c r="S53" s="515" t="s">
        <v>1097</v>
      </c>
      <c r="T53" s="165" t="str">
        <f t="shared" si="1"/>
        <v xml:space="preserve">TRECHO </v>
      </c>
      <c r="U53" s="515" t="s">
        <v>1492</v>
      </c>
      <c r="V53" s="515" t="s">
        <v>1493</v>
      </c>
      <c r="W53" s="165" cm="1">
        <f t="array" ref="W53">IFERROR(INDEX($A$3:$F$345,MATCH(U53&amp;R53,$A$3:$A$345&amp;$E$3:$E$345,0),2),"")</f>
        <v>324.67912721282954</v>
      </c>
      <c r="X53" s="165" cm="1">
        <f t="array" ref="X53">IFERROR(INDEX($A$3:$F$345,MATCH(V53&amp;R53,$A$3:$A$345&amp;$E$3:$E$345,0),2),"")</f>
        <v>322.82585199255249</v>
      </c>
      <c r="Y53" s="165" cm="1">
        <f t="array" ref="Y53">IFERROR(INDEX($A$3:$F$345,MATCH(U53&amp;R53,$A$3:$A$345&amp;$E$3:$E$345,0),4),"")</f>
        <v>2.262967270909769</v>
      </c>
      <c r="Z53" s="165" cm="1">
        <f t="array" ref="Z53">IFERROR(INDEX($A$3:$F$345,MATCH(V53&amp;R53,$A$3:$A$345&amp;$E$3:$E$345,0),4),"")</f>
        <v>1.9761607707843609</v>
      </c>
      <c r="AA53" s="165" t="str">
        <f t="shared" si="2"/>
        <v>PV</v>
      </c>
    </row>
    <row r="54" spans="1:27" x14ac:dyDescent="0.25">
      <c r="A54" s="515" t="s">
        <v>1492</v>
      </c>
      <c r="B54" s="515">
        <v>324.67912721282954</v>
      </c>
      <c r="C54" s="515">
        <v>322.41615994191977</v>
      </c>
      <c r="D54" s="515">
        <v>2.262967270909769</v>
      </c>
      <c r="E54" s="515" t="s">
        <v>1444</v>
      </c>
      <c r="F54" s="167" t="str">
        <f t="shared" si="0"/>
        <v xml:space="preserve">PV </v>
      </c>
      <c r="L54" s="540" t="s">
        <v>1467</v>
      </c>
      <c r="M54" s="540">
        <v>600</v>
      </c>
      <c r="N54" s="541">
        <v>40.015252104471486</v>
      </c>
      <c r="O54" s="540"/>
      <c r="P54" s="540">
        <v>320.94969122176815</v>
      </c>
      <c r="Q54" s="540">
        <v>319.54406818416129</v>
      </c>
      <c r="R54" s="540" t="s">
        <v>1444</v>
      </c>
      <c r="S54" s="515" t="s">
        <v>1097</v>
      </c>
      <c r="T54" s="165" t="str">
        <f t="shared" si="1"/>
        <v xml:space="preserve">TRECHO </v>
      </c>
      <c r="U54" s="515" t="s">
        <v>1493</v>
      </c>
      <c r="V54" s="515" t="s">
        <v>1494</v>
      </c>
      <c r="W54" s="165" cm="1">
        <f t="array" ref="W54">IFERROR(INDEX($A$3:$F$345,MATCH(U54&amp;R54,$A$3:$A$345&amp;$E$3:$E$345,0),2),"")</f>
        <v>322.82585199255249</v>
      </c>
      <c r="X54" s="165" cm="1">
        <f t="array" ref="X54">IFERROR(INDEX($A$3:$F$345,MATCH(V54&amp;R54,$A$3:$A$345&amp;$E$3:$E$345,0),2),"")</f>
        <v>321.35267665377177</v>
      </c>
      <c r="Y54" s="165" cm="1">
        <f t="array" ref="Y54">IFERROR(INDEX($A$3:$F$345,MATCH(U54&amp;R54,$A$3:$A$345&amp;$E$3:$E$345,0),4),"")</f>
        <v>1.9761607707843609</v>
      </c>
      <c r="Z54" s="165" cm="1">
        <f t="array" ref="Z54">IFERROR(INDEX($A$3:$F$345,MATCH(V54&amp;R54,$A$3:$A$345&amp;$E$3:$E$345,0),4),"")</f>
        <v>2.0086084696104649</v>
      </c>
      <c r="AA54" s="165" t="str">
        <f t="shared" si="2"/>
        <v>PV</v>
      </c>
    </row>
    <row r="55" spans="1:27" x14ac:dyDescent="0.25">
      <c r="A55" s="515" t="s">
        <v>1493</v>
      </c>
      <c r="B55" s="515">
        <v>322.82585199255249</v>
      </c>
      <c r="C55" s="515">
        <v>320.84969122176813</v>
      </c>
      <c r="D55" s="515">
        <v>1.9761607707843609</v>
      </c>
      <c r="E55" s="515" t="s">
        <v>1444</v>
      </c>
      <c r="F55" s="167" t="str">
        <f t="shared" si="0"/>
        <v xml:space="preserve">PV </v>
      </c>
      <c r="L55" s="540" t="s">
        <v>1468</v>
      </c>
      <c r="M55" s="540">
        <v>800</v>
      </c>
      <c r="N55" s="541">
        <v>40</v>
      </c>
      <c r="O55" s="540"/>
      <c r="P55" s="540">
        <v>321.35000000000002</v>
      </c>
      <c r="Q55" s="540">
        <v>318.79000000000002</v>
      </c>
      <c r="R55" s="540" t="s">
        <v>1444</v>
      </c>
      <c r="S55" s="515" t="s">
        <v>1097</v>
      </c>
      <c r="T55" s="165" t="str">
        <f t="shared" si="1"/>
        <v xml:space="preserve">TRECHO </v>
      </c>
      <c r="U55" s="515" t="s">
        <v>1494</v>
      </c>
      <c r="V55" s="515" t="s">
        <v>1481</v>
      </c>
      <c r="W55" s="165" cm="1">
        <f t="array" ref="W55">IFERROR(INDEX($A$3:$F$345,MATCH(U55&amp;R55,$A$3:$A$345&amp;$E$3:$E$345,0),2),"")</f>
        <v>321.35267665377177</v>
      </c>
      <c r="X55" s="165" cm="1">
        <f t="array" ref="X55">IFERROR(INDEX($A$3:$F$345,MATCH(V55&amp;R55,$A$3:$A$345&amp;$E$3:$E$345,0),2),"")</f>
        <v>314.61</v>
      </c>
      <c r="Y55" s="165" cm="1">
        <f t="array" ref="Y55">IFERROR(INDEX($A$3:$F$345,MATCH(U55&amp;R55,$A$3:$A$345&amp;$E$3:$E$345,0),4),"")</f>
        <v>2.0086084696104649</v>
      </c>
      <c r="Z55" s="165" cm="1">
        <f t="array" ref="Z55">IFERROR(INDEX($A$3:$F$345,MATCH(V55&amp;R55,$A$3:$A$345&amp;$E$3:$E$345,0),4),"")</f>
        <v>1.0099999999999909</v>
      </c>
      <c r="AA55" s="165" t="str">
        <f t="shared" si="2"/>
        <v>PV</v>
      </c>
    </row>
    <row r="56" spans="1:27" x14ac:dyDescent="0.25">
      <c r="A56" s="515" t="s">
        <v>1494</v>
      </c>
      <c r="B56" s="515">
        <v>321.35267665377177</v>
      </c>
      <c r="C56" s="515">
        <v>319.3440681841613</v>
      </c>
      <c r="D56" s="515">
        <v>2.0086084696104649</v>
      </c>
      <c r="E56" s="515" t="s">
        <v>1444</v>
      </c>
      <c r="F56" s="167" t="str">
        <f t="shared" si="0"/>
        <v xml:space="preserve">PV </v>
      </c>
      <c r="L56" s="540"/>
      <c r="M56" s="540"/>
      <c r="N56" s="541"/>
      <c r="O56" s="540"/>
      <c r="P56" s="540"/>
      <c r="Q56" s="540"/>
      <c r="R56" s="164"/>
      <c r="S56" s="515"/>
      <c r="T56" s="165" t="str">
        <f t="shared" si="1"/>
        <v/>
      </c>
      <c r="U56" s="160"/>
      <c r="V56" s="160"/>
      <c r="W56" s="165" cm="1">
        <f t="array" ref="W56">IFERROR(INDEX($A$3:$F$345,MATCH(U56&amp;R56,$A$3:$A$345&amp;$E$3:$E$345,0),2),"")</f>
        <v>0</v>
      </c>
      <c r="X56" s="165" cm="1">
        <f t="array" ref="X56">IFERROR(INDEX($A$3:$F$345,MATCH(V56&amp;R56,$A$3:$A$345&amp;$E$3:$E$345,0),2),"")</f>
        <v>0</v>
      </c>
      <c r="Y56" s="165" cm="1">
        <f t="array" ref="Y56">IFERROR(INDEX($A$3:$F$345,MATCH(U56&amp;R56,$A$3:$A$345&amp;$E$3:$E$345,0),4),"")</f>
        <v>0</v>
      </c>
      <c r="Z56" s="165" cm="1">
        <f t="array" ref="Z56">IFERROR(INDEX($A$3:$F$345,MATCH(V56&amp;R56,$A$3:$A$345&amp;$E$3:$E$345,0),4),"")</f>
        <v>0</v>
      </c>
      <c r="AA56" s="165" t="str">
        <f t="shared" si="2"/>
        <v/>
      </c>
    </row>
    <row r="57" spans="1:27" x14ac:dyDescent="0.25">
      <c r="A57" s="515" t="s">
        <v>1481</v>
      </c>
      <c r="B57" s="515">
        <v>314.61</v>
      </c>
      <c r="C57" s="515">
        <v>313.60000000000002</v>
      </c>
      <c r="D57" s="515">
        <f>B57-C57</f>
        <v>1.0099999999999909</v>
      </c>
      <c r="E57" s="515" t="s">
        <v>1444</v>
      </c>
      <c r="F57" s="167" t="str">
        <f t="shared" si="0"/>
        <v>DIS</v>
      </c>
      <c r="L57" s="540"/>
      <c r="M57" s="540"/>
      <c r="N57" s="541"/>
      <c r="O57" s="540"/>
      <c r="P57" s="540"/>
      <c r="Q57" s="540"/>
      <c r="R57" s="164"/>
      <c r="S57" s="515"/>
      <c r="T57" s="165" t="str">
        <f t="shared" si="1"/>
        <v/>
      </c>
      <c r="U57" s="160"/>
      <c r="V57" s="160"/>
      <c r="W57" s="165" cm="1">
        <f t="array" ref="W57">IFERROR(INDEX($A$3:$F$345,MATCH(U57&amp;R57,$A$3:$A$345&amp;$E$3:$E$345,0),2),"")</f>
        <v>0</v>
      </c>
      <c r="X57" s="165" cm="1">
        <f t="array" ref="X57">IFERROR(INDEX($A$3:$F$345,MATCH(V57&amp;R57,$A$3:$A$345&amp;$E$3:$E$345,0),2),"")</f>
        <v>0</v>
      </c>
      <c r="Y57" s="165" cm="1">
        <f t="array" ref="Y57">IFERROR(INDEX($A$3:$F$345,MATCH(U57&amp;R57,$A$3:$A$345&amp;$E$3:$E$345,0),4),"")</f>
        <v>0</v>
      </c>
      <c r="Z57" s="165" cm="1">
        <f t="array" ref="Z57">IFERROR(INDEX($A$3:$F$345,MATCH(V57&amp;R57,$A$3:$A$345&amp;$E$3:$E$345,0),4),"")</f>
        <v>0</v>
      </c>
      <c r="AA57" s="165" t="str">
        <f t="shared" si="2"/>
        <v/>
      </c>
    </row>
    <row r="58" spans="1:27" x14ac:dyDescent="0.25">
      <c r="A58" s="515"/>
      <c r="B58" s="515"/>
      <c r="C58" s="515"/>
      <c r="D58" s="515"/>
      <c r="E58" s="515"/>
      <c r="F58" s="167" t="str">
        <f t="shared" si="0"/>
        <v/>
      </c>
      <c r="L58" s="540"/>
      <c r="M58" s="540"/>
      <c r="N58" s="541"/>
      <c r="O58" s="540"/>
      <c r="P58" s="540"/>
      <c r="Q58" s="540"/>
      <c r="R58" s="164"/>
      <c r="S58" s="515"/>
      <c r="T58" s="165" t="str">
        <f t="shared" si="1"/>
        <v/>
      </c>
      <c r="U58" s="160"/>
      <c r="V58" s="160"/>
      <c r="W58" s="165" cm="1">
        <f t="array" ref="W58">IFERROR(INDEX($A$3:$F$345,MATCH(U58&amp;R58,$A$3:$A$345&amp;$E$3:$E$345,0),2),"")</f>
        <v>0</v>
      </c>
      <c r="X58" s="165" cm="1">
        <f t="array" ref="X58">IFERROR(INDEX($A$3:$F$345,MATCH(V58&amp;R58,$A$3:$A$345&amp;$E$3:$E$345,0),2),"")</f>
        <v>0</v>
      </c>
      <c r="Y58" s="165" cm="1">
        <f t="array" ref="Y58">IFERROR(INDEX($A$3:$F$345,MATCH(U58&amp;R58,$A$3:$A$345&amp;$E$3:$E$345,0),4),"")</f>
        <v>0</v>
      </c>
      <c r="Z58" s="165" cm="1">
        <f t="array" ref="Z58">IFERROR(INDEX($A$3:$F$345,MATCH(V58&amp;R58,$A$3:$A$345&amp;$E$3:$E$345,0),4),"")</f>
        <v>0</v>
      </c>
      <c r="AA58" s="165" t="str">
        <f t="shared" si="2"/>
        <v/>
      </c>
    </row>
    <row r="59" spans="1:27" x14ac:dyDescent="0.25">
      <c r="A59" s="515"/>
      <c r="B59" s="515"/>
      <c r="C59" s="515"/>
      <c r="D59" s="515"/>
      <c r="E59" s="515"/>
      <c r="F59" s="167" t="str">
        <f t="shared" si="0"/>
        <v/>
      </c>
      <c r="L59" s="540"/>
      <c r="M59" s="540"/>
      <c r="N59" s="541"/>
      <c r="O59" s="540"/>
      <c r="P59" s="540"/>
      <c r="Q59" s="540"/>
      <c r="R59" s="164"/>
      <c r="S59" s="515"/>
      <c r="T59" s="165" t="str">
        <f t="shared" si="1"/>
        <v/>
      </c>
      <c r="U59" s="160"/>
      <c r="V59" s="160"/>
      <c r="W59" s="165" cm="1">
        <f t="array" ref="W59">IFERROR(INDEX($A$3:$F$345,MATCH(U59&amp;R59,$A$3:$A$345&amp;$E$3:$E$345,0),2),"")</f>
        <v>0</v>
      </c>
      <c r="X59" s="165" cm="1">
        <f t="array" ref="X59">IFERROR(INDEX($A$3:$F$345,MATCH(V59&amp;R59,$A$3:$A$345&amp;$E$3:$E$345,0),2),"")</f>
        <v>0</v>
      </c>
      <c r="Y59" s="165" cm="1">
        <f t="array" ref="Y59">IFERROR(INDEX($A$3:$F$345,MATCH(U59&amp;R59,$A$3:$A$345&amp;$E$3:$E$345,0),4),"")</f>
        <v>0</v>
      </c>
      <c r="Z59" s="165" cm="1">
        <f t="array" ref="Z59">IFERROR(INDEX($A$3:$F$345,MATCH(V59&amp;R59,$A$3:$A$345&amp;$E$3:$E$345,0),4),"")</f>
        <v>0</v>
      </c>
      <c r="AA59" s="165" t="str">
        <f t="shared" si="2"/>
        <v/>
      </c>
    </row>
    <row r="60" spans="1:27" x14ac:dyDescent="0.25">
      <c r="A60" s="515" t="s">
        <v>1502</v>
      </c>
      <c r="B60" s="515">
        <v>357.87844827791986</v>
      </c>
      <c r="C60" s="515">
        <v>356.57844827791985</v>
      </c>
      <c r="D60" s="515">
        <v>1.3000000000000114</v>
      </c>
      <c r="E60" s="164" t="s">
        <v>1338</v>
      </c>
      <c r="F60" s="167" t="str">
        <f t="shared" si="0"/>
        <v>BLD</v>
      </c>
      <c r="L60" s="540" t="s">
        <v>1084</v>
      </c>
      <c r="M60" s="540">
        <v>400</v>
      </c>
      <c r="N60" s="541">
        <v>10.496655899876997</v>
      </c>
      <c r="O60" s="540"/>
      <c r="P60" s="540">
        <v>356.67844827791987</v>
      </c>
      <c r="Q60" s="540">
        <v>356.6259649984205</v>
      </c>
      <c r="R60" s="164" t="s">
        <v>1338</v>
      </c>
      <c r="S60" s="515" t="s">
        <v>1097</v>
      </c>
      <c r="T60" s="165" t="str">
        <f t="shared" si="1"/>
        <v>BIGODE 40</v>
      </c>
      <c r="U60" s="160" t="s">
        <v>1502</v>
      </c>
      <c r="V60" s="160" t="s">
        <v>1329</v>
      </c>
      <c r="W60" s="165" cm="1">
        <f t="array" ref="W60">IFERROR(INDEX($A$3:$F$345,MATCH(U60&amp;R60,$A$3:$A$345&amp;$E$3:$E$345,0),2),"")</f>
        <v>357.87844827791986</v>
      </c>
      <c r="X60" s="165" cm="1">
        <f t="array" ref="X60">IFERROR(INDEX($A$3:$F$345,MATCH(V60&amp;R60,$A$3:$A$345&amp;$E$3:$E$345,0),2),"")</f>
        <v>357.87705318797634</v>
      </c>
      <c r="Y60" s="165" cm="1">
        <f t="array" ref="Y60">IFERROR(INDEX($A$3:$F$345,MATCH(U60&amp;R60,$A$3:$A$345&amp;$E$3:$E$345,0),4),"")</f>
        <v>1.3000000000000114</v>
      </c>
      <c r="Z60" s="165" cm="1">
        <f t="array" ref="Z60">IFERROR(INDEX($A$3:$F$345,MATCH(V60&amp;R60,$A$3:$A$345&amp;$E$3:$E$345,0),4),"")</f>
        <v>2.3608051530582088</v>
      </c>
      <c r="AA60" s="165" t="str">
        <f t="shared" si="2"/>
        <v>BL</v>
      </c>
    </row>
    <row r="61" spans="1:27" x14ac:dyDescent="0.25">
      <c r="A61" s="515" t="s">
        <v>1503</v>
      </c>
      <c r="B61" s="515">
        <v>357.84654900631824</v>
      </c>
      <c r="C61" s="515">
        <v>356.54654900631823</v>
      </c>
      <c r="D61" s="515">
        <v>1.3000000000000114</v>
      </c>
      <c r="E61" s="164" t="s">
        <v>1338</v>
      </c>
      <c r="F61" s="167" t="str">
        <f t="shared" si="0"/>
        <v>BLD</v>
      </c>
      <c r="L61" s="540" t="s">
        <v>1085</v>
      </c>
      <c r="M61" s="540">
        <v>400</v>
      </c>
      <c r="N61" s="541">
        <v>10.594983044033263</v>
      </c>
      <c r="O61" s="540"/>
      <c r="P61" s="540">
        <v>356.64654900631825</v>
      </c>
      <c r="Q61" s="540">
        <v>356.59357409109811</v>
      </c>
      <c r="R61" s="164" t="s">
        <v>1338</v>
      </c>
      <c r="S61" s="515" t="s">
        <v>1097</v>
      </c>
      <c r="T61" s="165" t="str">
        <f t="shared" si="1"/>
        <v>BIGODE 40</v>
      </c>
      <c r="U61" s="160" t="s">
        <v>1503</v>
      </c>
      <c r="V61" s="160" t="s">
        <v>1329</v>
      </c>
      <c r="W61" s="165" cm="1">
        <f t="array" ref="W61">IFERROR(INDEX($A$3:$F$345,MATCH(U61&amp;R61,$A$3:$A$345&amp;$E$3:$E$345,0),2),"")</f>
        <v>357.84654900631824</v>
      </c>
      <c r="X61" s="165" cm="1">
        <f t="array" ref="X61">IFERROR(INDEX($A$3:$F$345,MATCH(V61&amp;R61,$A$3:$A$345&amp;$E$3:$E$345,0),2),"")</f>
        <v>357.87705318797634</v>
      </c>
      <c r="Y61" s="165" cm="1">
        <f t="array" ref="Y61">IFERROR(INDEX($A$3:$F$345,MATCH(U61&amp;R61,$A$3:$A$345&amp;$E$3:$E$345,0),4),"")</f>
        <v>1.3000000000000114</v>
      </c>
      <c r="Z61" s="165" cm="1">
        <f t="array" ref="Z61">IFERROR(INDEX($A$3:$F$345,MATCH(V61&amp;R61,$A$3:$A$345&amp;$E$3:$E$345,0),4),"")</f>
        <v>2.3608051530582088</v>
      </c>
      <c r="AA61" s="165" t="str">
        <f t="shared" si="2"/>
        <v>BL</v>
      </c>
    </row>
    <row r="62" spans="1:27" x14ac:dyDescent="0.25">
      <c r="A62" s="515" t="s">
        <v>1326</v>
      </c>
      <c r="B62" s="515">
        <v>354.5700949706906</v>
      </c>
      <c r="C62" s="515">
        <v>351.22949682435097</v>
      </c>
      <c r="D62" s="515">
        <v>3.3405981463396301</v>
      </c>
      <c r="E62" s="164" t="s">
        <v>1338</v>
      </c>
      <c r="F62" s="167" t="str">
        <f t="shared" si="0"/>
        <v xml:space="preserve">PV </v>
      </c>
      <c r="L62" s="540" t="s">
        <v>1086</v>
      </c>
      <c r="M62" s="540">
        <v>400</v>
      </c>
      <c r="N62" s="541">
        <v>13.58882620510448</v>
      </c>
      <c r="O62" s="540"/>
      <c r="P62" s="540">
        <v>353.17009497069063</v>
      </c>
      <c r="Q62" s="540">
        <v>353.10215083966511</v>
      </c>
      <c r="R62" s="164" t="s">
        <v>1338</v>
      </c>
      <c r="S62" s="515" t="s">
        <v>1097</v>
      </c>
      <c r="T62" s="165" t="str">
        <f t="shared" si="1"/>
        <v>BIGODE 40</v>
      </c>
      <c r="U62" s="160" t="s">
        <v>1326</v>
      </c>
      <c r="V62" s="160" t="s">
        <v>1513</v>
      </c>
      <c r="W62" s="165" cm="1">
        <f t="array" ref="W62">IFERROR(INDEX($A$3:$F$345,MATCH(U62&amp;R62,$A$3:$A$345&amp;$E$3:$E$345,0),2),"")</f>
        <v>354.5700949706906</v>
      </c>
      <c r="X62" s="165" cm="1">
        <f t="array" ref="X62">IFERROR(INDEX($A$3:$F$345,MATCH(V62&amp;R62,$A$3:$A$345&amp;$E$3:$E$345,0),2),"")</f>
        <v>354.78928887693235</v>
      </c>
      <c r="Y62" s="165" cm="1">
        <f t="array" ref="Y62">IFERROR(INDEX($A$3:$F$345,MATCH(U62&amp;R62,$A$3:$A$345&amp;$E$3:$E$345,0),4),"")</f>
        <v>3.3405981463396301</v>
      </c>
      <c r="Z62" s="165" cm="1">
        <f t="array" ref="Z62">IFERROR(INDEX($A$3:$F$345,MATCH(V62&amp;R62,$A$3:$A$345&amp;$E$3:$E$345,0),4),"")</f>
        <v>1.7871380372672547</v>
      </c>
      <c r="AA62" s="165" t="str">
        <f t="shared" si="2"/>
        <v>PV</v>
      </c>
    </row>
    <row r="63" spans="1:27" x14ac:dyDescent="0.25">
      <c r="A63" s="515" t="s">
        <v>1327</v>
      </c>
      <c r="B63" s="515">
        <v>350.9606896573145</v>
      </c>
      <c r="C63" s="515">
        <v>348.58511471251404</v>
      </c>
      <c r="D63" s="515">
        <v>2.3755749448004622</v>
      </c>
      <c r="E63" s="164" t="s">
        <v>1338</v>
      </c>
      <c r="F63" s="167" t="str">
        <f t="shared" si="0"/>
        <v xml:space="preserve">PV </v>
      </c>
      <c r="L63" s="540" t="s">
        <v>1087</v>
      </c>
      <c r="M63" s="540">
        <v>400</v>
      </c>
      <c r="N63" s="541">
        <v>15.911800585341876</v>
      </c>
      <c r="O63" s="540"/>
      <c r="P63" s="540">
        <v>353.17009497069063</v>
      </c>
      <c r="Q63" s="540">
        <v>353.09053596776391</v>
      </c>
      <c r="R63" s="164" t="s">
        <v>1338</v>
      </c>
      <c r="S63" s="515" t="s">
        <v>1097</v>
      </c>
      <c r="T63" s="165" t="str">
        <f t="shared" si="1"/>
        <v>BIGODE 40</v>
      </c>
      <c r="U63" s="160" t="s">
        <v>1326</v>
      </c>
      <c r="V63" s="160" t="s">
        <v>1514</v>
      </c>
      <c r="W63" s="165" cm="1">
        <f t="array" ref="W63">IFERROR(INDEX($A$3:$F$345,MATCH(U63&amp;R63,$A$3:$A$345&amp;$E$3:$E$345,0),2),"")</f>
        <v>354.5700949706906</v>
      </c>
      <c r="X63" s="165" cm="1">
        <f t="array" ref="X63">IFERROR(INDEX($A$3:$F$345,MATCH(V63&amp;R63,$A$3:$A$345&amp;$E$3:$E$345,0),2),"")</f>
        <v>354.91640156542201</v>
      </c>
      <c r="Y63" s="165" cm="1">
        <f t="array" ref="Y63">IFERROR(INDEX($A$3:$F$345,MATCH(U63&amp;R63,$A$3:$A$345&amp;$E$3:$E$345,0),4),"")</f>
        <v>3.3405981463396301</v>
      </c>
      <c r="Z63" s="165" cm="1">
        <f t="array" ref="Z63">IFERROR(INDEX($A$3:$F$345,MATCH(V63&amp;R63,$A$3:$A$345&amp;$E$3:$E$345,0),4),"")</f>
        <v>1.9258655976581167</v>
      </c>
      <c r="AA63" s="165" t="str">
        <f t="shared" si="2"/>
        <v>PV</v>
      </c>
    </row>
    <row r="64" spans="1:27" x14ac:dyDescent="0.25">
      <c r="A64" s="515" t="s">
        <v>1504</v>
      </c>
      <c r="B64" s="515">
        <v>347.73129868387133</v>
      </c>
      <c r="C64" s="515">
        <v>346.36940780392678</v>
      </c>
      <c r="D64" s="515">
        <v>1.3618908799445535</v>
      </c>
      <c r="E64" s="164" t="s">
        <v>1338</v>
      </c>
      <c r="F64" s="167" t="str">
        <f t="shared" si="0"/>
        <v>BLD</v>
      </c>
      <c r="L64" s="540" t="s">
        <v>1088</v>
      </c>
      <c r="M64" s="540">
        <v>400</v>
      </c>
      <c r="N64" s="541">
        <v>8.2604536673846631</v>
      </c>
      <c r="O64" s="540"/>
      <c r="P64" s="540">
        <v>349.84113500394307</v>
      </c>
      <c r="Q64" s="540">
        <v>349.69983273560609</v>
      </c>
      <c r="R64" s="164" t="s">
        <v>1338</v>
      </c>
      <c r="S64" s="515" t="s">
        <v>1097</v>
      </c>
      <c r="T64" s="165" t="str">
        <f t="shared" si="1"/>
        <v>BIGODE 40</v>
      </c>
      <c r="U64" s="160" t="s">
        <v>1327</v>
      </c>
      <c r="V64" s="160" t="s">
        <v>1515</v>
      </c>
      <c r="W64" s="165" cm="1">
        <f t="array" ref="W64">IFERROR(INDEX($A$3:$F$345,MATCH(U64&amp;R64,$A$3:$A$345&amp;$E$3:$E$345,0),2),"")</f>
        <v>350.9606896573145</v>
      </c>
      <c r="X64" s="165" cm="1">
        <f t="array" ref="X64">IFERROR(INDEX($A$3:$F$345,MATCH(V64&amp;R64,$A$3:$A$345&amp;$E$3:$E$345,0),2),"")</f>
        <v>350.88479895565473</v>
      </c>
      <c r="Y64" s="165" cm="1">
        <f t="array" ref="Y64">IFERROR(INDEX($A$3:$F$345,MATCH(U64&amp;R64,$A$3:$A$345&amp;$E$3:$E$345,0),4),"")</f>
        <v>2.3755749448004622</v>
      </c>
      <c r="Z64" s="165" cm="1">
        <f t="array" ref="Z64">IFERROR(INDEX($A$3:$F$345,MATCH(V64&amp;R64,$A$3:$A$345&amp;$E$3:$E$345,0),4),"")</f>
        <v>1.2849662200486591</v>
      </c>
      <c r="AA64" s="165" t="str">
        <f t="shared" si="2"/>
        <v>PV</v>
      </c>
    </row>
    <row r="65" spans="1:27" x14ac:dyDescent="0.25">
      <c r="A65" s="515" t="s">
        <v>1505</v>
      </c>
      <c r="B65" s="515">
        <v>347.67901843171114</v>
      </c>
      <c r="C65" s="515">
        <v>346.67901843171114</v>
      </c>
      <c r="D65" s="515">
        <v>1</v>
      </c>
      <c r="E65" s="164" t="s">
        <v>1338</v>
      </c>
      <c r="F65" s="167" t="str">
        <f t="shared" si="0"/>
        <v>BLD</v>
      </c>
      <c r="L65" s="540" t="s">
        <v>1089</v>
      </c>
      <c r="M65" s="540">
        <v>400</v>
      </c>
      <c r="N65" s="541">
        <v>9.0091443613358155</v>
      </c>
      <c r="O65" s="540"/>
      <c r="P65" s="540">
        <v>349.84113500394307</v>
      </c>
      <c r="Q65" s="540">
        <v>349.69608928213637</v>
      </c>
      <c r="R65" s="164" t="s">
        <v>1338</v>
      </c>
      <c r="S65" s="515" t="s">
        <v>1097</v>
      </c>
      <c r="T65" s="165" t="str">
        <f t="shared" si="1"/>
        <v>BIGODE 40</v>
      </c>
      <c r="U65" s="160" t="s">
        <v>1327</v>
      </c>
      <c r="V65" s="160" t="s">
        <v>1516</v>
      </c>
      <c r="W65" s="165" cm="1">
        <f t="array" ref="W65">IFERROR(INDEX($A$3:$F$345,MATCH(U65&amp;R65,$A$3:$A$345&amp;$E$3:$E$345,0),2),"")</f>
        <v>350.9606896573145</v>
      </c>
      <c r="X65" s="165" cm="1">
        <f t="array" ref="X65">IFERROR(INDEX($A$3:$F$345,MATCH(V65&amp;R65,$A$3:$A$345&amp;$E$3:$E$345,0),2),"")</f>
        <v>350.87836963005168</v>
      </c>
      <c r="Y65" s="165" cm="1">
        <f t="array" ref="Y65">IFERROR(INDEX($A$3:$F$345,MATCH(U65&amp;R65,$A$3:$A$345&amp;$E$3:$E$345,0),4),"")</f>
        <v>2.3755749448004622</v>
      </c>
      <c r="Z65" s="165" cm="1">
        <f t="array" ref="Z65">IFERROR(INDEX($A$3:$F$345,MATCH(V65&amp;R65,$A$3:$A$345&amp;$E$3:$E$345,0),4),"")</f>
        <v>1.2822803479153322</v>
      </c>
      <c r="AA65" s="165" t="str">
        <f t="shared" si="2"/>
        <v>PV</v>
      </c>
    </row>
    <row r="66" spans="1:27" x14ac:dyDescent="0.25">
      <c r="A66" s="515" t="s">
        <v>1506</v>
      </c>
      <c r="B66" s="515">
        <v>342.64710390562738</v>
      </c>
      <c r="C66" s="515">
        <v>341.57533383509019</v>
      </c>
      <c r="D66" s="515">
        <v>1.071770070537184</v>
      </c>
      <c r="E66" s="164" t="s">
        <v>1338</v>
      </c>
      <c r="F66" s="167" t="str">
        <f t="shared" si="0"/>
        <v>BLD</v>
      </c>
      <c r="L66" s="540" t="s">
        <v>1090</v>
      </c>
      <c r="M66" s="540">
        <v>400</v>
      </c>
      <c r="N66" s="541">
        <v>15.627212944557002</v>
      </c>
      <c r="O66" s="540"/>
      <c r="P66" s="540">
        <v>346.93129868387132</v>
      </c>
      <c r="Q66" s="540">
        <v>346.46432759015227</v>
      </c>
      <c r="R66" s="164" t="s">
        <v>1338</v>
      </c>
      <c r="S66" s="515" t="s">
        <v>1097</v>
      </c>
      <c r="T66" s="165" t="str">
        <f t="shared" si="1"/>
        <v>BIGODE 40</v>
      </c>
      <c r="U66" s="160" t="s">
        <v>1504</v>
      </c>
      <c r="V66" s="160" t="s">
        <v>1330</v>
      </c>
      <c r="W66" s="165" cm="1">
        <f t="array" ref="W66">IFERROR(INDEX($A$3:$F$345,MATCH(U66&amp;R66,$A$3:$A$345&amp;$E$3:$E$345,0),2),"")</f>
        <v>347.73129868387133</v>
      </c>
      <c r="X66" s="165" cm="1">
        <f t="array" ref="X66">IFERROR(INDEX($A$3:$F$345,MATCH(V66&amp;R66,$A$3:$A$345&amp;$E$3:$E$345,0),2),"")</f>
        <v>347.26432759015228</v>
      </c>
      <c r="Y66" s="165" cm="1">
        <f t="array" ref="Y66">IFERROR(INDEX($A$3:$F$345,MATCH(U66&amp;R66,$A$3:$A$345&amp;$E$3:$E$345,0),4),"")</f>
        <v>1.3618908799445535</v>
      </c>
      <c r="Z66" s="165" cm="1">
        <f t="array" ref="Z66">IFERROR(INDEX($A$3:$F$345,MATCH(V66&amp;R66,$A$3:$A$345&amp;$E$3:$E$345,0),4),"")</f>
        <v>2.8958151191473007</v>
      </c>
      <c r="AA66" s="165" t="str">
        <f t="shared" si="2"/>
        <v>BL</v>
      </c>
    </row>
    <row r="67" spans="1:27" x14ac:dyDescent="0.25">
      <c r="A67" s="160" t="s">
        <v>1507</v>
      </c>
      <c r="B67" s="160">
        <v>342.51606534801715</v>
      </c>
      <c r="C67" s="160">
        <v>341.35486627028394</v>
      </c>
      <c r="D67" s="160">
        <v>1.1611990777332153</v>
      </c>
      <c r="E67" s="164" t="s">
        <v>1338</v>
      </c>
      <c r="F67" s="167" t="str">
        <f t="shared" ref="F67:F130" si="3">IF(AND(LEFT(A67,4)&lt;&gt;"PV",LEFT(A67,4)&lt;&gt;"CX"),IF(LEFT(A67,1)="R",RIGHT(LEFT(A67,3),4),IF(LEFT(A67,1)="I",RIGHT(LEFT(A67,4),3),LEFT(A67,3))))</f>
        <v>BLD</v>
      </c>
      <c r="L67" s="540" t="s">
        <v>1336</v>
      </c>
      <c r="M67" s="540">
        <v>400</v>
      </c>
      <c r="N67" s="541">
        <v>14.729520072541485</v>
      </c>
      <c r="O67" s="540"/>
      <c r="P67" s="540">
        <v>346.88203728888664</v>
      </c>
      <c r="Q67" s="540">
        <v>346.4518143899864</v>
      </c>
      <c r="R67" s="164" t="s">
        <v>1338</v>
      </c>
      <c r="S67" s="515" t="s">
        <v>1097</v>
      </c>
      <c r="T67" s="165" t="str">
        <f t="shared" ref="T67:T130" si="4">IF(S67="E","EXISTENTE",IF(AND(S67="R",LEFT(L67,7)="RBIGODE",M67=400),"RBIGODE 40",IF(AND(LEFT(L67,7)="RBIGODE",M67=600),"RBIGODE 60",IF(AND(S67="I",LEFT(L67,6)="BIGODE",M67=400),"BIGODE 40",IF(AND(LEFT(L67,6)="BIGODE",M67=600),"BIGODE 60",LEFT(L67,7))))))</f>
        <v>BIGODE 40</v>
      </c>
      <c r="U67" s="160" t="s">
        <v>1505</v>
      </c>
      <c r="V67" s="160" t="s">
        <v>1330</v>
      </c>
      <c r="W67" s="165" cm="1">
        <f t="array" ref="W67">IFERROR(INDEX($A$3:$F$345,MATCH(U67&amp;R67,$A$3:$A$345&amp;$E$3:$E$345,0),2),"")</f>
        <v>347.67901843171114</v>
      </c>
      <c r="X67" s="165" cm="1">
        <f t="array" ref="X67">IFERROR(INDEX($A$3:$F$345,MATCH(V67&amp;R67,$A$3:$A$345&amp;$E$3:$E$345,0),2),"")</f>
        <v>347.26432759015228</v>
      </c>
      <c r="Y67" s="165" cm="1">
        <f t="array" ref="Y67">IFERROR(INDEX($A$3:$F$345,MATCH(U67&amp;R67,$A$3:$A$345&amp;$E$3:$E$345,0),4),"")</f>
        <v>1</v>
      </c>
      <c r="Z67" s="165" cm="1">
        <f t="array" ref="Z67">IFERROR(INDEX($A$3:$F$345,MATCH(V67&amp;R67,$A$3:$A$345&amp;$E$3:$E$345,0),4),"")</f>
        <v>2.8958151191473007</v>
      </c>
      <c r="AA67" s="165" t="str">
        <f t="shared" ref="AA67:AA130" si="5">IFERROR((IF(LEFT(U67,1)="R",RIGHT(LEFT(U67,3),2),LEFT(U67,2))),"")</f>
        <v>BL</v>
      </c>
    </row>
    <row r="68" spans="1:27" x14ac:dyDescent="0.25">
      <c r="A68" s="160" t="s">
        <v>1501</v>
      </c>
      <c r="B68" s="160">
        <v>361.73731941595867</v>
      </c>
      <c r="C68" s="160">
        <v>361.73731941595867</v>
      </c>
      <c r="D68" s="160">
        <v>0</v>
      </c>
      <c r="E68" s="164" t="s">
        <v>1338</v>
      </c>
      <c r="F68" s="167" t="str">
        <f t="shared" si="3"/>
        <v>nul</v>
      </c>
      <c r="L68" s="164" t="s">
        <v>1091</v>
      </c>
      <c r="M68" s="164">
        <v>400</v>
      </c>
      <c r="N68" s="169">
        <v>16.12115347377765</v>
      </c>
      <c r="O68" s="164"/>
      <c r="P68" s="164">
        <v>341.67533383509021</v>
      </c>
      <c r="Q68" s="164">
        <v>341.02662850799965</v>
      </c>
      <c r="R68" s="164" t="s">
        <v>1338</v>
      </c>
      <c r="S68" s="515" t="s">
        <v>1097</v>
      </c>
      <c r="T68" s="165" t="str">
        <f t="shared" si="4"/>
        <v>BIGODE 40</v>
      </c>
      <c r="U68" s="160" t="s">
        <v>1506</v>
      </c>
      <c r="V68" s="160" t="s">
        <v>1331</v>
      </c>
      <c r="W68" s="165" cm="1">
        <f t="array" ref="W68">IFERROR(INDEX($A$3:$F$345,MATCH(U68&amp;R68,$A$3:$A$345&amp;$E$3:$E$345,0),2),"")</f>
        <v>342.64710390562738</v>
      </c>
      <c r="X68" s="165" cm="1">
        <f t="array" ref="X68">IFERROR(INDEX($A$3:$F$345,MATCH(V68&amp;R68,$A$3:$A$345&amp;$E$3:$E$345,0),2),"")</f>
        <v>342.00281301412633</v>
      </c>
      <c r="Y68" s="165" cm="1">
        <f t="array" ref="Y68">IFERROR(INDEX($A$3:$F$345,MATCH(U68&amp;R68,$A$3:$A$345&amp;$E$3:$E$345,0),4),"")</f>
        <v>1.071770070537184</v>
      </c>
      <c r="Z68" s="165" cm="1">
        <f t="array" ref="Z68">IFERROR(INDEX($A$3:$F$345,MATCH(V68&amp;R68,$A$3:$A$345&amp;$E$3:$E$345,0),4),"")</f>
        <v>3.0719044940547064</v>
      </c>
      <c r="AA68" s="165" t="str">
        <f t="shared" si="5"/>
        <v>BL</v>
      </c>
    </row>
    <row r="69" spans="1:27" x14ac:dyDescent="0.25">
      <c r="A69" s="160" t="s">
        <v>1328</v>
      </c>
      <c r="B69" s="160">
        <v>360.41508420480528</v>
      </c>
      <c r="C69" s="160">
        <v>357.64559705893384</v>
      </c>
      <c r="D69" s="160">
        <v>2.7694871458714374</v>
      </c>
      <c r="E69" s="164" t="s">
        <v>1338</v>
      </c>
      <c r="F69" s="167" t="str">
        <f t="shared" si="3"/>
        <v xml:space="preserve">PV </v>
      </c>
      <c r="L69" s="164" t="s">
        <v>1092</v>
      </c>
      <c r="M69" s="164">
        <v>400</v>
      </c>
      <c r="N69" s="169">
        <v>16.576308582709391</v>
      </c>
      <c r="O69" s="164"/>
      <c r="P69" s="164">
        <v>341.45486627028396</v>
      </c>
      <c r="Q69" s="164">
        <v>340.88394340173909</v>
      </c>
      <c r="R69" s="164" t="s">
        <v>1338</v>
      </c>
      <c r="S69" s="515" t="s">
        <v>1097</v>
      </c>
      <c r="T69" s="165" t="str">
        <f t="shared" si="4"/>
        <v>BIGODE 40</v>
      </c>
      <c r="U69" s="160" t="s">
        <v>1507</v>
      </c>
      <c r="V69" s="160" t="s">
        <v>1331</v>
      </c>
      <c r="W69" s="165" cm="1">
        <f t="array" ref="W69">IFERROR(INDEX($A$3:$F$345,MATCH(U69&amp;R69,$A$3:$A$345&amp;$E$3:$E$345,0),2),"")</f>
        <v>342.51606534801715</v>
      </c>
      <c r="X69" s="165" cm="1">
        <f t="array" ref="X69">IFERROR(INDEX($A$3:$F$345,MATCH(V69&amp;R69,$A$3:$A$345&amp;$E$3:$E$345,0),2),"")</f>
        <v>342.00281301412633</v>
      </c>
      <c r="Y69" s="165" cm="1">
        <f t="array" ref="Y69">IFERROR(INDEX($A$3:$F$345,MATCH(U69&amp;R69,$A$3:$A$345&amp;$E$3:$E$345,0),4),"")</f>
        <v>1.1611990777332153</v>
      </c>
      <c r="Z69" s="165" cm="1">
        <f t="array" ref="Z69">IFERROR(INDEX($A$3:$F$345,MATCH(V69&amp;R69,$A$3:$A$345&amp;$E$3:$E$345,0),4),"")</f>
        <v>3.0719044940547064</v>
      </c>
      <c r="AA69" s="165" t="str">
        <f t="shared" si="5"/>
        <v>BL</v>
      </c>
    </row>
    <row r="70" spans="1:27" x14ac:dyDescent="0.25">
      <c r="A70" s="160" t="s">
        <v>1329</v>
      </c>
      <c r="B70" s="160">
        <v>357.87705318797634</v>
      </c>
      <c r="C70" s="160">
        <v>355.51624803491814</v>
      </c>
      <c r="D70" s="160">
        <v>2.3608051530582088</v>
      </c>
      <c r="E70" s="164" t="s">
        <v>1338</v>
      </c>
      <c r="F70" s="167" t="str">
        <f t="shared" si="3"/>
        <v xml:space="preserve">PV </v>
      </c>
      <c r="L70" s="164" t="s">
        <v>1497</v>
      </c>
      <c r="M70" s="164">
        <v>500</v>
      </c>
      <c r="N70" s="169">
        <v>152.09587782460184</v>
      </c>
      <c r="O70" s="164"/>
      <c r="P70" s="164">
        <v>361.42231930595869</v>
      </c>
      <c r="Q70" s="164">
        <v>359.28975477533987</v>
      </c>
      <c r="R70" s="164" t="s">
        <v>1338</v>
      </c>
      <c r="S70" s="515" t="s">
        <v>1097</v>
      </c>
      <c r="T70" s="165" t="str">
        <f t="shared" si="4"/>
        <v>SARJETA</v>
      </c>
      <c r="U70" s="160" t="s">
        <v>1501</v>
      </c>
      <c r="V70" s="160" t="s">
        <v>1522</v>
      </c>
      <c r="W70" s="165" cm="1">
        <f t="array" ref="W70">IFERROR(INDEX($A$3:$F$345,MATCH(U70&amp;R70,$A$3:$A$345&amp;$E$3:$E$345,0),2),"")</f>
        <v>361.73731941595867</v>
      </c>
      <c r="X70" s="165" cm="1">
        <f t="array" ref="X70">IFERROR(INDEX($A$3:$F$345,MATCH(V70&amp;R70,$A$3:$A$345&amp;$E$3:$E$345,0),2),"")</f>
        <v>360.59998382078271</v>
      </c>
      <c r="Y70" s="165" cm="1">
        <f t="array" ref="Y70">IFERROR(INDEX($A$3:$F$345,MATCH(U70&amp;R70,$A$3:$A$345&amp;$E$3:$E$345,0),4),"")</f>
        <v>0</v>
      </c>
      <c r="Z70" s="165" cm="1">
        <f t="array" ref="Z70">IFERROR(INDEX($A$3:$F$345,MATCH(V70&amp;R70,$A$3:$A$345&amp;$E$3:$E$345,0),4),"")</f>
        <v>2.036192723474187</v>
      </c>
      <c r="AA70" s="165" t="str">
        <f t="shared" si="5"/>
        <v>nu</v>
      </c>
    </row>
    <row r="71" spans="1:27" x14ac:dyDescent="0.25">
      <c r="A71" s="160" t="s">
        <v>1330</v>
      </c>
      <c r="B71" s="160">
        <v>347.26432759015228</v>
      </c>
      <c r="C71" s="160">
        <v>344.36851247100498</v>
      </c>
      <c r="D71" s="160">
        <v>2.8958151191473007</v>
      </c>
      <c r="E71" s="164" t="s">
        <v>1338</v>
      </c>
      <c r="F71" s="167" t="str">
        <f t="shared" si="3"/>
        <v xml:space="preserve">PV </v>
      </c>
      <c r="L71" s="164" t="s">
        <v>1020</v>
      </c>
      <c r="M71" s="164">
        <v>800</v>
      </c>
      <c r="N71" s="169">
        <v>104.07695134604538</v>
      </c>
      <c r="O71" s="164"/>
      <c r="P71" s="164">
        <v>357.74559705893387</v>
      </c>
      <c r="Q71" s="164">
        <v>355.62836251193909</v>
      </c>
      <c r="R71" s="164" t="s">
        <v>1338</v>
      </c>
      <c r="S71" s="515" t="s">
        <v>1097</v>
      </c>
      <c r="T71" s="165" t="str">
        <f t="shared" si="4"/>
        <v xml:space="preserve">TRECHO </v>
      </c>
      <c r="U71" s="160" t="s">
        <v>1328</v>
      </c>
      <c r="V71" s="160" t="s">
        <v>1329</v>
      </c>
      <c r="W71" s="165" cm="1">
        <f t="array" ref="W71">IFERROR(INDEX($A$3:$F$345,MATCH(U71&amp;R71,$A$3:$A$345&amp;$E$3:$E$345,0),2),"")</f>
        <v>360.41508420480528</v>
      </c>
      <c r="X71" s="165" cm="1">
        <f t="array" ref="X71">IFERROR(INDEX($A$3:$F$345,MATCH(V71&amp;R71,$A$3:$A$345&amp;$E$3:$E$345,0),2),"")</f>
        <v>357.87705318797634</v>
      </c>
      <c r="Y71" s="165" cm="1">
        <f t="array" ref="Y71">IFERROR(INDEX($A$3:$F$345,MATCH(U71&amp;R71,$A$3:$A$345&amp;$E$3:$E$345,0),4),"")</f>
        <v>2.7694871458714374</v>
      </c>
      <c r="Z71" s="165" cm="1">
        <f t="array" ref="Z71">IFERROR(INDEX($A$3:$F$345,MATCH(V71&amp;R71,$A$3:$A$345&amp;$E$3:$E$345,0),4),"")</f>
        <v>2.3608051530582088</v>
      </c>
      <c r="AA71" s="165" t="str">
        <f t="shared" si="5"/>
        <v>PV</v>
      </c>
    </row>
    <row r="72" spans="1:27" x14ac:dyDescent="0.25">
      <c r="A72" s="160" t="s">
        <v>1331</v>
      </c>
      <c r="B72" s="160">
        <v>342.00281301412633</v>
      </c>
      <c r="C72" s="160">
        <v>338.93090852007163</v>
      </c>
      <c r="D72" s="160">
        <v>3.0719044940547064</v>
      </c>
      <c r="E72" s="164" t="s">
        <v>1338</v>
      </c>
      <c r="F72" s="167" t="str">
        <f t="shared" si="3"/>
        <v xml:space="preserve">PV </v>
      </c>
      <c r="L72" s="164" t="s">
        <v>1021</v>
      </c>
      <c r="M72" s="164">
        <v>800</v>
      </c>
      <c r="N72" s="169">
        <v>100.00124998988291</v>
      </c>
      <c r="O72" s="164"/>
      <c r="P72" s="164">
        <v>355.61624803491816</v>
      </c>
      <c r="Q72" s="164">
        <v>351.88312496401619</v>
      </c>
      <c r="R72" s="164" t="s">
        <v>1338</v>
      </c>
      <c r="S72" s="515" t="s">
        <v>1097</v>
      </c>
      <c r="T72" s="165" t="str">
        <f t="shared" si="4"/>
        <v xml:space="preserve">TRECHO </v>
      </c>
      <c r="U72" s="160" t="s">
        <v>1329</v>
      </c>
      <c r="V72" s="160" t="s">
        <v>1326</v>
      </c>
      <c r="W72" s="165" cm="1">
        <f t="array" ref="W72">IFERROR(INDEX($A$3:$F$345,MATCH(U72&amp;R72,$A$3:$A$345&amp;$E$3:$E$345,0),2),"")</f>
        <v>357.87705318797634</v>
      </c>
      <c r="X72" s="165" cm="1">
        <f t="array" ref="X72">IFERROR(INDEX($A$3:$F$345,MATCH(V72&amp;R72,$A$3:$A$345&amp;$E$3:$E$345,0),2),"")</f>
        <v>354.5700949706906</v>
      </c>
      <c r="Y72" s="165" cm="1">
        <f t="array" ref="Y72">IFERROR(INDEX($A$3:$F$345,MATCH(U72&amp;R72,$A$3:$A$345&amp;$E$3:$E$345,0),4),"")</f>
        <v>2.3608051530582088</v>
      </c>
      <c r="Z72" s="165" cm="1">
        <f t="array" ref="Z72">IFERROR(INDEX($A$3:$F$345,MATCH(V72&amp;R72,$A$3:$A$345&amp;$E$3:$E$345,0),4),"")</f>
        <v>3.3405981463396301</v>
      </c>
      <c r="AA72" s="165" t="str">
        <f t="shared" si="5"/>
        <v>PV</v>
      </c>
    </row>
    <row r="73" spans="1:27" x14ac:dyDescent="0.25">
      <c r="A73" s="160" t="s">
        <v>1332</v>
      </c>
      <c r="B73" s="160">
        <v>338.23056785124925</v>
      </c>
      <c r="C73" s="160">
        <v>336.18515724507739</v>
      </c>
      <c r="D73" s="160">
        <v>2.0454106061718562</v>
      </c>
      <c r="E73" s="164" t="s">
        <v>1338</v>
      </c>
      <c r="F73" s="167" t="str">
        <f t="shared" si="3"/>
        <v xml:space="preserve">PV </v>
      </c>
      <c r="L73" s="164" t="s">
        <v>1022</v>
      </c>
      <c r="M73" s="164">
        <v>800</v>
      </c>
      <c r="N73" s="169">
        <v>75.682252456145349</v>
      </c>
      <c r="O73" s="164"/>
      <c r="P73" s="164">
        <v>351.329496824351</v>
      </c>
      <c r="Q73" s="164">
        <v>348.79887973381472</v>
      </c>
      <c r="R73" s="164" t="s">
        <v>1338</v>
      </c>
      <c r="S73" s="515" t="s">
        <v>1097</v>
      </c>
      <c r="T73" s="165" t="str">
        <f t="shared" si="4"/>
        <v xml:space="preserve">TRECHO </v>
      </c>
      <c r="U73" s="160" t="s">
        <v>1326</v>
      </c>
      <c r="V73" s="160" t="s">
        <v>1327</v>
      </c>
      <c r="W73" s="165" cm="1">
        <f t="array" ref="W73">IFERROR(INDEX($A$3:$F$345,MATCH(U73&amp;R73,$A$3:$A$345&amp;$E$3:$E$345,0),2),"")</f>
        <v>354.5700949706906</v>
      </c>
      <c r="X73" s="165" cm="1">
        <f t="array" ref="X73">IFERROR(INDEX($A$3:$F$345,MATCH(V73&amp;R73,$A$3:$A$345&amp;$E$3:$E$345,0),2),"")</f>
        <v>350.9606896573145</v>
      </c>
      <c r="Y73" s="165" cm="1">
        <f t="array" ref="Y73">IFERROR(INDEX($A$3:$F$345,MATCH(U73&amp;R73,$A$3:$A$345&amp;$E$3:$E$345,0),4),"")</f>
        <v>3.3405981463396301</v>
      </c>
      <c r="Z73" s="165" cm="1">
        <f t="array" ref="Z73">IFERROR(INDEX($A$3:$F$345,MATCH(V73&amp;R73,$A$3:$A$345&amp;$E$3:$E$345,0),4),"")</f>
        <v>2.3755749448004622</v>
      </c>
      <c r="AA73" s="165" t="str">
        <f t="shared" si="5"/>
        <v>PV</v>
      </c>
    </row>
    <row r="74" spans="1:27" x14ac:dyDescent="0.25">
      <c r="A74" s="160" t="s">
        <v>1333</v>
      </c>
      <c r="B74" s="160">
        <v>332.44173082293662</v>
      </c>
      <c r="C74" s="160">
        <v>330.71385271645806</v>
      </c>
      <c r="D74" s="160">
        <v>1.7278781064785562</v>
      </c>
      <c r="E74" s="164" t="s">
        <v>1338</v>
      </c>
      <c r="F74" s="167" t="str">
        <f t="shared" si="3"/>
        <v xml:space="preserve">PV </v>
      </c>
      <c r="L74" s="164" t="s">
        <v>1023</v>
      </c>
      <c r="M74" s="164">
        <v>800</v>
      </c>
      <c r="N74" s="169">
        <v>74.186027241059335</v>
      </c>
      <c r="O74" s="164"/>
      <c r="P74" s="164">
        <v>348.68511471251406</v>
      </c>
      <c r="Q74" s="164">
        <v>344.81697330221874</v>
      </c>
      <c r="R74" s="164" t="s">
        <v>1338</v>
      </c>
      <c r="S74" s="515" t="s">
        <v>1097</v>
      </c>
      <c r="T74" s="165" t="str">
        <f t="shared" si="4"/>
        <v xml:space="preserve">TRECHO </v>
      </c>
      <c r="U74" s="160" t="s">
        <v>1327</v>
      </c>
      <c r="V74" s="160" t="s">
        <v>1330</v>
      </c>
      <c r="W74" s="165" cm="1">
        <f t="array" ref="W74">IFERROR(INDEX($A$3:$F$345,MATCH(U74&amp;R74,$A$3:$A$345&amp;$E$3:$E$345,0),2),"")</f>
        <v>350.9606896573145</v>
      </c>
      <c r="X74" s="165" cm="1">
        <f t="array" ref="X74">IFERROR(INDEX($A$3:$F$345,MATCH(V74&amp;R74,$A$3:$A$345&amp;$E$3:$E$345,0),2),"")</f>
        <v>347.26432759015228</v>
      </c>
      <c r="Y74" s="165" cm="1">
        <f t="array" ref="Y74">IFERROR(INDEX($A$3:$F$345,MATCH(U74&amp;R74,$A$3:$A$345&amp;$E$3:$E$345,0),4),"")</f>
        <v>2.3755749448004622</v>
      </c>
      <c r="Z74" s="165" cm="1">
        <f t="array" ref="Z74">IFERROR(INDEX($A$3:$F$345,MATCH(V74&amp;R74,$A$3:$A$345&amp;$E$3:$E$345,0),4),"")</f>
        <v>2.8958151191473007</v>
      </c>
      <c r="AA74" s="165" t="str">
        <f t="shared" si="5"/>
        <v>PV</v>
      </c>
    </row>
    <row r="75" spans="1:27" x14ac:dyDescent="0.25">
      <c r="A75" s="160" t="s">
        <v>1334</v>
      </c>
      <c r="B75" s="160">
        <v>325.6481648595111</v>
      </c>
      <c r="C75" s="160">
        <v>323.79441987840198</v>
      </c>
      <c r="D75" s="160">
        <v>1.8537449811091165</v>
      </c>
      <c r="E75" s="164" t="s">
        <v>1338</v>
      </c>
      <c r="F75" s="167" t="str">
        <f t="shared" si="3"/>
        <v xml:space="preserve">PV </v>
      </c>
      <c r="L75" s="164" t="s">
        <v>1024</v>
      </c>
      <c r="M75" s="164">
        <v>800</v>
      </c>
      <c r="N75" s="169">
        <v>105.59711317333395</v>
      </c>
      <c r="O75" s="164"/>
      <c r="P75" s="164">
        <v>344.468512471005</v>
      </c>
      <c r="Q75" s="164">
        <v>339.1940612044362</v>
      </c>
      <c r="R75" s="164" t="s">
        <v>1338</v>
      </c>
      <c r="S75" s="515" t="s">
        <v>1097</v>
      </c>
      <c r="T75" s="165" t="str">
        <f t="shared" si="4"/>
        <v xml:space="preserve">TRECHO </v>
      </c>
      <c r="U75" s="160" t="s">
        <v>1330</v>
      </c>
      <c r="V75" s="160" t="s">
        <v>1331</v>
      </c>
      <c r="W75" s="165" cm="1">
        <f t="array" ref="W75">IFERROR(INDEX($A$3:$F$345,MATCH(U75&amp;R75,$A$3:$A$345&amp;$E$3:$E$345,0),2),"")</f>
        <v>347.26432759015228</v>
      </c>
      <c r="X75" s="165" cm="1">
        <f t="array" ref="X75">IFERROR(INDEX($A$3:$F$345,MATCH(V75&amp;R75,$A$3:$A$345&amp;$E$3:$E$345,0),2),"")</f>
        <v>342.00281301412633</v>
      </c>
      <c r="Y75" s="165" cm="1">
        <f t="array" ref="Y75">IFERROR(INDEX($A$3:$F$345,MATCH(U75&amp;R75,$A$3:$A$345&amp;$E$3:$E$345,0),4),"")</f>
        <v>2.8958151191473007</v>
      </c>
      <c r="Z75" s="165" cm="1">
        <f t="array" ref="Z75">IFERROR(INDEX($A$3:$F$345,MATCH(V75&amp;R75,$A$3:$A$345&amp;$E$3:$E$345,0),4),"")</f>
        <v>3.0719044940547064</v>
      </c>
      <c r="AA75" s="165" t="str">
        <f t="shared" si="5"/>
        <v>PV</v>
      </c>
    </row>
    <row r="76" spans="1:27" x14ac:dyDescent="0.25">
      <c r="A76" s="160" t="s">
        <v>1508</v>
      </c>
      <c r="B76" s="160">
        <v>322.73148344727628</v>
      </c>
      <c r="C76" s="160">
        <v>320.17308993079166</v>
      </c>
      <c r="D76" s="160">
        <v>2.5583935164846139</v>
      </c>
      <c r="E76" s="164" t="s">
        <v>1338</v>
      </c>
      <c r="F76" s="167" t="str">
        <f t="shared" si="3"/>
        <v xml:space="preserve">PV </v>
      </c>
      <c r="L76" s="164" t="s">
        <v>1025</v>
      </c>
      <c r="M76" s="164">
        <v>800</v>
      </c>
      <c r="N76" s="169">
        <v>67.822457856286164</v>
      </c>
      <c r="O76" s="164"/>
      <c r="P76" s="164">
        <v>339.03090852007165</v>
      </c>
      <c r="Q76" s="164">
        <v>336.28515724507741</v>
      </c>
      <c r="R76" s="164" t="s">
        <v>1338</v>
      </c>
      <c r="S76" s="515" t="s">
        <v>1097</v>
      </c>
      <c r="T76" s="165" t="str">
        <f t="shared" si="4"/>
        <v xml:space="preserve">TRECHO </v>
      </c>
      <c r="U76" s="160" t="s">
        <v>1331</v>
      </c>
      <c r="V76" s="160" t="s">
        <v>1332</v>
      </c>
      <c r="W76" s="165" cm="1">
        <f t="array" ref="W76">IFERROR(INDEX($A$3:$F$345,MATCH(U76&amp;R76,$A$3:$A$345&amp;$E$3:$E$345,0),2),"")</f>
        <v>342.00281301412633</v>
      </c>
      <c r="X76" s="165" cm="1">
        <f t="array" ref="X76">IFERROR(INDEX($A$3:$F$345,MATCH(V76&amp;R76,$A$3:$A$345&amp;$E$3:$E$345,0),2),"")</f>
        <v>338.23056785124925</v>
      </c>
      <c r="Y76" s="165" cm="1">
        <f t="array" ref="Y76">IFERROR(INDEX($A$3:$F$345,MATCH(U76&amp;R76,$A$3:$A$345&amp;$E$3:$E$345,0),4),"")</f>
        <v>3.0719044940547064</v>
      </c>
      <c r="Z76" s="165" cm="1">
        <f t="array" ref="Z76">IFERROR(INDEX($A$3:$F$345,MATCH(V76&amp;R76,$A$3:$A$345&amp;$E$3:$E$345,0),4),"")</f>
        <v>2.0454106061718562</v>
      </c>
      <c r="AA76" s="165" t="str">
        <f t="shared" si="5"/>
        <v>PV</v>
      </c>
    </row>
    <row r="77" spans="1:27" x14ac:dyDescent="0.25">
      <c r="A77" s="160" t="s">
        <v>1523</v>
      </c>
      <c r="B77" s="160">
        <v>360.32995137689358</v>
      </c>
      <c r="C77" s="160">
        <v>358.11521288097561</v>
      </c>
      <c r="D77" s="160">
        <v>2.2147384959179703</v>
      </c>
      <c r="E77" s="164" t="s">
        <v>1338</v>
      </c>
      <c r="F77" s="167" t="str">
        <f t="shared" si="3"/>
        <v xml:space="preserve">CX </v>
      </c>
      <c r="L77" s="164" t="s">
        <v>1026</v>
      </c>
      <c r="M77" s="164">
        <v>800</v>
      </c>
      <c r="N77" s="169">
        <v>77.291469817183355</v>
      </c>
      <c r="O77" s="164"/>
      <c r="P77" s="164">
        <v>336.28515724507741</v>
      </c>
      <c r="Q77" s="164">
        <v>330.71385271645806</v>
      </c>
      <c r="R77" s="164" t="s">
        <v>1338</v>
      </c>
      <c r="S77" s="515" t="s">
        <v>1097</v>
      </c>
      <c r="T77" s="165" t="str">
        <f t="shared" si="4"/>
        <v xml:space="preserve">TRECHO </v>
      </c>
      <c r="U77" s="160" t="s">
        <v>1332</v>
      </c>
      <c r="V77" s="160" t="s">
        <v>1333</v>
      </c>
      <c r="W77" s="165" cm="1">
        <f t="array" ref="W77">IFERROR(INDEX($A$3:$F$345,MATCH(U77&amp;R77,$A$3:$A$345&amp;$E$3:$E$345,0),2),"")</f>
        <v>338.23056785124925</v>
      </c>
      <c r="X77" s="165" cm="1">
        <f t="array" ref="X77">IFERROR(INDEX($A$3:$F$345,MATCH(V77&amp;R77,$A$3:$A$345&amp;$E$3:$E$345,0),2),"")</f>
        <v>332.44173082293662</v>
      </c>
      <c r="Y77" s="165" cm="1">
        <f t="array" ref="Y77">IFERROR(INDEX($A$3:$F$345,MATCH(U77&amp;R77,$A$3:$A$345&amp;$E$3:$E$345,0),4),"")</f>
        <v>2.0454106061718562</v>
      </c>
      <c r="Z77" s="165" cm="1">
        <f t="array" ref="Z77">IFERROR(INDEX($A$3:$F$345,MATCH(V77&amp;R77,$A$3:$A$345&amp;$E$3:$E$345,0),4),"")</f>
        <v>1.7278781064785562</v>
      </c>
      <c r="AA77" s="165" t="str">
        <f t="shared" si="5"/>
        <v>PV</v>
      </c>
    </row>
    <row r="78" spans="1:27" x14ac:dyDescent="0.25">
      <c r="A78" s="160" t="s">
        <v>1524</v>
      </c>
      <c r="B78" s="160">
        <v>361.45424219145713</v>
      </c>
      <c r="C78" s="160">
        <v>358.49511984919923</v>
      </c>
      <c r="D78" s="160">
        <v>2.9591223422578992</v>
      </c>
      <c r="E78" s="164" t="s">
        <v>1338</v>
      </c>
      <c r="F78" s="167" t="str">
        <f t="shared" si="3"/>
        <v xml:space="preserve">CX </v>
      </c>
      <c r="L78" s="164" t="s">
        <v>1027</v>
      </c>
      <c r="M78" s="164">
        <v>800</v>
      </c>
      <c r="N78" s="169">
        <v>92.573076973220182</v>
      </c>
      <c r="O78" s="164"/>
      <c r="P78" s="164">
        <v>330.7138527164671</v>
      </c>
      <c r="Q78" s="164">
        <v>323.87945256197258</v>
      </c>
      <c r="R78" s="164" t="s">
        <v>1338</v>
      </c>
      <c r="S78" s="515" t="s">
        <v>1097</v>
      </c>
      <c r="T78" s="165" t="str">
        <f t="shared" si="4"/>
        <v xml:space="preserve">TRECHO </v>
      </c>
      <c r="U78" s="160" t="s">
        <v>1333</v>
      </c>
      <c r="V78" s="160" t="s">
        <v>1334</v>
      </c>
      <c r="W78" s="165" cm="1">
        <f t="array" ref="W78">IFERROR(INDEX($A$3:$F$345,MATCH(U78&amp;R78,$A$3:$A$345&amp;$E$3:$E$345,0),2),"")</f>
        <v>332.44173082293662</v>
      </c>
      <c r="X78" s="165" cm="1">
        <f t="array" ref="X78">IFERROR(INDEX($A$3:$F$345,MATCH(V78&amp;R78,$A$3:$A$345&amp;$E$3:$E$345,0),2),"")</f>
        <v>325.6481648595111</v>
      </c>
      <c r="Y78" s="165" cm="1">
        <f t="array" ref="Y78">IFERROR(INDEX($A$3:$F$345,MATCH(U78&amp;R78,$A$3:$A$345&amp;$E$3:$E$345,0),4),"")</f>
        <v>1.7278781064785562</v>
      </c>
      <c r="Z78" s="165" cm="1">
        <f t="array" ref="Z78">IFERROR(INDEX($A$3:$F$345,MATCH(V78&amp;R78,$A$3:$A$345&amp;$E$3:$E$345,0),4),"")</f>
        <v>1.8537449811091165</v>
      </c>
      <c r="AA78" s="165" t="str">
        <f t="shared" si="5"/>
        <v>PV</v>
      </c>
    </row>
    <row r="79" spans="1:27" x14ac:dyDescent="0.25">
      <c r="A79" s="160" t="s">
        <v>1522</v>
      </c>
      <c r="B79" s="160">
        <v>360.59998382078271</v>
      </c>
      <c r="C79" s="160">
        <v>358.56379109730852</v>
      </c>
      <c r="D79" s="160">
        <v>2.036192723474187</v>
      </c>
      <c r="E79" s="164" t="s">
        <v>1338</v>
      </c>
      <c r="F79" s="167" t="str">
        <f t="shared" si="3"/>
        <v xml:space="preserve">CX </v>
      </c>
      <c r="L79" s="164" t="s">
        <v>1028</v>
      </c>
      <c r="M79" s="164">
        <v>800</v>
      </c>
      <c r="N79" s="169">
        <v>63.449029014396061</v>
      </c>
      <c r="O79" s="164"/>
      <c r="P79" s="164">
        <v>323.79441987840198</v>
      </c>
      <c r="Q79" s="164">
        <v>320.87595232855926</v>
      </c>
      <c r="R79" s="164" t="s">
        <v>1338</v>
      </c>
      <c r="S79" s="515" t="s">
        <v>1097</v>
      </c>
      <c r="T79" s="165" t="str">
        <f t="shared" si="4"/>
        <v xml:space="preserve">TRECHO </v>
      </c>
      <c r="U79" s="160" t="s">
        <v>1334</v>
      </c>
      <c r="V79" s="160" t="s">
        <v>1508</v>
      </c>
      <c r="W79" s="165" cm="1">
        <f t="array" ref="W79">IFERROR(INDEX($A$3:$F$345,MATCH(U79&amp;R79,$A$3:$A$345&amp;$E$3:$E$345,0),2),"")</f>
        <v>325.6481648595111</v>
      </c>
      <c r="X79" s="165" cm="1">
        <f t="array" ref="X79">IFERROR(INDEX($A$3:$F$345,MATCH(V79&amp;R79,$A$3:$A$345&amp;$E$3:$E$345,0),2),"")</f>
        <v>322.73148344727628</v>
      </c>
      <c r="Y79" s="165" cm="1">
        <f t="array" ref="Y79">IFERROR(INDEX($A$3:$F$345,MATCH(U79&amp;R79,$A$3:$A$345&amp;$E$3:$E$345,0),4),"")</f>
        <v>1.8537449811091165</v>
      </c>
      <c r="Z79" s="165" cm="1">
        <f t="array" ref="Z79">IFERROR(INDEX($A$3:$F$345,MATCH(V79&amp;R79,$A$3:$A$345&amp;$E$3:$E$345,0),4),"")</f>
        <v>2.5583935164846139</v>
      </c>
      <c r="AA79" s="165" t="str">
        <f t="shared" si="5"/>
        <v>PV</v>
      </c>
    </row>
    <row r="80" spans="1:27" x14ac:dyDescent="0.25">
      <c r="A80" s="160" t="s">
        <v>1509</v>
      </c>
      <c r="B80" s="160">
        <v>361.01259456229758</v>
      </c>
      <c r="C80" s="160">
        <f>B80-1.7</f>
        <v>359.31259456229759</v>
      </c>
      <c r="D80" s="160">
        <f>B80-C80</f>
        <v>1.6999999999999886</v>
      </c>
      <c r="E80" s="164" t="s">
        <v>1338</v>
      </c>
      <c r="F80" s="167" t="str">
        <f t="shared" si="3"/>
        <v>ALA</v>
      </c>
      <c r="L80" s="164" t="s">
        <v>1029</v>
      </c>
      <c r="M80" s="164">
        <v>800</v>
      </c>
      <c r="N80" s="169">
        <v>37.16153264359545</v>
      </c>
      <c r="O80" s="164"/>
      <c r="P80" s="164">
        <v>320.87595232855926</v>
      </c>
      <c r="Q80" s="164">
        <v>319.87363703187287</v>
      </c>
      <c r="R80" s="164" t="s">
        <v>1338</v>
      </c>
      <c r="S80" s="515" t="s">
        <v>1097</v>
      </c>
      <c r="T80" s="165" t="str">
        <f t="shared" si="4"/>
        <v xml:space="preserve">TRECHO </v>
      </c>
      <c r="U80" s="160" t="s">
        <v>1508</v>
      </c>
      <c r="V80" s="160" t="s">
        <v>1335</v>
      </c>
      <c r="W80" s="165" cm="1">
        <f t="array" ref="W80">IFERROR(INDEX($A$3:$F$345,MATCH(U80&amp;R80,$A$3:$A$345&amp;$E$3:$E$345,0),2),"")</f>
        <v>322.73148344727628</v>
      </c>
      <c r="X80" s="165" cm="1">
        <f t="array" ref="X80">IFERROR(INDEX($A$3:$F$345,MATCH(V80&amp;R80,$A$3:$A$345&amp;$E$3:$E$345,0),2),"")</f>
        <v>320.72363703187284</v>
      </c>
      <c r="Y80" s="165" cm="1">
        <f t="array" ref="Y80">IFERROR(INDEX($A$3:$F$345,MATCH(U80&amp;R80,$A$3:$A$345&amp;$E$3:$E$345,0),4),"")</f>
        <v>2.5583935164846139</v>
      </c>
      <c r="Z80" s="165" cm="1">
        <f t="array" ref="Z80">IFERROR(INDEX($A$3:$F$345,MATCH(V80&amp;R80,$A$3:$A$345&amp;$E$3:$E$345,0),4),"")</f>
        <v>0.84963703187281681</v>
      </c>
      <c r="AA80" s="165" t="str">
        <f t="shared" si="5"/>
        <v>PV</v>
      </c>
    </row>
    <row r="81" spans="1:27" x14ac:dyDescent="0.25">
      <c r="A81" s="160" t="s">
        <v>1510</v>
      </c>
      <c r="B81" s="160">
        <v>360.57991972661176</v>
      </c>
      <c r="C81" s="160">
        <f>B81-1.7</f>
        <v>358.87991972661177</v>
      </c>
      <c r="D81" s="160">
        <f>B81-C81</f>
        <v>1.6999999999999886</v>
      </c>
      <c r="E81" s="164" t="s">
        <v>1338</v>
      </c>
      <c r="F81" s="167" t="str">
        <f t="shared" si="3"/>
        <v>ALA</v>
      </c>
      <c r="L81" s="164" t="s">
        <v>1030</v>
      </c>
      <c r="M81" s="164">
        <v>600</v>
      </c>
      <c r="N81" s="169">
        <v>18.741659678224813</v>
      </c>
      <c r="O81" s="164"/>
      <c r="P81" s="164">
        <v>358.21521288097563</v>
      </c>
      <c r="Q81" s="164">
        <v>358.12150458258452</v>
      </c>
      <c r="R81" s="164" t="s">
        <v>1338</v>
      </c>
      <c r="S81" s="515" t="s">
        <v>1097</v>
      </c>
      <c r="T81" s="165" t="str">
        <f t="shared" si="4"/>
        <v xml:space="preserve">TRECHO </v>
      </c>
      <c r="U81" s="160" t="s">
        <v>1523</v>
      </c>
      <c r="V81" s="160" t="s">
        <v>1328</v>
      </c>
      <c r="W81" s="165" cm="1">
        <f t="array" ref="W81">IFERROR(INDEX($A$3:$F$345,MATCH(U81&amp;R81,$A$3:$A$345&amp;$E$3:$E$345,0),2),"")</f>
        <v>360.32995137689358</v>
      </c>
      <c r="X81" s="165" cm="1">
        <f t="array" ref="X81">IFERROR(INDEX($A$3:$F$345,MATCH(V81&amp;R81,$A$3:$A$345&amp;$E$3:$E$345,0),2),"")</f>
        <v>360.41508420480528</v>
      </c>
      <c r="Y81" s="165" cm="1">
        <f t="array" ref="Y81">IFERROR(INDEX($A$3:$F$345,MATCH(U81&amp;R81,$A$3:$A$345&amp;$E$3:$E$345,0),4),"")</f>
        <v>2.2147384959179703</v>
      </c>
      <c r="Z81" s="165" cm="1">
        <f t="array" ref="Z81">IFERROR(INDEX($A$3:$F$345,MATCH(V81&amp;R81,$A$3:$A$345&amp;$E$3:$E$345,0),4),"")</f>
        <v>2.7694871458714374</v>
      </c>
      <c r="AA81" s="165" t="str">
        <f t="shared" si="5"/>
        <v>CX</v>
      </c>
    </row>
    <row r="82" spans="1:27" x14ac:dyDescent="0.25">
      <c r="A82" s="160" t="s">
        <v>1511</v>
      </c>
      <c r="B82" s="160">
        <v>360.87689804289334</v>
      </c>
      <c r="C82" s="160">
        <f>B82-1.7</f>
        <v>359.17689804289336</v>
      </c>
      <c r="D82" s="160">
        <f>B82-C82</f>
        <v>1.6999999999999886</v>
      </c>
      <c r="E82" s="164" t="s">
        <v>1338</v>
      </c>
      <c r="F82" s="167" t="str">
        <f t="shared" si="3"/>
        <v>nul</v>
      </c>
      <c r="L82" s="164" t="s">
        <v>1031</v>
      </c>
      <c r="M82" s="164">
        <v>600</v>
      </c>
      <c r="N82" s="169">
        <v>18.016735576820516</v>
      </c>
      <c r="O82" s="164"/>
      <c r="P82" s="164">
        <v>358.59511984919925</v>
      </c>
      <c r="Q82" s="164">
        <v>357.95821354203719</v>
      </c>
      <c r="R82" s="164" t="s">
        <v>1338</v>
      </c>
      <c r="S82" s="515" t="s">
        <v>1097</v>
      </c>
      <c r="T82" s="165" t="str">
        <f t="shared" si="4"/>
        <v xml:space="preserve">TRECHO </v>
      </c>
      <c r="U82" s="160" t="s">
        <v>1524</v>
      </c>
      <c r="V82" s="160" t="s">
        <v>1328</v>
      </c>
      <c r="W82" s="165" cm="1">
        <f t="array" ref="W82">IFERROR(INDEX($A$3:$F$345,MATCH(U82&amp;R82,$A$3:$A$345&amp;$E$3:$E$345,0),2),"")</f>
        <v>361.45424219145713</v>
      </c>
      <c r="X82" s="165" cm="1">
        <f t="array" ref="X82">IFERROR(INDEX($A$3:$F$345,MATCH(V82&amp;R82,$A$3:$A$345&amp;$E$3:$E$345,0),2),"")</f>
        <v>360.41508420480528</v>
      </c>
      <c r="Y82" s="165" cm="1">
        <f t="array" ref="Y82">IFERROR(INDEX($A$3:$F$345,MATCH(U82&amp;R82,$A$3:$A$345&amp;$E$3:$E$345,0),4),"")</f>
        <v>2.9591223422578992</v>
      </c>
      <c r="Z82" s="165" cm="1">
        <f t="array" ref="Z82">IFERROR(INDEX($A$3:$F$345,MATCH(V82&amp;R82,$A$3:$A$345&amp;$E$3:$E$345,0),4),"")</f>
        <v>2.7694871458714374</v>
      </c>
      <c r="AA82" s="165" t="str">
        <f t="shared" si="5"/>
        <v>CX</v>
      </c>
    </row>
    <row r="83" spans="1:27" x14ac:dyDescent="0.25">
      <c r="A83" s="160" t="s">
        <v>1512</v>
      </c>
      <c r="B83" s="160">
        <v>362.01372080202782</v>
      </c>
      <c r="C83" s="160">
        <v>361.01372080202799</v>
      </c>
      <c r="D83" s="160">
        <f>B83-C83</f>
        <v>0.99999999999982947</v>
      </c>
      <c r="E83" s="164" t="s">
        <v>1338</v>
      </c>
      <c r="F83" s="167" t="str">
        <f t="shared" si="3"/>
        <v>???</v>
      </c>
      <c r="L83" s="164" t="s">
        <v>1032</v>
      </c>
      <c r="M83" s="164">
        <v>600</v>
      </c>
      <c r="N83" s="169">
        <v>9.2069482811286871</v>
      </c>
      <c r="O83" s="164"/>
      <c r="P83" s="164">
        <v>358.66379109730855</v>
      </c>
      <c r="Q83" s="164">
        <v>358.15214752493091</v>
      </c>
      <c r="R83" s="164" t="s">
        <v>1338</v>
      </c>
      <c r="S83" s="515" t="s">
        <v>1097</v>
      </c>
      <c r="T83" s="165" t="str">
        <f t="shared" si="4"/>
        <v xml:space="preserve">TRECHO </v>
      </c>
      <c r="U83" s="160" t="s">
        <v>1522</v>
      </c>
      <c r="V83" s="160" t="s">
        <v>1328</v>
      </c>
      <c r="W83" s="165" cm="1">
        <f t="array" ref="W83">IFERROR(INDEX($A$3:$F$345,MATCH(U83&amp;R83,$A$3:$A$345&amp;$E$3:$E$345,0),2),"")</f>
        <v>360.59998382078271</v>
      </c>
      <c r="X83" s="165" cm="1">
        <f t="array" ref="X83">IFERROR(INDEX($A$3:$F$345,MATCH(V83&amp;R83,$A$3:$A$345&amp;$E$3:$E$345,0),2),"")</f>
        <v>360.41508420480528</v>
      </c>
      <c r="Y83" s="165" cm="1">
        <f t="array" ref="Y83">IFERROR(INDEX($A$3:$F$345,MATCH(U83&amp;R83,$A$3:$A$345&amp;$E$3:$E$345,0),4),"")</f>
        <v>2.036192723474187</v>
      </c>
      <c r="Z83" s="165" cm="1">
        <f t="array" ref="Z83">IFERROR(INDEX($A$3:$F$345,MATCH(V83&amp;R83,$A$3:$A$345&amp;$E$3:$E$345,0),4),"")</f>
        <v>2.7694871458714374</v>
      </c>
      <c r="AA83" s="165" t="str">
        <f t="shared" si="5"/>
        <v>CX</v>
      </c>
    </row>
    <row r="84" spans="1:27" x14ac:dyDescent="0.25">
      <c r="A84" s="160" t="s">
        <v>1513</v>
      </c>
      <c r="B84" s="160">
        <v>354.78928887693235</v>
      </c>
      <c r="C84" s="160">
        <v>353.00215083966509</v>
      </c>
      <c r="D84" s="160">
        <v>1.7871380372672547</v>
      </c>
      <c r="E84" s="164" t="s">
        <v>1338</v>
      </c>
      <c r="F84" s="167" t="str">
        <f t="shared" si="3"/>
        <v>BLD</v>
      </c>
      <c r="L84" s="164" t="s">
        <v>1337</v>
      </c>
      <c r="M84" s="164">
        <v>600</v>
      </c>
      <c r="N84" s="169">
        <v>25.197350689401301</v>
      </c>
      <c r="O84" s="164"/>
      <c r="P84" s="164">
        <v>360.36259456229755</v>
      </c>
      <c r="Q84" s="164">
        <v>359.92991972661173</v>
      </c>
      <c r="R84" s="164" t="s">
        <v>1338</v>
      </c>
      <c r="S84" s="515" t="s">
        <v>1097</v>
      </c>
      <c r="T84" s="165" t="str">
        <f t="shared" si="4"/>
        <v xml:space="preserve">TRECHO </v>
      </c>
      <c r="U84" s="160" t="s">
        <v>1509</v>
      </c>
      <c r="V84" s="160" t="s">
        <v>1510</v>
      </c>
      <c r="W84" s="165" cm="1">
        <f t="array" ref="W84">IFERROR(INDEX($A$3:$F$345,MATCH(U84&amp;R84,$A$3:$A$345&amp;$E$3:$E$345,0),2),"")</f>
        <v>361.01259456229758</v>
      </c>
      <c r="X84" s="165" cm="1">
        <f t="array" ref="X84">IFERROR(INDEX($A$3:$F$345,MATCH(V84&amp;R84,$A$3:$A$345&amp;$E$3:$E$345,0),2),"")</f>
        <v>360.57991972661176</v>
      </c>
      <c r="Y84" s="165" cm="1">
        <f t="array" ref="Y84">IFERROR(INDEX($A$3:$F$345,MATCH(U84&amp;R84,$A$3:$A$345&amp;$E$3:$E$345,0),4),"")</f>
        <v>1.6999999999999886</v>
      </c>
      <c r="Z84" s="165" cm="1">
        <f t="array" ref="Z84">IFERROR(INDEX($A$3:$F$345,MATCH(V84&amp;R84,$A$3:$A$345&amp;$E$3:$E$345,0),4),"")</f>
        <v>1.6999999999999886</v>
      </c>
      <c r="AA84" s="165" t="str">
        <f t="shared" si="5"/>
        <v>AL</v>
      </c>
    </row>
    <row r="85" spans="1:27" x14ac:dyDescent="0.25">
      <c r="A85" s="160" t="s">
        <v>1514</v>
      </c>
      <c r="B85" s="160">
        <v>354.91640156542201</v>
      </c>
      <c r="C85" s="160">
        <v>352.99053596776389</v>
      </c>
      <c r="D85" s="160">
        <v>1.9258655976581167</v>
      </c>
      <c r="E85" s="164" t="s">
        <v>1338</v>
      </c>
      <c r="F85" s="167" t="str">
        <f t="shared" si="3"/>
        <v>BLD</v>
      </c>
      <c r="L85" s="164" t="s">
        <v>1498</v>
      </c>
      <c r="M85" s="164">
        <v>600</v>
      </c>
      <c r="N85" s="169">
        <v>69.718082740654779</v>
      </c>
      <c r="O85" s="164"/>
      <c r="P85" s="164">
        <v>359.97278275192315</v>
      </c>
      <c r="Q85" s="164">
        <v>359.18219987786011</v>
      </c>
      <c r="R85" s="164" t="s">
        <v>1338</v>
      </c>
      <c r="S85" s="515" t="s">
        <v>1097</v>
      </c>
      <c r="T85" s="165" t="str">
        <f t="shared" si="4"/>
        <v xml:space="preserve">VALETA </v>
      </c>
      <c r="U85" s="160" t="s">
        <v>1510</v>
      </c>
      <c r="V85" s="160" t="s">
        <v>1523</v>
      </c>
      <c r="W85" s="165" cm="1">
        <f t="array" ref="W85">IFERROR(INDEX($A$3:$F$345,MATCH(U85&amp;R85,$A$3:$A$345&amp;$E$3:$E$345,0),2),"")</f>
        <v>360.57991972661176</v>
      </c>
      <c r="X85" s="165" cm="1">
        <f t="array" ref="X85">IFERROR(INDEX($A$3:$F$345,MATCH(V85&amp;R85,$A$3:$A$345&amp;$E$3:$E$345,0),2),"")</f>
        <v>360.32995137689358</v>
      </c>
      <c r="Y85" s="165" cm="1">
        <f t="array" ref="Y85">IFERROR(INDEX($A$3:$F$345,MATCH(U85&amp;R85,$A$3:$A$345&amp;$E$3:$E$345,0),4),"")</f>
        <v>1.6999999999999886</v>
      </c>
      <c r="Z85" s="165" cm="1">
        <f t="array" ref="Z85">IFERROR(INDEX($A$3:$F$345,MATCH(V85&amp;R85,$A$3:$A$345&amp;$E$3:$E$345,0),4),"")</f>
        <v>2.2147384959179703</v>
      </c>
      <c r="AA85" s="165" t="str">
        <f t="shared" si="5"/>
        <v>AL</v>
      </c>
    </row>
    <row r="86" spans="1:27" x14ac:dyDescent="0.25">
      <c r="A86" s="160" t="s">
        <v>1515</v>
      </c>
      <c r="B86" s="160">
        <v>350.88479895565473</v>
      </c>
      <c r="C86" s="160">
        <v>349.59983273560607</v>
      </c>
      <c r="D86" s="160">
        <v>1.2849662200486591</v>
      </c>
      <c r="E86" s="164" t="s">
        <v>1338</v>
      </c>
      <c r="F86" s="167" t="str">
        <f t="shared" si="3"/>
        <v>BLD</v>
      </c>
      <c r="L86" s="164" t="s">
        <v>1499</v>
      </c>
      <c r="M86" s="164">
        <v>600</v>
      </c>
      <c r="N86" s="169">
        <v>173.69635815835747</v>
      </c>
      <c r="O86" s="164"/>
      <c r="P86" s="164">
        <v>360.34689804289337</v>
      </c>
      <c r="Q86" s="164">
        <v>358.89511984919926</v>
      </c>
      <c r="R86" s="164" t="s">
        <v>1338</v>
      </c>
      <c r="S86" s="515" t="s">
        <v>1097</v>
      </c>
      <c r="T86" s="165" t="str">
        <f t="shared" si="4"/>
        <v xml:space="preserve">VALETA </v>
      </c>
      <c r="U86" s="160" t="s">
        <v>1511</v>
      </c>
      <c r="V86" s="160" t="s">
        <v>1524</v>
      </c>
      <c r="W86" s="165" cm="1">
        <f t="array" ref="W86">IFERROR(INDEX($A$3:$F$345,MATCH(U86&amp;R86,$A$3:$A$345&amp;$E$3:$E$345,0),2),"")</f>
        <v>360.87689804289334</v>
      </c>
      <c r="X86" s="165" cm="1">
        <f t="array" ref="X86">IFERROR(INDEX($A$3:$F$345,MATCH(V86&amp;R86,$A$3:$A$345&amp;$E$3:$E$345,0),2),"")</f>
        <v>361.45424219145713</v>
      </c>
      <c r="Y86" s="165" cm="1">
        <f t="array" ref="Y86">IFERROR(INDEX($A$3:$F$345,MATCH(U86&amp;R86,$A$3:$A$345&amp;$E$3:$E$345,0),4),"")</f>
        <v>1.6999999999999886</v>
      </c>
      <c r="Z86" s="165" cm="1">
        <f t="array" ref="Z86">IFERROR(INDEX($A$3:$F$345,MATCH(V86&amp;R86,$A$3:$A$345&amp;$E$3:$E$345,0),4),"")</f>
        <v>2.9591223422578992</v>
      </c>
      <c r="AA86" s="165" t="str">
        <f t="shared" si="5"/>
        <v>nu</v>
      </c>
    </row>
    <row r="87" spans="1:27" x14ac:dyDescent="0.25">
      <c r="A87" s="160" t="s">
        <v>1516</v>
      </c>
      <c r="B87" s="160">
        <v>350.87836963005168</v>
      </c>
      <c r="C87" s="160">
        <v>349.59608928213635</v>
      </c>
      <c r="D87" s="160">
        <v>1.2822803479153322</v>
      </c>
      <c r="E87" s="164" t="s">
        <v>1338</v>
      </c>
      <c r="F87" s="167" t="str">
        <f t="shared" si="3"/>
        <v>BLD</v>
      </c>
      <c r="L87" s="164" t="s">
        <v>1500</v>
      </c>
      <c r="M87" s="164">
        <v>600</v>
      </c>
      <c r="N87" s="169">
        <v>77.23332627534748</v>
      </c>
      <c r="O87" s="164"/>
      <c r="P87" s="164">
        <v>361.48372080202779</v>
      </c>
      <c r="Q87" s="164">
        <v>360.41259456234621</v>
      </c>
      <c r="R87" s="164" t="s">
        <v>1338</v>
      </c>
      <c r="S87" s="515" t="s">
        <v>1097</v>
      </c>
      <c r="T87" s="165" t="str">
        <f t="shared" si="4"/>
        <v xml:space="preserve">VALETA </v>
      </c>
      <c r="U87" s="160" t="s">
        <v>1512</v>
      </c>
      <c r="V87" s="160" t="s">
        <v>1509</v>
      </c>
      <c r="W87" s="165" cm="1">
        <f t="array" ref="W87">IFERROR(INDEX($A$3:$F$345,MATCH(U87&amp;R87,$A$3:$A$345&amp;$E$3:$E$345,0),2),"")</f>
        <v>362.01372080202782</v>
      </c>
      <c r="X87" s="165" cm="1">
        <f t="array" ref="X87">IFERROR(INDEX($A$3:$F$345,MATCH(V87&amp;R87,$A$3:$A$345&amp;$E$3:$E$345,0),2),"")</f>
        <v>361.01259456229758</v>
      </c>
      <c r="Y87" s="165" cm="1">
        <f t="array" ref="Y87">IFERROR(INDEX($A$3:$F$345,MATCH(U87&amp;R87,$A$3:$A$345&amp;$E$3:$E$345,0),4),"")</f>
        <v>0.99999999999982947</v>
      </c>
      <c r="Z87" s="165" cm="1">
        <f t="array" ref="Z87">IFERROR(INDEX($A$3:$F$345,MATCH(V87&amp;R87,$A$3:$A$345&amp;$E$3:$E$345,0),4),"")</f>
        <v>1.6999999999999886</v>
      </c>
      <c r="AA87" s="165" t="str">
        <f t="shared" si="5"/>
        <v>??</v>
      </c>
    </row>
    <row r="88" spans="1:27" x14ac:dyDescent="0.25">
      <c r="A88" s="160" t="s">
        <v>1335</v>
      </c>
      <c r="B88" s="160">
        <v>320.72363703187284</v>
      </c>
      <c r="C88" s="160">
        <v>319.87400000000002</v>
      </c>
      <c r="D88" s="160">
        <f>B88-C88</f>
        <v>0.84963703187281681</v>
      </c>
      <c r="E88" s="164" t="s">
        <v>1338</v>
      </c>
      <c r="F88" s="167" t="str">
        <f t="shared" si="3"/>
        <v>DIS</v>
      </c>
      <c r="L88" s="164"/>
      <c r="M88" s="164"/>
      <c r="N88" s="169"/>
      <c r="O88" s="164"/>
      <c r="P88" s="164"/>
      <c r="Q88" s="164"/>
      <c r="R88" s="164"/>
      <c r="S88" s="515"/>
      <c r="T88" s="165" t="str">
        <f t="shared" si="4"/>
        <v/>
      </c>
      <c r="U88" s="160"/>
      <c r="V88" s="160"/>
      <c r="W88" s="165" cm="1">
        <f t="array" ref="W88">IFERROR(INDEX($A$3:$F$345,MATCH(U88&amp;R88,$A$3:$A$345&amp;$E$3:$E$345,0),2),"")</f>
        <v>0</v>
      </c>
      <c r="X88" s="165" cm="1">
        <f t="array" ref="X88">IFERROR(INDEX($A$3:$F$345,MATCH(V88&amp;R88,$A$3:$A$345&amp;$E$3:$E$345,0),2),"")</f>
        <v>0</v>
      </c>
      <c r="Y88" s="165" cm="1">
        <f t="array" ref="Y88">IFERROR(INDEX($A$3:$F$345,MATCH(U88&amp;R88,$A$3:$A$345&amp;$E$3:$E$345,0),4),"")</f>
        <v>0</v>
      </c>
      <c r="Z88" s="165" cm="1">
        <f t="array" ref="Z88">IFERROR(INDEX($A$3:$F$345,MATCH(V88&amp;R88,$A$3:$A$345&amp;$E$3:$E$345,0),4),"")</f>
        <v>0</v>
      </c>
      <c r="AA88" s="165" t="str">
        <f t="shared" si="5"/>
        <v/>
      </c>
    </row>
    <row r="89" spans="1:27" x14ac:dyDescent="0.25">
      <c r="A89" s="160"/>
      <c r="B89" s="160"/>
      <c r="C89" s="160"/>
      <c r="D89" s="160"/>
      <c r="E89" s="164"/>
      <c r="F89" s="167" t="str">
        <f t="shared" si="3"/>
        <v/>
      </c>
      <c r="L89" s="164"/>
      <c r="M89" s="164"/>
      <c r="N89" s="169"/>
      <c r="O89" s="164"/>
      <c r="P89" s="164"/>
      <c r="Q89" s="164"/>
      <c r="R89" s="164"/>
      <c r="S89" s="515"/>
      <c r="T89" s="165" t="str">
        <f t="shared" si="4"/>
        <v/>
      </c>
      <c r="U89" s="160"/>
      <c r="V89" s="160"/>
      <c r="W89" s="165" cm="1">
        <f t="array" ref="W89">IFERROR(INDEX($A$3:$F$345,MATCH(U89&amp;R89,$A$3:$A$345&amp;$E$3:$E$345,0),2),"")</f>
        <v>0</v>
      </c>
      <c r="X89" s="165" cm="1">
        <f t="array" ref="X89">IFERROR(INDEX($A$3:$F$345,MATCH(V89&amp;R89,$A$3:$A$345&amp;$E$3:$E$345,0),2),"")</f>
        <v>0</v>
      </c>
      <c r="Y89" s="165" cm="1">
        <f t="array" ref="Y89">IFERROR(INDEX($A$3:$F$345,MATCH(U89&amp;R89,$A$3:$A$345&amp;$E$3:$E$345,0),4),"")</f>
        <v>0</v>
      </c>
      <c r="Z89" s="165" cm="1">
        <f t="array" ref="Z89">IFERROR(INDEX($A$3:$F$345,MATCH(V89&amp;R89,$A$3:$A$345&amp;$E$3:$E$345,0),4),"")</f>
        <v>0</v>
      </c>
      <c r="AA89" s="165" t="str">
        <f t="shared" si="5"/>
        <v/>
      </c>
    </row>
    <row r="90" spans="1:27" x14ac:dyDescent="0.25">
      <c r="A90" s="160"/>
      <c r="B90" s="160"/>
      <c r="C90" s="160"/>
      <c r="D90" s="160"/>
      <c r="E90" s="164"/>
      <c r="F90" s="167" t="str">
        <f t="shared" si="3"/>
        <v/>
      </c>
      <c r="L90" s="164"/>
      <c r="M90" s="164"/>
      <c r="N90" s="169"/>
      <c r="O90" s="164"/>
      <c r="P90" s="164"/>
      <c r="Q90" s="164"/>
      <c r="R90" s="164"/>
      <c r="S90" s="515"/>
      <c r="T90" s="165" t="str">
        <f t="shared" si="4"/>
        <v/>
      </c>
      <c r="U90" s="160"/>
      <c r="V90" s="160"/>
      <c r="W90" s="165" cm="1">
        <f t="array" ref="W90">IFERROR(INDEX($A$3:$F$345,MATCH(U90&amp;R90,$A$3:$A$345&amp;$E$3:$E$345,0),2),"")</f>
        <v>0</v>
      </c>
      <c r="X90" s="165" cm="1">
        <f t="array" ref="X90">IFERROR(INDEX($A$3:$F$345,MATCH(V90&amp;R90,$A$3:$A$345&amp;$E$3:$E$345,0),2),"")</f>
        <v>0</v>
      </c>
      <c r="Y90" s="165" cm="1">
        <f t="array" ref="Y90">IFERROR(INDEX($A$3:$F$345,MATCH(U90&amp;R90,$A$3:$A$345&amp;$E$3:$E$345,0),4),"")</f>
        <v>0</v>
      </c>
      <c r="Z90" s="165" cm="1">
        <f t="array" ref="Z90">IFERROR(INDEX($A$3:$F$345,MATCH(V90&amp;R90,$A$3:$A$345&amp;$E$3:$E$345,0),4),"")</f>
        <v>0</v>
      </c>
      <c r="AA90" s="165" t="str">
        <f t="shared" si="5"/>
        <v/>
      </c>
    </row>
    <row r="91" spans="1:27" x14ac:dyDescent="0.25">
      <c r="A91" s="160"/>
      <c r="B91" s="160"/>
      <c r="C91" s="160"/>
      <c r="D91" s="160"/>
      <c r="E91" s="160"/>
      <c r="F91" s="167" t="str">
        <f t="shared" si="3"/>
        <v/>
      </c>
      <c r="L91" s="164"/>
      <c r="M91" s="164"/>
      <c r="N91" s="169"/>
      <c r="O91" s="164"/>
      <c r="P91" s="164"/>
      <c r="Q91" s="164"/>
      <c r="R91" s="164"/>
      <c r="S91" s="515"/>
      <c r="T91" s="165" t="str">
        <f t="shared" si="4"/>
        <v/>
      </c>
      <c r="U91" s="160"/>
      <c r="V91" s="160"/>
      <c r="W91" s="165" cm="1">
        <f t="array" ref="W91">IFERROR(INDEX($A$3:$F$345,MATCH(U91&amp;R91,$A$3:$A$345&amp;$E$3:$E$345,0),2),"")</f>
        <v>0</v>
      </c>
      <c r="X91" s="165" cm="1">
        <f t="array" ref="X91">IFERROR(INDEX($A$3:$F$345,MATCH(V91&amp;R91,$A$3:$A$345&amp;$E$3:$E$345,0),2),"")</f>
        <v>0</v>
      </c>
      <c r="Y91" s="165" cm="1">
        <f t="array" ref="Y91">IFERROR(INDEX($A$3:$F$345,MATCH(U91&amp;R91,$A$3:$A$345&amp;$E$3:$E$345,0),4),"")</f>
        <v>0</v>
      </c>
      <c r="Z91" s="165" cm="1">
        <f t="array" ref="Z91">IFERROR(INDEX($A$3:$F$345,MATCH(V91&amp;R91,$A$3:$A$345&amp;$E$3:$E$345,0),4),"")</f>
        <v>0</v>
      </c>
      <c r="AA91" s="165" t="str">
        <f t="shared" si="5"/>
        <v/>
      </c>
    </row>
    <row r="92" spans="1:27" x14ac:dyDescent="0.25">
      <c r="A92" s="160"/>
      <c r="B92" s="160"/>
      <c r="C92" s="160"/>
      <c r="D92" s="160"/>
      <c r="E92" s="160"/>
      <c r="F92" s="167" t="str">
        <f t="shared" si="3"/>
        <v/>
      </c>
      <c r="L92" s="164"/>
      <c r="M92" s="164"/>
      <c r="N92" s="169"/>
      <c r="O92" s="164"/>
      <c r="P92" s="164"/>
      <c r="Q92" s="164"/>
      <c r="R92" s="164"/>
      <c r="S92" s="515"/>
      <c r="T92" s="165" t="str">
        <f t="shared" si="4"/>
        <v/>
      </c>
      <c r="U92" s="160"/>
      <c r="V92" s="160"/>
      <c r="W92" s="165" cm="1">
        <f t="array" ref="W92">IFERROR(INDEX($A$3:$F$345,MATCH(U92&amp;R92,$A$3:$A$345&amp;$E$3:$E$345,0),2),"")</f>
        <v>0</v>
      </c>
      <c r="X92" s="165" cm="1">
        <f t="array" ref="X92">IFERROR(INDEX($A$3:$F$345,MATCH(V92&amp;R92,$A$3:$A$345&amp;$E$3:$E$345,0),2),"")</f>
        <v>0</v>
      </c>
      <c r="Y92" s="165" cm="1">
        <f t="array" ref="Y92">IFERROR(INDEX($A$3:$F$345,MATCH(U92&amp;R92,$A$3:$A$345&amp;$E$3:$E$345,0),4),"")</f>
        <v>0</v>
      </c>
      <c r="Z92" s="165" cm="1">
        <f t="array" ref="Z92">IFERROR(INDEX($A$3:$F$345,MATCH(V92&amp;R92,$A$3:$A$345&amp;$E$3:$E$345,0),4),"")</f>
        <v>0</v>
      </c>
      <c r="AA92" s="165" t="str">
        <f t="shared" si="5"/>
        <v/>
      </c>
    </row>
    <row r="93" spans="1:27" x14ac:dyDescent="0.25">
      <c r="A93" s="160"/>
      <c r="B93" s="160"/>
      <c r="C93" s="160"/>
      <c r="D93" s="160"/>
      <c r="E93" s="160"/>
      <c r="F93" s="167" t="str">
        <f t="shared" si="3"/>
        <v/>
      </c>
      <c r="L93" s="164"/>
      <c r="M93" s="164"/>
      <c r="N93" s="169"/>
      <c r="O93" s="164"/>
      <c r="P93" s="164"/>
      <c r="Q93" s="164"/>
      <c r="R93" s="164"/>
      <c r="S93" s="515"/>
      <c r="T93" s="165" t="str">
        <f t="shared" si="4"/>
        <v/>
      </c>
      <c r="U93" s="160"/>
      <c r="V93" s="160"/>
      <c r="W93" s="165" cm="1">
        <f t="array" ref="W93">IFERROR(INDEX($A$3:$F$345,MATCH(U93&amp;R93,$A$3:$A$345&amp;$E$3:$E$345,0),2),"")</f>
        <v>0</v>
      </c>
      <c r="X93" s="165" cm="1">
        <f t="array" ref="X93">IFERROR(INDEX($A$3:$F$345,MATCH(V93&amp;R93,$A$3:$A$345&amp;$E$3:$E$345,0),2),"")</f>
        <v>0</v>
      </c>
      <c r="Y93" s="165" cm="1">
        <f t="array" ref="Y93">IFERROR(INDEX($A$3:$F$345,MATCH(U93&amp;R93,$A$3:$A$345&amp;$E$3:$E$345,0),4),"")</f>
        <v>0</v>
      </c>
      <c r="Z93" s="165" cm="1">
        <f t="array" ref="Z93">IFERROR(INDEX($A$3:$F$345,MATCH(V93&amp;R93,$A$3:$A$345&amp;$E$3:$E$345,0),4),"")</f>
        <v>0</v>
      </c>
      <c r="AA93" s="165" t="str">
        <f t="shared" si="5"/>
        <v/>
      </c>
    </row>
    <row r="94" spans="1:27" x14ac:dyDescent="0.25">
      <c r="A94" s="160"/>
      <c r="B94" s="160"/>
      <c r="C94" s="160"/>
      <c r="D94" s="160"/>
      <c r="E94" s="160"/>
      <c r="F94" s="167" t="str">
        <f t="shared" si="3"/>
        <v/>
      </c>
      <c r="L94" s="164"/>
      <c r="M94" s="164"/>
      <c r="N94" s="169"/>
      <c r="O94" s="164"/>
      <c r="P94" s="164"/>
      <c r="Q94" s="164"/>
      <c r="R94" s="164"/>
      <c r="S94" s="515"/>
      <c r="T94" s="165" t="str">
        <f t="shared" si="4"/>
        <v/>
      </c>
      <c r="U94" s="160"/>
      <c r="V94" s="160"/>
      <c r="W94" s="165" cm="1">
        <f t="array" ref="W94">IFERROR(INDEX($A$3:$F$345,MATCH(U94&amp;R94,$A$3:$A$345&amp;$E$3:$E$345,0),2),"")</f>
        <v>0</v>
      </c>
      <c r="X94" s="165" cm="1">
        <f t="array" ref="X94">IFERROR(INDEX($A$3:$F$345,MATCH(V94&amp;R94,$A$3:$A$345&amp;$E$3:$E$345,0),2),"")</f>
        <v>0</v>
      </c>
      <c r="Y94" s="165" cm="1">
        <f t="array" ref="Y94">IFERROR(INDEX($A$3:$F$345,MATCH(U94&amp;R94,$A$3:$A$345&amp;$E$3:$E$345,0),4),"")</f>
        <v>0</v>
      </c>
      <c r="Z94" s="165" cm="1">
        <f t="array" ref="Z94">IFERROR(INDEX($A$3:$F$345,MATCH(V94&amp;R94,$A$3:$A$345&amp;$E$3:$E$345,0),4),"")</f>
        <v>0</v>
      </c>
      <c r="AA94" s="165" t="str">
        <f t="shared" si="5"/>
        <v/>
      </c>
    </row>
    <row r="95" spans="1:27" x14ac:dyDescent="0.25">
      <c r="A95" s="160"/>
      <c r="B95" s="160"/>
      <c r="C95" s="160"/>
      <c r="D95" s="160"/>
      <c r="E95" s="160"/>
      <c r="F95" s="167" t="str">
        <f t="shared" si="3"/>
        <v/>
      </c>
      <c r="L95" s="164"/>
      <c r="M95" s="164"/>
      <c r="N95" s="169"/>
      <c r="O95" s="164"/>
      <c r="P95" s="164"/>
      <c r="Q95" s="164"/>
      <c r="R95" s="164"/>
      <c r="S95" s="515"/>
      <c r="T95" s="165" t="str">
        <f t="shared" si="4"/>
        <v/>
      </c>
      <c r="U95" s="160"/>
      <c r="V95" s="160"/>
      <c r="W95" s="165" cm="1">
        <f t="array" ref="W95">IFERROR(INDEX($A$3:$F$345,MATCH(U95&amp;R95,$A$3:$A$345&amp;$E$3:$E$345,0),2),"")</f>
        <v>0</v>
      </c>
      <c r="X95" s="165" cm="1">
        <f t="array" ref="X95">IFERROR(INDEX($A$3:$F$345,MATCH(V95&amp;R95,$A$3:$A$345&amp;$E$3:$E$345,0),2),"")</f>
        <v>0</v>
      </c>
      <c r="Y95" s="165" cm="1">
        <f t="array" ref="Y95">IFERROR(INDEX($A$3:$F$345,MATCH(U95&amp;R95,$A$3:$A$345&amp;$E$3:$E$345,0),4),"")</f>
        <v>0</v>
      </c>
      <c r="Z95" s="165" cm="1">
        <f t="array" ref="Z95">IFERROR(INDEX($A$3:$F$345,MATCH(V95&amp;R95,$A$3:$A$345&amp;$E$3:$E$345,0),4),"")</f>
        <v>0</v>
      </c>
      <c r="AA95" s="165" t="str">
        <f t="shared" si="5"/>
        <v/>
      </c>
    </row>
    <row r="96" spans="1:27" x14ac:dyDescent="0.25">
      <c r="A96" s="160"/>
      <c r="B96" s="160"/>
      <c r="C96" s="160"/>
      <c r="D96" s="160"/>
      <c r="E96" s="160"/>
      <c r="F96" s="167" t="str">
        <f t="shared" si="3"/>
        <v/>
      </c>
      <c r="L96" s="164"/>
      <c r="M96" s="164"/>
      <c r="N96" s="169"/>
      <c r="O96" s="164"/>
      <c r="P96" s="164"/>
      <c r="Q96" s="164"/>
      <c r="R96" s="164"/>
      <c r="S96" s="515"/>
      <c r="T96" s="165" t="str">
        <f t="shared" si="4"/>
        <v/>
      </c>
      <c r="U96" s="160"/>
      <c r="V96" s="160"/>
      <c r="W96" s="165" cm="1">
        <f t="array" ref="W96">IFERROR(INDEX($A$3:$F$345,MATCH(U96&amp;R96,$A$3:$A$345&amp;$E$3:$E$345,0),2),"")</f>
        <v>0</v>
      </c>
      <c r="X96" s="165" cm="1">
        <f t="array" ref="X96">IFERROR(INDEX($A$3:$F$345,MATCH(V96&amp;R96,$A$3:$A$345&amp;$E$3:$E$345,0),2),"")</f>
        <v>0</v>
      </c>
      <c r="Y96" s="165" cm="1">
        <f t="array" ref="Y96">IFERROR(INDEX($A$3:$F$345,MATCH(U96&amp;R96,$A$3:$A$345&amp;$E$3:$E$345,0),4),"")</f>
        <v>0</v>
      </c>
      <c r="Z96" s="165" cm="1">
        <f t="array" ref="Z96">IFERROR(INDEX($A$3:$F$345,MATCH(V96&amp;R96,$A$3:$A$345&amp;$E$3:$E$345,0),4),"")</f>
        <v>0</v>
      </c>
      <c r="AA96" s="165" t="str">
        <f t="shared" si="5"/>
        <v/>
      </c>
    </row>
    <row r="97" spans="1:27" x14ac:dyDescent="0.25">
      <c r="A97" s="160"/>
      <c r="B97" s="160"/>
      <c r="C97" s="160"/>
      <c r="D97" s="160"/>
      <c r="E97" s="160"/>
      <c r="F97" s="167" t="str">
        <f t="shared" si="3"/>
        <v/>
      </c>
      <c r="L97" s="164"/>
      <c r="M97" s="164"/>
      <c r="N97" s="169"/>
      <c r="O97" s="164"/>
      <c r="P97" s="164"/>
      <c r="Q97" s="164"/>
      <c r="R97" s="164"/>
      <c r="S97" s="515"/>
      <c r="T97" s="165" t="str">
        <f t="shared" si="4"/>
        <v/>
      </c>
      <c r="U97" s="160"/>
      <c r="V97" s="160"/>
      <c r="W97" s="165" cm="1">
        <f t="array" ref="W97">IFERROR(INDEX($A$3:$F$345,MATCH(U97&amp;R97,$A$3:$A$345&amp;$E$3:$E$345,0),2),"")</f>
        <v>0</v>
      </c>
      <c r="X97" s="165" cm="1">
        <f t="array" ref="X97">IFERROR(INDEX($A$3:$F$345,MATCH(V97&amp;R97,$A$3:$A$345&amp;$E$3:$E$345,0),2),"")</f>
        <v>0</v>
      </c>
      <c r="Y97" s="165" cm="1">
        <f t="array" ref="Y97">IFERROR(INDEX($A$3:$F$345,MATCH(U97&amp;R97,$A$3:$A$345&amp;$E$3:$E$345,0),4),"")</f>
        <v>0</v>
      </c>
      <c r="Z97" s="165" cm="1">
        <f t="array" ref="Z97">IFERROR(INDEX($A$3:$F$345,MATCH(V97&amp;R97,$A$3:$A$345&amp;$E$3:$E$345,0),4),"")</f>
        <v>0</v>
      </c>
      <c r="AA97" s="165" t="str">
        <f t="shared" si="5"/>
        <v/>
      </c>
    </row>
    <row r="98" spans="1:27" x14ac:dyDescent="0.25">
      <c r="A98" s="160"/>
      <c r="B98" s="160"/>
      <c r="C98" s="160"/>
      <c r="D98" s="160"/>
      <c r="E98" s="160"/>
      <c r="F98" s="167" t="str">
        <f t="shared" si="3"/>
        <v/>
      </c>
      <c r="L98" s="164"/>
      <c r="M98" s="164"/>
      <c r="N98" s="169"/>
      <c r="O98" s="164"/>
      <c r="P98" s="164"/>
      <c r="Q98" s="164"/>
      <c r="R98" s="164"/>
      <c r="S98" s="515"/>
      <c r="T98" s="165" t="str">
        <f t="shared" si="4"/>
        <v/>
      </c>
      <c r="U98" s="160"/>
      <c r="V98" s="160"/>
      <c r="W98" s="165" cm="1">
        <f t="array" ref="W98">IFERROR(INDEX($A$3:$F$345,MATCH(U98&amp;R98,$A$3:$A$345&amp;$E$3:$E$345,0),2),"")</f>
        <v>0</v>
      </c>
      <c r="X98" s="165" cm="1">
        <f t="array" ref="X98">IFERROR(INDEX($A$3:$F$345,MATCH(V98&amp;R98,$A$3:$A$345&amp;$E$3:$E$345,0),2),"")</f>
        <v>0</v>
      </c>
      <c r="Y98" s="165" cm="1">
        <f t="array" ref="Y98">IFERROR(INDEX($A$3:$F$345,MATCH(U98&amp;R98,$A$3:$A$345&amp;$E$3:$E$345,0),4),"")</f>
        <v>0</v>
      </c>
      <c r="Z98" s="165" cm="1">
        <f t="array" ref="Z98">IFERROR(INDEX($A$3:$F$345,MATCH(V98&amp;R98,$A$3:$A$345&amp;$E$3:$E$345,0),4),"")</f>
        <v>0</v>
      </c>
      <c r="AA98" s="165" t="str">
        <f t="shared" si="5"/>
        <v/>
      </c>
    </row>
    <row r="99" spans="1:27" x14ac:dyDescent="0.25">
      <c r="A99" s="160"/>
      <c r="B99" s="160"/>
      <c r="C99" s="160"/>
      <c r="D99" s="160"/>
      <c r="E99" s="160"/>
      <c r="F99" s="167" t="str">
        <f t="shared" si="3"/>
        <v/>
      </c>
      <c r="L99" s="164"/>
      <c r="M99" s="164"/>
      <c r="N99" s="169"/>
      <c r="O99" s="164"/>
      <c r="P99" s="164"/>
      <c r="Q99" s="164"/>
      <c r="R99" s="164"/>
      <c r="S99" s="515"/>
      <c r="T99" s="165" t="str">
        <f t="shared" si="4"/>
        <v/>
      </c>
      <c r="U99" s="160"/>
      <c r="V99" s="160"/>
      <c r="W99" s="165" cm="1">
        <f t="array" ref="W99">IFERROR(INDEX($A$3:$F$345,MATCH(U99&amp;R99,$A$3:$A$345&amp;$E$3:$E$345,0),2),"")</f>
        <v>0</v>
      </c>
      <c r="X99" s="165" cm="1">
        <f t="array" ref="X99">IFERROR(INDEX($A$3:$F$345,MATCH(V99&amp;R99,$A$3:$A$345&amp;$E$3:$E$345,0),2),"")</f>
        <v>0</v>
      </c>
      <c r="Y99" s="165" cm="1">
        <f t="array" ref="Y99">IFERROR(INDEX($A$3:$F$345,MATCH(U99&amp;R99,$A$3:$A$345&amp;$E$3:$E$345,0),4),"")</f>
        <v>0</v>
      </c>
      <c r="Z99" s="165" cm="1">
        <f t="array" ref="Z99">IFERROR(INDEX($A$3:$F$345,MATCH(V99&amp;R99,$A$3:$A$345&amp;$E$3:$E$345,0),4),"")</f>
        <v>0</v>
      </c>
      <c r="AA99" s="165" t="str">
        <f t="shared" si="5"/>
        <v/>
      </c>
    </row>
    <row r="100" spans="1:27" x14ac:dyDescent="0.25">
      <c r="A100" s="160"/>
      <c r="B100" s="160"/>
      <c r="C100" s="160"/>
      <c r="D100" s="160"/>
      <c r="E100" s="160"/>
      <c r="F100" s="167" t="str">
        <f t="shared" si="3"/>
        <v/>
      </c>
      <c r="L100" s="164"/>
      <c r="M100" s="164"/>
      <c r="N100" s="169"/>
      <c r="O100" s="164"/>
      <c r="P100" s="164"/>
      <c r="Q100" s="164"/>
      <c r="R100" s="164"/>
      <c r="S100" s="515"/>
      <c r="T100" s="165" t="str">
        <f t="shared" si="4"/>
        <v/>
      </c>
      <c r="U100" s="160"/>
      <c r="V100" s="160"/>
      <c r="W100" s="165" cm="1">
        <f t="array" ref="W100">IFERROR(INDEX($A$3:$F$345,MATCH(U100&amp;R100,$A$3:$A$345&amp;$E$3:$E$345,0),2),"")</f>
        <v>0</v>
      </c>
      <c r="X100" s="165" cm="1">
        <f t="array" ref="X100">IFERROR(INDEX($A$3:$F$345,MATCH(V100&amp;R100,$A$3:$A$345&amp;$E$3:$E$345,0),2),"")</f>
        <v>0</v>
      </c>
      <c r="Y100" s="165" cm="1">
        <f t="array" ref="Y100">IFERROR(INDEX($A$3:$F$345,MATCH(U100&amp;R100,$A$3:$A$345&amp;$E$3:$E$345,0),4),"")</f>
        <v>0</v>
      </c>
      <c r="Z100" s="165" cm="1">
        <f t="array" ref="Z100">IFERROR(INDEX($A$3:$F$345,MATCH(V100&amp;R100,$A$3:$A$345&amp;$E$3:$E$345,0),4),"")</f>
        <v>0</v>
      </c>
      <c r="AA100" s="165" t="str">
        <f t="shared" si="5"/>
        <v/>
      </c>
    </row>
    <row r="101" spans="1:27" x14ac:dyDescent="0.25">
      <c r="A101" s="160"/>
      <c r="B101" s="160"/>
      <c r="C101" s="160"/>
      <c r="D101" s="160"/>
      <c r="E101" s="160"/>
      <c r="F101" s="167" t="str">
        <f t="shared" si="3"/>
        <v/>
      </c>
      <c r="L101" s="164"/>
      <c r="M101" s="164"/>
      <c r="N101" s="169"/>
      <c r="O101" s="164"/>
      <c r="P101" s="164"/>
      <c r="Q101" s="164"/>
      <c r="R101" s="164"/>
      <c r="S101" s="515"/>
      <c r="T101" s="165" t="str">
        <f t="shared" si="4"/>
        <v/>
      </c>
      <c r="U101" s="160"/>
      <c r="V101" s="160"/>
      <c r="W101" s="165" cm="1">
        <f t="array" ref="W101">IFERROR(INDEX($A$3:$F$345,MATCH(U101&amp;R101,$A$3:$A$345&amp;$E$3:$E$345,0),2),"")</f>
        <v>0</v>
      </c>
      <c r="X101" s="165" cm="1">
        <f t="array" ref="X101">IFERROR(INDEX($A$3:$F$345,MATCH(V101&amp;R101,$A$3:$A$345&amp;$E$3:$E$345,0),2),"")</f>
        <v>0</v>
      </c>
      <c r="Y101" s="165" cm="1">
        <f t="array" ref="Y101">IFERROR(INDEX($A$3:$F$345,MATCH(U101&amp;R101,$A$3:$A$345&amp;$E$3:$E$345,0),4),"")</f>
        <v>0</v>
      </c>
      <c r="Z101" s="165" cm="1">
        <f t="array" ref="Z101">IFERROR(INDEX($A$3:$F$345,MATCH(V101&amp;R101,$A$3:$A$345&amp;$E$3:$E$345,0),4),"")</f>
        <v>0</v>
      </c>
      <c r="AA101" s="165" t="str">
        <f t="shared" si="5"/>
        <v/>
      </c>
    </row>
    <row r="102" spans="1:27" x14ac:dyDescent="0.25">
      <c r="A102" s="160"/>
      <c r="B102" s="160"/>
      <c r="C102" s="160"/>
      <c r="D102" s="160"/>
      <c r="E102" s="160"/>
      <c r="F102" s="167" t="str">
        <f t="shared" si="3"/>
        <v/>
      </c>
      <c r="L102" s="164"/>
      <c r="M102" s="164"/>
      <c r="N102" s="169"/>
      <c r="O102" s="164"/>
      <c r="P102" s="164"/>
      <c r="Q102" s="164"/>
      <c r="R102" s="164"/>
      <c r="S102" s="515"/>
      <c r="T102" s="165" t="str">
        <f t="shared" si="4"/>
        <v/>
      </c>
      <c r="U102" s="160"/>
      <c r="V102" s="160"/>
      <c r="W102" s="165" cm="1">
        <f t="array" ref="W102">IFERROR(INDEX($A$3:$F$345,MATCH(U102&amp;R102,$A$3:$A$345&amp;$E$3:$E$345,0),2),"")</f>
        <v>0</v>
      </c>
      <c r="X102" s="165" cm="1">
        <f t="array" ref="X102">IFERROR(INDEX($A$3:$F$345,MATCH(V102&amp;R102,$A$3:$A$345&amp;$E$3:$E$345,0),2),"")</f>
        <v>0</v>
      </c>
      <c r="Y102" s="165" cm="1">
        <f t="array" ref="Y102">IFERROR(INDEX($A$3:$F$345,MATCH(U102&amp;R102,$A$3:$A$345&amp;$E$3:$E$345,0),4),"")</f>
        <v>0</v>
      </c>
      <c r="Z102" s="165" cm="1">
        <f t="array" ref="Z102">IFERROR(INDEX($A$3:$F$345,MATCH(V102&amp;R102,$A$3:$A$345&amp;$E$3:$E$345,0),4),"")</f>
        <v>0</v>
      </c>
      <c r="AA102" s="165" t="str">
        <f t="shared" si="5"/>
        <v/>
      </c>
    </row>
    <row r="103" spans="1:27" x14ac:dyDescent="0.25">
      <c r="A103" s="160"/>
      <c r="B103" s="160"/>
      <c r="C103" s="160"/>
      <c r="D103" s="160"/>
      <c r="E103" s="160"/>
      <c r="F103" s="167" t="str">
        <f t="shared" si="3"/>
        <v/>
      </c>
      <c r="L103" s="164"/>
      <c r="M103" s="164"/>
      <c r="N103" s="169"/>
      <c r="O103" s="164"/>
      <c r="P103" s="164"/>
      <c r="Q103" s="164"/>
      <c r="R103" s="164"/>
      <c r="S103" s="515"/>
      <c r="T103" s="165" t="str">
        <f t="shared" si="4"/>
        <v/>
      </c>
      <c r="U103" s="160"/>
      <c r="V103" s="160"/>
      <c r="W103" s="165" cm="1">
        <f t="array" ref="W103">IFERROR(INDEX($A$3:$F$345,MATCH(U103&amp;R103,$A$3:$A$345&amp;$E$3:$E$345,0),2),"")</f>
        <v>0</v>
      </c>
      <c r="X103" s="165" cm="1">
        <f t="array" ref="X103">IFERROR(INDEX($A$3:$F$345,MATCH(V103&amp;R103,$A$3:$A$345&amp;$E$3:$E$345,0),2),"")</f>
        <v>0</v>
      </c>
      <c r="Y103" s="165" cm="1">
        <f t="array" ref="Y103">IFERROR(INDEX($A$3:$F$345,MATCH(U103&amp;R103,$A$3:$A$345&amp;$E$3:$E$345,0),4),"")</f>
        <v>0</v>
      </c>
      <c r="Z103" s="165" cm="1">
        <f t="array" ref="Z103">IFERROR(INDEX($A$3:$F$345,MATCH(V103&amp;R103,$A$3:$A$345&amp;$E$3:$E$345,0),4),"")</f>
        <v>0</v>
      </c>
      <c r="AA103" s="165" t="str">
        <f t="shared" si="5"/>
        <v/>
      </c>
    </row>
    <row r="104" spans="1:27" x14ac:dyDescent="0.25">
      <c r="A104" s="160"/>
      <c r="B104" s="160"/>
      <c r="C104" s="160"/>
      <c r="D104" s="160"/>
      <c r="E104" s="160"/>
      <c r="F104" s="167" t="str">
        <f t="shared" si="3"/>
        <v/>
      </c>
      <c r="L104" s="164"/>
      <c r="M104" s="164"/>
      <c r="N104" s="169"/>
      <c r="O104" s="164"/>
      <c r="P104" s="164"/>
      <c r="Q104" s="164"/>
      <c r="R104" s="164"/>
      <c r="S104" s="515"/>
      <c r="T104" s="165" t="str">
        <f t="shared" si="4"/>
        <v/>
      </c>
      <c r="U104" s="160"/>
      <c r="V104" s="160"/>
      <c r="W104" s="165" cm="1">
        <f t="array" ref="W104">IFERROR(INDEX($A$3:$F$345,MATCH(U104&amp;R104,$A$3:$A$345&amp;$E$3:$E$345,0),2),"")</f>
        <v>0</v>
      </c>
      <c r="X104" s="165" cm="1">
        <f t="array" ref="X104">IFERROR(INDEX($A$3:$F$345,MATCH(V104&amp;R104,$A$3:$A$345&amp;$E$3:$E$345,0),2),"")</f>
        <v>0</v>
      </c>
      <c r="Y104" s="165" cm="1">
        <f t="array" ref="Y104">IFERROR(INDEX($A$3:$F$345,MATCH(U104&amp;R104,$A$3:$A$345&amp;$E$3:$E$345,0),4),"")</f>
        <v>0</v>
      </c>
      <c r="Z104" s="165" cm="1">
        <f t="array" ref="Z104">IFERROR(INDEX($A$3:$F$345,MATCH(V104&amp;R104,$A$3:$A$345&amp;$E$3:$E$345,0),4),"")</f>
        <v>0</v>
      </c>
      <c r="AA104" s="165" t="str">
        <f t="shared" si="5"/>
        <v/>
      </c>
    </row>
    <row r="105" spans="1:27" x14ac:dyDescent="0.25">
      <c r="A105" s="160"/>
      <c r="B105" s="160"/>
      <c r="C105" s="160"/>
      <c r="D105" s="160"/>
      <c r="E105" s="160"/>
      <c r="F105" s="167" t="str">
        <f t="shared" si="3"/>
        <v/>
      </c>
      <c r="L105" s="164"/>
      <c r="M105" s="164"/>
      <c r="N105" s="169"/>
      <c r="O105" s="164"/>
      <c r="P105" s="164"/>
      <c r="Q105" s="164"/>
      <c r="R105" s="164"/>
      <c r="S105" s="515"/>
      <c r="T105" s="165" t="str">
        <f t="shared" si="4"/>
        <v/>
      </c>
      <c r="U105" s="160"/>
      <c r="V105" s="160"/>
      <c r="W105" s="165" cm="1">
        <f t="array" ref="W105">IFERROR(INDEX($A$3:$F$345,MATCH(U105&amp;R105,$A$3:$A$345&amp;$E$3:$E$345,0),2),"")</f>
        <v>0</v>
      </c>
      <c r="X105" s="165" cm="1">
        <f t="array" ref="X105">IFERROR(INDEX($A$3:$F$345,MATCH(V105&amp;R105,$A$3:$A$345&amp;$E$3:$E$345,0),2),"")</f>
        <v>0</v>
      </c>
      <c r="Y105" s="165" cm="1">
        <f t="array" ref="Y105">IFERROR(INDEX($A$3:$F$345,MATCH(U105&amp;R105,$A$3:$A$345&amp;$E$3:$E$345,0),4),"")</f>
        <v>0</v>
      </c>
      <c r="Z105" s="165" cm="1">
        <f t="array" ref="Z105">IFERROR(INDEX($A$3:$F$345,MATCH(V105&amp;R105,$A$3:$A$345&amp;$E$3:$E$345,0),4),"")</f>
        <v>0</v>
      </c>
      <c r="AA105" s="165" t="str">
        <f t="shared" si="5"/>
        <v/>
      </c>
    </row>
    <row r="106" spans="1:27" x14ac:dyDescent="0.25">
      <c r="A106" s="160"/>
      <c r="B106" s="160"/>
      <c r="C106" s="160"/>
      <c r="D106" s="160"/>
      <c r="E106" s="160"/>
      <c r="F106" s="167" t="str">
        <f t="shared" si="3"/>
        <v/>
      </c>
      <c r="L106" s="164"/>
      <c r="M106" s="164"/>
      <c r="N106" s="169"/>
      <c r="O106" s="164"/>
      <c r="P106" s="164"/>
      <c r="Q106" s="164"/>
      <c r="R106" s="164"/>
      <c r="S106" s="515"/>
      <c r="T106" s="165" t="str">
        <f t="shared" si="4"/>
        <v/>
      </c>
      <c r="U106" s="160"/>
      <c r="V106" s="160"/>
      <c r="W106" s="165" cm="1">
        <f t="array" ref="W106">IFERROR(INDEX($A$3:$F$345,MATCH(U106&amp;R106,$A$3:$A$345&amp;$E$3:$E$345,0),2),"")</f>
        <v>0</v>
      </c>
      <c r="X106" s="165" cm="1">
        <f t="array" ref="X106">IFERROR(INDEX($A$3:$F$345,MATCH(V106&amp;R106,$A$3:$A$345&amp;$E$3:$E$345,0),2),"")</f>
        <v>0</v>
      </c>
      <c r="Y106" s="165" cm="1">
        <f t="array" ref="Y106">IFERROR(INDEX($A$3:$F$345,MATCH(U106&amp;R106,$A$3:$A$345&amp;$E$3:$E$345,0),4),"")</f>
        <v>0</v>
      </c>
      <c r="Z106" s="165" cm="1">
        <f t="array" ref="Z106">IFERROR(INDEX($A$3:$F$345,MATCH(V106&amp;R106,$A$3:$A$345&amp;$E$3:$E$345,0),4),"")</f>
        <v>0</v>
      </c>
      <c r="AA106" s="165" t="str">
        <f t="shared" si="5"/>
        <v/>
      </c>
    </row>
    <row r="107" spans="1:27" x14ac:dyDescent="0.25">
      <c r="A107" s="160"/>
      <c r="B107" s="160"/>
      <c r="C107" s="160"/>
      <c r="D107" s="160"/>
      <c r="E107" s="160"/>
      <c r="F107" s="167" t="str">
        <f t="shared" si="3"/>
        <v/>
      </c>
      <c r="L107" s="164"/>
      <c r="M107" s="164"/>
      <c r="N107" s="169"/>
      <c r="O107" s="164"/>
      <c r="P107" s="164"/>
      <c r="Q107" s="164"/>
      <c r="R107" s="164"/>
      <c r="S107" s="515"/>
      <c r="T107" s="165" t="str">
        <f t="shared" si="4"/>
        <v/>
      </c>
      <c r="U107" s="160"/>
      <c r="V107" s="160"/>
      <c r="W107" s="165" cm="1">
        <f t="array" ref="W107">IFERROR(INDEX($A$3:$F$345,MATCH(U107&amp;R107,$A$3:$A$345&amp;$E$3:$E$345,0),2),"")</f>
        <v>0</v>
      </c>
      <c r="X107" s="165" cm="1">
        <f t="array" ref="X107">IFERROR(INDEX($A$3:$F$345,MATCH(V107&amp;R107,$A$3:$A$345&amp;$E$3:$E$345,0),2),"")</f>
        <v>0</v>
      </c>
      <c r="Y107" s="165" cm="1">
        <f t="array" ref="Y107">IFERROR(INDEX($A$3:$F$345,MATCH(U107&amp;R107,$A$3:$A$345&amp;$E$3:$E$345,0),4),"")</f>
        <v>0</v>
      </c>
      <c r="Z107" s="165" cm="1">
        <f t="array" ref="Z107">IFERROR(INDEX($A$3:$F$345,MATCH(V107&amp;R107,$A$3:$A$345&amp;$E$3:$E$345,0),4),"")</f>
        <v>0</v>
      </c>
      <c r="AA107" s="165" t="str">
        <f t="shared" si="5"/>
        <v/>
      </c>
    </row>
    <row r="108" spans="1:27" x14ac:dyDescent="0.25">
      <c r="A108" s="160"/>
      <c r="B108" s="160"/>
      <c r="C108" s="160"/>
      <c r="D108" s="160"/>
      <c r="E108" s="160"/>
      <c r="F108" s="167" t="str">
        <f t="shared" si="3"/>
        <v/>
      </c>
      <c r="L108" s="164"/>
      <c r="M108" s="164"/>
      <c r="N108" s="169"/>
      <c r="O108" s="164"/>
      <c r="P108" s="164"/>
      <c r="Q108" s="164"/>
      <c r="R108" s="164"/>
      <c r="S108" s="515"/>
      <c r="T108" s="165" t="str">
        <f t="shared" si="4"/>
        <v/>
      </c>
      <c r="U108" s="160"/>
      <c r="V108" s="160"/>
      <c r="W108" s="165" cm="1">
        <f t="array" ref="W108">IFERROR(INDEX($A$3:$F$345,MATCH(U108&amp;R108,$A$3:$A$345&amp;$E$3:$E$345,0),2),"")</f>
        <v>0</v>
      </c>
      <c r="X108" s="165" cm="1">
        <f t="array" ref="X108">IFERROR(INDEX($A$3:$F$345,MATCH(V108&amp;R108,$A$3:$A$345&amp;$E$3:$E$345,0),2),"")</f>
        <v>0</v>
      </c>
      <c r="Y108" s="165" cm="1">
        <f t="array" ref="Y108">IFERROR(INDEX($A$3:$F$345,MATCH(U108&amp;R108,$A$3:$A$345&amp;$E$3:$E$345,0),4),"")</f>
        <v>0</v>
      </c>
      <c r="Z108" s="165" cm="1">
        <f t="array" ref="Z108">IFERROR(INDEX($A$3:$F$345,MATCH(V108&amp;R108,$A$3:$A$345&amp;$E$3:$E$345,0),4),"")</f>
        <v>0</v>
      </c>
      <c r="AA108" s="165" t="str">
        <f t="shared" si="5"/>
        <v/>
      </c>
    </row>
    <row r="109" spans="1:27" x14ac:dyDescent="0.25">
      <c r="A109" s="160"/>
      <c r="B109" s="160"/>
      <c r="C109" s="160"/>
      <c r="D109" s="160"/>
      <c r="E109" s="160"/>
      <c r="F109" s="167" t="str">
        <f t="shared" si="3"/>
        <v/>
      </c>
      <c r="L109" s="164"/>
      <c r="M109" s="164"/>
      <c r="N109" s="169"/>
      <c r="O109" s="164"/>
      <c r="P109" s="164"/>
      <c r="Q109" s="164"/>
      <c r="R109" s="164"/>
      <c r="S109" s="515"/>
      <c r="T109" s="165" t="str">
        <f t="shared" si="4"/>
        <v/>
      </c>
      <c r="U109" s="160"/>
      <c r="V109" s="160"/>
      <c r="W109" s="165" cm="1">
        <f t="array" ref="W109">IFERROR(INDEX($A$3:$F$345,MATCH(U109&amp;R109,$A$3:$A$345&amp;$E$3:$E$345,0),2),"")</f>
        <v>0</v>
      </c>
      <c r="X109" s="165" cm="1">
        <f t="array" ref="X109">IFERROR(INDEX($A$3:$F$345,MATCH(V109&amp;R109,$A$3:$A$345&amp;$E$3:$E$345,0),2),"")</f>
        <v>0</v>
      </c>
      <c r="Y109" s="165" cm="1">
        <f t="array" ref="Y109">IFERROR(INDEX($A$3:$F$345,MATCH(U109&amp;R109,$A$3:$A$345&amp;$E$3:$E$345,0),4),"")</f>
        <v>0</v>
      </c>
      <c r="Z109" s="165" cm="1">
        <f t="array" ref="Z109">IFERROR(INDEX($A$3:$F$345,MATCH(V109&amp;R109,$A$3:$A$345&amp;$E$3:$E$345,0),4),"")</f>
        <v>0</v>
      </c>
      <c r="AA109" s="165" t="str">
        <f t="shared" si="5"/>
        <v/>
      </c>
    </row>
    <row r="110" spans="1:27" x14ac:dyDescent="0.25">
      <c r="A110" s="160"/>
      <c r="B110" s="160"/>
      <c r="C110" s="160"/>
      <c r="D110" s="160"/>
      <c r="E110" s="160"/>
      <c r="F110" s="167" t="str">
        <f t="shared" si="3"/>
        <v/>
      </c>
      <c r="L110" s="164"/>
      <c r="M110" s="164"/>
      <c r="N110" s="169"/>
      <c r="O110" s="164"/>
      <c r="P110" s="164"/>
      <c r="Q110" s="164"/>
      <c r="R110" s="164"/>
      <c r="S110" s="515"/>
      <c r="T110" s="165" t="str">
        <f t="shared" si="4"/>
        <v/>
      </c>
      <c r="U110" s="160"/>
      <c r="V110" s="160"/>
      <c r="W110" s="165" cm="1">
        <f t="array" ref="W110">IFERROR(INDEX($A$3:$F$345,MATCH(U110&amp;R110,$A$3:$A$345&amp;$E$3:$E$345,0),2),"")</f>
        <v>0</v>
      </c>
      <c r="X110" s="165" cm="1">
        <f t="array" ref="X110">IFERROR(INDEX($A$3:$F$345,MATCH(V110&amp;R110,$A$3:$A$345&amp;$E$3:$E$345,0),2),"")</f>
        <v>0</v>
      </c>
      <c r="Y110" s="165" cm="1">
        <f t="array" ref="Y110">IFERROR(INDEX($A$3:$F$345,MATCH(U110&amp;R110,$A$3:$A$345&amp;$E$3:$E$345,0),4),"")</f>
        <v>0</v>
      </c>
      <c r="Z110" s="165" cm="1">
        <f t="array" ref="Z110">IFERROR(INDEX($A$3:$F$345,MATCH(V110&amp;R110,$A$3:$A$345&amp;$E$3:$E$345,0),4),"")</f>
        <v>0</v>
      </c>
      <c r="AA110" s="165" t="str">
        <f t="shared" si="5"/>
        <v/>
      </c>
    </row>
    <row r="111" spans="1:27" x14ac:dyDescent="0.25">
      <c r="A111" s="160"/>
      <c r="B111" s="160"/>
      <c r="C111" s="160"/>
      <c r="D111" s="160"/>
      <c r="E111" s="160"/>
      <c r="F111" s="167" t="str">
        <f t="shared" si="3"/>
        <v/>
      </c>
      <c r="L111" s="164"/>
      <c r="M111" s="164"/>
      <c r="N111" s="169"/>
      <c r="O111" s="164"/>
      <c r="P111" s="164"/>
      <c r="Q111" s="164"/>
      <c r="R111" s="164"/>
      <c r="S111" s="515"/>
      <c r="T111" s="165" t="str">
        <f t="shared" si="4"/>
        <v/>
      </c>
      <c r="U111" s="160"/>
      <c r="V111" s="160"/>
      <c r="W111" s="165" cm="1">
        <f t="array" ref="W111">IFERROR(INDEX($A$3:$F$345,MATCH(U111&amp;R111,$A$3:$A$345&amp;$E$3:$E$345,0),2),"")</f>
        <v>0</v>
      </c>
      <c r="X111" s="165" cm="1">
        <f t="array" ref="X111">IFERROR(INDEX($A$3:$F$345,MATCH(V111&amp;R111,$A$3:$A$345&amp;$E$3:$E$345,0),2),"")</f>
        <v>0</v>
      </c>
      <c r="Y111" s="165" cm="1">
        <f t="array" ref="Y111">IFERROR(INDEX($A$3:$F$345,MATCH(U111&amp;R111,$A$3:$A$345&amp;$E$3:$E$345,0),4),"")</f>
        <v>0</v>
      </c>
      <c r="Z111" s="165" cm="1">
        <f t="array" ref="Z111">IFERROR(INDEX($A$3:$F$345,MATCH(V111&amp;R111,$A$3:$A$345&amp;$E$3:$E$345,0),4),"")</f>
        <v>0</v>
      </c>
      <c r="AA111" s="165" t="str">
        <f t="shared" si="5"/>
        <v/>
      </c>
    </row>
    <row r="112" spans="1:27" x14ac:dyDescent="0.25">
      <c r="A112" s="160"/>
      <c r="B112" s="160"/>
      <c r="C112" s="160"/>
      <c r="D112" s="160"/>
      <c r="E112" s="160"/>
      <c r="F112" s="167" t="str">
        <f t="shared" si="3"/>
        <v/>
      </c>
      <c r="L112" s="164"/>
      <c r="M112" s="164"/>
      <c r="N112" s="169"/>
      <c r="O112" s="164"/>
      <c r="P112" s="164"/>
      <c r="Q112" s="164"/>
      <c r="R112" s="164"/>
      <c r="S112" s="515"/>
      <c r="T112" s="165" t="str">
        <f t="shared" si="4"/>
        <v/>
      </c>
      <c r="U112" s="160"/>
      <c r="V112" s="160"/>
      <c r="W112" s="165" cm="1">
        <f t="array" ref="W112">IFERROR(INDEX($A$3:$F$345,MATCH(U112&amp;R112,$A$3:$A$345&amp;$E$3:$E$345,0),2),"")</f>
        <v>0</v>
      </c>
      <c r="X112" s="165" cm="1">
        <f t="array" ref="X112">IFERROR(INDEX($A$3:$F$345,MATCH(V112&amp;R112,$A$3:$A$345&amp;$E$3:$E$345,0),2),"")</f>
        <v>0</v>
      </c>
      <c r="Y112" s="165" cm="1">
        <f t="array" ref="Y112">IFERROR(INDEX($A$3:$F$345,MATCH(U112&amp;R112,$A$3:$A$345&amp;$E$3:$E$345,0),4),"")</f>
        <v>0</v>
      </c>
      <c r="Z112" s="165" cm="1">
        <f t="array" ref="Z112">IFERROR(INDEX($A$3:$F$345,MATCH(V112&amp;R112,$A$3:$A$345&amp;$E$3:$E$345,0),4),"")</f>
        <v>0</v>
      </c>
      <c r="AA112" s="165" t="str">
        <f t="shared" si="5"/>
        <v/>
      </c>
    </row>
    <row r="113" spans="1:27" x14ac:dyDescent="0.25">
      <c r="A113" s="160"/>
      <c r="B113" s="160"/>
      <c r="C113" s="160"/>
      <c r="D113" s="160"/>
      <c r="E113" s="160"/>
      <c r="F113" s="167" t="str">
        <f t="shared" si="3"/>
        <v/>
      </c>
      <c r="L113" s="164"/>
      <c r="M113" s="164"/>
      <c r="N113" s="169"/>
      <c r="O113" s="164"/>
      <c r="P113" s="164"/>
      <c r="Q113" s="164"/>
      <c r="R113" s="164"/>
      <c r="S113" s="515"/>
      <c r="T113" s="165" t="str">
        <f t="shared" si="4"/>
        <v/>
      </c>
      <c r="U113" s="160"/>
      <c r="V113" s="160"/>
      <c r="W113" s="165" cm="1">
        <f t="array" ref="W113">IFERROR(INDEX($A$3:$F$345,MATCH(U113&amp;R113,$A$3:$A$345&amp;$E$3:$E$345,0),2),"")</f>
        <v>0</v>
      </c>
      <c r="X113" s="165" cm="1">
        <f t="array" ref="X113">IFERROR(INDEX($A$3:$F$345,MATCH(V113&amp;R113,$A$3:$A$345&amp;$E$3:$E$345,0),2),"")</f>
        <v>0</v>
      </c>
      <c r="Y113" s="165" cm="1">
        <f t="array" ref="Y113">IFERROR(INDEX($A$3:$F$345,MATCH(U113&amp;R113,$A$3:$A$345&amp;$E$3:$E$345,0),4),"")</f>
        <v>0</v>
      </c>
      <c r="Z113" s="165" cm="1">
        <f t="array" ref="Z113">IFERROR(INDEX($A$3:$F$345,MATCH(V113&amp;R113,$A$3:$A$345&amp;$E$3:$E$345,0),4),"")</f>
        <v>0</v>
      </c>
      <c r="AA113" s="165" t="str">
        <f t="shared" si="5"/>
        <v/>
      </c>
    </row>
    <row r="114" spans="1:27" x14ac:dyDescent="0.25">
      <c r="A114" s="160"/>
      <c r="B114" s="160"/>
      <c r="C114" s="160"/>
      <c r="D114" s="160"/>
      <c r="E114" s="160"/>
      <c r="F114" s="167" t="str">
        <f t="shared" si="3"/>
        <v/>
      </c>
      <c r="L114" s="164"/>
      <c r="M114" s="164"/>
      <c r="N114" s="169"/>
      <c r="O114" s="164"/>
      <c r="P114" s="164"/>
      <c r="Q114" s="164"/>
      <c r="R114" s="164"/>
      <c r="S114" s="515"/>
      <c r="T114" s="165" t="str">
        <f t="shared" si="4"/>
        <v/>
      </c>
      <c r="U114" s="160"/>
      <c r="V114" s="160"/>
      <c r="W114" s="165" cm="1">
        <f t="array" ref="W114">IFERROR(INDEX($A$3:$F$345,MATCH(U114&amp;R114,$A$3:$A$345&amp;$E$3:$E$345,0),2),"")</f>
        <v>0</v>
      </c>
      <c r="X114" s="165" cm="1">
        <f t="array" ref="X114">IFERROR(INDEX($A$3:$F$345,MATCH(V114&amp;R114,$A$3:$A$345&amp;$E$3:$E$345,0),2),"")</f>
        <v>0</v>
      </c>
      <c r="Y114" s="165" cm="1">
        <f t="array" ref="Y114">IFERROR(INDEX($A$3:$F$345,MATCH(U114&amp;R114,$A$3:$A$345&amp;$E$3:$E$345,0),4),"")</f>
        <v>0</v>
      </c>
      <c r="Z114" s="165" cm="1">
        <f t="array" ref="Z114">IFERROR(INDEX($A$3:$F$345,MATCH(V114&amp;R114,$A$3:$A$345&amp;$E$3:$E$345,0),4),"")</f>
        <v>0</v>
      </c>
      <c r="AA114" s="165" t="str">
        <f t="shared" si="5"/>
        <v/>
      </c>
    </row>
    <row r="115" spans="1:27" x14ac:dyDescent="0.25">
      <c r="A115" s="160"/>
      <c r="B115" s="160"/>
      <c r="C115" s="160"/>
      <c r="D115" s="160"/>
      <c r="E115" s="160"/>
      <c r="F115" s="167" t="str">
        <f t="shared" si="3"/>
        <v/>
      </c>
      <c r="L115" s="164"/>
      <c r="M115" s="164"/>
      <c r="N115" s="169"/>
      <c r="O115" s="164"/>
      <c r="P115" s="164"/>
      <c r="Q115" s="164"/>
      <c r="R115" s="164"/>
      <c r="S115" s="515"/>
      <c r="T115" s="165" t="str">
        <f t="shared" si="4"/>
        <v/>
      </c>
      <c r="U115" s="160"/>
      <c r="V115" s="160"/>
      <c r="W115" s="165" cm="1">
        <f t="array" ref="W115">IFERROR(INDEX($A$3:$F$345,MATCH(U115&amp;R115,$A$3:$A$345&amp;$E$3:$E$345,0),2),"")</f>
        <v>0</v>
      </c>
      <c r="X115" s="165" cm="1">
        <f t="array" ref="X115">IFERROR(INDEX($A$3:$F$345,MATCH(V115&amp;R115,$A$3:$A$345&amp;$E$3:$E$345,0),2),"")</f>
        <v>0</v>
      </c>
      <c r="Y115" s="165" cm="1">
        <f t="array" ref="Y115">IFERROR(INDEX($A$3:$F$345,MATCH(U115&amp;R115,$A$3:$A$345&amp;$E$3:$E$345,0),4),"")</f>
        <v>0</v>
      </c>
      <c r="Z115" s="165" cm="1">
        <f t="array" ref="Z115">IFERROR(INDEX($A$3:$F$345,MATCH(V115&amp;R115,$A$3:$A$345&amp;$E$3:$E$345,0),4),"")</f>
        <v>0</v>
      </c>
      <c r="AA115" s="165" t="str">
        <f t="shared" si="5"/>
        <v/>
      </c>
    </row>
    <row r="116" spans="1:27" x14ac:dyDescent="0.25">
      <c r="A116" s="160"/>
      <c r="B116" s="160"/>
      <c r="C116" s="160"/>
      <c r="D116" s="160"/>
      <c r="E116" s="160"/>
      <c r="F116" s="167" t="str">
        <f t="shared" si="3"/>
        <v/>
      </c>
      <c r="L116" s="164"/>
      <c r="M116" s="164"/>
      <c r="N116" s="169"/>
      <c r="O116" s="164"/>
      <c r="P116" s="164"/>
      <c r="Q116" s="164"/>
      <c r="R116" s="164"/>
      <c r="S116" s="515"/>
      <c r="T116" s="165" t="str">
        <f t="shared" si="4"/>
        <v/>
      </c>
      <c r="U116" s="160"/>
      <c r="V116" s="160"/>
      <c r="W116" s="165" cm="1">
        <f t="array" ref="W116">IFERROR(INDEX($A$3:$F$345,MATCH(U116&amp;R116,$A$3:$A$345&amp;$E$3:$E$345,0),2),"")</f>
        <v>0</v>
      </c>
      <c r="X116" s="165" cm="1">
        <f t="array" ref="X116">IFERROR(INDEX($A$3:$F$345,MATCH(V116&amp;R116,$A$3:$A$345&amp;$E$3:$E$345,0),2),"")</f>
        <v>0</v>
      </c>
      <c r="Y116" s="165" cm="1">
        <f t="array" ref="Y116">IFERROR(INDEX($A$3:$F$345,MATCH(U116&amp;R116,$A$3:$A$345&amp;$E$3:$E$345,0),4),"")</f>
        <v>0</v>
      </c>
      <c r="Z116" s="165" cm="1">
        <f t="array" ref="Z116">IFERROR(INDEX($A$3:$F$345,MATCH(V116&amp;R116,$A$3:$A$345&amp;$E$3:$E$345,0),4),"")</f>
        <v>0</v>
      </c>
      <c r="AA116" s="165" t="str">
        <f t="shared" si="5"/>
        <v/>
      </c>
    </row>
    <row r="117" spans="1:27" x14ac:dyDescent="0.25">
      <c r="A117" s="160"/>
      <c r="B117" s="160"/>
      <c r="C117" s="160"/>
      <c r="D117" s="160"/>
      <c r="E117" s="160"/>
      <c r="F117" s="167" t="str">
        <f t="shared" si="3"/>
        <v/>
      </c>
      <c r="L117" s="164"/>
      <c r="M117" s="164"/>
      <c r="N117" s="169"/>
      <c r="O117" s="164"/>
      <c r="P117" s="164"/>
      <c r="Q117" s="164"/>
      <c r="R117" s="164"/>
      <c r="S117" s="515"/>
      <c r="T117" s="165" t="str">
        <f t="shared" si="4"/>
        <v/>
      </c>
      <c r="U117" s="160"/>
      <c r="V117" s="160"/>
      <c r="W117" s="165" cm="1">
        <f t="array" ref="W117">IFERROR(INDEX($A$3:$F$345,MATCH(U117&amp;R117,$A$3:$A$345&amp;$E$3:$E$345,0),2),"")</f>
        <v>0</v>
      </c>
      <c r="X117" s="165" cm="1">
        <f t="array" ref="X117">IFERROR(INDEX($A$3:$F$345,MATCH(V117&amp;R117,$A$3:$A$345&amp;$E$3:$E$345,0),2),"")</f>
        <v>0</v>
      </c>
      <c r="Y117" s="165" cm="1">
        <f t="array" ref="Y117">IFERROR(INDEX($A$3:$F$345,MATCH(U117&amp;R117,$A$3:$A$345&amp;$E$3:$E$345,0),4),"")</f>
        <v>0</v>
      </c>
      <c r="Z117" s="165" cm="1">
        <f t="array" ref="Z117">IFERROR(INDEX($A$3:$F$345,MATCH(V117&amp;R117,$A$3:$A$345&amp;$E$3:$E$345,0),4),"")</f>
        <v>0</v>
      </c>
      <c r="AA117" s="165" t="str">
        <f t="shared" si="5"/>
        <v/>
      </c>
    </row>
    <row r="118" spans="1:27" x14ac:dyDescent="0.25">
      <c r="A118" s="160"/>
      <c r="B118" s="160"/>
      <c r="C118" s="160"/>
      <c r="D118" s="160"/>
      <c r="E118" s="160"/>
      <c r="F118" s="167" t="str">
        <f t="shared" si="3"/>
        <v/>
      </c>
      <c r="L118" s="164"/>
      <c r="M118" s="164"/>
      <c r="N118" s="169"/>
      <c r="O118" s="164"/>
      <c r="P118" s="164"/>
      <c r="Q118" s="164"/>
      <c r="R118" s="164"/>
      <c r="S118" s="515"/>
      <c r="T118" s="165" t="str">
        <f t="shared" si="4"/>
        <v/>
      </c>
      <c r="U118" s="160"/>
      <c r="V118" s="160"/>
      <c r="W118" s="165" cm="1">
        <f t="array" ref="W118">IFERROR(INDEX($A$3:$F$345,MATCH(U118&amp;R118,$A$3:$A$345&amp;$E$3:$E$345,0),2),"")</f>
        <v>0</v>
      </c>
      <c r="X118" s="165" cm="1">
        <f t="array" ref="X118">IFERROR(INDEX($A$3:$F$345,MATCH(V118&amp;R118,$A$3:$A$345&amp;$E$3:$E$345,0),2),"")</f>
        <v>0</v>
      </c>
      <c r="Y118" s="165" cm="1">
        <f t="array" ref="Y118">IFERROR(INDEX($A$3:$F$345,MATCH(U118&amp;R118,$A$3:$A$345&amp;$E$3:$E$345,0),4),"")</f>
        <v>0</v>
      </c>
      <c r="Z118" s="165" cm="1">
        <f t="array" ref="Z118">IFERROR(INDEX($A$3:$F$345,MATCH(V118&amp;R118,$A$3:$A$345&amp;$E$3:$E$345,0),4),"")</f>
        <v>0</v>
      </c>
      <c r="AA118" s="165" t="str">
        <f t="shared" si="5"/>
        <v/>
      </c>
    </row>
    <row r="119" spans="1:27" x14ac:dyDescent="0.25">
      <c r="A119" s="160"/>
      <c r="B119" s="160"/>
      <c r="C119" s="160"/>
      <c r="D119" s="160"/>
      <c r="E119" s="160"/>
      <c r="F119" s="167" t="str">
        <f t="shared" si="3"/>
        <v/>
      </c>
      <c r="L119" s="164"/>
      <c r="M119" s="164"/>
      <c r="N119" s="169"/>
      <c r="O119" s="164"/>
      <c r="P119" s="164"/>
      <c r="Q119" s="164"/>
      <c r="R119" s="164"/>
      <c r="S119" s="515"/>
      <c r="T119" s="165" t="str">
        <f t="shared" si="4"/>
        <v/>
      </c>
      <c r="U119" s="160"/>
      <c r="V119" s="160"/>
      <c r="W119" s="165" cm="1">
        <f t="array" ref="W119">IFERROR(INDEX($A$3:$F$345,MATCH(U119&amp;R119,$A$3:$A$345&amp;$E$3:$E$345,0),2),"")</f>
        <v>0</v>
      </c>
      <c r="X119" s="165" cm="1">
        <f t="array" ref="X119">IFERROR(INDEX($A$3:$F$345,MATCH(V119&amp;R119,$A$3:$A$345&amp;$E$3:$E$345,0),2),"")</f>
        <v>0</v>
      </c>
      <c r="Y119" s="165" cm="1">
        <f t="array" ref="Y119">IFERROR(INDEX($A$3:$F$345,MATCH(U119&amp;R119,$A$3:$A$345&amp;$E$3:$E$345,0),4),"")</f>
        <v>0</v>
      </c>
      <c r="Z119" s="165" cm="1">
        <f t="array" ref="Z119">IFERROR(INDEX($A$3:$F$345,MATCH(V119&amp;R119,$A$3:$A$345&amp;$E$3:$E$345,0),4),"")</f>
        <v>0</v>
      </c>
      <c r="AA119" s="165" t="str">
        <f t="shared" si="5"/>
        <v/>
      </c>
    </row>
    <row r="120" spans="1:27" x14ac:dyDescent="0.25">
      <c r="A120" s="160"/>
      <c r="B120" s="160"/>
      <c r="C120" s="160"/>
      <c r="D120" s="160"/>
      <c r="E120" s="160"/>
      <c r="F120" s="167" t="str">
        <f t="shared" si="3"/>
        <v/>
      </c>
      <c r="L120" s="164"/>
      <c r="M120" s="164"/>
      <c r="N120" s="169"/>
      <c r="O120" s="164"/>
      <c r="P120" s="164"/>
      <c r="Q120" s="164"/>
      <c r="R120" s="164"/>
      <c r="S120" s="515"/>
      <c r="T120" s="165" t="str">
        <f t="shared" si="4"/>
        <v/>
      </c>
      <c r="U120" s="160"/>
      <c r="V120" s="160"/>
      <c r="W120" s="165" cm="1">
        <f t="array" ref="W120">IFERROR(INDEX($A$3:$F$345,MATCH(U120&amp;R120,$A$3:$A$345&amp;$E$3:$E$345,0),2),"")</f>
        <v>0</v>
      </c>
      <c r="X120" s="165" cm="1">
        <f t="array" ref="X120">IFERROR(INDEX($A$3:$F$345,MATCH(V120&amp;R120,$A$3:$A$345&amp;$E$3:$E$345,0),2),"")</f>
        <v>0</v>
      </c>
      <c r="Y120" s="165" cm="1">
        <f t="array" ref="Y120">IFERROR(INDEX($A$3:$F$345,MATCH(U120&amp;R120,$A$3:$A$345&amp;$E$3:$E$345,0),4),"")</f>
        <v>0</v>
      </c>
      <c r="Z120" s="165" cm="1">
        <f t="array" ref="Z120">IFERROR(INDEX($A$3:$F$345,MATCH(V120&amp;R120,$A$3:$A$345&amp;$E$3:$E$345,0),4),"")</f>
        <v>0</v>
      </c>
      <c r="AA120" s="165" t="str">
        <f t="shared" si="5"/>
        <v/>
      </c>
    </row>
    <row r="121" spans="1:27" x14ac:dyDescent="0.25">
      <c r="A121" s="160"/>
      <c r="B121" s="160"/>
      <c r="C121" s="160"/>
      <c r="D121" s="160"/>
      <c r="E121" s="160"/>
      <c r="F121" s="167" t="str">
        <f t="shared" si="3"/>
        <v/>
      </c>
      <c r="L121" s="164"/>
      <c r="M121" s="164"/>
      <c r="N121" s="169"/>
      <c r="O121" s="164"/>
      <c r="P121" s="164"/>
      <c r="Q121" s="164"/>
      <c r="R121" s="164"/>
      <c r="S121" s="515"/>
      <c r="T121" s="165" t="str">
        <f t="shared" si="4"/>
        <v/>
      </c>
      <c r="U121" s="160"/>
      <c r="V121" s="160"/>
      <c r="W121" s="165" cm="1">
        <f t="array" ref="W121">IFERROR(INDEX($A$3:$F$345,MATCH(U121&amp;R121,$A$3:$A$345&amp;$E$3:$E$345,0),2),"")</f>
        <v>0</v>
      </c>
      <c r="X121" s="165" cm="1">
        <f t="array" ref="X121">IFERROR(INDEX($A$3:$F$345,MATCH(V121&amp;R121,$A$3:$A$345&amp;$E$3:$E$345,0),2),"")</f>
        <v>0</v>
      </c>
      <c r="Y121" s="165" cm="1">
        <f t="array" ref="Y121">IFERROR(INDEX($A$3:$F$345,MATCH(U121&amp;R121,$A$3:$A$345&amp;$E$3:$E$345,0),4),"")</f>
        <v>0</v>
      </c>
      <c r="Z121" s="165" cm="1">
        <f t="array" ref="Z121">IFERROR(INDEX($A$3:$F$345,MATCH(V121&amp;R121,$A$3:$A$345&amp;$E$3:$E$345,0),4),"")</f>
        <v>0</v>
      </c>
      <c r="AA121" s="165" t="str">
        <f t="shared" si="5"/>
        <v/>
      </c>
    </row>
    <row r="122" spans="1:27" x14ac:dyDescent="0.25">
      <c r="A122" s="160"/>
      <c r="B122" s="160"/>
      <c r="C122" s="160"/>
      <c r="D122" s="160"/>
      <c r="E122" s="160"/>
      <c r="F122" s="167" t="str">
        <f t="shared" si="3"/>
        <v/>
      </c>
      <c r="L122" s="164"/>
      <c r="M122" s="164"/>
      <c r="N122" s="169"/>
      <c r="O122" s="164"/>
      <c r="P122" s="164"/>
      <c r="Q122" s="164"/>
      <c r="R122" s="164"/>
      <c r="S122" s="515"/>
      <c r="T122" s="165" t="str">
        <f t="shared" si="4"/>
        <v/>
      </c>
      <c r="U122" s="160"/>
      <c r="V122" s="160"/>
      <c r="W122" s="165" cm="1">
        <f t="array" ref="W122">IFERROR(INDEX($A$3:$F$345,MATCH(U122&amp;R122,$A$3:$A$345&amp;$E$3:$E$345,0),2),"")</f>
        <v>0</v>
      </c>
      <c r="X122" s="165" cm="1">
        <f t="array" ref="X122">IFERROR(INDEX($A$3:$F$345,MATCH(V122&amp;R122,$A$3:$A$345&amp;$E$3:$E$345,0),2),"")</f>
        <v>0</v>
      </c>
      <c r="Y122" s="165" cm="1">
        <f t="array" ref="Y122">IFERROR(INDEX($A$3:$F$345,MATCH(U122&amp;R122,$A$3:$A$345&amp;$E$3:$E$345,0),4),"")</f>
        <v>0</v>
      </c>
      <c r="Z122" s="165" cm="1">
        <f t="array" ref="Z122">IFERROR(INDEX($A$3:$F$345,MATCH(V122&amp;R122,$A$3:$A$345&amp;$E$3:$E$345,0),4),"")</f>
        <v>0</v>
      </c>
      <c r="AA122" s="165" t="str">
        <f t="shared" si="5"/>
        <v/>
      </c>
    </row>
    <row r="123" spans="1:27" x14ac:dyDescent="0.25">
      <c r="A123" s="160"/>
      <c r="B123" s="160"/>
      <c r="C123" s="160"/>
      <c r="D123" s="160"/>
      <c r="E123" s="160"/>
      <c r="F123" s="167" t="str">
        <f t="shared" si="3"/>
        <v/>
      </c>
      <c r="L123" s="164"/>
      <c r="M123" s="164"/>
      <c r="N123" s="169"/>
      <c r="O123" s="164"/>
      <c r="P123" s="164"/>
      <c r="Q123" s="164"/>
      <c r="R123" s="164"/>
      <c r="S123" s="515"/>
      <c r="T123" s="165" t="str">
        <f t="shared" si="4"/>
        <v/>
      </c>
      <c r="U123" s="160"/>
      <c r="V123" s="160"/>
      <c r="W123" s="165" cm="1">
        <f t="array" ref="W123">IFERROR(INDEX($A$3:$F$345,MATCH(U123&amp;R123,$A$3:$A$345&amp;$E$3:$E$345,0),2),"")</f>
        <v>0</v>
      </c>
      <c r="X123" s="165" cm="1">
        <f t="array" ref="X123">IFERROR(INDEX($A$3:$F$345,MATCH(V123&amp;R123,$A$3:$A$345&amp;$E$3:$E$345,0),2),"")</f>
        <v>0</v>
      </c>
      <c r="Y123" s="165" cm="1">
        <f t="array" ref="Y123">IFERROR(INDEX($A$3:$F$345,MATCH(U123&amp;R123,$A$3:$A$345&amp;$E$3:$E$345,0),4),"")</f>
        <v>0</v>
      </c>
      <c r="Z123" s="165" cm="1">
        <f t="array" ref="Z123">IFERROR(INDEX($A$3:$F$345,MATCH(V123&amp;R123,$A$3:$A$345&amp;$E$3:$E$345,0),4),"")</f>
        <v>0</v>
      </c>
      <c r="AA123" s="165" t="str">
        <f t="shared" si="5"/>
        <v/>
      </c>
    </row>
    <row r="124" spans="1:27" x14ac:dyDescent="0.25">
      <c r="A124" s="160"/>
      <c r="B124" s="160"/>
      <c r="C124" s="160"/>
      <c r="D124" s="160"/>
      <c r="E124" s="160"/>
      <c r="F124" s="167" t="str">
        <f t="shared" si="3"/>
        <v/>
      </c>
      <c r="L124" s="164"/>
      <c r="M124" s="164"/>
      <c r="N124" s="169"/>
      <c r="O124" s="164"/>
      <c r="P124" s="164"/>
      <c r="Q124" s="164"/>
      <c r="R124" s="164"/>
      <c r="S124" s="515"/>
      <c r="T124" s="165" t="str">
        <f t="shared" si="4"/>
        <v/>
      </c>
      <c r="U124" s="160"/>
      <c r="V124" s="160"/>
      <c r="W124" s="165" cm="1">
        <f t="array" ref="W124">IFERROR(INDEX($A$3:$F$345,MATCH(U124&amp;R124,$A$3:$A$345&amp;$E$3:$E$345,0),2),"")</f>
        <v>0</v>
      </c>
      <c r="X124" s="165" cm="1">
        <f t="array" ref="X124">IFERROR(INDEX($A$3:$F$345,MATCH(V124&amp;R124,$A$3:$A$345&amp;$E$3:$E$345,0),2),"")</f>
        <v>0</v>
      </c>
      <c r="Y124" s="165" cm="1">
        <f t="array" ref="Y124">IFERROR(INDEX($A$3:$F$345,MATCH(U124&amp;R124,$A$3:$A$345&amp;$E$3:$E$345,0),4),"")</f>
        <v>0</v>
      </c>
      <c r="Z124" s="165" cm="1">
        <f t="array" ref="Z124">IFERROR(INDEX($A$3:$F$345,MATCH(V124&amp;R124,$A$3:$A$345&amp;$E$3:$E$345,0),4),"")</f>
        <v>0</v>
      </c>
      <c r="AA124" s="165" t="str">
        <f t="shared" si="5"/>
        <v/>
      </c>
    </row>
    <row r="125" spans="1:27" x14ac:dyDescent="0.25">
      <c r="A125" s="160"/>
      <c r="B125" s="160"/>
      <c r="C125" s="160"/>
      <c r="D125" s="160"/>
      <c r="E125" s="160"/>
      <c r="F125" s="167" t="str">
        <f t="shared" si="3"/>
        <v/>
      </c>
      <c r="L125" s="164"/>
      <c r="M125" s="164"/>
      <c r="N125" s="169"/>
      <c r="O125" s="164"/>
      <c r="P125" s="164"/>
      <c r="Q125" s="164"/>
      <c r="R125" s="164"/>
      <c r="S125" s="515"/>
      <c r="T125" s="165" t="str">
        <f t="shared" si="4"/>
        <v/>
      </c>
      <c r="U125" s="160"/>
      <c r="V125" s="160"/>
      <c r="W125" s="165" cm="1">
        <f t="array" ref="W125">IFERROR(INDEX($A$3:$F$345,MATCH(U125&amp;R125,$A$3:$A$345&amp;$E$3:$E$345,0),2),"")</f>
        <v>0</v>
      </c>
      <c r="X125" s="165" cm="1">
        <f t="array" ref="X125">IFERROR(INDEX($A$3:$F$345,MATCH(V125&amp;R125,$A$3:$A$345&amp;$E$3:$E$345,0),2),"")</f>
        <v>0</v>
      </c>
      <c r="Y125" s="165" cm="1">
        <f t="array" ref="Y125">IFERROR(INDEX($A$3:$F$345,MATCH(U125&amp;R125,$A$3:$A$345&amp;$E$3:$E$345,0),4),"")</f>
        <v>0</v>
      </c>
      <c r="Z125" s="165" cm="1">
        <f t="array" ref="Z125">IFERROR(INDEX($A$3:$F$345,MATCH(V125&amp;R125,$A$3:$A$345&amp;$E$3:$E$345,0),4),"")</f>
        <v>0</v>
      </c>
      <c r="AA125" s="165" t="str">
        <f t="shared" si="5"/>
        <v/>
      </c>
    </row>
    <row r="126" spans="1:27" x14ac:dyDescent="0.25">
      <c r="A126" s="160"/>
      <c r="B126" s="160"/>
      <c r="C126" s="160"/>
      <c r="D126" s="160"/>
      <c r="E126" s="160"/>
      <c r="F126" s="167" t="str">
        <f t="shared" si="3"/>
        <v/>
      </c>
      <c r="L126" s="164"/>
      <c r="M126" s="164"/>
      <c r="N126" s="169"/>
      <c r="O126" s="164"/>
      <c r="P126" s="164"/>
      <c r="Q126" s="164"/>
      <c r="R126" s="164"/>
      <c r="S126" s="515"/>
      <c r="T126" s="165" t="str">
        <f t="shared" si="4"/>
        <v/>
      </c>
      <c r="U126" s="160"/>
      <c r="V126" s="160"/>
      <c r="W126" s="165" cm="1">
        <f t="array" ref="W126">IFERROR(INDEX($A$3:$F$345,MATCH(U126&amp;R126,$A$3:$A$345&amp;$E$3:$E$345,0),2),"")</f>
        <v>0</v>
      </c>
      <c r="X126" s="165" cm="1">
        <f t="array" ref="X126">IFERROR(INDEX($A$3:$F$345,MATCH(V126&amp;R126,$A$3:$A$345&amp;$E$3:$E$345,0),2),"")</f>
        <v>0</v>
      </c>
      <c r="Y126" s="165" cm="1">
        <f t="array" ref="Y126">IFERROR(INDEX($A$3:$F$345,MATCH(U126&amp;R126,$A$3:$A$345&amp;$E$3:$E$345,0),4),"")</f>
        <v>0</v>
      </c>
      <c r="Z126" s="165" cm="1">
        <f t="array" ref="Z126">IFERROR(INDEX($A$3:$F$345,MATCH(V126&amp;R126,$A$3:$A$345&amp;$E$3:$E$345,0),4),"")</f>
        <v>0</v>
      </c>
      <c r="AA126" s="165" t="str">
        <f t="shared" si="5"/>
        <v/>
      </c>
    </row>
    <row r="127" spans="1:27" x14ac:dyDescent="0.25">
      <c r="A127" s="160"/>
      <c r="B127" s="160"/>
      <c r="C127" s="160"/>
      <c r="D127" s="160"/>
      <c r="E127" s="160"/>
      <c r="F127" s="167" t="str">
        <f t="shared" si="3"/>
        <v/>
      </c>
      <c r="L127" s="164"/>
      <c r="M127" s="164"/>
      <c r="N127" s="169"/>
      <c r="O127" s="164"/>
      <c r="P127" s="164"/>
      <c r="Q127" s="164"/>
      <c r="R127" s="164"/>
      <c r="S127" s="515"/>
      <c r="T127" s="165" t="str">
        <f t="shared" si="4"/>
        <v/>
      </c>
      <c r="U127" s="160"/>
      <c r="V127" s="160"/>
      <c r="W127" s="165" cm="1">
        <f t="array" ref="W127">IFERROR(INDEX($A$3:$F$345,MATCH(U127&amp;R127,$A$3:$A$345&amp;$E$3:$E$345,0),2),"")</f>
        <v>0</v>
      </c>
      <c r="X127" s="165" cm="1">
        <f t="array" ref="X127">IFERROR(INDEX($A$3:$F$345,MATCH(V127&amp;R127,$A$3:$A$345&amp;$E$3:$E$345,0),2),"")</f>
        <v>0</v>
      </c>
      <c r="Y127" s="165" cm="1">
        <f t="array" ref="Y127">IFERROR(INDEX($A$3:$F$345,MATCH(U127&amp;R127,$A$3:$A$345&amp;$E$3:$E$345,0),4),"")</f>
        <v>0</v>
      </c>
      <c r="Z127" s="165" cm="1">
        <f t="array" ref="Z127">IFERROR(INDEX($A$3:$F$345,MATCH(V127&amp;R127,$A$3:$A$345&amp;$E$3:$E$345,0),4),"")</f>
        <v>0</v>
      </c>
      <c r="AA127" s="165" t="str">
        <f t="shared" si="5"/>
        <v/>
      </c>
    </row>
    <row r="128" spans="1:27" x14ac:dyDescent="0.25">
      <c r="A128" s="160"/>
      <c r="B128" s="160"/>
      <c r="C128" s="160"/>
      <c r="D128" s="160"/>
      <c r="E128" s="160"/>
      <c r="F128" s="167" t="str">
        <f t="shared" si="3"/>
        <v/>
      </c>
      <c r="L128" s="164"/>
      <c r="M128" s="164"/>
      <c r="N128" s="169"/>
      <c r="O128" s="164"/>
      <c r="P128" s="164"/>
      <c r="Q128" s="164"/>
      <c r="R128" s="164"/>
      <c r="S128" s="515"/>
      <c r="T128" s="165" t="str">
        <f t="shared" si="4"/>
        <v/>
      </c>
      <c r="U128" s="160"/>
      <c r="V128" s="160"/>
      <c r="W128" s="165" cm="1">
        <f t="array" ref="W128">IFERROR(INDEX($A$3:$F$345,MATCH(U128&amp;R128,$A$3:$A$345&amp;$E$3:$E$345,0),2),"")</f>
        <v>0</v>
      </c>
      <c r="X128" s="165" cm="1">
        <f t="array" ref="X128">IFERROR(INDEX($A$3:$F$345,MATCH(V128&amp;R128,$A$3:$A$345&amp;$E$3:$E$345,0),2),"")</f>
        <v>0</v>
      </c>
      <c r="Y128" s="165" cm="1">
        <f t="array" ref="Y128">IFERROR(INDEX($A$3:$F$345,MATCH(U128&amp;R128,$A$3:$A$345&amp;$E$3:$E$345,0),4),"")</f>
        <v>0</v>
      </c>
      <c r="Z128" s="165" cm="1">
        <f t="array" ref="Z128">IFERROR(INDEX($A$3:$F$345,MATCH(V128&amp;R128,$A$3:$A$345&amp;$E$3:$E$345,0),4),"")</f>
        <v>0</v>
      </c>
      <c r="AA128" s="165" t="str">
        <f t="shared" si="5"/>
        <v/>
      </c>
    </row>
    <row r="129" spans="1:27" x14ac:dyDescent="0.25">
      <c r="A129" s="160"/>
      <c r="B129" s="160"/>
      <c r="C129" s="160"/>
      <c r="D129" s="160"/>
      <c r="E129" s="160"/>
      <c r="F129" s="167" t="str">
        <f t="shared" si="3"/>
        <v/>
      </c>
      <c r="L129" s="164"/>
      <c r="M129" s="164"/>
      <c r="N129" s="169"/>
      <c r="O129" s="164"/>
      <c r="P129" s="164"/>
      <c r="Q129" s="164"/>
      <c r="R129" s="164"/>
      <c r="S129" s="515"/>
      <c r="T129" s="165" t="str">
        <f t="shared" si="4"/>
        <v/>
      </c>
      <c r="U129" s="160"/>
      <c r="V129" s="160"/>
      <c r="W129" s="165" cm="1">
        <f t="array" ref="W129">IFERROR(INDEX($A$3:$F$345,MATCH(U129&amp;R129,$A$3:$A$345&amp;$E$3:$E$345,0),2),"")</f>
        <v>0</v>
      </c>
      <c r="X129" s="165" cm="1">
        <f t="array" ref="X129">IFERROR(INDEX($A$3:$F$345,MATCH(V129&amp;R129,$A$3:$A$345&amp;$E$3:$E$345,0),2),"")</f>
        <v>0</v>
      </c>
      <c r="Y129" s="165" cm="1">
        <f t="array" ref="Y129">IFERROR(INDEX($A$3:$F$345,MATCH(U129&amp;R129,$A$3:$A$345&amp;$E$3:$E$345,0),4),"")</f>
        <v>0</v>
      </c>
      <c r="Z129" s="165" cm="1">
        <f t="array" ref="Z129">IFERROR(INDEX($A$3:$F$345,MATCH(V129&amp;R129,$A$3:$A$345&amp;$E$3:$E$345,0),4),"")</f>
        <v>0</v>
      </c>
      <c r="AA129" s="165" t="str">
        <f t="shared" si="5"/>
        <v/>
      </c>
    </row>
    <row r="130" spans="1:27" x14ac:dyDescent="0.25">
      <c r="A130" s="160"/>
      <c r="B130" s="160"/>
      <c r="C130" s="160"/>
      <c r="D130" s="160"/>
      <c r="E130" s="160"/>
      <c r="F130" s="167" t="str">
        <f t="shared" si="3"/>
        <v/>
      </c>
      <c r="L130" s="164"/>
      <c r="M130" s="164"/>
      <c r="N130" s="169"/>
      <c r="O130" s="164"/>
      <c r="P130" s="164"/>
      <c r="Q130" s="164"/>
      <c r="R130" s="164"/>
      <c r="S130" s="515"/>
      <c r="T130" s="165" t="str">
        <f t="shared" si="4"/>
        <v/>
      </c>
      <c r="U130" s="160"/>
      <c r="V130" s="160"/>
      <c r="W130" s="165" cm="1">
        <f t="array" ref="W130">IFERROR(INDEX($A$3:$F$345,MATCH(U130&amp;R130,$A$3:$A$345&amp;$E$3:$E$345,0),2),"")</f>
        <v>0</v>
      </c>
      <c r="X130" s="165" cm="1">
        <f t="array" ref="X130">IFERROR(INDEX($A$3:$F$345,MATCH(V130&amp;R130,$A$3:$A$345&amp;$E$3:$E$345,0),2),"")</f>
        <v>0</v>
      </c>
      <c r="Y130" s="165" cm="1">
        <f t="array" ref="Y130">IFERROR(INDEX($A$3:$F$345,MATCH(U130&amp;R130,$A$3:$A$345&amp;$E$3:$E$345,0),4),"")</f>
        <v>0</v>
      </c>
      <c r="Z130" s="165" cm="1">
        <f t="array" ref="Z130">IFERROR(INDEX($A$3:$F$345,MATCH(V130&amp;R130,$A$3:$A$345&amp;$E$3:$E$345,0),4),"")</f>
        <v>0</v>
      </c>
      <c r="AA130" s="165" t="str">
        <f t="shared" si="5"/>
        <v/>
      </c>
    </row>
    <row r="131" spans="1:27" x14ac:dyDescent="0.25">
      <c r="A131" s="160"/>
      <c r="B131" s="160"/>
      <c r="C131" s="160"/>
      <c r="D131" s="160"/>
      <c r="E131" s="160"/>
      <c r="F131" s="167" t="str">
        <f t="shared" ref="F131:F194" si="6">IF(AND(LEFT(A131,4)&lt;&gt;"PV",LEFT(A131,4)&lt;&gt;"CX"),IF(LEFT(A131,1)="R",RIGHT(LEFT(A131,3),4),IF(LEFT(A131,1)="I",RIGHT(LEFT(A131,4),3),LEFT(A131,3))))</f>
        <v/>
      </c>
      <c r="L131" s="164"/>
      <c r="M131" s="164"/>
      <c r="N131" s="169"/>
      <c r="O131" s="164"/>
      <c r="P131" s="164"/>
      <c r="Q131" s="164"/>
      <c r="R131" s="164"/>
      <c r="S131" s="515"/>
      <c r="T131" s="165" t="str">
        <f t="shared" ref="T131:T190" si="7">IF(S131="E","EXISTENTE",IF(AND(S131="R",LEFT(L131,7)="RBIGODE",M131=400),"RBIGODE 40",IF(AND(LEFT(L131,7)="RBIGODE",M131=600),"RBIGODE 60",IF(AND(S131="I",LEFT(L131,6)="BIGODE",M131=400),"BIGODE 40",IF(AND(LEFT(L131,6)="BIGODE",M131=600),"BIGODE 60",LEFT(L131,7))))))</f>
        <v/>
      </c>
      <c r="U131" s="160"/>
      <c r="V131" s="160"/>
      <c r="W131" s="165" cm="1">
        <f t="array" ref="W131">IFERROR(INDEX($A$3:$F$345,MATCH(U131&amp;R131,$A$3:$A$345&amp;$E$3:$E$345,0),2),"")</f>
        <v>0</v>
      </c>
      <c r="X131" s="165" cm="1">
        <f t="array" ref="X131">IFERROR(INDEX($A$3:$F$345,MATCH(V131&amp;R131,$A$3:$A$345&amp;$E$3:$E$345,0),2),"")</f>
        <v>0</v>
      </c>
      <c r="Y131" s="165" cm="1">
        <f t="array" ref="Y131">IFERROR(INDEX($A$3:$F$345,MATCH(U131&amp;R131,$A$3:$A$345&amp;$E$3:$E$345,0),4),"")</f>
        <v>0</v>
      </c>
      <c r="Z131" s="165" cm="1">
        <f t="array" ref="Z131">IFERROR(INDEX($A$3:$F$345,MATCH(V131&amp;R131,$A$3:$A$345&amp;$E$3:$E$345,0),4),"")</f>
        <v>0</v>
      </c>
      <c r="AA131" s="165" t="str">
        <f t="shared" ref="AA131:AA194" si="8">IFERROR((IF(LEFT(U131,1)="R",RIGHT(LEFT(U131,3),2),LEFT(U131,2))),"")</f>
        <v/>
      </c>
    </row>
    <row r="132" spans="1:27" x14ac:dyDescent="0.25">
      <c r="A132" s="160"/>
      <c r="B132" s="160"/>
      <c r="C132" s="160"/>
      <c r="D132" s="160"/>
      <c r="E132" s="160"/>
      <c r="F132" s="167" t="str">
        <f t="shared" si="6"/>
        <v/>
      </c>
      <c r="L132" s="164"/>
      <c r="M132" s="164"/>
      <c r="N132" s="169"/>
      <c r="O132" s="164"/>
      <c r="P132" s="164"/>
      <c r="Q132" s="164"/>
      <c r="R132" s="164"/>
      <c r="S132" s="515"/>
      <c r="T132" s="165" t="str">
        <f t="shared" si="7"/>
        <v/>
      </c>
      <c r="U132" s="160"/>
      <c r="V132" s="160"/>
      <c r="W132" s="165" cm="1">
        <f t="array" ref="W132">IFERROR(INDEX($A$3:$F$345,MATCH(U132&amp;R132,$A$3:$A$345&amp;$E$3:$E$345,0),2),"")</f>
        <v>0</v>
      </c>
      <c r="X132" s="165" cm="1">
        <f t="array" ref="X132">IFERROR(INDEX($A$3:$F$345,MATCH(V132&amp;R132,$A$3:$A$345&amp;$E$3:$E$345,0),2),"")</f>
        <v>0</v>
      </c>
      <c r="Y132" s="165" cm="1">
        <f t="array" ref="Y132">IFERROR(INDEX($A$3:$F$345,MATCH(U132&amp;R132,$A$3:$A$345&amp;$E$3:$E$345,0),4),"")</f>
        <v>0</v>
      </c>
      <c r="Z132" s="165" cm="1">
        <f t="array" ref="Z132">IFERROR(INDEX($A$3:$F$345,MATCH(V132&amp;R132,$A$3:$A$345&amp;$E$3:$E$345,0),4),"")</f>
        <v>0</v>
      </c>
      <c r="AA132" s="165" t="str">
        <f t="shared" si="8"/>
        <v/>
      </c>
    </row>
    <row r="133" spans="1:27" x14ac:dyDescent="0.25">
      <c r="A133" s="160"/>
      <c r="B133" s="160"/>
      <c r="C133" s="160"/>
      <c r="D133" s="160"/>
      <c r="E133" s="160"/>
      <c r="F133" s="167" t="str">
        <f t="shared" si="6"/>
        <v/>
      </c>
      <c r="L133" s="164"/>
      <c r="M133" s="164"/>
      <c r="N133" s="169"/>
      <c r="O133" s="164"/>
      <c r="P133" s="164"/>
      <c r="Q133" s="164"/>
      <c r="R133" s="164"/>
      <c r="S133" s="515"/>
      <c r="T133" s="165" t="str">
        <f t="shared" si="7"/>
        <v/>
      </c>
      <c r="U133" s="160"/>
      <c r="V133" s="160"/>
      <c r="W133" s="165" cm="1">
        <f t="array" ref="W133">IFERROR(INDEX($A$3:$F$345,MATCH(U133&amp;R133,$A$3:$A$345&amp;$E$3:$E$345,0),2),"")</f>
        <v>0</v>
      </c>
      <c r="X133" s="165" cm="1">
        <f t="array" ref="X133">IFERROR(INDEX($A$3:$F$345,MATCH(V133&amp;R133,$A$3:$A$345&amp;$E$3:$E$345,0),2),"")</f>
        <v>0</v>
      </c>
      <c r="Y133" s="165" cm="1">
        <f t="array" ref="Y133">IFERROR(INDEX($A$3:$F$345,MATCH(U133&amp;R133,$A$3:$A$345&amp;$E$3:$E$345,0),4),"")</f>
        <v>0</v>
      </c>
      <c r="Z133" s="165" cm="1">
        <f t="array" ref="Z133">IFERROR(INDEX($A$3:$F$345,MATCH(V133&amp;R133,$A$3:$A$345&amp;$E$3:$E$345,0),4),"")</f>
        <v>0</v>
      </c>
      <c r="AA133" s="165" t="str">
        <f t="shared" si="8"/>
        <v/>
      </c>
    </row>
    <row r="134" spans="1:27" x14ac:dyDescent="0.25">
      <c r="A134" s="160"/>
      <c r="B134" s="160"/>
      <c r="C134" s="160"/>
      <c r="D134" s="160"/>
      <c r="E134" s="160"/>
      <c r="F134" s="167" t="str">
        <f t="shared" si="6"/>
        <v/>
      </c>
      <c r="L134" s="164"/>
      <c r="M134" s="164"/>
      <c r="N134" s="169"/>
      <c r="O134" s="164"/>
      <c r="P134" s="164"/>
      <c r="Q134" s="164"/>
      <c r="R134" s="164"/>
      <c r="S134" s="515"/>
      <c r="T134" s="165" t="str">
        <f t="shared" si="7"/>
        <v/>
      </c>
      <c r="U134" s="160"/>
      <c r="V134" s="160"/>
      <c r="W134" s="165" cm="1">
        <f t="array" ref="W134">IFERROR(INDEX($A$3:$F$345,MATCH(U134&amp;R134,$A$3:$A$345&amp;$E$3:$E$345,0),2),"")</f>
        <v>0</v>
      </c>
      <c r="X134" s="165" cm="1">
        <f t="array" ref="X134">IFERROR(INDEX($A$3:$F$345,MATCH(V134&amp;R134,$A$3:$A$345&amp;$E$3:$E$345,0),2),"")</f>
        <v>0</v>
      </c>
      <c r="Y134" s="165" cm="1">
        <f t="array" ref="Y134">IFERROR(INDEX($A$3:$F$345,MATCH(U134&amp;R134,$A$3:$A$345&amp;$E$3:$E$345,0),4),"")</f>
        <v>0</v>
      </c>
      <c r="Z134" s="165" cm="1">
        <f t="array" ref="Z134">IFERROR(INDEX($A$3:$F$345,MATCH(V134&amp;R134,$A$3:$A$345&amp;$E$3:$E$345,0),4),"")</f>
        <v>0</v>
      </c>
      <c r="AA134" s="165" t="str">
        <f t="shared" si="8"/>
        <v/>
      </c>
    </row>
    <row r="135" spans="1:27" x14ac:dyDescent="0.25">
      <c r="A135" s="160"/>
      <c r="B135" s="160"/>
      <c r="C135" s="160"/>
      <c r="D135" s="160"/>
      <c r="E135" s="160"/>
      <c r="F135" s="167" t="str">
        <f t="shared" si="6"/>
        <v/>
      </c>
      <c r="L135" s="164"/>
      <c r="M135" s="164"/>
      <c r="N135" s="169"/>
      <c r="O135" s="164"/>
      <c r="P135" s="164"/>
      <c r="Q135" s="164"/>
      <c r="R135" s="164"/>
      <c r="S135" s="515"/>
      <c r="T135" s="165" t="str">
        <f t="shared" si="7"/>
        <v/>
      </c>
      <c r="U135" s="160"/>
      <c r="V135" s="160"/>
      <c r="W135" s="165" cm="1">
        <f t="array" ref="W135">IFERROR(INDEX($A$3:$F$345,MATCH(U135&amp;R135,$A$3:$A$345&amp;$E$3:$E$345,0),2),"")</f>
        <v>0</v>
      </c>
      <c r="X135" s="165" cm="1">
        <f t="array" ref="X135">IFERROR(INDEX($A$3:$F$345,MATCH(V135&amp;R135,$A$3:$A$345&amp;$E$3:$E$345,0),2),"")</f>
        <v>0</v>
      </c>
      <c r="Y135" s="165" cm="1">
        <f t="array" ref="Y135">IFERROR(INDEX($A$3:$F$345,MATCH(U135&amp;R135,$A$3:$A$345&amp;$E$3:$E$345,0),4),"")</f>
        <v>0</v>
      </c>
      <c r="Z135" s="165" cm="1">
        <f t="array" ref="Z135">IFERROR(INDEX($A$3:$F$345,MATCH(V135&amp;R135,$A$3:$A$345&amp;$E$3:$E$345,0),4),"")</f>
        <v>0</v>
      </c>
      <c r="AA135" s="165" t="str">
        <f t="shared" si="8"/>
        <v/>
      </c>
    </row>
    <row r="136" spans="1:27" x14ac:dyDescent="0.25">
      <c r="A136" s="160"/>
      <c r="B136" s="160"/>
      <c r="C136" s="160"/>
      <c r="D136" s="160"/>
      <c r="E136" s="160"/>
      <c r="F136" s="167" t="str">
        <f t="shared" si="6"/>
        <v/>
      </c>
      <c r="L136" s="164"/>
      <c r="M136" s="164"/>
      <c r="N136" s="169"/>
      <c r="O136" s="164"/>
      <c r="P136" s="164"/>
      <c r="Q136" s="164"/>
      <c r="R136" s="164"/>
      <c r="S136" s="515"/>
      <c r="T136" s="165" t="str">
        <f t="shared" si="7"/>
        <v/>
      </c>
      <c r="U136" s="160"/>
      <c r="V136" s="160"/>
      <c r="W136" s="165" cm="1">
        <f t="array" ref="W136">IFERROR(INDEX($A$3:$F$345,MATCH(U136&amp;R136,$A$3:$A$345&amp;$E$3:$E$345,0),2),"")</f>
        <v>0</v>
      </c>
      <c r="X136" s="165" cm="1">
        <f t="array" ref="X136">IFERROR(INDEX($A$3:$F$345,MATCH(V136&amp;R136,$A$3:$A$345&amp;$E$3:$E$345,0),2),"")</f>
        <v>0</v>
      </c>
      <c r="Y136" s="165" cm="1">
        <f t="array" ref="Y136">IFERROR(INDEX($A$3:$F$345,MATCH(U136&amp;R136,$A$3:$A$345&amp;$E$3:$E$345,0),4),"")</f>
        <v>0</v>
      </c>
      <c r="Z136" s="165" cm="1">
        <f t="array" ref="Z136">IFERROR(INDEX($A$3:$F$345,MATCH(V136&amp;R136,$A$3:$A$345&amp;$E$3:$E$345,0),4),"")</f>
        <v>0</v>
      </c>
      <c r="AA136" s="165" t="str">
        <f t="shared" si="8"/>
        <v/>
      </c>
    </row>
    <row r="137" spans="1:27" x14ac:dyDescent="0.25">
      <c r="A137" s="160"/>
      <c r="B137" s="160"/>
      <c r="C137" s="160"/>
      <c r="D137" s="160"/>
      <c r="E137" s="160"/>
      <c r="F137" s="167" t="str">
        <f t="shared" si="6"/>
        <v/>
      </c>
      <c r="L137" s="164"/>
      <c r="M137" s="164"/>
      <c r="N137" s="169"/>
      <c r="O137" s="164"/>
      <c r="P137" s="164"/>
      <c r="Q137" s="164"/>
      <c r="R137" s="164"/>
      <c r="S137" s="515"/>
      <c r="T137" s="165" t="str">
        <f t="shared" si="7"/>
        <v/>
      </c>
      <c r="U137" s="160"/>
      <c r="V137" s="160"/>
      <c r="W137" s="165" cm="1">
        <f t="array" ref="W137">IFERROR(INDEX($A$3:$F$345,MATCH(U137&amp;R137,$A$3:$A$345&amp;$E$3:$E$345,0),2),"")</f>
        <v>0</v>
      </c>
      <c r="X137" s="165" cm="1">
        <f t="array" ref="X137">IFERROR(INDEX($A$3:$F$345,MATCH(V137&amp;R137,$A$3:$A$345&amp;$E$3:$E$345,0),2),"")</f>
        <v>0</v>
      </c>
      <c r="Y137" s="165" cm="1">
        <f t="array" ref="Y137">IFERROR(INDEX($A$3:$F$345,MATCH(U137&amp;R137,$A$3:$A$345&amp;$E$3:$E$345,0),4),"")</f>
        <v>0</v>
      </c>
      <c r="Z137" s="165" cm="1">
        <f t="array" ref="Z137">IFERROR(INDEX($A$3:$F$345,MATCH(V137&amp;R137,$A$3:$A$345&amp;$E$3:$E$345,0),4),"")</f>
        <v>0</v>
      </c>
      <c r="AA137" s="165" t="str">
        <f t="shared" si="8"/>
        <v/>
      </c>
    </row>
    <row r="138" spans="1:27" x14ac:dyDescent="0.25">
      <c r="A138" s="160"/>
      <c r="B138" s="160"/>
      <c r="C138" s="160"/>
      <c r="D138" s="160"/>
      <c r="E138" s="160"/>
      <c r="F138" s="167" t="str">
        <f t="shared" si="6"/>
        <v/>
      </c>
      <c r="L138" s="164"/>
      <c r="M138" s="164"/>
      <c r="N138" s="169"/>
      <c r="O138" s="164"/>
      <c r="P138" s="164"/>
      <c r="Q138" s="164"/>
      <c r="R138" s="164"/>
      <c r="S138" s="515"/>
      <c r="T138" s="165" t="str">
        <f t="shared" si="7"/>
        <v/>
      </c>
      <c r="U138" s="160"/>
      <c r="V138" s="160"/>
      <c r="W138" s="165" cm="1">
        <f t="array" ref="W138">IFERROR(INDEX($A$3:$F$345,MATCH(U138&amp;R138,$A$3:$A$345&amp;$E$3:$E$345,0),2),"")</f>
        <v>0</v>
      </c>
      <c r="X138" s="165" cm="1">
        <f t="array" ref="X138">IFERROR(INDEX($A$3:$F$345,MATCH(V138&amp;R138,$A$3:$A$345&amp;$E$3:$E$345,0),2),"")</f>
        <v>0</v>
      </c>
      <c r="Y138" s="165" cm="1">
        <f t="array" ref="Y138">IFERROR(INDEX($A$3:$F$345,MATCH(U138&amp;R138,$A$3:$A$345&amp;$E$3:$E$345,0),4),"")</f>
        <v>0</v>
      </c>
      <c r="Z138" s="165" cm="1">
        <f t="array" ref="Z138">IFERROR(INDEX($A$3:$F$345,MATCH(V138&amp;R138,$A$3:$A$345&amp;$E$3:$E$345,0),4),"")</f>
        <v>0</v>
      </c>
      <c r="AA138" s="165" t="str">
        <f t="shared" si="8"/>
        <v/>
      </c>
    </row>
    <row r="139" spans="1:27" x14ac:dyDescent="0.25">
      <c r="A139" s="160"/>
      <c r="B139" s="160"/>
      <c r="C139" s="160"/>
      <c r="D139" s="160"/>
      <c r="E139" s="160"/>
      <c r="F139" s="167" t="str">
        <f t="shared" si="6"/>
        <v/>
      </c>
      <c r="L139" s="164"/>
      <c r="M139" s="164"/>
      <c r="N139" s="169"/>
      <c r="O139" s="164"/>
      <c r="P139" s="164"/>
      <c r="Q139" s="164"/>
      <c r="R139" s="164"/>
      <c r="S139" s="515"/>
      <c r="T139" s="165" t="str">
        <f t="shared" si="7"/>
        <v/>
      </c>
      <c r="U139" s="160"/>
      <c r="V139" s="160"/>
      <c r="W139" s="165" cm="1">
        <f t="array" ref="W139">IFERROR(INDEX($A$3:$F$345,MATCH(U139&amp;R139,$A$3:$A$345&amp;$E$3:$E$345,0),2),"")</f>
        <v>0</v>
      </c>
      <c r="X139" s="165" cm="1">
        <f t="array" ref="X139">IFERROR(INDEX($A$3:$F$345,MATCH(V139&amp;R139,$A$3:$A$345&amp;$E$3:$E$345,0),2),"")</f>
        <v>0</v>
      </c>
      <c r="Y139" s="165" cm="1">
        <f t="array" ref="Y139">IFERROR(INDEX($A$3:$F$345,MATCH(U139&amp;R139,$A$3:$A$345&amp;$E$3:$E$345,0),4),"")</f>
        <v>0</v>
      </c>
      <c r="Z139" s="165" cm="1">
        <f t="array" ref="Z139">IFERROR(INDEX($A$3:$F$345,MATCH(V139&amp;R139,$A$3:$A$345&amp;$E$3:$E$345,0),4),"")</f>
        <v>0</v>
      </c>
      <c r="AA139" s="165" t="str">
        <f t="shared" si="8"/>
        <v/>
      </c>
    </row>
    <row r="140" spans="1:27" x14ac:dyDescent="0.25">
      <c r="A140" s="160"/>
      <c r="B140" s="160"/>
      <c r="C140" s="160"/>
      <c r="D140" s="160"/>
      <c r="E140" s="160"/>
      <c r="F140" s="167" t="str">
        <f t="shared" si="6"/>
        <v/>
      </c>
      <c r="L140" s="164"/>
      <c r="M140" s="164"/>
      <c r="N140" s="169"/>
      <c r="O140" s="164"/>
      <c r="P140" s="164"/>
      <c r="Q140" s="164"/>
      <c r="R140" s="164"/>
      <c r="S140" s="515"/>
      <c r="T140" s="165" t="str">
        <f t="shared" si="7"/>
        <v/>
      </c>
      <c r="U140" s="160"/>
      <c r="V140" s="160"/>
      <c r="W140" s="165" cm="1">
        <f t="array" ref="W140">IFERROR(INDEX($A$3:$F$345,MATCH(U140&amp;R140,$A$3:$A$345&amp;$E$3:$E$345,0),2),"")</f>
        <v>0</v>
      </c>
      <c r="X140" s="165" cm="1">
        <f t="array" ref="X140">IFERROR(INDEX($A$3:$F$345,MATCH(V140&amp;R140,$A$3:$A$345&amp;$E$3:$E$345,0),2),"")</f>
        <v>0</v>
      </c>
      <c r="Y140" s="165" cm="1">
        <f t="array" ref="Y140">IFERROR(INDEX($A$3:$F$345,MATCH(U140&amp;R140,$A$3:$A$345&amp;$E$3:$E$345,0),4),"")</f>
        <v>0</v>
      </c>
      <c r="Z140" s="165" cm="1">
        <f t="array" ref="Z140">IFERROR(INDEX($A$3:$F$345,MATCH(V140&amp;R140,$A$3:$A$345&amp;$E$3:$E$345,0),4),"")</f>
        <v>0</v>
      </c>
      <c r="AA140" s="165" t="str">
        <f t="shared" si="8"/>
        <v/>
      </c>
    </row>
    <row r="141" spans="1:27" x14ac:dyDescent="0.25">
      <c r="A141" s="160"/>
      <c r="B141" s="160"/>
      <c r="C141" s="160"/>
      <c r="D141" s="160"/>
      <c r="E141" s="160"/>
      <c r="F141" s="167" t="str">
        <f t="shared" si="6"/>
        <v/>
      </c>
      <c r="L141" s="164"/>
      <c r="M141" s="164"/>
      <c r="N141" s="169"/>
      <c r="O141" s="164"/>
      <c r="P141" s="164"/>
      <c r="Q141" s="164"/>
      <c r="R141" s="164"/>
      <c r="S141" s="515"/>
      <c r="T141" s="165" t="str">
        <f t="shared" si="7"/>
        <v/>
      </c>
      <c r="U141" s="160"/>
      <c r="V141" s="160"/>
      <c r="W141" s="165" cm="1">
        <f t="array" ref="W141">IFERROR(INDEX($A$3:$F$345,MATCH(U141&amp;R141,$A$3:$A$345&amp;$E$3:$E$345,0),2),"")</f>
        <v>0</v>
      </c>
      <c r="X141" s="165" cm="1">
        <f t="array" ref="X141">IFERROR(INDEX($A$3:$F$345,MATCH(V141&amp;R141,$A$3:$A$345&amp;$E$3:$E$345,0),2),"")</f>
        <v>0</v>
      </c>
      <c r="Y141" s="165" cm="1">
        <f t="array" ref="Y141">IFERROR(INDEX($A$3:$F$345,MATCH(U141&amp;R141,$A$3:$A$345&amp;$E$3:$E$345,0),4),"")</f>
        <v>0</v>
      </c>
      <c r="Z141" s="165" cm="1">
        <f t="array" ref="Z141">IFERROR(INDEX($A$3:$F$345,MATCH(V141&amp;R141,$A$3:$A$345&amp;$E$3:$E$345,0),4),"")</f>
        <v>0</v>
      </c>
      <c r="AA141" s="165" t="str">
        <f t="shared" si="8"/>
        <v/>
      </c>
    </row>
    <row r="142" spans="1:27" x14ac:dyDescent="0.25">
      <c r="A142" s="160"/>
      <c r="B142" s="160"/>
      <c r="C142" s="160"/>
      <c r="D142" s="160"/>
      <c r="E142" s="160"/>
      <c r="F142" s="167" t="str">
        <f t="shared" si="6"/>
        <v/>
      </c>
      <c r="L142" s="164"/>
      <c r="M142" s="164"/>
      <c r="N142" s="169"/>
      <c r="O142" s="164"/>
      <c r="P142" s="164"/>
      <c r="Q142" s="164"/>
      <c r="R142" s="164"/>
      <c r="S142" s="515"/>
      <c r="T142" s="165" t="str">
        <f t="shared" si="7"/>
        <v/>
      </c>
      <c r="U142" s="160"/>
      <c r="V142" s="160"/>
      <c r="W142" s="165" cm="1">
        <f t="array" ref="W142">IFERROR(INDEX($A$3:$F$345,MATCH(U142&amp;R142,$A$3:$A$345&amp;$E$3:$E$345,0),2),"")</f>
        <v>0</v>
      </c>
      <c r="X142" s="165" cm="1">
        <f t="array" ref="X142">IFERROR(INDEX($A$3:$F$345,MATCH(V142&amp;R142,$A$3:$A$345&amp;$E$3:$E$345,0),2),"")</f>
        <v>0</v>
      </c>
      <c r="Y142" s="165" cm="1">
        <f t="array" ref="Y142">IFERROR(INDEX($A$3:$F$345,MATCH(U142&amp;R142,$A$3:$A$345&amp;$E$3:$E$345,0),4),"")</f>
        <v>0</v>
      </c>
      <c r="Z142" s="165" cm="1">
        <f t="array" ref="Z142">IFERROR(INDEX($A$3:$F$345,MATCH(V142&amp;R142,$A$3:$A$345&amp;$E$3:$E$345,0),4),"")</f>
        <v>0</v>
      </c>
      <c r="AA142" s="165" t="str">
        <f t="shared" si="8"/>
        <v/>
      </c>
    </row>
    <row r="143" spans="1:27" x14ac:dyDescent="0.25">
      <c r="A143" s="160"/>
      <c r="B143" s="160"/>
      <c r="C143" s="160"/>
      <c r="D143" s="160"/>
      <c r="E143" s="160"/>
      <c r="F143" s="167" t="str">
        <f t="shared" si="6"/>
        <v/>
      </c>
      <c r="L143" s="164"/>
      <c r="M143" s="164"/>
      <c r="N143" s="169"/>
      <c r="O143" s="164"/>
      <c r="P143" s="164"/>
      <c r="Q143" s="164"/>
      <c r="R143" s="164"/>
      <c r="S143" s="515"/>
      <c r="T143" s="165" t="str">
        <f t="shared" si="7"/>
        <v/>
      </c>
      <c r="U143" s="160"/>
      <c r="V143" s="160"/>
      <c r="W143" s="165" cm="1">
        <f t="array" ref="W143">IFERROR(INDEX($A$3:$F$345,MATCH(U143&amp;R143,$A$3:$A$345&amp;$E$3:$E$345,0),2),"")</f>
        <v>0</v>
      </c>
      <c r="X143" s="165" cm="1">
        <f t="array" ref="X143">IFERROR(INDEX($A$3:$F$345,MATCH(V143&amp;R143,$A$3:$A$345&amp;$E$3:$E$345,0),2),"")</f>
        <v>0</v>
      </c>
      <c r="Y143" s="165" cm="1">
        <f t="array" ref="Y143">IFERROR(INDEX($A$3:$F$345,MATCH(U143&amp;R143,$A$3:$A$345&amp;$E$3:$E$345,0),4),"")</f>
        <v>0</v>
      </c>
      <c r="Z143" s="165" cm="1">
        <f t="array" ref="Z143">IFERROR(INDEX($A$3:$F$345,MATCH(V143&amp;R143,$A$3:$A$345&amp;$E$3:$E$345,0),4),"")</f>
        <v>0</v>
      </c>
      <c r="AA143" s="165" t="str">
        <f t="shared" si="8"/>
        <v/>
      </c>
    </row>
    <row r="144" spans="1:27" x14ac:dyDescent="0.25">
      <c r="A144" s="160"/>
      <c r="B144" s="160"/>
      <c r="C144" s="160"/>
      <c r="D144" s="160"/>
      <c r="E144" s="160"/>
      <c r="F144" s="167" t="str">
        <f t="shared" si="6"/>
        <v/>
      </c>
      <c r="L144" s="164"/>
      <c r="M144" s="164"/>
      <c r="N144" s="169"/>
      <c r="O144" s="164"/>
      <c r="P144" s="164"/>
      <c r="Q144" s="164"/>
      <c r="R144" s="164"/>
      <c r="S144" s="515"/>
      <c r="T144" s="165" t="str">
        <f t="shared" si="7"/>
        <v/>
      </c>
      <c r="U144" s="160"/>
      <c r="V144" s="160"/>
      <c r="W144" s="165" cm="1">
        <f t="array" ref="W144">IFERROR(INDEX($A$3:$F$345,MATCH(U144&amp;R144,$A$3:$A$345&amp;$E$3:$E$345,0),2),"")</f>
        <v>0</v>
      </c>
      <c r="X144" s="165" cm="1">
        <f t="array" ref="X144">IFERROR(INDEX($A$3:$F$345,MATCH(V144&amp;R144,$A$3:$A$345&amp;$E$3:$E$345,0),2),"")</f>
        <v>0</v>
      </c>
      <c r="Y144" s="165" cm="1">
        <f t="array" ref="Y144">IFERROR(INDEX($A$3:$F$345,MATCH(U144&amp;R144,$A$3:$A$345&amp;$E$3:$E$345,0),4),"")</f>
        <v>0</v>
      </c>
      <c r="Z144" s="165" cm="1">
        <f t="array" ref="Z144">IFERROR(INDEX($A$3:$F$345,MATCH(V144&amp;R144,$A$3:$A$345&amp;$E$3:$E$345,0),4),"")</f>
        <v>0</v>
      </c>
      <c r="AA144" s="165" t="str">
        <f t="shared" si="8"/>
        <v/>
      </c>
    </row>
    <row r="145" spans="1:27" x14ac:dyDescent="0.25">
      <c r="A145" s="160"/>
      <c r="B145" s="160"/>
      <c r="C145" s="160"/>
      <c r="D145" s="160"/>
      <c r="E145" s="160"/>
      <c r="F145" s="167" t="str">
        <f t="shared" si="6"/>
        <v/>
      </c>
      <c r="L145" s="164"/>
      <c r="M145" s="164"/>
      <c r="N145" s="169"/>
      <c r="O145" s="164"/>
      <c r="P145" s="164"/>
      <c r="Q145" s="164"/>
      <c r="R145" s="164"/>
      <c r="S145" s="515"/>
      <c r="T145" s="165" t="str">
        <f t="shared" si="7"/>
        <v/>
      </c>
      <c r="U145" s="160"/>
      <c r="V145" s="160"/>
      <c r="W145" s="165" cm="1">
        <f t="array" ref="W145">IFERROR(INDEX($A$3:$F$345,MATCH(U145&amp;R145,$A$3:$A$345&amp;$E$3:$E$345,0),2),"")</f>
        <v>0</v>
      </c>
      <c r="X145" s="165" cm="1">
        <f t="array" ref="X145">IFERROR(INDEX($A$3:$F$345,MATCH(V145&amp;R145,$A$3:$A$345&amp;$E$3:$E$345,0),2),"")</f>
        <v>0</v>
      </c>
      <c r="Y145" s="165" cm="1">
        <f t="array" ref="Y145">IFERROR(INDEX($A$3:$F$345,MATCH(U145&amp;R145,$A$3:$A$345&amp;$E$3:$E$345,0),4),"")</f>
        <v>0</v>
      </c>
      <c r="Z145" s="165" cm="1">
        <f t="array" ref="Z145">IFERROR(INDEX($A$3:$F$345,MATCH(V145&amp;R145,$A$3:$A$345&amp;$E$3:$E$345,0),4),"")</f>
        <v>0</v>
      </c>
      <c r="AA145" s="165" t="str">
        <f t="shared" si="8"/>
        <v/>
      </c>
    </row>
    <row r="146" spans="1:27" x14ac:dyDescent="0.25">
      <c r="A146" s="160"/>
      <c r="B146" s="160"/>
      <c r="C146" s="160"/>
      <c r="D146" s="160"/>
      <c r="E146" s="160"/>
      <c r="F146" s="167" t="str">
        <f t="shared" si="6"/>
        <v/>
      </c>
      <c r="L146" s="164"/>
      <c r="M146" s="164"/>
      <c r="N146" s="169"/>
      <c r="O146" s="164"/>
      <c r="P146" s="164"/>
      <c r="Q146" s="164"/>
      <c r="R146" s="164"/>
      <c r="S146" s="515"/>
      <c r="T146" s="165" t="str">
        <f t="shared" si="7"/>
        <v/>
      </c>
      <c r="U146" s="160"/>
      <c r="V146" s="160"/>
      <c r="W146" s="165" cm="1">
        <f t="array" ref="W146">IFERROR(INDEX($A$3:$F$345,MATCH(U146&amp;R146,$A$3:$A$345&amp;$E$3:$E$345,0),2),"")</f>
        <v>0</v>
      </c>
      <c r="X146" s="165" cm="1">
        <f t="array" ref="X146">IFERROR(INDEX($A$3:$F$345,MATCH(V146&amp;R146,$A$3:$A$345&amp;$E$3:$E$345,0),2),"")</f>
        <v>0</v>
      </c>
      <c r="Y146" s="165" cm="1">
        <f t="array" ref="Y146">IFERROR(INDEX($A$3:$F$345,MATCH(U146&amp;R146,$A$3:$A$345&amp;$E$3:$E$345,0),4),"")</f>
        <v>0</v>
      </c>
      <c r="Z146" s="165" cm="1">
        <f t="array" ref="Z146">IFERROR(INDEX($A$3:$F$345,MATCH(V146&amp;R146,$A$3:$A$345&amp;$E$3:$E$345,0),4),"")</f>
        <v>0</v>
      </c>
      <c r="AA146" s="165" t="str">
        <f t="shared" si="8"/>
        <v/>
      </c>
    </row>
    <row r="147" spans="1:27" x14ac:dyDescent="0.25">
      <c r="A147" s="160"/>
      <c r="B147" s="160"/>
      <c r="C147" s="160"/>
      <c r="D147" s="160"/>
      <c r="E147" s="160"/>
      <c r="F147" s="167" t="str">
        <f t="shared" si="6"/>
        <v/>
      </c>
      <c r="L147" s="164"/>
      <c r="M147" s="164"/>
      <c r="N147" s="169"/>
      <c r="O147" s="164"/>
      <c r="P147" s="164"/>
      <c r="Q147" s="164"/>
      <c r="R147" s="164"/>
      <c r="S147" s="515"/>
      <c r="T147" s="165" t="str">
        <f t="shared" si="7"/>
        <v/>
      </c>
      <c r="U147" s="160"/>
      <c r="V147" s="160"/>
      <c r="W147" s="165" cm="1">
        <f t="array" ref="W147">IFERROR(INDEX($A$3:$F$345,MATCH(U147&amp;R147,$A$3:$A$345&amp;$E$3:$E$345,0),2),"")</f>
        <v>0</v>
      </c>
      <c r="X147" s="165" cm="1">
        <f t="array" ref="X147">IFERROR(INDEX($A$3:$F$345,MATCH(V147&amp;R147,$A$3:$A$345&amp;$E$3:$E$345,0),2),"")</f>
        <v>0</v>
      </c>
      <c r="Y147" s="165" cm="1">
        <f t="array" ref="Y147">IFERROR(INDEX($A$3:$F$345,MATCH(U147&amp;R147,$A$3:$A$345&amp;$E$3:$E$345,0),4),"")</f>
        <v>0</v>
      </c>
      <c r="Z147" s="165" cm="1">
        <f t="array" ref="Z147">IFERROR(INDEX($A$3:$F$345,MATCH(V147&amp;R147,$A$3:$A$345&amp;$E$3:$E$345,0),4),"")</f>
        <v>0</v>
      </c>
      <c r="AA147" s="165" t="str">
        <f t="shared" si="8"/>
        <v/>
      </c>
    </row>
    <row r="148" spans="1:27" x14ac:dyDescent="0.25">
      <c r="A148" s="160"/>
      <c r="B148" s="160"/>
      <c r="C148" s="160"/>
      <c r="D148" s="160"/>
      <c r="E148" s="160"/>
      <c r="F148" s="167" t="str">
        <f t="shared" si="6"/>
        <v/>
      </c>
      <c r="L148" s="164"/>
      <c r="M148" s="164"/>
      <c r="N148" s="169"/>
      <c r="O148" s="164"/>
      <c r="P148" s="164"/>
      <c r="Q148" s="164"/>
      <c r="R148" s="164"/>
      <c r="S148" s="515"/>
      <c r="T148" s="165" t="str">
        <f t="shared" si="7"/>
        <v/>
      </c>
      <c r="U148" s="160"/>
      <c r="V148" s="160"/>
      <c r="W148" s="165" cm="1">
        <f t="array" ref="W148">IFERROR(INDEX($A$3:$F$345,MATCH(U148&amp;R148,$A$3:$A$345&amp;$E$3:$E$345,0),2),"")</f>
        <v>0</v>
      </c>
      <c r="X148" s="165" cm="1">
        <f t="array" ref="X148">IFERROR(INDEX($A$3:$F$345,MATCH(V148&amp;R148,$A$3:$A$345&amp;$E$3:$E$345,0),2),"")</f>
        <v>0</v>
      </c>
      <c r="Y148" s="165" cm="1">
        <f t="array" ref="Y148">IFERROR(INDEX($A$3:$F$345,MATCH(U148&amp;R148,$A$3:$A$345&amp;$E$3:$E$345,0),4),"")</f>
        <v>0</v>
      </c>
      <c r="Z148" s="165" cm="1">
        <f t="array" ref="Z148">IFERROR(INDEX($A$3:$F$345,MATCH(V148&amp;R148,$A$3:$A$345&amp;$E$3:$E$345,0),4),"")</f>
        <v>0</v>
      </c>
      <c r="AA148" s="165" t="str">
        <f t="shared" si="8"/>
        <v/>
      </c>
    </row>
    <row r="149" spans="1:27" x14ac:dyDescent="0.25">
      <c r="A149" s="160"/>
      <c r="B149" s="160"/>
      <c r="C149" s="160"/>
      <c r="D149" s="160"/>
      <c r="E149" s="160"/>
      <c r="F149" s="167" t="str">
        <f t="shared" si="6"/>
        <v/>
      </c>
      <c r="L149" s="164"/>
      <c r="M149" s="164"/>
      <c r="N149" s="169"/>
      <c r="O149" s="164"/>
      <c r="P149" s="164"/>
      <c r="Q149" s="164"/>
      <c r="R149" s="164"/>
      <c r="S149" s="515"/>
      <c r="T149" s="165" t="str">
        <f t="shared" si="7"/>
        <v/>
      </c>
      <c r="U149" s="160"/>
      <c r="V149" s="160"/>
      <c r="W149" s="165" cm="1">
        <f t="array" ref="W149">IFERROR(INDEX($A$3:$F$345,MATCH(U149&amp;R149,$A$3:$A$345&amp;$E$3:$E$345,0),2),"")</f>
        <v>0</v>
      </c>
      <c r="X149" s="165" cm="1">
        <f t="array" ref="X149">IFERROR(INDEX($A$3:$F$345,MATCH(V149&amp;R149,$A$3:$A$345&amp;$E$3:$E$345,0),2),"")</f>
        <v>0</v>
      </c>
      <c r="Y149" s="165" cm="1">
        <f t="array" ref="Y149">IFERROR(INDEX($A$3:$F$345,MATCH(U149&amp;R149,$A$3:$A$345&amp;$E$3:$E$345,0),4),"")</f>
        <v>0</v>
      </c>
      <c r="Z149" s="165" cm="1">
        <f t="array" ref="Z149">IFERROR(INDEX($A$3:$F$345,MATCH(V149&amp;R149,$A$3:$A$345&amp;$E$3:$E$345,0),4),"")</f>
        <v>0</v>
      </c>
      <c r="AA149" s="165" t="str">
        <f t="shared" si="8"/>
        <v/>
      </c>
    </row>
    <row r="150" spans="1:27" x14ac:dyDescent="0.25">
      <c r="A150" s="160"/>
      <c r="B150" s="160"/>
      <c r="C150" s="160"/>
      <c r="D150" s="160"/>
      <c r="E150" s="160"/>
      <c r="F150" s="167" t="str">
        <f t="shared" si="6"/>
        <v/>
      </c>
      <c r="L150" s="164"/>
      <c r="M150" s="164"/>
      <c r="N150" s="169"/>
      <c r="O150" s="164"/>
      <c r="P150" s="164"/>
      <c r="Q150" s="164"/>
      <c r="R150" s="164"/>
      <c r="S150" s="515"/>
      <c r="T150" s="165" t="str">
        <f t="shared" si="7"/>
        <v/>
      </c>
      <c r="U150" s="160"/>
      <c r="V150" s="160"/>
      <c r="W150" s="165" cm="1">
        <f t="array" ref="W150">IFERROR(INDEX($A$3:$F$345,MATCH(U150&amp;R150,$A$3:$A$345&amp;$E$3:$E$345,0),2),"")</f>
        <v>0</v>
      </c>
      <c r="X150" s="165" cm="1">
        <f t="array" ref="X150">IFERROR(INDEX($A$3:$F$345,MATCH(V150&amp;R150,$A$3:$A$345&amp;$E$3:$E$345,0),2),"")</f>
        <v>0</v>
      </c>
      <c r="Y150" s="165" cm="1">
        <f t="array" ref="Y150">IFERROR(INDEX($A$3:$F$345,MATCH(U150&amp;R150,$A$3:$A$345&amp;$E$3:$E$345,0),4),"")</f>
        <v>0</v>
      </c>
      <c r="Z150" s="165" cm="1">
        <f t="array" ref="Z150">IFERROR(INDEX($A$3:$F$345,MATCH(V150&amp;R150,$A$3:$A$345&amp;$E$3:$E$345,0),4),"")</f>
        <v>0</v>
      </c>
      <c r="AA150" s="165" t="str">
        <f t="shared" si="8"/>
        <v/>
      </c>
    </row>
    <row r="151" spans="1:27" x14ac:dyDescent="0.25">
      <c r="A151" s="160"/>
      <c r="B151" s="160"/>
      <c r="C151" s="160"/>
      <c r="D151" s="160"/>
      <c r="E151" s="160"/>
      <c r="F151" s="167" t="str">
        <f t="shared" si="6"/>
        <v/>
      </c>
      <c r="L151" s="164"/>
      <c r="M151" s="164"/>
      <c r="N151" s="169"/>
      <c r="O151" s="164"/>
      <c r="P151" s="164"/>
      <c r="Q151" s="164"/>
      <c r="R151" s="164"/>
      <c r="S151" s="515"/>
      <c r="T151" s="165" t="str">
        <f t="shared" si="7"/>
        <v/>
      </c>
      <c r="U151" s="160"/>
      <c r="V151" s="160"/>
      <c r="W151" s="165" cm="1">
        <f t="array" ref="W151">IFERROR(INDEX($A$3:$F$345,MATCH(U151&amp;R151,$A$3:$A$345&amp;$E$3:$E$345,0),2),"")</f>
        <v>0</v>
      </c>
      <c r="X151" s="165" cm="1">
        <f t="array" ref="X151">IFERROR(INDEX($A$3:$F$345,MATCH(V151&amp;R151,$A$3:$A$345&amp;$E$3:$E$345,0),2),"")</f>
        <v>0</v>
      </c>
      <c r="Y151" s="165" cm="1">
        <f t="array" ref="Y151">IFERROR(INDEX($A$3:$F$345,MATCH(U151&amp;R151,$A$3:$A$345&amp;$E$3:$E$345,0),4),"")</f>
        <v>0</v>
      </c>
      <c r="Z151" s="165" cm="1">
        <f t="array" ref="Z151">IFERROR(INDEX($A$3:$F$345,MATCH(V151&amp;R151,$A$3:$A$345&amp;$E$3:$E$345,0),4),"")</f>
        <v>0</v>
      </c>
      <c r="AA151" s="165" t="str">
        <f t="shared" si="8"/>
        <v/>
      </c>
    </row>
    <row r="152" spans="1:27" x14ac:dyDescent="0.25">
      <c r="A152" s="160"/>
      <c r="B152" s="160"/>
      <c r="C152" s="160"/>
      <c r="D152" s="160"/>
      <c r="E152" s="160"/>
      <c r="F152" s="167" t="str">
        <f t="shared" si="6"/>
        <v/>
      </c>
      <c r="L152" s="164"/>
      <c r="M152" s="164"/>
      <c r="N152" s="169"/>
      <c r="O152" s="164"/>
      <c r="P152" s="164"/>
      <c r="Q152" s="164"/>
      <c r="R152" s="164"/>
      <c r="S152" s="515"/>
      <c r="T152" s="165" t="str">
        <f t="shared" si="7"/>
        <v/>
      </c>
      <c r="U152" s="160"/>
      <c r="V152" s="160"/>
      <c r="W152" s="165" cm="1">
        <f t="array" ref="W152">IFERROR(INDEX($A$3:$F$345,MATCH(U152&amp;R152,$A$3:$A$345&amp;$E$3:$E$345,0),2),"")</f>
        <v>0</v>
      </c>
      <c r="X152" s="165" cm="1">
        <f t="array" ref="X152">IFERROR(INDEX($A$3:$F$345,MATCH(V152&amp;R152,$A$3:$A$345&amp;$E$3:$E$345,0),2),"")</f>
        <v>0</v>
      </c>
      <c r="Y152" s="165" cm="1">
        <f t="array" ref="Y152">IFERROR(INDEX($A$3:$F$345,MATCH(U152&amp;R152,$A$3:$A$345&amp;$E$3:$E$345,0),4),"")</f>
        <v>0</v>
      </c>
      <c r="Z152" s="165" cm="1">
        <f t="array" ref="Z152">IFERROR(INDEX($A$3:$F$345,MATCH(V152&amp;R152,$A$3:$A$345&amp;$E$3:$E$345,0),4),"")</f>
        <v>0</v>
      </c>
      <c r="AA152" s="165" t="str">
        <f t="shared" si="8"/>
        <v/>
      </c>
    </row>
    <row r="153" spans="1:27" x14ac:dyDescent="0.25">
      <c r="A153" s="160"/>
      <c r="B153" s="160"/>
      <c r="C153" s="160"/>
      <c r="D153" s="160"/>
      <c r="E153" s="160"/>
      <c r="F153" s="167" t="str">
        <f t="shared" si="6"/>
        <v/>
      </c>
      <c r="L153" s="164"/>
      <c r="M153" s="164"/>
      <c r="N153" s="169"/>
      <c r="O153" s="164"/>
      <c r="P153" s="164"/>
      <c r="Q153" s="164"/>
      <c r="R153" s="164"/>
      <c r="S153" s="515"/>
      <c r="T153" s="165" t="str">
        <f t="shared" si="7"/>
        <v/>
      </c>
      <c r="U153" s="160"/>
      <c r="V153" s="160"/>
      <c r="W153" s="165" cm="1">
        <f t="array" ref="W153">IFERROR(INDEX($A$3:$F$345,MATCH(U153&amp;R153,$A$3:$A$345&amp;$E$3:$E$345,0),2),"")</f>
        <v>0</v>
      </c>
      <c r="X153" s="165" cm="1">
        <f t="array" ref="X153">IFERROR(INDEX($A$3:$F$345,MATCH(V153&amp;R153,$A$3:$A$345&amp;$E$3:$E$345,0),2),"")</f>
        <v>0</v>
      </c>
      <c r="Y153" s="165" cm="1">
        <f t="array" ref="Y153">IFERROR(INDEX($A$3:$F$345,MATCH(U153&amp;R153,$A$3:$A$345&amp;$E$3:$E$345,0),4),"")</f>
        <v>0</v>
      </c>
      <c r="Z153" s="165" cm="1">
        <f t="array" ref="Z153">IFERROR(INDEX($A$3:$F$345,MATCH(V153&amp;R153,$A$3:$A$345&amp;$E$3:$E$345,0),4),"")</f>
        <v>0</v>
      </c>
      <c r="AA153" s="165" t="str">
        <f t="shared" si="8"/>
        <v/>
      </c>
    </row>
    <row r="154" spans="1:27" x14ac:dyDescent="0.25">
      <c r="A154" s="160"/>
      <c r="B154" s="160"/>
      <c r="C154" s="160"/>
      <c r="D154" s="160"/>
      <c r="E154" s="160"/>
      <c r="F154" s="167" t="str">
        <f t="shared" si="6"/>
        <v/>
      </c>
      <c r="L154" s="164"/>
      <c r="M154" s="164"/>
      <c r="N154" s="169"/>
      <c r="O154" s="164"/>
      <c r="P154" s="164"/>
      <c r="Q154" s="164"/>
      <c r="R154" s="164"/>
      <c r="S154" s="515"/>
      <c r="T154" s="165" t="str">
        <f t="shared" si="7"/>
        <v/>
      </c>
      <c r="U154" s="160"/>
      <c r="V154" s="160"/>
      <c r="W154" s="165" cm="1">
        <f t="array" ref="W154">IFERROR(INDEX($A$3:$F$345,MATCH(U154&amp;R154,$A$3:$A$345&amp;$E$3:$E$345,0),2),"")</f>
        <v>0</v>
      </c>
      <c r="X154" s="165" cm="1">
        <f t="array" ref="X154">IFERROR(INDEX($A$3:$F$345,MATCH(V154&amp;R154,$A$3:$A$345&amp;$E$3:$E$345,0),2),"")</f>
        <v>0</v>
      </c>
      <c r="Y154" s="165" cm="1">
        <f t="array" ref="Y154">IFERROR(INDEX($A$3:$F$345,MATCH(U154&amp;R154,$A$3:$A$345&amp;$E$3:$E$345,0),4),"")</f>
        <v>0</v>
      </c>
      <c r="Z154" s="165" cm="1">
        <f t="array" ref="Z154">IFERROR(INDEX($A$3:$F$345,MATCH(V154&amp;R154,$A$3:$A$345&amp;$E$3:$E$345,0),4),"")</f>
        <v>0</v>
      </c>
      <c r="AA154" s="165" t="str">
        <f t="shared" si="8"/>
        <v/>
      </c>
    </row>
    <row r="155" spans="1:27" x14ac:dyDescent="0.25">
      <c r="A155" s="160"/>
      <c r="B155" s="160"/>
      <c r="C155" s="160"/>
      <c r="D155" s="160"/>
      <c r="E155" s="160"/>
      <c r="F155" s="167" t="str">
        <f t="shared" si="6"/>
        <v/>
      </c>
      <c r="L155" s="164"/>
      <c r="M155" s="164"/>
      <c r="N155" s="169"/>
      <c r="O155" s="164"/>
      <c r="P155" s="164"/>
      <c r="Q155" s="164"/>
      <c r="R155" s="164"/>
      <c r="S155" s="515"/>
      <c r="T155" s="165" t="str">
        <f t="shared" si="7"/>
        <v/>
      </c>
      <c r="U155" s="160"/>
      <c r="V155" s="160"/>
      <c r="W155" s="165" cm="1">
        <f t="array" ref="W155">IFERROR(INDEX($A$3:$F$345,MATCH(U155&amp;R155,$A$3:$A$345&amp;$E$3:$E$345,0),2),"")</f>
        <v>0</v>
      </c>
      <c r="X155" s="165" cm="1">
        <f t="array" ref="X155">IFERROR(INDEX($A$3:$F$345,MATCH(V155&amp;R155,$A$3:$A$345&amp;$E$3:$E$345,0),2),"")</f>
        <v>0</v>
      </c>
      <c r="Y155" s="165" cm="1">
        <f t="array" ref="Y155">IFERROR(INDEX($A$3:$F$345,MATCH(U155&amp;R155,$A$3:$A$345&amp;$E$3:$E$345,0),4),"")</f>
        <v>0</v>
      </c>
      <c r="Z155" s="165" cm="1">
        <f t="array" ref="Z155">IFERROR(INDEX($A$3:$F$345,MATCH(V155&amp;R155,$A$3:$A$345&amp;$E$3:$E$345,0),4),"")</f>
        <v>0</v>
      </c>
      <c r="AA155" s="165" t="str">
        <f t="shared" si="8"/>
        <v/>
      </c>
    </row>
    <row r="156" spans="1:27" x14ac:dyDescent="0.25">
      <c r="A156" s="160"/>
      <c r="B156" s="160"/>
      <c r="C156" s="160"/>
      <c r="D156" s="160"/>
      <c r="E156" s="160"/>
      <c r="F156" s="167" t="str">
        <f t="shared" si="6"/>
        <v/>
      </c>
      <c r="L156" s="164"/>
      <c r="M156" s="164"/>
      <c r="N156" s="169"/>
      <c r="O156" s="164"/>
      <c r="P156" s="164"/>
      <c r="Q156" s="164"/>
      <c r="R156" s="164"/>
      <c r="S156" s="518"/>
      <c r="T156" s="165" t="str">
        <f t="shared" si="7"/>
        <v/>
      </c>
      <c r="U156" s="160"/>
      <c r="V156" s="160"/>
      <c r="W156" s="165" cm="1">
        <f t="array" ref="W156">IFERROR(INDEX($A$3:$F$345,MATCH(U156&amp;R156,$A$3:$A$345&amp;$E$3:$E$345,0),2),"")</f>
        <v>0</v>
      </c>
      <c r="X156" s="165" cm="1">
        <f t="array" ref="X156">IFERROR(INDEX($A$3:$F$345,MATCH(V156&amp;R156,$A$3:$A$345&amp;$E$3:$E$345,0),2),"")</f>
        <v>0</v>
      </c>
      <c r="Y156" s="165" cm="1">
        <f t="array" ref="Y156">IFERROR(INDEX($A$3:$F$345,MATCH(U156&amp;R156,$A$3:$A$345&amp;$E$3:$E$345,0),4),"")</f>
        <v>0</v>
      </c>
      <c r="Z156" s="165" cm="1">
        <f t="array" ref="Z156">IFERROR(INDEX($A$3:$F$345,MATCH(V156&amp;R156,$A$3:$A$345&amp;$E$3:$E$345,0),4),"")</f>
        <v>0</v>
      </c>
      <c r="AA156" s="165" t="str">
        <f t="shared" si="8"/>
        <v/>
      </c>
    </row>
    <row r="157" spans="1:27" x14ac:dyDescent="0.25">
      <c r="A157" s="160"/>
      <c r="B157" s="160"/>
      <c r="C157" s="160"/>
      <c r="D157" s="160"/>
      <c r="E157" s="160"/>
      <c r="F157" s="167" t="str">
        <f t="shared" si="6"/>
        <v/>
      </c>
      <c r="L157" s="164"/>
      <c r="M157" s="164"/>
      <c r="N157" s="169"/>
      <c r="O157" s="164"/>
      <c r="P157" s="164"/>
      <c r="Q157" s="164"/>
      <c r="R157" s="164"/>
      <c r="S157" s="518"/>
      <c r="T157" s="165" t="str">
        <f t="shared" si="7"/>
        <v/>
      </c>
      <c r="U157" s="160"/>
      <c r="V157" s="160"/>
      <c r="W157" s="165" cm="1">
        <f t="array" ref="W157">IFERROR(INDEX($A$3:$F$345,MATCH(U157&amp;R157,$A$3:$A$345&amp;$E$3:$E$345,0),2),"")</f>
        <v>0</v>
      </c>
      <c r="X157" s="165" cm="1">
        <f t="array" ref="X157">IFERROR(INDEX($A$3:$F$345,MATCH(V157&amp;R157,$A$3:$A$345&amp;$E$3:$E$345,0),2),"")</f>
        <v>0</v>
      </c>
      <c r="Y157" s="165" cm="1">
        <f t="array" ref="Y157">IFERROR(INDEX($A$3:$F$345,MATCH(U157&amp;R157,$A$3:$A$345&amp;$E$3:$E$345,0),4),"")</f>
        <v>0</v>
      </c>
      <c r="Z157" s="165" cm="1">
        <f t="array" ref="Z157">IFERROR(INDEX($A$3:$F$345,MATCH(V157&amp;R157,$A$3:$A$345&amp;$E$3:$E$345,0),4),"")</f>
        <v>0</v>
      </c>
      <c r="AA157" s="165" t="str">
        <f t="shared" si="8"/>
        <v/>
      </c>
    </row>
    <row r="158" spans="1:27" x14ac:dyDescent="0.25">
      <c r="A158" s="160"/>
      <c r="B158" s="160"/>
      <c r="C158" s="160"/>
      <c r="D158" s="160"/>
      <c r="E158" s="160"/>
      <c r="F158" s="167" t="str">
        <f t="shared" si="6"/>
        <v/>
      </c>
      <c r="L158" s="164"/>
      <c r="M158" s="164"/>
      <c r="N158" s="169"/>
      <c r="O158" s="164"/>
      <c r="P158" s="164"/>
      <c r="Q158" s="164"/>
      <c r="R158" s="164"/>
      <c r="S158" s="518"/>
      <c r="T158" s="165" t="str">
        <f t="shared" si="7"/>
        <v/>
      </c>
      <c r="U158" s="160"/>
      <c r="V158" s="160"/>
      <c r="W158" s="165" cm="1">
        <f t="array" ref="W158">IFERROR(INDEX($A$3:$F$345,MATCH(U158&amp;R158,$A$3:$A$345&amp;$E$3:$E$345,0),2),"")</f>
        <v>0</v>
      </c>
      <c r="X158" s="165" cm="1">
        <f t="array" ref="X158">IFERROR(INDEX($A$3:$F$345,MATCH(V158&amp;R158,$A$3:$A$345&amp;$E$3:$E$345,0),2),"")</f>
        <v>0</v>
      </c>
      <c r="Y158" s="165" cm="1">
        <f t="array" ref="Y158">IFERROR(INDEX($A$3:$F$345,MATCH(U158&amp;R158,$A$3:$A$345&amp;$E$3:$E$345,0),4),"")</f>
        <v>0</v>
      </c>
      <c r="Z158" s="165" cm="1">
        <f t="array" ref="Z158">IFERROR(INDEX($A$3:$F$345,MATCH(V158&amp;R158,$A$3:$A$345&amp;$E$3:$E$345,0),4),"")</f>
        <v>0</v>
      </c>
      <c r="AA158" s="165" t="str">
        <f t="shared" si="8"/>
        <v/>
      </c>
    </row>
    <row r="159" spans="1:27" x14ac:dyDescent="0.25">
      <c r="A159" s="160"/>
      <c r="B159" s="160"/>
      <c r="C159" s="160"/>
      <c r="D159" s="160"/>
      <c r="E159" s="160"/>
      <c r="F159" s="167" t="str">
        <f t="shared" si="6"/>
        <v/>
      </c>
      <c r="L159" s="164"/>
      <c r="M159" s="164"/>
      <c r="N159" s="169"/>
      <c r="O159" s="164"/>
      <c r="P159" s="164"/>
      <c r="Q159" s="164"/>
      <c r="R159" s="164"/>
      <c r="S159" s="518"/>
      <c r="T159" s="165" t="str">
        <f t="shared" si="7"/>
        <v/>
      </c>
      <c r="U159" s="160"/>
      <c r="V159" s="160"/>
      <c r="W159" s="165" cm="1">
        <f t="array" ref="W159">IFERROR(INDEX($A$3:$F$345,MATCH(U159&amp;R159,$A$3:$A$345&amp;$E$3:$E$345,0),2),"")</f>
        <v>0</v>
      </c>
      <c r="X159" s="165" cm="1">
        <f t="array" ref="X159">IFERROR(INDEX($A$3:$F$345,MATCH(V159&amp;R159,$A$3:$A$345&amp;$E$3:$E$345,0),2),"")</f>
        <v>0</v>
      </c>
      <c r="Y159" s="165" cm="1">
        <f t="array" ref="Y159">IFERROR(INDEX($A$3:$F$345,MATCH(U159&amp;R159,$A$3:$A$345&amp;$E$3:$E$345,0),4),"")</f>
        <v>0</v>
      </c>
      <c r="Z159" s="165" cm="1">
        <f t="array" ref="Z159">IFERROR(INDEX($A$3:$F$345,MATCH(V159&amp;R159,$A$3:$A$345&amp;$E$3:$E$345,0),4),"")</f>
        <v>0</v>
      </c>
      <c r="AA159" s="165" t="str">
        <f t="shared" si="8"/>
        <v/>
      </c>
    </row>
    <row r="160" spans="1:27" x14ac:dyDescent="0.25">
      <c r="A160" s="160"/>
      <c r="B160" s="160"/>
      <c r="C160" s="160"/>
      <c r="D160" s="160"/>
      <c r="E160" s="160"/>
      <c r="F160" s="167" t="str">
        <f t="shared" si="6"/>
        <v/>
      </c>
      <c r="L160" s="164"/>
      <c r="M160" s="164"/>
      <c r="N160" s="169"/>
      <c r="O160" s="164"/>
      <c r="P160" s="164"/>
      <c r="Q160" s="164"/>
      <c r="R160" s="164"/>
      <c r="S160" s="518"/>
      <c r="T160" s="165" t="str">
        <f t="shared" si="7"/>
        <v/>
      </c>
      <c r="U160" s="160"/>
      <c r="V160" s="160"/>
      <c r="W160" s="165" cm="1">
        <f t="array" ref="W160">IFERROR(INDEX($A$3:$F$345,MATCH(U160&amp;R160,$A$3:$A$345&amp;$E$3:$E$345,0),2),"")</f>
        <v>0</v>
      </c>
      <c r="X160" s="165" cm="1">
        <f t="array" ref="X160">IFERROR(INDEX($A$3:$F$345,MATCH(V160&amp;R160,$A$3:$A$345&amp;$E$3:$E$345,0),2),"")</f>
        <v>0</v>
      </c>
      <c r="Y160" s="165" cm="1">
        <f t="array" ref="Y160">IFERROR(INDEX($A$3:$F$345,MATCH(U160&amp;R160,$A$3:$A$345&amp;$E$3:$E$345,0),4),"")</f>
        <v>0</v>
      </c>
      <c r="Z160" s="165" cm="1">
        <f t="array" ref="Z160">IFERROR(INDEX($A$3:$F$345,MATCH(V160&amp;R160,$A$3:$A$345&amp;$E$3:$E$345,0),4),"")</f>
        <v>0</v>
      </c>
      <c r="AA160" s="165" t="str">
        <f t="shared" si="8"/>
        <v/>
      </c>
    </row>
    <row r="161" spans="1:27" x14ac:dyDescent="0.25">
      <c r="A161" s="160"/>
      <c r="B161" s="160"/>
      <c r="C161" s="160"/>
      <c r="D161" s="160"/>
      <c r="E161" s="160"/>
      <c r="F161" s="167" t="str">
        <f t="shared" si="6"/>
        <v/>
      </c>
      <c r="L161" s="164"/>
      <c r="M161" s="164"/>
      <c r="N161" s="169"/>
      <c r="O161" s="164"/>
      <c r="P161" s="164"/>
      <c r="Q161" s="164"/>
      <c r="R161" s="164"/>
      <c r="S161" s="518"/>
      <c r="T161" s="165" t="str">
        <f t="shared" si="7"/>
        <v/>
      </c>
      <c r="U161" s="160"/>
      <c r="V161" s="160"/>
      <c r="W161" s="165" cm="1">
        <f t="array" ref="W161">IFERROR(INDEX($A$3:$F$345,MATCH(U161&amp;R161,$A$3:$A$345&amp;$E$3:$E$345,0),2),"")</f>
        <v>0</v>
      </c>
      <c r="X161" s="165" cm="1">
        <f t="array" ref="X161">IFERROR(INDEX($A$3:$F$345,MATCH(V161&amp;R161,$A$3:$A$345&amp;$E$3:$E$345,0),2),"")</f>
        <v>0</v>
      </c>
      <c r="Y161" s="165" cm="1">
        <f t="array" ref="Y161">IFERROR(INDEX($A$3:$F$345,MATCH(U161&amp;R161,$A$3:$A$345&amp;$E$3:$E$345,0),4),"")</f>
        <v>0</v>
      </c>
      <c r="Z161" s="165" cm="1">
        <f t="array" ref="Z161">IFERROR(INDEX($A$3:$F$345,MATCH(V161&amp;R161,$A$3:$A$345&amp;$E$3:$E$345,0),4),"")</f>
        <v>0</v>
      </c>
      <c r="AA161" s="165" t="str">
        <f t="shared" si="8"/>
        <v/>
      </c>
    </row>
    <row r="162" spans="1:27" x14ac:dyDescent="0.25">
      <c r="A162" s="160"/>
      <c r="B162" s="160"/>
      <c r="C162" s="160"/>
      <c r="D162" s="160"/>
      <c r="E162" s="160"/>
      <c r="F162" s="167" t="str">
        <f t="shared" si="6"/>
        <v/>
      </c>
      <c r="L162" s="164"/>
      <c r="M162" s="164"/>
      <c r="N162" s="169"/>
      <c r="O162" s="164"/>
      <c r="P162" s="164"/>
      <c r="Q162" s="164"/>
      <c r="R162" s="164"/>
      <c r="S162" s="518"/>
      <c r="T162" s="165" t="str">
        <f t="shared" si="7"/>
        <v/>
      </c>
      <c r="U162" s="160"/>
      <c r="V162" s="160"/>
      <c r="W162" s="165" cm="1">
        <f t="array" ref="W162">IFERROR(INDEX($A$3:$F$345,MATCH(U162&amp;R162,$A$3:$A$345&amp;$E$3:$E$345,0),2),"")</f>
        <v>0</v>
      </c>
      <c r="X162" s="165" cm="1">
        <f t="array" ref="X162">IFERROR(INDEX($A$3:$F$345,MATCH(V162&amp;R162,$A$3:$A$345&amp;$E$3:$E$345,0),2),"")</f>
        <v>0</v>
      </c>
      <c r="Y162" s="165" cm="1">
        <f t="array" ref="Y162">IFERROR(INDEX($A$3:$F$345,MATCH(U162&amp;R162,$A$3:$A$345&amp;$E$3:$E$345,0),4),"")</f>
        <v>0</v>
      </c>
      <c r="Z162" s="165" cm="1">
        <f t="array" ref="Z162">IFERROR(INDEX($A$3:$F$345,MATCH(V162&amp;R162,$A$3:$A$345&amp;$E$3:$E$345,0),4),"")</f>
        <v>0</v>
      </c>
      <c r="AA162" s="165" t="str">
        <f t="shared" si="8"/>
        <v/>
      </c>
    </row>
    <row r="163" spans="1:27" x14ac:dyDescent="0.25">
      <c r="A163" s="160"/>
      <c r="B163" s="160"/>
      <c r="C163" s="160"/>
      <c r="D163" s="160"/>
      <c r="E163" s="160"/>
      <c r="F163" s="167" t="str">
        <f t="shared" si="6"/>
        <v/>
      </c>
      <c r="L163" s="164"/>
      <c r="M163" s="164"/>
      <c r="N163" s="169"/>
      <c r="O163" s="164"/>
      <c r="P163" s="164"/>
      <c r="Q163" s="164"/>
      <c r="R163" s="164"/>
      <c r="S163" s="518"/>
      <c r="T163" s="165" t="str">
        <f t="shared" si="7"/>
        <v/>
      </c>
      <c r="U163" s="160"/>
      <c r="V163" s="160"/>
      <c r="W163" s="165" cm="1">
        <f t="array" ref="W163">IFERROR(INDEX($A$3:$F$345,MATCH(U163&amp;R163,$A$3:$A$345&amp;$E$3:$E$345,0),2),"")</f>
        <v>0</v>
      </c>
      <c r="X163" s="165" cm="1">
        <f t="array" ref="X163">IFERROR(INDEX($A$3:$F$345,MATCH(V163&amp;R163,$A$3:$A$345&amp;$E$3:$E$345,0),2),"")</f>
        <v>0</v>
      </c>
      <c r="Y163" s="165" cm="1">
        <f t="array" ref="Y163">IFERROR(INDEX($A$3:$F$345,MATCH(U163&amp;R163,$A$3:$A$345&amp;$E$3:$E$345,0),4),"")</f>
        <v>0</v>
      </c>
      <c r="Z163" s="165" cm="1">
        <f t="array" ref="Z163">IFERROR(INDEX($A$3:$F$345,MATCH(V163&amp;R163,$A$3:$A$345&amp;$E$3:$E$345,0),4),"")</f>
        <v>0</v>
      </c>
      <c r="AA163" s="165" t="str">
        <f t="shared" si="8"/>
        <v/>
      </c>
    </row>
    <row r="164" spans="1:27" x14ac:dyDescent="0.25">
      <c r="A164" s="160"/>
      <c r="B164" s="160"/>
      <c r="C164" s="160"/>
      <c r="D164" s="160"/>
      <c r="E164" s="160"/>
      <c r="F164" s="167" t="str">
        <f t="shared" si="6"/>
        <v/>
      </c>
      <c r="L164" s="164"/>
      <c r="M164" s="164"/>
      <c r="N164" s="169"/>
      <c r="O164" s="164"/>
      <c r="P164" s="164"/>
      <c r="Q164" s="164"/>
      <c r="R164" s="164"/>
      <c r="S164" s="518"/>
      <c r="T164" s="165" t="str">
        <f t="shared" si="7"/>
        <v/>
      </c>
      <c r="U164" s="160"/>
      <c r="V164" s="160"/>
      <c r="W164" s="165" cm="1">
        <f t="array" ref="W164">IFERROR(INDEX($A$3:$F$345,MATCH(U164&amp;R164,$A$3:$A$345&amp;$E$3:$E$345,0),2),"")</f>
        <v>0</v>
      </c>
      <c r="X164" s="165" cm="1">
        <f t="array" ref="X164">IFERROR(INDEX($A$3:$F$345,MATCH(V164&amp;R164,$A$3:$A$345&amp;$E$3:$E$345,0),2),"")</f>
        <v>0</v>
      </c>
      <c r="Y164" s="165" cm="1">
        <f t="array" ref="Y164">IFERROR(INDEX($A$3:$F$345,MATCH(U164&amp;R164,$A$3:$A$345&amp;$E$3:$E$345,0),4),"")</f>
        <v>0</v>
      </c>
      <c r="Z164" s="165" cm="1">
        <f t="array" ref="Z164">IFERROR(INDEX($A$3:$F$345,MATCH(V164&amp;R164,$A$3:$A$345&amp;$E$3:$E$345,0),4),"")</f>
        <v>0</v>
      </c>
      <c r="AA164" s="165" t="str">
        <f t="shared" si="8"/>
        <v/>
      </c>
    </row>
    <row r="165" spans="1:27" x14ac:dyDescent="0.25">
      <c r="A165" s="160"/>
      <c r="B165" s="160"/>
      <c r="C165" s="160"/>
      <c r="D165" s="160"/>
      <c r="E165" s="160"/>
      <c r="F165" s="167" t="str">
        <f t="shared" si="6"/>
        <v/>
      </c>
      <c r="L165" s="164"/>
      <c r="M165" s="164"/>
      <c r="N165" s="169"/>
      <c r="O165" s="164"/>
      <c r="P165" s="164"/>
      <c r="Q165" s="164"/>
      <c r="R165" s="164"/>
      <c r="S165" s="518"/>
      <c r="T165" s="165" t="str">
        <f t="shared" si="7"/>
        <v/>
      </c>
      <c r="U165" s="160"/>
      <c r="V165" s="160"/>
      <c r="W165" s="165" cm="1">
        <f t="array" ref="W165">IFERROR(INDEX($A$3:$F$345,MATCH(U165&amp;R165,$A$3:$A$345&amp;$E$3:$E$345,0),2),"")</f>
        <v>0</v>
      </c>
      <c r="X165" s="165" cm="1">
        <f t="array" ref="X165">IFERROR(INDEX($A$3:$F$345,MATCH(V165&amp;R165,$A$3:$A$345&amp;$E$3:$E$345,0),2),"")</f>
        <v>0</v>
      </c>
      <c r="Y165" s="165" cm="1">
        <f t="array" ref="Y165">IFERROR(INDEX($A$3:$F$345,MATCH(U165&amp;R165,$A$3:$A$345&amp;$E$3:$E$345,0),4),"")</f>
        <v>0</v>
      </c>
      <c r="Z165" s="165" cm="1">
        <f t="array" ref="Z165">IFERROR(INDEX($A$3:$F$345,MATCH(V165&amp;R165,$A$3:$A$345&amp;$E$3:$E$345,0),4),"")</f>
        <v>0</v>
      </c>
      <c r="AA165" s="165" t="str">
        <f t="shared" si="8"/>
        <v/>
      </c>
    </row>
    <row r="166" spans="1:27" x14ac:dyDescent="0.25">
      <c r="A166" s="160"/>
      <c r="B166" s="160"/>
      <c r="C166" s="160"/>
      <c r="D166" s="160"/>
      <c r="E166" s="160"/>
      <c r="F166" s="167" t="str">
        <f t="shared" si="6"/>
        <v/>
      </c>
      <c r="L166" s="164"/>
      <c r="M166" s="164"/>
      <c r="N166" s="169"/>
      <c r="O166" s="164"/>
      <c r="P166" s="164"/>
      <c r="Q166" s="164"/>
      <c r="R166" s="164"/>
      <c r="S166" s="518"/>
      <c r="T166" s="165" t="str">
        <f t="shared" si="7"/>
        <v/>
      </c>
      <c r="U166" s="160"/>
      <c r="V166" s="160"/>
      <c r="W166" s="165" cm="1">
        <f t="array" ref="W166">IFERROR(INDEX($A$3:$F$345,MATCH(U166&amp;R166,$A$3:$A$345&amp;$E$3:$E$345,0),2),"")</f>
        <v>0</v>
      </c>
      <c r="X166" s="165" cm="1">
        <f t="array" ref="X166">IFERROR(INDEX($A$3:$F$345,MATCH(V166&amp;R166,$A$3:$A$345&amp;$E$3:$E$345,0),2),"")</f>
        <v>0</v>
      </c>
      <c r="Y166" s="165" cm="1">
        <f t="array" ref="Y166">IFERROR(INDEX($A$3:$F$345,MATCH(U166&amp;R166,$A$3:$A$345&amp;$E$3:$E$345,0),4),"")</f>
        <v>0</v>
      </c>
      <c r="Z166" s="165" cm="1">
        <f t="array" ref="Z166">IFERROR(INDEX($A$3:$F$345,MATCH(V166&amp;R166,$A$3:$A$345&amp;$E$3:$E$345,0),4),"")</f>
        <v>0</v>
      </c>
      <c r="AA166" s="165" t="str">
        <f t="shared" si="8"/>
        <v/>
      </c>
    </row>
    <row r="167" spans="1:27" x14ac:dyDescent="0.25">
      <c r="A167" s="160"/>
      <c r="B167" s="160"/>
      <c r="C167" s="160"/>
      <c r="D167" s="160"/>
      <c r="E167" s="160"/>
      <c r="F167" s="167" t="str">
        <f t="shared" si="6"/>
        <v/>
      </c>
      <c r="L167" s="164"/>
      <c r="M167" s="164"/>
      <c r="N167" s="169"/>
      <c r="O167" s="164"/>
      <c r="P167" s="164"/>
      <c r="Q167" s="164"/>
      <c r="R167" s="164"/>
      <c r="S167" s="518"/>
      <c r="T167" s="165" t="str">
        <f t="shared" si="7"/>
        <v/>
      </c>
      <c r="U167" s="160"/>
      <c r="V167" s="160"/>
      <c r="W167" s="165" cm="1">
        <f t="array" ref="W167">IFERROR(INDEX($A$3:$F$345,MATCH(U167&amp;R167,$A$3:$A$345&amp;$E$3:$E$345,0),2),"")</f>
        <v>0</v>
      </c>
      <c r="X167" s="165" cm="1">
        <f t="array" ref="X167">IFERROR(INDEX($A$3:$F$345,MATCH(V167&amp;R167,$A$3:$A$345&amp;$E$3:$E$345,0),2),"")</f>
        <v>0</v>
      </c>
      <c r="Y167" s="165" cm="1">
        <f t="array" ref="Y167">IFERROR(INDEX($A$3:$F$345,MATCH(U167&amp;R167,$A$3:$A$345&amp;$E$3:$E$345,0),4),"")</f>
        <v>0</v>
      </c>
      <c r="Z167" s="165" cm="1">
        <f t="array" ref="Z167">IFERROR(INDEX($A$3:$F$345,MATCH(V167&amp;R167,$A$3:$A$345&amp;$E$3:$E$345,0),4),"")</f>
        <v>0</v>
      </c>
      <c r="AA167" s="165" t="str">
        <f t="shared" si="8"/>
        <v/>
      </c>
    </row>
    <row r="168" spans="1:27" x14ac:dyDescent="0.25">
      <c r="A168" s="160"/>
      <c r="B168" s="160"/>
      <c r="C168" s="160"/>
      <c r="D168" s="160"/>
      <c r="E168" s="160"/>
      <c r="F168" s="167" t="str">
        <f t="shared" si="6"/>
        <v/>
      </c>
      <c r="L168" s="164"/>
      <c r="M168" s="164"/>
      <c r="N168" s="169"/>
      <c r="O168" s="164"/>
      <c r="P168" s="164"/>
      <c r="Q168" s="164"/>
      <c r="R168" s="164"/>
      <c r="S168" s="518"/>
      <c r="T168" s="165" t="str">
        <f t="shared" si="7"/>
        <v/>
      </c>
      <c r="U168" s="160"/>
      <c r="V168" s="160"/>
      <c r="W168" s="165" cm="1">
        <f t="array" ref="W168">IFERROR(INDEX($A$3:$F$345,MATCH(U168&amp;R168,$A$3:$A$345&amp;$E$3:$E$345,0),2),"")</f>
        <v>0</v>
      </c>
      <c r="X168" s="165" cm="1">
        <f t="array" ref="X168">IFERROR(INDEX($A$3:$F$345,MATCH(V168&amp;R168,$A$3:$A$345&amp;$E$3:$E$345,0),2),"")</f>
        <v>0</v>
      </c>
      <c r="Y168" s="165" cm="1">
        <f t="array" ref="Y168">IFERROR(INDEX($A$3:$F$345,MATCH(U168&amp;R168,$A$3:$A$345&amp;$E$3:$E$345,0),4),"")</f>
        <v>0</v>
      </c>
      <c r="Z168" s="165" cm="1">
        <f t="array" ref="Z168">IFERROR(INDEX($A$3:$F$345,MATCH(V168&amp;R168,$A$3:$A$345&amp;$E$3:$E$345,0),4),"")</f>
        <v>0</v>
      </c>
      <c r="AA168" s="165" t="str">
        <f t="shared" si="8"/>
        <v/>
      </c>
    </row>
    <row r="169" spans="1:27" x14ac:dyDescent="0.25">
      <c r="A169" s="160"/>
      <c r="B169" s="160"/>
      <c r="C169" s="160"/>
      <c r="D169" s="160"/>
      <c r="E169" s="160"/>
      <c r="F169" s="167" t="str">
        <f t="shared" si="6"/>
        <v/>
      </c>
      <c r="L169" s="164"/>
      <c r="M169" s="164"/>
      <c r="N169" s="169"/>
      <c r="O169" s="164"/>
      <c r="P169" s="164"/>
      <c r="Q169" s="164"/>
      <c r="R169" s="164"/>
      <c r="S169" s="518"/>
      <c r="T169" s="165" t="str">
        <f t="shared" si="7"/>
        <v/>
      </c>
      <c r="U169" s="160"/>
      <c r="V169" s="160"/>
      <c r="W169" s="165" cm="1">
        <f t="array" ref="W169">IFERROR(INDEX($A$3:$F$345,MATCH(U169&amp;R169,$A$3:$A$345&amp;$E$3:$E$345,0),2),"")</f>
        <v>0</v>
      </c>
      <c r="X169" s="165" cm="1">
        <f t="array" ref="X169">IFERROR(INDEX($A$3:$F$345,MATCH(V169&amp;R169,$A$3:$A$345&amp;$E$3:$E$345,0),2),"")</f>
        <v>0</v>
      </c>
      <c r="Y169" s="165" cm="1">
        <f t="array" ref="Y169">IFERROR(INDEX($A$3:$F$345,MATCH(U169&amp;R169,$A$3:$A$345&amp;$E$3:$E$345,0),4),"")</f>
        <v>0</v>
      </c>
      <c r="Z169" s="165" cm="1">
        <f t="array" ref="Z169">IFERROR(INDEX($A$3:$F$345,MATCH(V169&amp;R169,$A$3:$A$345&amp;$E$3:$E$345,0),4),"")</f>
        <v>0</v>
      </c>
      <c r="AA169" s="165" t="str">
        <f t="shared" si="8"/>
        <v/>
      </c>
    </row>
    <row r="170" spans="1:27" x14ac:dyDescent="0.25">
      <c r="A170" s="160"/>
      <c r="B170" s="160"/>
      <c r="C170" s="160"/>
      <c r="D170" s="160"/>
      <c r="E170" s="160"/>
      <c r="F170" s="167" t="str">
        <f t="shared" si="6"/>
        <v/>
      </c>
      <c r="L170" s="164"/>
      <c r="M170" s="164"/>
      <c r="N170" s="169"/>
      <c r="O170" s="164"/>
      <c r="P170" s="164"/>
      <c r="Q170" s="164"/>
      <c r="R170" s="164"/>
      <c r="S170" s="518"/>
      <c r="T170" s="165" t="str">
        <f t="shared" si="7"/>
        <v/>
      </c>
      <c r="U170" s="160"/>
      <c r="V170" s="160"/>
      <c r="W170" s="165" cm="1">
        <f t="array" ref="W170">IFERROR(INDEX($A$3:$F$345,MATCH(U170&amp;R170,$A$3:$A$345&amp;$E$3:$E$345,0),2),"")</f>
        <v>0</v>
      </c>
      <c r="X170" s="165" cm="1">
        <f t="array" ref="X170">IFERROR(INDEX($A$3:$F$345,MATCH(V170&amp;R170,$A$3:$A$345&amp;$E$3:$E$345,0),2),"")</f>
        <v>0</v>
      </c>
      <c r="Y170" s="165" cm="1">
        <f t="array" ref="Y170">IFERROR(INDEX($A$3:$F$345,MATCH(U170&amp;R170,$A$3:$A$345&amp;$E$3:$E$345,0),4),"")</f>
        <v>0</v>
      </c>
      <c r="Z170" s="165" cm="1">
        <f t="array" ref="Z170">IFERROR(INDEX($A$3:$F$345,MATCH(V170&amp;R170,$A$3:$A$345&amp;$E$3:$E$345,0),4),"")</f>
        <v>0</v>
      </c>
      <c r="AA170" s="165" t="str">
        <f t="shared" si="8"/>
        <v/>
      </c>
    </row>
    <row r="171" spans="1:27" x14ac:dyDescent="0.25">
      <c r="A171" s="160"/>
      <c r="B171" s="160"/>
      <c r="C171" s="160"/>
      <c r="D171" s="160"/>
      <c r="E171" s="160"/>
      <c r="F171" s="167" t="str">
        <f t="shared" si="6"/>
        <v/>
      </c>
      <c r="L171" s="164"/>
      <c r="M171" s="164"/>
      <c r="N171" s="169"/>
      <c r="O171" s="164"/>
      <c r="P171" s="164"/>
      <c r="Q171" s="164"/>
      <c r="R171" s="164"/>
      <c r="S171" s="518"/>
      <c r="T171" s="165" t="str">
        <f t="shared" si="7"/>
        <v/>
      </c>
      <c r="U171" s="160"/>
      <c r="V171" s="160"/>
      <c r="W171" s="165" cm="1">
        <f t="array" ref="W171">IFERROR(INDEX($A$3:$F$345,MATCH(U171&amp;R171,$A$3:$A$345&amp;$E$3:$E$345,0),2),"")</f>
        <v>0</v>
      </c>
      <c r="X171" s="165" cm="1">
        <f t="array" ref="X171">IFERROR(INDEX($A$3:$F$345,MATCH(V171&amp;R171,$A$3:$A$345&amp;$E$3:$E$345,0),2),"")</f>
        <v>0</v>
      </c>
      <c r="Y171" s="165" cm="1">
        <f t="array" ref="Y171">IFERROR(INDEX($A$3:$F$345,MATCH(U171&amp;R171,$A$3:$A$345&amp;$E$3:$E$345,0),4),"")</f>
        <v>0</v>
      </c>
      <c r="Z171" s="165" cm="1">
        <f t="array" ref="Z171">IFERROR(INDEX($A$3:$F$345,MATCH(V171&amp;R171,$A$3:$A$345&amp;$E$3:$E$345,0),4),"")</f>
        <v>0</v>
      </c>
      <c r="AA171" s="165" t="str">
        <f t="shared" si="8"/>
        <v/>
      </c>
    </row>
    <row r="172" spans="1:27" x14ac:dyDescent="0.25">
      <c r="A172" s="160"/>
      <c r="B172" s="160"/>
      <c r="C172" s="160"/>
      <c r="D172" s="160"/>
      <c r="E172" s="160"/>
      <c r="F172" s="167" t="str">
        <f t="shared" si="6"/>
        <v/>
      </c>
      <c r="L172" s="164"/>
      <c r="M172" s="164"/>
      <c r="N172" s="169"/>
      <c r="O172" s="164"/>
      <c r="P172" s="164"/>
      <c r="Q172" s="164"/>
      <c r="R172" s="164"/>
      <c r="S172" s="518"/>
      <c r="T172" s="165" t="str">
        <f t="shared" si="7"/>
        <v/>
      </c>
      <c r="U172" s="160"/>
      <c r="V172" s="160"/>
      <c r="W172" s="165" cm="1">
        <f t="array" ref="W172">IFERROR(INDEX($A$3:$F$345,MATCH(U172&amp;R172,$A$3:$A$345&amp;$E$3:$E$345,0),2),"")</f>
        <v>0</v>
      </c>
      <c r="X172" s="165" cm="1">
        <f t="array" ref="X172">IFERROR(INDEX($A$3:$F$345,MATCH(V172&amp;R172,$A$3:$A$345&amp;$E$3:$E$345,0),2),"")</f>
        <v>0</v>
      </c>
      <c r="Y172" s="165" cm="1">
        <f t="array" ref="Y172">IFERROR(INDEX($A$3:$F$345,MATCH(U172&amp;R172,$A$3:$A$345&amp;$E$3:$E$345,0),4),"")</f>
        <v>0</v>
      </c>
      <c r="Z172" s="165" cm="1">
        <f t="array" ref="Z172">IFERROR(INDEX($A$3:$F$345,MATCH(V172&amp;R172,$A$3:$A$345&amp;$E$3:$E$345,0),4),"")</f>
        <v>0</v>
      </c>
      <c r="AA172" s="165" t="str">
        <f t="shared" si="8"/>
        <v/>
      </c>
    </row>
    <row r="173" spans="1:27" x14ac:dyDescent="0.25">
      <c r="A173" s="160"/>
      <c r="B173" s="160"/>
      <c r="C173" s="160"/>
      <c r="D173" s="160"/>
      <c r="E173" s="160"/>
      <c r="F173" s="167" t="str">
        <f t="shared" si="6"/>
        <v/>
      </c>
      <c r="L173" s="164"/>
      <c r="M173" s="164"/>
      <c r="N173" s="169"/>
      <c r="O173" s="164"/>
      <c r="P173" s="164"/>
      <c r="Q173" s="164"/>
      <c r="R173" s="164"/>
      <c r="S173" s="518"/>
      <c r="T173" s="165" t="str">
        <f t="shared" si="7"/>
        <v/>
      </c>
      <c r="U173" s="160"/>
      <c r="V173" s="160"/>
      <c r="W173" s="165" cm="1">
        <f t="array" ref="W173">IFERROR(INDEX($A$3:$F$345,MATCH(U173&amp;R173,$A$3:$A$345&amp;$E$3:$E$345,0),2),"")</f>
        <v>0</v>
      </c>
      <c r="X173" s="165" cm="1">
        <f t="array" ref="X173">IFERROR(INDEX($A$3:$F$345,MATCH(V173&amp;R173,$A$3:$A$345&amp;$E$3:$E$345,0),2),"")</f>
        <v>0</v>
      </c>
      <c r="Y173" s="165" cm="1">
        <f t="array" ref="Y173">IFERROR(INDEX($A$3:$F$345,MATCH(U173&amp;R173,$A$3:$A$345&amp;$E$3:$E$345,0),4),"")</f>
        <v>0</v>
      </c>
      <c r="Z173" s="165" cm="1">
        <f t="array" ref="Z173">IFERROR(INDEX($A$3:$F$345,MATCH(V173&amp;R173,$A$3:$A$345&amp;$E$3:$E$345,0),4),"")</f>
        <v>0</v>
      </c>
      <c r="AA173" s="165" t="str">
        <f t="shared" si="8"/>
        <v/>
      </c>
    </row>
    <row r="174" spans="1:27" x14ac:dyDescent="0.25">
      <c r="A174" s="160"/>
      <c r="B174" s="160"/>
      <c r="C174" s="160"/>
      <c r="D174" s="160"/>
      <c r="E174" s="160"/>
      <c r="F174" s="167" t="str">
        <f t="shared" si="6"/>
        <v/>
      </c>
      <c r="L174" s="164"/>
      <c r="M174" s="164"/>
      <c r="N174" s="169"/>
      <c r="O174" s="164"/>
      <c r="P174" s="164"/>
      <c r="Q174" s="164"/>
      <c r="R174" s="164"/>
      <c r="S174" s="518"/>
      <c r="T174" s="165" t="str">
        <f t="shared" si="7"/>
        <v/>
      </c>
      <c r="U174" s="160"/>
      <c r="V174" s="160"/>
      <c r="W174" s="165" cm="1">
        <f t="array" ref="W174">IFERROR(INDEX($A$3:$F$345,MATCH(U174&amp;R174,$A$3:$A$345&amp;$E$3:$E$345,0),2),"")</f>
        <v>0</v>
      </c>
      <c r="X174" s="165" cm="1">
        <f t="array" ref="X174">IFERROR(INDEX($A$3:$F$345,MATCH(V174&amp;R174,$A$3:$A$345&amp;$E$3:$E$345,0),2),"")</f>
        <v>0</v>
      </c>
      <c r="Y174" s="165" cm="1">
        <f t="array" ref="Y174">IFERROR(INDEX($A$3:$F$345,MATCH(U174&amp;R174,$A$3:$A$345&amp;$E$3:$E$345,0),4),"")</f>
        <v>0</v>
      </c>
      <c r="Z174" s="165" cm="1">
        <f t="array" ref="Z174">IFERROR(INDEX($A$3:$F$345,MATCH(V174&amp;R174,$A$3:$A$345&amp;$E$3:$E$345,0),4),"")</f>
        <v>0</v>
      </c>
      <c r="AA174" s="165" t="str">
        <f t="shared" si="8"/>
        <v/>
      </c>
    </row>
    <row r="175" spans="1:27" x14ac:dyDescent="0.25">
      <c r="A175" s="160"/>
      <c r="B175" s="160"/>
      <c r="C175" s="160"/>
      <c r="D175" s="160"/>
      <c r="E175" s="160"/>
      <c r="F175" s="167" t="str">
        <f t="shared" si="6"/>
        <v/>
      </c>
      <c r="L175" s="164"/>
      <c r="M175" s="164"/>
      <c r="N175" s="169"/>
      <c r="O175" s="164"/>
      <c r="P175" s="164"/>
      <c r="Q175" s="164"/>
      <c r="R175" s="164"/>
      <c r="S175" s="518"/>
      <c r="T175" s="165" t="str">
        <f t="shared" si="7"/>
        <v/>
      </c>
      <c r="U175" s="160"/>
      <c r="V175" s="160"/>
      <c r="W175" s="165" cm="1">
        <f t="array" ref="W175">IFERROR(INDEX($A$3:$F$345,MATCH(U175&amp;R175,$A$3:$A$345&amp;$E$3:$E$345,0),2),"")</f>
        <v>0</v>
      </c>
      <c r="X175" s="165" cm="1">
        <f t="array" ref="X175">IFERROR(INDEX($A$3:$F$345,MATCH(V175&amp;R175,$A$3:$A$345&amp;$E$3:$E$345,0),2),"")</f>
        <v>0</v>
      </c>
      <c r="Y175" s="165" cm="1">
        <f t="array" ref="Y175">IFERROR(INDEX($A$3:$F$345,MATCH(U175&amp;R175,$A$3:$A$345&amp;$E$3:$E$345,0),4),"")</f>
        <v>0</v>
      </c>
      <c r="Z175" s="165" cm="1">
        <f t="array" ref="Z175">IFERROR(INDEX($A$3:$F$345,MATCH(V175&amp;R175,$A$3:$A$345&amp;$E$3:$E$345,0),4),"")</f>
        <v>0</v>
      </c>
      <c r="AA175" s="165" t="str">
        <f t="shared" si="8"/>
        <v/>
      </c>
    </row>
    <row r="176" spans="1:27" x14ac:dyDescent="0.25">
      <c r="A176" s="160"/>
      <c r="B176" s="160"/>
      <c r="C176" s="160"/>
      <c r="D176" s="160"/>
      <c r="E176" s="160"/>
      <c r="F176" s="167" t="str">
        <f t="shared" si="6"/>
        <v/>
      </c>
      <c r="L176" s="164"/>
      <c r="M176" s="164"/>
      <c r="N176" s="169"/>
      <c r="O176" s="164"/>
      <c r="P176" s="164"/>
      <c r="Q176" s="164"/>
      <c r="R176" s="164"/>
      <c r="S176" s="518"/>
      <c r="T176" s="165" t="str">
        <f t="shared" si="7"/>
        <v/>
      </c>
      <c r="U176" s="160"/>
      <c r="V176" s="160"/>
      <c r="W176" s="165" cm="1">
        <f t="array" ref="W176">IFERROR(INDEX($A$3:$F$345,MATCH(U176&amp;R176,$A$3:$A$345&amp;$E$3:$E$345,0),2),"")</f>
        <v>0</v>
      </c>
      <c r="X176" s="165" cm="1">
        <f t="array" ref="X176">IFERROR(INDEX($A$3:$F$345,MATCH(V176&amp;R176,$A$3:$A$345&amp;$E$3:$E$345,0),2),"")</f>
        <v>0</v>
      </c>
      <c r="Y176" s="165" cm="1">
        <f t="array" ref="Y176">IFERROR(INDEX($A$3:$F$345,MATCH(U176&amp;R176,$A$3:$A$345&amp;$E$3:$E$345,0),4),"")</f>
        <v>0</v>
      </c>
      <c r="Z176" s="165" cm="1">
        <f t="array" ref="Z176">IFERROR(INDEX($A$3:$F$345,MATCH(V176&amp;R176,$A$3:$A$345&amp;$E$3:$E$345,0),4),"")</f>
        <v>0</v>
      </c>
      <c r="AA176" s="165" t="str">
        <f t="shared" si="8"/>
        <v/>
      </c>
    </row>
    <row r="177" spans="1:27" x14ac:dyDescent="0.25">
      <c r="A177" s="160"/>
      <c r="B177" s="160"/>
      <c r="C177" s="160"/>
      <c r="D177" s="160"/>
      <c r="E177" s="160"/>
      <c r="F177" s="167" t="str">
        <f t="shared" si="6"/>
        <v/>
      </c>
      <c r="L177" s="164"/>
      <c r="M177" s="164"/>
      <c r="N177" s="169"/>
      <c r="O177" s="164"/>
      <c r="P177" s="164"/>
      <c r="Q177" s="164"/>
      <c r="R177" s="164"/>
      <c r="S177" s="518"/>
      <c r="T177" s="165" t="str">
        <f t="shared" si="7"/>
        <v/>
      </c>
      <c r="U177" s="160"/>
      <c r="V177" s="160"/>
      <c r="W177" s="165" cm="1">
        <f t="array" ref="W177">IFERROR(INDEX($A$3:$F$345,MATCH(U177&amp;R177,$A$3:$A$345&amp;$E$3:$E$345,0),2),"")</f>
        <v>0</v>
      </c>
      <c r="X177" s="165" cm="1">
        <f t="array" ref="X177">IFERROR(INDEX($A$3:$F$345,MATCH(V177&amp;R177,$A$3:$A$345&amp;$E$3:$E$345,0),2),"")</f>
        <v>0</v>
      </c>
      <c r="Y177" s="165" cm="1">
        <f t="array" ref="Y177">IFERROR(INDEX($A$3:$F$345,MATCH(U177&amp;R177,$A$3:$A$345&amp;$E$3:$E$345,0),4),"")</f>
        <v>0</v>
      </c>
      <c r="Z177" s="165" cm="1">
        <f t="array" ref="Z177">IFERROR(INDEX($A$3:$F$345,MATCH(V177&amp;R177,$A$3:$A$345&amp;$E$3:$E$345,0),4),"")</f>
        <v>0</v>
      </c>
      <c r="AA177" s="165" t="str">
        <f t="shared" si="8"/>
        <v/>
      </c>
    </row>
    <row r="178" spans="1:27" x14ac:dyDescent="0.25">
      <c r="A178" s="160"/>
      <c r="B178" s="160"/>
      <c r="C178" s="160"/>
      <c r="D178" s="160"/>
      <c r="E178" s="160"/>
      <c r="F178" s="167" t="str">
        <f t="shared" si="6"/>
        <v/>
      </c>
      <c r="L178" s="164"/>
      <c r="M178" s="164"/>
      <c r="N178" s="169"/>
      <c r="O178" s="164"/>
      <c r="P178" s="164"/>
      <c r="Q178" s="164"/>
      <c r="R178" s="164"/>
      <c r="S178" s="518"/>
      <c r="T178" s="165" t="str">
        <f t="shared" si="7"/>
        <v/>
      </c>
      <c r="U178" s="160"/>
      <c r="V178" s="160"/>
      <c r="W178" s="165" cm="1">
        <f t="array" ref="W178">IFERROR(INDEX($A$3:$F$345,MATCH(U178&amp;R178,$A$3:$A$345&amp;$E$3:$E$345,0),2),"")</f>
        <v>0</v>
      </c>
      <c r="X178" s="165" cm="1">
        <f t="array" ref="X178">IFERROR(INDEX($A$3:$F$345,MATCH(V178&amp;R178,$A$3:$A$345&amp;$E$3:$E$345,0),2),"")</f>
        <v>0</v>
      </c>
      <c r="Y178" s="165" cm="1">
        <f t="array" ref="Y178">IFERROR(INDEX($A$3:$F$345,MATCH(U178&amp;R178,$A$3:$A$345&amp;$E$3:$E$345,0),4),"")</f>
        <v>0</v>
      </c>
      <c r="Z178" s="165" cm="1">
        <f t="array" ref="Z178">IFERROR(INDEX($A$3:$F$345,MATCH(V178&amp;R178,$A$3:$A$345&amp;$E$3:$E$345,0),4),"")</f>
        <v>0</v>
      </c>
      <c r="AA178" s="165" t="str">
        <f t="shared" si="8"/>
        <v/>
      </c>
    </row>
    <row r="179" spans="1:27" x14ac:dyDescent="0.25">
      <c r="A179" s="160"/>
      <c r="B179" s="160"/>
      <c r="C179" s="160"/>
      <c r="D179" s="160"/>
      <c r="E179" s="160"/>
      <c r="F179" s="167" t="str">
        <f t="shared" si="6"/>
        <v/>
      </c>
      <c r="L179" s="164"/>
      <c r="M179" s="164"/>
      <c r="N179" s="169"/>
      <c r="O179" s="164"/>
      <c r="P179" s="164"/>
      <c r="Q179" s="164"/>
      <c r="R179" s="164"/>
      <c r="S179" s="518"/>
      <c r="T179" s="165" t="str">
        <f t="shared" si="7"/>
        <v/>
      </c>
      <c r="U179" s="160"/>
      <c r="V179" s="160"/>
      <c r="W179" s="165" cm="1">
        <f t="array" ref="W179">IFERROR(INDEX($A$3:$F$345,MATCH(U179&amp;R179,$A$3:$A$345&amp;$E$3:$E$345,0),2),"")</f>
        <v>0</v>
      </c>
      <c r="X179" s="165" cm="1">
        <f t="array" ref="X179">IFERROR(INDEX($A$3:$F$345,MATCH(V179&amp;R179,$A$3:$A$345&amp;$E$3:$E$345,0),2),"")</f>
        <v>0</v>
      </c>
      <c r="Y179" s="165" cm="1">
        <f t="array" ref="Y179">IFERROR(INDEX($A$3:$F$345,MATCH(U179&amp;R179,$A$3:$A$345&amp;$E$3:$E$345,0),4),"")</f>
        <v>0</v>
      </c>
      <c r="Z179" s="165" cm="1">
        <f t="array" ref="Z179">IFERROR(INDEX($A$3:$F$345,MATCH(V179&amp;R179,$A$3:$A$345&amp;$E$3:$E$345,0),4),"")</f>
        <v>0</v>
      </c>
      <c r="AA179" s="165" t="str">
        <f t="shared" si="8"/>
        <v/>
      </c>
    </row>
    <row r="180" spans="1:27" x14ac:dyDescent="0.25">
      <c r="A180" s="160"/>
      <c r="B180" s="160"/>
      <c r="C180" s="160"/>
      <c r="D180" s="160"/>
      <c r="E180" s="160"/>
      <c r="F180" s="167" t="str">
        <f t="shared" si="6"/>
        <v/>
      </c>
      <c r="L180" s="164"/>
      <c r="M180" s="164"/>
      <c r="N180" s="169"/>
      <c r="O180" s="164"/>
      <c r="P180" s="164"/>
      <c r="Q180" s="164"/>
      <c r="R180" s="164"/>
      <c r="S180" s="518"/>
      <c r="T180" s="165" t="str">
        <f t="shared" si="7"/>
        <v/>
      </c>
      <c r="U180" s="160"/>
      <c r="V180" s="160"/>
      <c r="W180" s="165" cm="1">
        <f t="array" ref="W180">IFERROR(INDEX($A$3:$F$345,MATCH(U180&amp;R180,$A$3:$A$345&amp;$E$3:$E$345,0),2),"")</f>
        <v>0</v>
      </c>
      <c r="X180" s="165" cm="1">
        <f t="array" ref="X180">IFERROR(INDEX($A$3:$F$345,MATCH(V180&amp;R180,$A$3:$A$345&amp;$E$3:$E$345,0),2),"")</f>
        <v>0</v>
      </c>
      <c r="Y180" s="165" cm="1">
        <f t="array" ref="Y180">IFERROR(INDEX($A$3:$F$345,MATCH(U180&amp;R180,$A$3:$A$345&amp;$E$3:$E$345,0),4),"")</f>
        <v>0</v>
      </c>
      <c r="Z180" s="165" cm="1">
        <f t="array" ref="Z180">IFERROR(INDEX($A$3:$F$345,MATCH(V180&amp;R180,$A$3:$A$345&amp;$E$3:$E$345,0),4),"")</f>
        <v>0</v>
      </c>
      <c r="AA180" s="165" t="str">
        <f t="shared" si="8"/>
        <v/>
      </c>
    </row>
    <row r="181" spans="1:27" x14ac:dyDescent="0.25">
      <c r="A181" s="160"/>
      <c r="B181" s="160"/>
      <c r="C181" s="160"/>
      <c r="D181" s="160"/>
      <c r="E181" s="160"/>
      <c r="F181" s="167" t="str">
        <f t="shared" si="6"/>
        <v/>
      </c>
      <c r="L181" s="164"/>
      <c r="M181" s="164"/>
      <c r="N181" s="169"/>
      <c r="O181" s="164"/>
      <c r="P181" s="164"/>
      <c r="Q181" s="164"/>
      <c r="R181" s="164"/>
      <c r="S181" s="518"/>
      <c r="T181" s="165" t="str">
        <f t="shared" si="7"/>
        <v/>
      </c>
      <c r="U181" s="160"/>
      <c r="V181" s="160"/>
      <c r="W181" s="165" cm="1">
        <f t="array" ref="W181">IFERROR(INDEX($A$3:$F$345,MATCH(U181&amp;R181,$A$3:$A$345&amp;$E$3:$E$345,0),2),"")</f>
        <v>0</v>
      </c>
      <c r="X181" s="165" cm="1">
        <f t="array" ref="X181">IFERROR(INDEX($A$3:$F$345,MATCH(V181&amp;R181,$A$3:$A$345&amp;$E$3:$E$345,0),2),"")</f>
        <v>0</v>
      </c>
      <c r="Y181" s="165" cm="1">
        <f t="array" ref="Y181">IFERROR(INDEX($A$3:$F$345,MATCH(U181&amp;R181,$A$3:$A$345&amp;$E$3:$E$345,0),4),"")</f>
        <v>0</v>
      </c>
      <c r="Z181" s="165" cm="1">
        <f t="array" ref="Z181">IFERROR(INDEX($A$3:$F$345,MATCH(V181&amp;R181,$A$3:$A$345&amp;$E$3:$E$345,0),4),"")</f>
        <v>0</v>
      </c>
      <c r="AA181" s="165" t="str">
        <f t="shared" si="8"/>
        <v/>
      </c>
    </row>
    <row r="182" spans="1:27" x14ac:dyDescent="0.25">
      <c r="A182" s="160"/>
      <c r="B182" s="160"/>
      <c r="C182" s="160"/>
      <c r="D182" s="160"/>
      <c r="E182" s="160"/>
      <c r="F182" s="167" t="str">
        <f t="shared" si="6"/>
        <v/>
      </c>
      <c r="L182" s="164"/>
      <c r="M182" s="164"/>
      <c r="N182" s="169"/>
      <c r="O182" s="164"/>
      <c r="P182" s="164"/>
      <c r="Q182" s="164"/>
      <c r="R182" s="164"/>
      <c r="S182" s="518"/>
      <c r="T182" s="165" t="str">
        <f t="shared" si="7"/>
        <v/>
      </c>
      <c r="U182" s="160"/>
      <c r="V182" s="160"/>
      <c r="W182" s="165" cm="1">
        <f t="array" ref="W182">IFERROR(INDEX($A$3:$F$345,MATCH(U182&amp;R182,$A$3:$A$345&amp;$E$3:$E$345,0),2),"")</f>
        <v>0</v>
      </c>
      <c r="X182" s="165" cm="1">
        <f t="array" ref="X182">IFERROR(INDEX($A$3:$F$345,MATCH(V182&amp;R182,$A$3:$A$345&amp;$E$3:$E$345,0),2),"")</f>
        <v>0</v>
      </c>
      <c r="Y182" s="165" cm="1">
        <f t="array" ref="Y182">IFERROR(INDEX($A$3:$F$345,MATCH(U182&amp;R182,$A$3:$A$345&amp;$E$3:$E$345,0),4),"")</f>
        <v>0</v>
      </c>
      <c r="Z182" s="165" cm="1">
        <f t="array" ref="Z182">IFERROR(INDEX($A$3:$F$345,MATCH(V182&amp;R182,$A$3:$A$345&amp;$E$3:$E$345,0),4),"")</f>
        <v>0</v>
      </c>
      <c r="AA182" s="165" t="str">
        <f t="shared" si="8"/>
        <v/>
      </c>
    </row>
    <row r="183" spans="1:27" x14ac:dyDescent="0.25">
      <c r="A183" s="160"/>
      <c r="B183" s="160"/>
      <c r="C183" s="160"/>
      <c r="D183" s="160"/>
      <c r="E183" s="160"/>
      <c r="F183" s="167" t="str">
        <f t="shared" si="6"/>
        <v/>
      </c>
      <c r="L183" s="164"/>
      <c r="M183" s="164"/>
      <c r="N183" s="169"/>
      <c r="O183" s="164"/>
      <c r="P183" s="164"/>
      <c r="Q183" s="164"/>
      <c r="R183" s="164"/>
      <c r="S183" s="518"/>
      <c r="T183" s="165" t="str">
        <f t="shared" si="7"/>
        <v/>
      </c>
      <c r="U183" s="160"/>
      <c r="V183" s="160"/>
      <c r="W183" s="165" cm="1">
        <f t="array" ref="W183">IFERROR(INDEX($A$3:$F$345,MATCH(U183&amp;R183,$A$3:$A$345&amp;$E$3:$E$345,0),2),"")</f>
        <v>0</v>
      </c>
      <c r="X183" s="165" cm="1">
        <f t="array" ref="X183">IFERROR(INDEX($A$3:$F$345,MATCH(V183&amp;R183,$A$3:$A$345&amp;$E$3:$E$345,0),2),"")</f>
        <v>0</v>
      </c>
      <c r="Y183" s="165" cm="1">
        <f t="array" ref="Y183">IFERROR(INDEX($A$3:$F$345,MATCH(U183&amp;R183,$A$3:$A$345&amp;$E$3:$E$345,0),4),"")</f>
        <v>0</v>
      </c>
      <c r="Z183" s="165" cm="1">
        <f t="array" ref="Z183">IFERROR(INDEX($A$3:$F$345,MATCH(V183&amp;R183,$A$3:$A$345&amp;$E$3:$E$345,0),4),"")</f>
        <v>0</v>
      </c>
      <c r="AA183" s="165" t="str">
        <f t="shared" si="8"/>
        <v/>
      </c>
    </row>
    <row r="184" spans="1:27" x14ac:dyDescent="0.25">
      <c r="A184" s="160"/>
      <c r="B184" s="160"/>
      <c r="C184" s="160"/>
      <c r="D184" s="160"/>
      <c r="E184" s="160"/>
      <c r="F184" s="167" t="str">
        <f t="shared" si="6"/>
        <v/>
      </c>
      <c r="L184" s="164"/>
      <c r="M184" s="164"/>
      <c r="N184" s="169"/>
      <c r="O184" s="164"/>
      <c r="P184" s="164"/>
      <c r="Q184" s="164"/>
      <c r="R184" s="164"/>
      <c r="S184" s="518"/>
      <c r="T184" s="165" t="str">
        <f t="shared" si="7"/>
        <v/>
      </c>
      <c r="U184" s="160"/>
      <c r="V184" s="160"/>
      <c r="W184" s="165" cm="1">
        <f t="array" ref="W184">IFERROR(INDEX($A$3:$F$345,MATCH(U184&amp;R184,$A$3:$A$345&amp;$E$3:$E$345,0),2),"")</f>
        <v>0</v>
      </c>
      <c r="X184" s="165" cm="1">
        <f t="array" ref="X184">IFERROR(INDEX($A$3:$F$345,MATCH(V184&amp;R184,$A$3:$A$345&amp;$E$3:$E$345,0),2),"")</f>
        <v>0</v>
      </c>
      <c r="Y184" s="165" cm="1">
        <f t="array" ref="Y184">IFERROR(INDEX($A$3:$F$345,MATCH(U184&amp;R184,$A$3:$A$345&amp;$E$3:$E$345,0),4),"")</f>
        <v>0</v>
      </c>
      <c r="Z184" s="165" cm="1">
        <f t="array" ref="Z184">IFERROR(INDEX($A$3:$F$345,MATCH(V184&amp;R184,$A$3:$A$345&amp;$E$3:$E$345,0),4),"")</f>
        <v>0</v>
      </c>
      <c r="AA184" s="165" t="str">
        <f t="shared" si="8"/>
        <v/>
      </c>
    </row>
    <row r="185" spans="1:27" x14ac:dyDescent="0.25">
      <c r="A185" s="160"/>
      <c r="B185" s="160"/>
      <c r="C185" s="160"/>
      <c r="D185" s="160"/>
      <c r="E185" s="160"/>
      <c r="F185" s="167" t="str">
        <f t="shared" si="6"/>
        <v/>
      </c>
      <c r="L185" s="164"/>
      <c r="M185" s="164"/>
      <c r="N185" s="169"/>
      <c r="O185" s="164"/>
      <c r="P185" s="164"/>
      <c r="Q185" s="164"/>
      <c r="R185" s="164"/>
      <c r="S185" s="518"/>
      <c r="T185" s="165" t="str">
        <f t="shared" si="7"/>
        <v/>
      </c>
      <c r="U185" s="160"/>
      <c r="V185" s="160"/>
      <c r="W185" s="165" cm="1">
        <f t="array" ref="W185">IFERROR(INDEX($A$3:$F$345,MATCH(U185&amp;R185,$A$3:$A$345&amp;$E$3:$E$345,0),2),"")</f>
        <v>0</v>
      </c>
      <c r="X185" s="165" cm="1">
        <f t="array" ref="X185">IFERROR(INDEX($A$3:$F$345,MATCH(V185&amp;R185,$A$3:$A$345&amp;$E$3:$E$345,0),2),"")</f>
        <v>0</v>
      </c>
      <c r="Y185" s="165" cm="1">
        <f t="array" ref="Y185">IFERROR(INDEX($A$3:$F$345,MATCH(U185&amp;R185,$A$3:$A$345&amp;$E$3:$E$345,0),4),"")</f>
        <v>0</v>
      </c>
      <c r="Z185" s="165" cm="1">
        <f t="array" ref="Z185">IFERROR(INDEX($A$3:$F$345,MATCH(V185&amp;R185,$A$3:$A$345&amp;$E$3:$E$345,0),4),"")</f>
        <v>0</v>
      </c>
      <c r="AA185" s="165" t="str">
        <f t="shared" si="8"/>
        <v/>
      </c>
    </row>
    <row r="186" spans="1:27" x14ac:dyDescent="0.25">
      <c r="A186" s="160"/>
      <c r="B186" s="160"/>
      <c r="C186" s="160"/>
      <c r="D186" s="160"/>
      <c r="E186" s="160"/>
      <c r="F186" s="167" t="str">
        <f t="shared" si="6"/>
        <v/>
      </c>
      <c r="L186" s="164"/>
      <c r="M186" s="164"/>
      <c r="N186" s="169"/>
      <c r="O186" s="164"/>
      <c r="P186" s="164"/>
      <c r="Q186" s="164"/>
      <c r="R186" s="164"/>
      <c r="S186" s="518"/>
      <c r="T186" s="165" t="str">
        <f t="shared" si="7"/>
        <v/>
      </c>
      <c r="U186" s="160"/>
      <c r="V186" s="160"/>
      <c r="W186" s="165" cm="1">
        <f t="array" ref="W186">IFERROR(INDEX($A$3:$F$345,MATCH(U186&amp;R186,$A$3:$A$345&amp;$E$3:$E$345,0),2),"")</f>
        <v>0</v>
      </c>
      <c r="X186" s="165" cm="1">
        <f t="array" ref="X186">IFERROR(INDEX($A$3:$F$345,MATCH(V186&amp;R186,$A$3:$A$345&amp;$E$3:$E$345,0),2),"")</f>
        <v>0</v>
      </c>
      <c r="Y186" s="165" cm="1">
        <f t="array" ref="Y186">IFERROR(INDEX($A$3:$F$345,MATCH(U186&amp;R186,$A$3:$A$345&amp;$E$3:$E$345,0),4),"")</f>
        <v>0</v>
      </c>
      <c r="Z186" s="165" cm="1">
        <f t="array" ref="Z186">IFERROR(INDEX($A$3:$F$345,MATCH(V186&amp;R186,$A$3:$A$345&amp;$E$3:$E$345,0),4),"")</f>
        <v>0</v>
      </c>
      <c r="AA186" s="165" t="str">
        <f t="shared" si="8"/>
        <v/>
      </c>
    </row>
    <row r="187" spans="1:27" x14ac:dyDescent="0.25">
      <c r="A187" s="160"/>
      <c r="B187" s="160"/>
      <c r="C187" s="160"/>
      <c r="D187" s="160"/>
      <c r="E187" s="160"/>
      <c r="F187" s="167" t="str">
        <f t="shared" si="6"/>
        <v/>
      </c>
      <c r="L187" s="164"/>
      <c r="M187" s="164"/>
      <c r="N187" s="169"/>
      <c r="O187" s="164"/>
      <c r="P187" s="164"/>
      <c r="Q187" s="164"/>
      <c r="R187" s="164"/>
      <c r="S187" s="518"/>
      <c r="T187" s="165" t="str">
        <f t="shared" si="7"/>
        <v/>
      </c>
      <c r="U187" s="160"/>
      <c r="V187" s="160"/>
      <c r="W187" s="165" cm="1">
        <f t="array" ref="W187">IFERROR(INDEX($A$3:$F$345,MATCH(U187&amp;R187,$A$3:$A$345&amp;$E$3:$E$345,0),2),"")</f>
        <v>0</v>
      </c>
      <c r="X187" s="165" cm="1">
        <f t="array" ref="X187">IFERROR(INDEX($A$3:$F$345,MATCH(V187&amp;R187,$A$3:$A$345&amp;$E$3:$E$345,0),2),"")</f>
        <v>0</v>
      </c>
      <c r="Y187" s="165" cm="1">
        <f t="array" ref="Y187">IFERROR(INDEX($A$3:$F$345,MATCH(U187&amp;R187,$A$3:$A$345&amp;$E$3:$E$345,0),4),"")</f>
        <v>0</v>
      </c>
      <c r="Z187" s="165" cm="1">
        <f t="array" ref="Z187">IFERROR(INDEX($A$3:$F$345,MATCH(V187&amp;R187,$A$3:$A$345&amp;$E$3:$E$345,0),4),"")</f>
        <v>0</v>
      </c>
      <c r="AA187" s="165" t="str">
        <f t="shared" si="8"/>
        <v/>
      </c>
    </row>
    <row r="188" spans="1:27" x14ac:dyDescent="0.25">
      <c r="A188" s="160"/>
      <c r="B188" s="160"/>
      <c r="C188" s="160"/>
      <c r="D188" s="160"/>
      <c r="E188" s="160"/>
      <c r="F188" s="167" t="str">
        <f t="shared" si="6"/>
        <v/>
      </c>
      <c r="L188" s="164"/>
      <c r="M188" s="164"/>
      <c r="N188" s="169"/>
      <c r="O188" s="164"/>
      <c r="P188" s="164"/>
      <c r="Q188" s="164"/>
      <c r="R188" s="164"/>
      <c r="S188" s="518"/>
      <c r="T188" s="165" t="str">
        <f t="shared" si="7"/>
        <v/>
      </c>
      <c r="U188" s="160"/>
      <c r="V188" s="160"/>
      <c r="W188" s="165" cm="1">
        <f t="array" ref="W188">IFERROR(INDEX($A$3:$F$345,MATCH(U188&amp;R188,$A$3:$A$345&amp;$E$3:$E$345,0),2),"")</f>
        <v>0</v>
      </c>
      <c r="X188" s="165" cm="1">
        <f t="array" ref="X188">IFERROR(INDEX($A$3:$F$345,MATCH(V188&amp;R188,$A$3:$A$345&amp;$E$3:$E$345,0),2),"")</f>
        <v>0</v>
      </c>
      <c r="Y188" s="165" cm="1">
        <f t="array" ref="Y188">IFERROR(INDEX($A$3:$F$345,MATCH(U188&amp;R188,$A$3:$A$345&amp;$E$3:$E$345,0),4),"")</f>
        <v>0</v>
      </c>
      <c r="Z188" s="165" cm="1">
        <f t="array" ref="Z188">IFERROR(INDEX($A$3:$F$345,MATCH(V188&amp;R188,$A$3:$A$345&amp;$E$3:$E$345,0),4),"")</f>
        <v>0</v>
      </c>
      <c r="AA188" s="165" t="str">
        <f t="shared" si="8"/>
        <v/>
      </c>
    </row>
    <row r="189" spans="1:27" x14ac:dyDescent="0.25">
      <c r="A189" s="160"/>
      <c r="B189" s="160"/>
      <c r="C189" s="160"/>
      <c r="D189" s="160"/>
      <c r="E189" s="160"/>
      <c r="F189" s="167" t="str">
        <f t="shared" si="6"/>
        <v/>
      </c>
      <c r="L189" s="164"/>
      <c r="M189" s="164"/>
      <c r="N189" s="169"/>
      <c r="O189" s="164"/>
      <c r="P189" s="164"/>
      <c r="Q189" s="164"/>
      <c r="R189" s="164"/>
      <c r="S189" s="518"/>
      <c r="T189" s="165" t="str">
        <f t="shared" si="7"/>
        <v/>
      </c>
      <c r="U189" s="160"/>
      <c r="V189" s="160"/>
      <c r="W189" s="165" cm="1">
        <f t="array" ref="W189">IFERROR(INDEX($A$3:$F$345,MATCH(U189&amp;R189,$A$3:$A$345&amp;$E$3:$E$345,0),2),"")</f>
        <v>0</v>
      </c>
      <c r="X189" s="165" cm="1">
        <f t="array" ref="X189">IFERROR(INDEX($A$3:$F$345,MATCH(V189&amp;R189,$A$3:$A$345&amp;$E$3:$E$345,0),2),"")</f>
        <v>0</v>
      </c>
      <c r="Y189" s="165" cm="1">
        <f t="array" ref="Y189">IFERROR(INDEX($A$3:$F$345,MATCH(U189&amp;R189,$A$3:$A$345&amp;$E$3:$E$345,0),4),"")</f>
        <v>0</v>
      </c>
      <c r="Z189" s="165" cm="1">
        <f t="array" ref="Z189">IFERROR(INDEX($A$3:$F$345,MATCH(V189&amp;R189,$A$3:$A$345&amp;$E$3:$E$345,0),4),"")</f>
        <v>0</v>
      </c>
      <c r="AA189" s="165" t="str">
        <f t="shared" si="8"/>
        <v/>
      </c>
    </row>
    <row r="190" spans="1:27" x14ac:dyDescent="0.25">
      <c r="A190" s="160"/>
      <c r="B190" s="160"/>
      <c r="C190" s="160"/>
      <c r="D190" s="160"/>
      <c r="E190" s="160"/>
      <c r="F190" s="167" t="str">
        <f t="shared" si="6"/>
        <v/>
      </c>
      <c r="L190" s="164"/>
      <c r="M190" s="164"/>
      <c r="N190" s="169"/>
      <c r="O190" s="164"/>
      <c r="P190" s="164"/>
      <c r="Q190" s="164"/>
      <c r="R190" s="164"/>
      <c r="S190" s="518"/>
      <c r="T190" s="165" t="str">
        <f t="shared" si="7"/>
        <v/>
      </c>
      <c r="U190" s="160"/>
      <c r="V190" s="160"/>
      <c r="W190" s="165" cm="1">
        <f t="array" ref="W190">IFERROR(INDEX($A$3:$F$345,MATCH(U190&amp;R190,$A$3:$A$345&amp;$E$3:$E$345,0),2),"")</f>
        <v>0</v>
      </c>
      <c r="X190" s="165" cm="1">
        <f t="array" ref="X190">IFERROR(INDEX($A$3:$F$345,MATCH(V190&amp;R190,$A$3:$A$345&amp;$E$3:$E$345,0),2),"")</f>
        <v>0</v>
      </c>
      <c r="Y190" s="165" cm="1">
        <f t="array" ref="Y190">IFERROR(INDEX($A$3:$F$345,MATCH(U190&amp;R190,$A$3:$A$345&amp;$E$3:$E$345,0),4),"")</f>
        <v>0</v>
      </c>
      <c r="Z190" s="165" cm="1">
        <f t="array" ref="Z190">IFERROR(INDEX($A$3:$F$345,MATCH(V190&amp;R190,$A$3:$A$345&amp;$E$3:$E$345,0),4),"")</f>
        <v>0</v>
      </c>
      <c r="AA190" s="165" t="str">
        <f t="shared" si="8"/>
        <v/>
      </c>
    </row>
    <row r="191" spans="1:27" x14ac:dyDescent="0.25">
      <c r="A191" s="160"/>
      <c r="B191" s="160"/>
      <c r="C191" s="160"/>
      <c r="D191" s="160"/>
      <c r="E191" s="160"/>
      <c r="F191" s="167" t="str">
        <f t="shared" si="6"/>
        <v/>
      </c>
      <c r="L191" s="164"/>
      <c r="M191" s="164"/>
      <c r="N191" s="169"/>
      <c r="O191" s="164"/>
      <c r="P191" s="164"/>
      <c r="Q191" s="164"/>
      <c r="R191" s="164"/>
      <c r="S191" s="518"/>
      <c r="T191" s="165" t="str">
        <f>IF(S191="E","EXISTENTE",IF(AND(S191="R",LEFT(L191,7)="RBIGODE",M191=400),"RBIGODE 40",IF(AND(LEFT(L191,7)="RBIGODE",M191=600),"RBIGODE 60",IF(AND(S191="I",LEFT(L191,6)="BIGODE",M191=400),"BIGODE 40",IF(AND(LEFT(L191,6)="BIGODE",M191=600),"BIGODE 60",LEFT(L191,7))))))</f>
        <v/>
      </c>
      <c r="U191" s="160"/>
      <c r="V191" s="160"/>
      <c r="W191" s="165" cm="1">
        <f t="array" ref="W191">IFERROR(INDEX($A$3:$F$345,MATCH(U191&amp;R191,$A$3:$A$345&amp;$E$3:$E$345,0),2),"")</f>
        <v>0</v>
      </c>
      <c r="X191" s="165" cm="1">
        <f t="array" ref="X191">IFERROR(INDEX($A$3:$F$345,MATCH(V191&amp;R191,$A$3:$A$345&amp;$E$3:$E$345,0),2),"")</f>
        <v>0</v>
      </c>
      <c r="Y191" s="165" cm="1">
        <f t="array" ref="Y191">IFERROR(INDEX($A$3:$F$345,MATCH(U191&amp;R191,$A$3:$A$345&amp;$E$3:$E$345,0),4),"")</f>
        <v>0</v>
      </c>
      <c r="Z191" s="165" cm="1">
        <f t="array" ref="Z191">IFERROR(INDEX($A$3:$F$345,MATCH(V191&amp;R191,$A$3:$A$345&amp;$E$3:$E$345,0),4),"")</f>
        <v>0</v>
      </c>
      <c r="AA191" s="165" t="str">
        <f t="shared" si="8"/>
        <v/>
      </c>
    </row>
    <row r="192" spans="1:27" x14ac:dyDescent="0.25">
      <c r="A192" s="160"/>
      <c r="B192" s="160"/>
      <c r="C192" s="160"/>
      <c r="D192" s="160"/>
      <c r="E192" s="160"/>
      <c r="F192" s="167" t="str">
        <f t="shared" si="6"/>
        <v/>
      </c>
      <c r="L192" s="164"/>
      <c r="M192" s="164"/>
      <c r="N192" s="169"/>
      <c r="O192" s="164"/>
      <c r="P192" s="164"/>
      <c r="Q192" s="164"/>
      <c r="R192" s="164"/>
      <c r="S192" s="518"/>
      <c r="T192" s="165" t="str">
        <f t="shared" ref="T192:T255" si="9">IF(S192="E","EXISTENTE",IF(AND(S192="R",LEFT(L192,7)="RBIGODE",M192=400),"RBIGODE 40",IF(AND(LEFT(L192,7)="RBIGODE",M192=600),"RBIGODE 60",IF(AND(S192="I",LEFT(L192,6)="BIGODE",M192=400),"BIGODE 40",IF(AND(LEFT(L192,6)="BIGODE",M192=600),"BIGODE 60",LEFT(L192,7))))))</f>
        <v/>
      </c>
      <c r="U192" s="160"/>
      <c r="V192" s="160"/>
      <c r="W192" s="165" cm="1">
        <f t="array" ref="W192">IFERROR(INDEX($A$3:$F$345,MATCH(U192&amp;R192,$A$3:$A$345&amp;$E$3:$E$345,0),2),"")</f>
        <v>0</v>
      </c>
      <c r="X192" s="165" cm="1">
        <f t="array" ref="X192">IFERROR(INDEX($A$3:$F$345,MATCH(V192&amp;R192,$A$3:$A$345&amp;$E$3:$E$345,0),2),"")</f>
        <v>0</v>
      </c>
      <c r="Y192" s="165" cm="1">
        <f t="array" ref="Y192">IFERROR(INDEX($A$3:$F$345,MATCH(U192&amp;R192,$A$3:$A$345&amp;$E$3:$E$345,0),4),"")</f>
        <v>0</v>
      </c>
      <c r="Z192" s="165" cm="1">
        <f t="array" ref="Z192">IFERROR(INDEX($A$3:$F$345,MATCH(V192&amp;R192,$A$3:$A$345&amp;$E$3:$E$345,0),4),"")</f>
        <v>0</v>
      </c>
      <c r="AA192" s="165" t="str">
        <f t="shared" si="8"/>
        <v/>
      </c>
    </row>
    <row r="193" spans="1:27" x14ac:dyDescent="0.25">
      <c r="A193" s="160"/>
      <c r="B193" s="160"/>
      <c r="C193" s="160"/>
      <c r="D193" s="160"/>
      <c r="E193" s="160"/>
      <c r="F193" s="167" t="str">
        <f t="shared" si="6"/>
        <v/>
      </c>
      <c r="L193" s="164"/>
      <c r="M193" s="164"/>
      <c r="N193" s="169"/>
      <c r="O193" s="164"/>
      <c r="P193" s="164"/>
      <c r="Q193" s="164"/>
      <c r="R193" s="164"/>
      <c r="S193" s="518"/>
      <c r="T193" s="165" t="str">
        <f t="shared" si="9"/>
        <v/>
      </c>
      <c r="U193" s="160"/>
      <c r="V193" s="160"/>
      <c r="W193" s="165" cm="1">
        <f t="array" ref="W193">IFERROR(INDEX($A$3:$F$345,MATCH(U193&amp;R193,$A$3:$A$345&amp;$E$3:$E$345,0),2),"")</f>
        <v>0</v>
      </c>
      <c r="X193" s="165" cm="1">
        <f t="array" ref="X193">IFERROR(INDEX($A$3:$F$345,MATCH(V193&amp;R193,$A$3:$A$345&amp;$E$3:$E$345,0),2),"")</f>
        <v>0</v>
      </c>
      <c r="Y193" s="165" cm="1">
        <f t="array" ref="Y193">IFERROR(INDEX($A$3:$F$345,MATCH(U193&amp;R193,$A$3:$A$345&amp;$E$3:$E$345,0),4),"")</f>
        <v>0</v>
      </c>
      <c r="Z193" s="165" cm="1">
        <f t="array" ref="Z193">IFERROR(INDEX($A$3:$F$345,MATCH(V193&amp;R193,$A$3:$A$345&amp;$E$3:$E$345,0),4),"")</f>
        <v>0</v>
      </c>
      <c r="AA193" s="165" t="str">
        <f t="shared" si="8"/>
        <v/>
      </c>
    </row>
    <row r="194" spans="1:27" x14ac:dyDescent="0.25">
      <c r="A194" s="160"/>
      <c r="B194" s="160"/>
      <c r="C194" s="160"/>
      <c r="D194" s="160"/>
      <c r="E194" s="160"/>
      <c r="F194" s="167" t="str">
        <f t="shared" si="6"/>
        <v/>
      </c>
      <c r="L194" s="164"/>
      <c r="M194" s="164"/>
      <c r="N194" s="169"/>
      <c r="O194" s="164"/>
      <c r="P194" s="164"/>
      <c r="Q194" s="164"/>
      <c r="R194" s="164"/>
      <c r="S194" s="518"/>
      <c r="T194" s="165" t="str">
        <f t="shared" si="9"/>
        <v/>
      </c>
      <c r="U194" s="160"/>
      <c r="V194" s="160"/>
      <c r="W194" s="165" cm="1">
        <f t="array" ref="W194">IFERROR(INDEX($A$3:$F$345,MATCH(U194&amp;R194,$A$3:$A$345&amp;$E$3:$E$345,0),2),"")</f>
        <v>0</v>
      </c>
      <c r="X194" s="165" cm="1">
        <f t="array" ref="X194">IFERROR(INDEX($A$3:$F$345,MATCH(V194&amp;R194,$A$3:$A$345&amp;$E$3:$E$345,0),2),"")</f>
        <v>0</v>
      </c>
      <c r="Y194" s="165" cm="1">
        <f t="array" ref="Y194">IFERROR(INDEX($A$3:$F$345,MATCH(U194&amp;R194,$A$3:$A$345&amp;$E$3:$E$345,0),4),"")</f>
        <v>0</v>
      </c>
      <c r="Z194" s="165" cm="1">
        <f t="array" ref="Z194">IFERROR(INDEX($A$3:$F$345,MATCH(V194&amp;R194,$A$3:$A$345&amp;$E$3:$E$345,0),4),"")</f>
        <v>0</v>
      </c>
      <c r="AA194" s="165" t="str">
        <f t="shared" si="8"/>
        <v/>
      </c>
    </row>
    <row r="195" spans="1:27" x14ac:dyDescent="0.25">
      <c r="A195" s="160"/>
      <c r="B195" s="160"/>
      <c r="C195" s="160"/>
      <c r="D195" s="160"/>
      <c r="E195" s="160"/>
      <c r="F195" s="167" t="str">
        <f t="shared" ref="F195:F258" si="10">IF(AND(LEFT(A195,4)&lt;&gt;"PV",LEFT(A195,4)&lt;&gt;"CX"),IF(LEFT(A195,1)="R",RIGHT(LEFT(A195,3),4),IF(LEFT(A195,1)="I",RIGHT(LEFT(A195,4),3),LEFT(A195,3))))</f>
        <v/>
      </c>
      <c r="L195" s="164"/>
      <c r="M195" s="164"/>
      <c r="N195" s="169"/>
      <c r="O195" s="164"/>
      <c r="P195" s="164"/>
      <c r="Q195" s="164"/>
      <c r="R195" s="164"/>
      <c r="S195" s="518"/>
      <c r="T195" s="165" t="str">
        <f t="shared" si="9"/>
        <v/>
      </c>
      <c r="U195" s="160"/>
      <c r="V195" s="160"/>
      <c r="W195" s="165" cm="1">
        <f t="array" ref="W195">IFERROR(INDEX($A$3:$F$345,MATCH(U195&amp;R195,$A$3:$A$345&amp;$E$3:$E$345,0),2),"")</f>
        <v>0</v>
      </c>
      <c r="X195" s="165" cm="1">
        <f t="array" ref="X195">IFERROR(INDEX($A$3:$F$345,MATCH(V195&amp;R195,$A$3:$A$345&amp;$E$3:$E$345,0),2),"")</f>
        <v>0</v>
      </c>
      <c r="Y195" s="165" cm="1">
        <f t="array" ref="Y195">IFERROR(INDEX($A$3:$F$345,MATCH(U195&amp;R195,$A$3:$A$345&amp;$E$3:$E$345,0),4),"")</f>
        <v>0</v>
      </c>
      <c r="Z195" s="165" cm="1">
        <f t="array" ref="Z195">IFERROR(INDEX($A$3:$F$345,MATCH(V195&amp;R195,$A$3:$A$345&amp;$E$3:$E$345,0),4),"")</f>
        <v>0</v>
      </c>
      <c r="AA195" s="165" t="str">
        <f t="shared" ref="AA195:AA258" si="11">IFERROR((IF(LEFT(U195,1)="R",RIGHT(LEFT(U195,3),2),LEFT(U195,2))),"")</f>
        <v/>
      </c>
    </row>
    <row r="196" spans="1:27" x14ac:dyDescent="0.25">
      <c r="A196" s="160"/>
      <c r="B196" s="160"/>
      <c r="C196" s="160"/>
      <c r="D196" s="160"/>
      <c r="E196" s="160"/>
      <c r="F196" s="167" t="str">
        <f t="shared" si="10"/>
        <v/>
      </c>
      <c r="L196" s="164"/>
      <c r="M196" s="164"/>
      <c r="N196" s="169"/>
      <c r="O196" s="164"/>
      <c r="P196" s="164"/>
      <c r="Q196" s="164"/>
      <c r="R196" s="164"/>
      <c r="S196" s="518"/>
      <c r="T196" s="165" t="str">
        <f t="shared" si="9"/>
        <v/>
      </c>
      <c r="U196" s="160"/>
      <c r="V196" s="160"/>
      <c r="W196" s="165" cm="1">
        <f t="array" ref="W196">IFERROR(INDEX($A$3:$F$345,MATCH(U196&amp;R196,$A$3:$A$345&amp;$E$3:$E$345,0),2),"")</f>
        <v>0</v>
      </c>
      <c r="X196" s="165" cm="1">
        <f t="array" ref="X196">IFERROR(INDEX($A$3:$F$345,MATCH(V196&amp;R196,$A$3:$A$345&amp;$E$3:$E$345,0),2),"")</f>
        <v>0</v>
      </c>
      <c r="Y196" s="165" cm="1">
        <f t="array" ref="Y196">IFERROR(INDEX($A$3:$F$345,MATCH(U196&amp;R196,$A$3:$A$345&amp;$E$3:$E$345,0),4),"")</f>
        <v>0</v>
      </c>
      <c r="Z196" s="165" cm="1">
        <f t="array" ref="Z196">IFERROR(INDEX($A$3:$F$345,MATCH(V196&amp;R196,$A$3:$A$345&amp;$E$3:$E$345,0),4),"")</f>
        <v>0</v>
      </c>
      <c r="AA196" s="165" t="str">
        <f t="shared" si="11"/>
        <v/>
      </c>
    </row>
    <row r="197" spans="1:27" x14ac:dyDescent="0.25">
      <c r="A197" s="160"/>
      <c r="B197" s="160"/>
      <c r="C197" s="160"/>
      <c r="D197" s="160"/>
      <c r="E197" s="160"/>
      <c r="F197" s="167" t="str">
        <f t="shared" si="10"/>
        <v/>
      </c>
      <c r="L197" s="164"/>
      <c r="M197" s="164"/>
      <c r="N197" s="169"/>
      <c r="O197" s="164"/>
      <c r="P197" s="164"/>
      <c r="Q197" s="164"/>
      <c r="R197" s="164"/>
      <c r="S197" s="518"/>
      <c r="T197" s="165" t="str">
        <f t="shared" si="9"/>
        <v/>
      </c>
      <c r="U197" s="160"/>
      <c r="V197" s="160"/>
      <c r="W197" s="165" cm="1">
        <f t="array" ref="W197">IFERROR(INDEX($A$3:$F$345,MATCH(U197&amp;R197,$A$3:$A$345&amp;$E$3:$E$345,0),2),"")</f>
        <v>0</v>
      </c>
      <c r="X197" s="165" cm="1">
        <f t="array" ref="X197">IFERROR(INDEX($A$3:$F$345,MATCH(V197&amp;R197,$A$3:$A$345&amp;$E$3:$E$345,0),2),"")</f>
        <v>0</v>
      </c>
      <c r="Y197" s="165" cm="1">
        <f t="array" ref="Y197">IFERROR(INDEX($A$3:$F$345,MATCH(U197&amp;R197,$A$3:$A$345&amp;$E$3:$E$345,0),4),"")</f>
        <v>0</v>
      </c>
      <c r="Z197" s="165" cm="1">
        <f t="array" ref="Z197">IFERROR(INDEX($A$3:$F$345,MATCH(V197&amp;R197,$A$3:$A$345&amp;$E$3:$E$345,0),4),"")</f>
        <v>0</v>
      </c>
      <c r="AA197" s="165" t="str">
        <f t="shared" si="11"/>
        <v/>
      </c>
    </row>
    <row r="198" spans="1:27" x14ac:dyDescent="0.25">
      <c r="A198" s="160"/>
      <c r="B198" s="160"/>
      <c r="C198" s="160"/>
      <c r="D198" s="160"/>
      <c r="E198" s="160"/>
      <c r="F198" s="167" t="str">
        <f t="shared" si="10"/>
        <v/>
      </c>
      <c r="L198" s="164"/>
      <c r="M198" s="164"/>
      <c r="N198" s="169"/>
      <c r="O198" s="164"/>
      <c r="P198" s="164"/>
      <c r="Q198" s="164"/>
      <c r="R198" s="164"/>
      <c r="S198" s="518"/>
      <c r="T198" s="165" t="str">
        <f t="shared" si="9"/>
        <v/>
      </c>
      <c r="U198" s="160"/>
      <c r="V198" s="160"/>
      <c r="W198" s="165" cm="1">
        <f t="array" ref="W198">IFERROR(INDEX($A$3:$F$345,MATCH(U198&amp;R198,$A$3:$A$345&amp;$E$3:$E$345,0),2),"")</f>
        <v>0</v>
      </c>
      <c r="X198" s="165" cm="1">
        <f t="array" ref="X198">IFERROR(INDEX($A$3:$F$345,MATCH(V198&amp;R198,$A$3:$A$345&amp;$E$3:$E$345,0),2),"")</f>
        <v>0</v>
      </c>
      <c r="Y198" s="165" cm="1">
        <f t="array" ref="Y198">IFERROR(INDEX($A$3:$F$345,MATCH(U198&amp;R198,$A$3:$A$345&amp;$E$3:$E$345,0),4),"")</f>
        <v>0</v>
      </c>
      <c r="Z198" s="165" cm="1">
        <f t="array" ref="Z198">IFERROR(INDEX($A$3:$F$345,MATCH(V198&amp;R198,$A$3:$A$345&amp;$E$3:$E$345,0),4),"")</f>
        <v>0</v>
      </c>
      <c r="AA198" s="165" t="str">
        <f t="shared" si="11"/>
        <v/>
      </c>
    </row>
    <row r="199" spans="1:27" x14ac:dyDescent="0.25">
      <c r="A199" s="160"/>
      <c r="B199" s="160"/>
      <c r="C199" s="160"/>
      <c r="D199" s="160"/>
      <c r="E199" s="160"/>
      <c r="F199" s="167" t="str">
        <f t="shared" si="10"/>
        <v/>
      </c>
      <c r="L199" s="164"/>
      <c r="M199" s="164"/>
      <c r="N199" s="169"/>
      <c r="O199" s="164"/>
      <c r="P199" s="164"/>
      <c r="Q199" s="164"/>
      <c r="R199" s="164"/>
      <c r="S199" s="518"/>
      <c r="T199" s="165" t="str">
        <f t="shared" si="9"/>
        <v/>
      </c>
      <c r="U199" s="160"/>
      <c r="V199" s="160"/>
      <c r="W199" s="165" cm="1">
        <f t="array" ref="W199">IFERROR(INDEX($A$3:$F$345,MATCH(U199&amp;R199,$A$3:$A$345&amp;$E$3:$E$345,0),2),"")</f>
        <v>0</v>
      </c>
      <c r="X199" s="165" cm="1">
        <f t="array" ref="X199">IFERROR(INDEX($A$3:$F$345,MATCH(V199&amp;R199,$A$3:$A$345&amp;$E$3:$E$345,0),2),"")</f>
        <v>0</v>
      </c>
      <c r="Y199" s="165" cm="1">
        <f t="array" ref="Y199">IFERROR(INDEX($A$3:$F$345,MATCH(U199&amp;R199,$A$3:$A$345&amp;$E$3:$E$345,0),4),"")</f>
        <v>0</v>
      </c>
      <c r="Z199" s="165" cm="1">
        <f t="array" ref="Z199">IFERROR(INDEX($A$3:$F$345,MATCH(V199&amp;R199,$A$3:$A$345&amp;$E$3:$E$345,0),4),"")</f>
        <v>0</v>
      </c>
      <c r="AA199" s="165" t="str">
        <f t="shared" si="11"/>
        <v/>
      </c>
    </row>
    <row r="200" spans="1:27" x14ac:dyDescent="0.25">
      <c r="A200" s="160"/>
      <c r="B200" s="160"/>
      <c r="C200" s="160"/>
      <c r="D200" s="160"/>
      <c r="E200" s="160"/>
      <c r="F200" s="167" t="str">
        <f t="shared" si="10"/>
        <v/>
      </c>
      <c r="L200" s="164"/>
      <c r="M200" s="164"/>
      <c r="N200" s="169"/>
      <c r="O200" s="164"/>
      <c r="P200" s="164"/>
      <c r="Q200" s="164"/>
      <c r="R200" s="164"/>
      <c r="S200" s="518"/>
      <c r="T200" s="165" t="str">
        <f t="shared" si="9"/>
        <v/>
      </c>
      <c r="U200" s="160"/>
      <c r="V200" s="160"/>
      <c r="W200" s="165" cm="1">
        <f t="array" ref="W200">IFERROR(INDEX($A$3:$F$345,MATCH(U200&amp;R200,$A$3:$A$345&amp;$E$3:$E$345,0),2),"")</f>
        <v>0</v>
      </c>
      <c r="X200" s="165" cm="1">
        <f t="array" ref="X200">IFERROR(INDEX($A$3:$F$345,MATCH(V200&amp;R200,$A$3:$A$345&amp;$E$3:$E$345,0),2),"")</f>
        <v>0</v>
      </c>
      <c r="Y200" s="165" cm="1">
        <f t="array" ref="Y200">IFERROR(INDEX($A$3:$F$345,MATCH(U200&amp;R200,$A$3:$A$345&amp;$E$3:$E$345,0),4),"")</f>
        <v>0</v>
      </c>
      <c r="Z200" s="165" cm="1">
        <f t="array" ref="Z200">IFERROR(INDEX($A$3:$F$345,MATCH(V200&amp;R200,$A$3:$A$345&amp;$E$3:$E$345,0),4),"")</f>
        <v>0</v>
      </c>
      <c r="AA200" s="165" t="str">
        <f t="shared" si="11"/>
        <v/>
      </c>
    </row>
    <row r="201" spans="1:27" x14ac:dyDescent="0.25">
      <c r="A201" s="160"/>
      <c r="B201" s="160"/>
      <c r="C201" s="160"/>
      <c r="D201" s="160"/>
      <c r="E201" s="160"/>
      <c r="F201" s="167" t="str">
        <f t="shared" si="10"/>
        <v/>
      </c>
      <c r="L201" s="164"/>
      <c r="M201" s="164"/>
      <c r="N201" s="169"/>
      <c r="O201" s="164"/>
      <c r="P201" s="164"/>
      <c r="Q201" s="164"/>
      <c r="R201" s="164"/>
      <c r="S201" s="518"/>
      <c r="T201" s="165" t="str">
        <f t="shared" si="9"/>
        <v/>
      </c>
      <c r="U201" s="160"/>
      <c r="V201" s="160"/>
      <c r="W201" s="165" cm="1">
        <f t="array" ref="W201">IFERROR(INDEX($A$3:$F$345,MATCH(U201&amp;R201,$A$3:$A$345&amp;$E$3:$E$345,0),2),"")</f>
        <v>0</v>
      </c>
      <c r="X201" s="165" cm="1">
        <f t="array" ref="X201">IFERROR(INDEX($A$3:$F$345,MATCH(V201&amp;R201,$A$3:$A$345&amp;$E$3:$E$345,0),2),"")</f>
        <v>0</v>
      </c>
      <c r="Y201" s="165" cm="1">
        <f t="array" ref="Y201">IFERROR(INDEX($A$3:$F$345,MATCH(U201&amp;R201,$A$3:$A$345&amp;$E$3:$E$345,0),4),"")</f>
        <v>0</v>
      </c>
      <c r="Z201" s="165" cm="1">
        <f t="array" ref="Z201">IFERROR(INDEX($A$3:$F$345,MATCH(V201&amp;R201,$A$3:$A$345&amp;$E$3:$E$345,0),4),"")</f>
        <v>0</v>
      </c>
      <c r="AA201" s="165" t="str">
        <f t="shared" si="11"/>
        <v/>
      </c>
    </row>
    <row r="202" spans="1:27" x14ac:dyDescent="0.25">
      <c r="A202" s="160"/>
      <c r="B202" s="160"/>
      <c r="C202" s="160"/>
      <c r="D202" s="160"/>
      <c r="E202" s="160"/>
      <c r="F202" s="167" t="str">
        <f t="shared" si="10"/>
        <v/>
      </c>
      <c r="L202" s="164"/>
      <c r="M202" s="164"/>
      <c r="N202" s="169"/>
      <c r="O202" s="164"/>
      <c r="P202" s="164"/>
      <c r="Q202" s="164"/>
      <c r="R202" s="164"/>
      <c r="S202" s="518"/>
      <c r="T202" s="165" t="str">
        <f t="shared" si="9"/>
        <v/>
      </c>
      <c r="U202" s="160"/>
      <c r="V202" s="160"/>
      <c r="W202" s="165" cm="1">
        <f t="array" ref="W202">IFERROR(INDEX($A$3:$F$345,MATCH(U202&amp;R202,$A$3:$A$345&amp;$E$3:$E$345,0),2),"")</f>
        <v>0</v>
      </c>
      <c r="X202" s="165" cm="1">
        <f t="array" ref="X202">IFERROR(INDEX($A$3:$F$345,MATCH(V202&amp;R202,$A$3:$A$345&amp;$E$3:$E$345,0),2),"")</f>
        <v>0</v>
      </c>
      <c r="Y202" s="165" cm="1">
        <f t="array" ref="Y202">IFERROR(INDEX($A$3:$F$345,MATCH(U202&amp;R202,$A$3:$A$345&amp;$E$3:$E$345,0),4),"")</f>
        <v>0</v>
      </c>
      <c r="Z202" s="165" cm="1">
        <f t="array" ref="Z202">IFERROR(INDEX($A$3:$F$345,MATCH(V202&amp;R202,$A$3:$A$345&amp;$E$3:$E$345,0),4),"")</f>
        <v>0</v>
      </c>
      <c r="AA202" s="165" t="str">
        <f t="shared" si="11"/>
        <v/>
      </c>
    </row>
    <row r="203" spans="1:27" x14ac:dyDescent="0.25">
      <c r="A203" s="160"/>
      <c r="B203" s="160"/>
      <c r="C203" s="160"/>
      <c r="D203" s="160"/>
      <c r="E203" s="160"/>
      <c r="F203" s="167" t="str">
        <f t="shared" si="10"/>
        <v/>
      </c>
      <c r="L203" s="164"/>
      <c r="M203" s="164"/>
      <c r="N203" s="169"/>
      <c r="O203" s="164"/>
      <c r="P203" s="164"/>
      <c r="Q203" s="164"/>
      <c r="R203" s="164"/>
      <c r="S203" s="518"/>
      <c r="T203" s="165" t="str">
        <f t="shared" si="9"/>
        <v/>
      </c>
      <c r="U203" s="160"/>
      <c r="V203" s="160"/>
      <c r="W203" s="165" cm="1">
        <f t="array" ref="W203">IFERROR(INDEX($A$3:$F$345,MATCH(U203&amp;R203,$A$3:$A$345&amp;$E$3:$E$345,0),2),"")</f>
        <v>0</v>
      </c>
      <c r="X203" s="165" cm="1">
        <f t="array" ref="X203">IFERROR(INDEX($A$3:$F$345,MATCH(V203&amp;R203,$A$3:$A$345&amp;$E$3:$E$345,0),2),"")</f>
        <v>0</v>
      </c>
      <c r="Y203" s="165" cm="1">
        <f t="array" ref="Y203">IFERROR(INDEX($A$3:$F$345,MATCH(U203&amp;R203,$A$3:$A$345&amp;$E$3:$E$345,0),4),"")</f>
        <v>0</v>
      </c>
      <c r="Z203" s="165" cm="1">
        <f t="array" ref="Z203">IFERROR(INDEX($A$3:$F$345,MATCH(V203&amp;R203,$A$3:$A$345&amp;$E$3:$E$345,0),4),"")</f>
        <v>0</v>
      </c>
      <c r="AA203" s="165" t="str">
        <f t="shared" si="11"/>
        <v/>
      </c>
    </row>
    <row r="204" spans="1:27" x14ac:dyDescent="0.25">
      <c r="A204" s="160"/>
      <c r="B204" s="160"/>
      <c r="C204" s="160"/>
      <c r="D204" s="160"/>
      <c r="E204" s="160"/>
      <c r="F204" s="167" t="str">
        <f t="shared" si="10"/>
        <v/>
      </c>
      <c r="L204" s="164"/>
      <c r="M204" s="164"/>
      <c r="N204" s="169"/>
      <c r="O204" s="164"/>
      <c r="P204" s="164"/>
      <c r="Q204" s="164"/>
      <c r="R204" s="164"/>
      <c r="S204" s="518"/>
      <c r="T204" s="165" t="str">
        <f t="shared" si="9"/>
        <v/>
      </c>
      <c r="U204" s="160"/>
      <c r="V204" s="160"/>
      <c r="W204" s="165" cm="1">
        <f t="array" ref="W204">IFERROR(INDEX($A$3:$F$345,MATCH(U204&amp;R204,$A$3:$A$345&amp;$E$3:$E$345,0),2),"")</f>
        <v>0</v>
      </c>
      <c r="X204" s="165" cm="1">
        <f t="array" ref="X204">IFERROR(INDEX($A$3:$F$345,MATCH(V204&amp;R204,$A$3:$A$345&amp;$E$3:$E$345,0),2),"")</f>
        <v>0</v>
      </c>
      <c r="Y204" s="165" cm="1">
        <f t="array" ref="Y204">IFERROR(INDEX($A$3:$F$345,MATCH(U204&amp;R204,$A$3:$A$345&amp;$E$3:$E$345,0),4),"")</f>
        <v>0</v>
      </c>
      <c r="Z204" s="165" cm="1">
        <f t="array" ref="Z204">IFERROR(INDEX($A$3:$F$345,MATCH(V204&amp;R204,$A$3:$A$345&amp;$E$3:$E$345,0),4),"")</f>
        <v>0</v>
      </c>
      <c r="AA204" s="165" t="str">
        <f t="shared" si="11"/>
        <v/>
      </c>
    </row>
    <row r="205" spans="1:27" x14ac:dyDescent="0.25">
      <c r="A205" s="160"/>
      <c r="B205" s="160"/>
      <c r="C205" s="160"/>
      <c r="D205" s="160"/>
      <c r="E205" s="160"/>
      <c r="F205" s="167" t="str">
        <f t="shared" si="10"/>
        <v/>
      </c>
      <c r="L205" s="164"/>
      <c r="M205" s="164"/>
      <c r="N205" s="169"/>
      <c r="O205" s="164"/>
      <c r="P205" s="164"/>
      <c r="Q205" s="164"/>
      <c r="R205" s="164"/>
      <c r="S205" s="518"/>
      <c r="T205" s="165" t="str">
        <f t="shared" si="9"/>
        <v/>
      </c>
      <c r="U205" s="160"/>
      <c r="V205" s="160"/>
      <c r="W205" s="165" cm="1">
        <f t="array" ref="W205">IFERROR(INDEX($A$3:$F$345,MATCH(U205&amp;R205,$A$3:$A$345&amp;$E$3:$E$345,0),2),"")</f>
        <v>0</v>
      </c>
      <c r="X205" s="165" cm="1">
        <f t="array" ref="X205">IFERROR(INDEX($A$3:$F$345,MATCH(V205&amp;R205,$A$3:$A$345&amp;$E$3:$E$345,0),2),"")</f>
        <v>0</v>
      </c>
      <c r="Y205" s="165" cm="1">
        <f t="array" ref="Y205">IFERROR(INDEX($A$3:$F$345,MATCH(U205&amp;R205,$A$3:$A$345&amp;$E$3:$E$345,0),4),"")</f>
        <v>0</v>
      </c>
      <c r="Z205" s="165" cm="1">
        <f t="array" ref="Z205">IFERROR(INDEX($A$3:$F$345,MATCH(V205&amp;R205,$A$3:$A$345&amp;$E$3:$E$345,0),4),"")</f>
        <v>0</v>
      </c>
      <c r="AA205" s="165" t="str">
        <f t="shared" si="11"/>
        <v/>
      </c>
    </row>
    <row r="206" spans="1:27" x14ac:dyDescent="0.25">
      <c r="A206" s="160"/>
      <c r="B206" s="160"/>
      <c r="C206" s="160"/>
      <c r="D206" s="160"/>
      <c r="E206" s="160"/>
      <c r="F206" s="167" t="str">
        <f t="shared" si="10"/>
        <v/>
      </c>
      <c r="L206" s="164"/>
      <c r="M206" s="164"/>
      <c r="N206" s="169"/>
      <c r="O206" s="164"/>
      <c r="P206" s="164"/>
      <c r="Q206" s="164"/>
      <c r="R206" s="164"/>
      <c r="S206" s="518"/>
      <c r="T206" s="165" t="str">
        <f t="shared" si="9"/>
        <v/>
      </c>
      <c r="U206" s="160"/>
      <c r="V206" s="160"/>
      <c r="W206" s="165" cm="1">
        <f t="array" ref="W206">IFERROR(INDEX($A$3:$F$345,MATCH(U206&amp;R206,$A$3:$A$345&amp;$E$3:$E$345,0),2),"")</f>
        <v>0</v>
      </c>
      <c r="X206" s="165" cm="1">
        <f t="array" ref="X206">IFERROR(INDEX($A$3:$F$345,MATCH(V206&amp;R206,$A$3:$A$345&amp;$E$3:$E$345,0),2),"")</f>
        <v>0</v>
      </c>
      <c r="Y206" s="165" cm="1">
        <f t="array" ref="Y206">IFERROR(INDEX($A$3:$F$345,MATCH(U206&amp;R206,$A$3:$A$345&amp;$E$3:$E$345,0),4),"")</f>
        <v>0</v>
      </c>
      <c r="Z206" s="165" cm="1">
        <f t="array" ref="Z206">IFERROR(INDEX($A$3:$F$345,MATCH(V206&amp;R206,$A$3:$A$345&amp;$E$3:$E$345,0),4),"")</f>
        <v>0</v>
      </c>
      <c r="AA206" s="165" t="str">
        <f t="shared" si="11"/>
        <v/>
      </c>
    </row>
    <row r="207" spans="1:27" x14ac:dyDescent="0.25">
      <c r="A207" s="160"/>
      <c r="B207" s="160"/>
      <c r="C207" s="160"/>
      <c r="D207" s="160"/>
      <c r="E207" s="160"/>
      <c r="F207" s="167" t="str">
        <f t="shared" si="10"/>
        <v/>
      </c>
      <c r="L207" s="164"/>
      <c r="M207" s="164"/>
      <c r="N207" s="169"/>
      <c r="O207" s="164"/>
      <c r="P207" s="164"/>
      <c r="Q207" s="164"/>
      <c r="R207" s="164"/>
      <c r="S207" s="518"/>
      <c r="T207" s="165" t="str">
        <f t="shared" si="9"/>
        <v/>
      </c>
      <c r="U207" s="160"/>
      <c r="V207" s="160"/>
      <c r="W207" s="165" cm="1">
        <f t="array" ref="W207">IFERROR(INDEX($A$3:$F$345,MATCH(U207&amp;R207,$A$3:$A$345&amp;$E$3:$E$345,0),2),"")</f>
        <v>0</v>
      </c>
      <c r="X207" s="165" cm="1">
        <f t="array" ref="X207">IFERROR(INDEX($A$3:$F$345,MATCH(V207&amp;R207,$A$3:$A$345&amp;$E$3:$E$345,0),2),"")</f>
        <v>0</v>
      </c>
      <c r="Y207" s="165" cm="1">
        <f t="array" ref="Y207">IFERROR(INDEX($A$3:$F$345,MATCH(U207&amp;R207,$A$3:$A$345&amp;$E$3:$E$345,0),4),"")</f>
        <v>0</v>
      </c>
      <c r="Z207" s="165" cm="1">
        <f t="array" ref="Z207">IFERROR(INDEX($A$3:$F$345,MATCH(V207&amp;R207,$A$3:$A$345&amp;$E$3:$E$345,0),4),"")</f>
        <v>0</v>
      </c>
      <c r="AA207" s="165" t="str">
        <f t="shared" si="11"/>
        <v/>
      </c>
    </row>
    <row r="208" spans="1:27" x14ac:dyDescent="0.25">
      <c r="A208" s="160"/>
      <c r="B208" s="160"/>
      <c r="C208" s="160"/>
      <c r="D208" s="160"/>
      <c r="E208" s="160"/>
      <c r="F208" s="167" t="str">
        <f t="shared" si="10"/>
        <v/>
      </c>
      <c r="L208" s="164"/>
      <c r="M208" s="164"/>
      <c r="N208" s="169"/>
      <c r="O208" s="164"/>
      <c r="P208" s="164"/>
      <c r="Q208" s="164"/>
      <c r="R208" s="164"/>
      <c r="S208" s="518"/>
      <c r="T208" s="165" t="str">
        <f t="shared" si="9"/>
        <v/>
      </c>
      <c r="U208" s="160"/>
      <c r="V208" s="160"/>
      <c r="W208" s="165" cm="1">
        <f t="array" ref="W208">IFERROR(INDEX($A$3:$F$345,MATCH(U208&amp;R208,$A$3:$A$345&amp;$E$3:$E$345,0),2),"")</f>
        <v>0</v>
      </c>
      <c r="X208" s="165" cm="1">
        <f t="array" ref="X208">IFERROR(INDEX($A$3:$F$345,MATCH(V208&amp;R208,$A$3:$A$345&amp;$E$3:$E$345,0),2),"")</f>
        <v>0</v>
      </c>
      <c r="Y208" s="165" cm="1">
        <f t="array" ref="Y208">IFERROR(INDEX($A$3:$F$345,MATCH(U208&amp;R208,$A$3:$A$345&amp;$E$3:$E$345,0),4),"")</f>
        <v>0</v>
      </c>
      <c r="Z208" s="165" cm="1">
        <f t="array" ref="Z208">IFERROR(INDEX($A$3:$F$345,MATCH(V208&amp;R208,$A$3:$A$345&amp;$E$3:$E$345,0),4),"")</f>
        <v>0</v>
      </c>
      <c r="AA208" s="165" t="str">
        <f t="shared" si="11"/>
        <v/>
      </c>
    </row>
    <row r="209" spans="1:27" x14ac:dyDescent="0.25">
      <c r="A209" s="160"/>
      <c r="B209" s="160"/>
      <c r="C209" s="160"/>
      <c r="D209" s="160"/>
      <c r="E209" s="160"/>
      <c r="F209" s="167" t="str">
        <f t="shared" si="10"/>
        <v/>
      </c>
      <c r="L209" s="164"/>
      <c r="M209" s="164"/>
      <c r="N209" s="169"/>
      <c r="O209" s="164"/>
      <c r="P209" s="164"/>
      <c r="Q209" s="164"/>
      <c r="R209" s="164"/>
      <c r="S209" s="518"/>
      <c r="T209" s="165" t="str">
        <f t="shared" si="9"/>
        <v/>
      </c>
      <c r="U209" s="160"/>
      <c r="V209" s="160"/>
      <c r="W209" s="165" cm="1">
        <f t="array" ref="W209">IFERROR(INDEX($A$3:$F$345,MATCH(U209&amp;R209,$A$3:$A$345&amp;$E$3:$E$345,0),2),"")</f>
        <v>0</v>
      </c>
      <c r="X209" s="165" cm="1">
        <f t="array" ref="X209">IFERROR(INDEX($A$3:$F$345,MATCH(V209&amp;R209,$A$3:$A$345&amp;$E$3:$E$345,0),2),"")</f>
        <v>0</v>
      </c>
      <c r="Y209" s="165" cm="1">
        <f t="array" ref="Y209">IFERROR(INDEX($A$3:$F$345,MATCH(U209&amp;R209,$A$3:$A$345&amp;$E$3:$E$345,0),4),"")</f>
        <v>0</v>
      </c>
      <c r="Z209" s="165" cm="1">
        <f t="array" ref="Z209">IFERROR(INDEX($A$3:$F$345,MATCH(V209&amp;R209,$A$3:$A$345&amp;$E$3:$E$345,0),4),"")</f>
        <v>0</v>
      </c>
      <c r="AA209" s="165" t="str">
        <f t="shared" si="11"/>
        <v/>
      </c>
    </row>
    <row r="210" spans="1:27" x14ac:dyDescent="0.25">
      <c r="A210" s="160"/>
      <c r="B210" s="160"/>
      <c r="C210" s="160"/>
      <c r="D210" s="160"/>
      <c r="E210" s="160"/>
      <c r="F210" s="167" t="str">
        <f t="shared" si="10"/>
        <v/>
      </c>
      <c r="L210" s="164"/>
      <c r="M210" s="164"/>
      <c r="N210" s="169"/>
      <c r="O210" s="164"/>
      <c r="P210" s="164"/>
      <c r="Q210" s="164"/>
      <c r="R210" s="164"/>
      <c r="S210" s="518"/>
      <c r="T210" s="165" t="str">
        <f t="shared" si="9"/>
        <v/>
      </c>
      <c r="U210" s="160"/>
      <c r="V210" s="160"/>
      <c r="W210" s="165" cm="1">
        <f t="array" ref="W210">IFERROR(INDEX($A$3:$F$345,MATCH(U210&amp;R210,$A$3:$A$345&amp;$E$3:$E$345,0),2),"")</f>
        <v>0</v>
      </c>
      <c r="X210" s="165" cm="1">
        <f t="array" ref="X210">IFERROR(INDEX($A$3:$F$345,MATCH(V210&amp;R210,$A$3:$A$345&amp;$E$3:$E$345,0),2),"")</f>
        <v>0</v>
      </c>
      <c r="Y210" s="165" cm="1">
        <f t="array" ref="Y210">IFERROR(INDEX($A$3:$F$345,MATCH(U210&amp;R210,$A$3:$A$345&amp;$E$3:$E$345,0),4),"")</f>
        <v>0</v>
      </c>
      <c r="Z210" s="165" cm="1">
        <f t="array" ref="Z210">IFERROR(INDEX($A$3:$F$345,MATCH(V210&amp;R210,$A$3:$A$345&amp;$E$3:$E$345,0),4),"")</f>
        <v>0</v>
      </c>
      <c r="AA210" s="165" t="str">
        <f t="shared" si="11"/>
        <v/>
      </c>
    </row>
    <row r="211" spans="1:27" x14ac:dyDescent="0.25">
      <c r="A211" s="160"/>
      <c r="B211" s="160"/>
      <c r="C211" s="160"/>
      <c r="D211" s="160"/>
      <c r="E211" s="160"/>
      <c r="F211" s="167" t="str">
        <f t="shared" si="10"/>
        <v/>
      </c>
      <c r="L211" s="164"/>
      <c r="M211" s="164"/>
      <c r="N211" s="169"/>
      <c r="O211" s="164"/>
      <c r="P211" s="164"/>
      <c r="Q211" s="164"/>
      <c r="R211" s="164"/>
      <c r="S211" s="518"/>
      <c r="T211" s="165" t="str">
        <f t="shared" si="9"/>
        <v/>
      </c>
      <c r="U211" s="160"/>
      <c r="V211" s="160"/>
      <c r="W211" s="165" cm="1">
        <f t="array" ref="W211">IFERROR(INDEX($A$3:$F$345,MATCH(U211&amp;R211,$A$3:$A$345&amp;$E$3:$E$345,0),2),"")</f>
        <v>0</v>
      </c>
      <c r="X211" s="165" cm="1">
        <f t="array" ref="X211">IFERROR(INDEX($A$3:$F$345,MATCH(V211&amp;R211,$A$3:$A$345&amp;$E$3:$E$345,0),2),"")</f>
        <v>0</v>
      </c>
      <c r="Y211" s="165" cm="1">
        <f t="array" ref="Y211">IFERROR(INDEX($A$3:$F$345,MATCH(U211&amp;R211,$A$3:$A$345&amp;$E$3:$E$345,0),4),"")</f>
        <v>0</v>
      </c>
      <c r="Z211" s="165" cm="1">
        <f t="array" ref="Z211">IFERROR(INDEX($A$3:$F$345,MATCH(V211&amp;R211,$A$3:$A$345&amp;$E$3:$E$345,0),4),"")</f>
        <v>0</v>
      </c>
      <c r="AA211" s="165" t="str">
        <f t="shared" si="11"/>
        <v/>
      </c>
    </row>
    <row r="212" spans="1:27" x14ac:dyDescent="0.25">
      <c r="A212" s="160"/>
      <c r="B212" s="160"/>
      <c r="C212" s="160"/>
      <c r="D212" s="160"/>
      <c r="E212" s="160"/>
      <c r="F212" s="167" t="str">
        <f t="shared" si="10"/>
        <v/>
      </c>
      <c r="L212" s="164"/>
      <c r="M212" s="164"/>
      <c r="N212" s="169"/>
      <c r="O212" s="164"/>
      <c r="P212" s="164"/>
      <c r="Q212" s="164"/>
      <c r="R212" s="164"/>
      <c r="S212" s="518"/>
      <c r="T212" s="165" t="str">
        <f t="shared" si="9"/>
        <v/>
      </c>
      <c r="U212" s="160"/>
      <c r="V212" s="160"/>
      <c r="W212" s="165" cm="1">
        <f t="array" ref="W212">IFERROR(INDEX($A$3:$F$345,MATCH(U212&amp;R212,$A$3:$A$345&amp;$E$3:$E$345,0),2),"")</f>
        <v>0</v>
      </c>
      <c r="X212" s="165" cm="1">
        <f t="array" ref="X212">IFERROR(INDEX($A$3:$F$345,MATCH(V212&amp;R212,$A$3:$A$345&amp;$E$3:$E$345,0),2),"")</f>
        <v>0</v>
      </c>
      <c r="Y212" s="165" cm="1">
        <f t="array" ref="Y212">IFERROR(INDEX($A$3:$F$345,MATCH(U212&amp;R212,$A$3:$A$345&amp;$E$3:$E$345,0),4),"")</f>
        <v>0</v>
      </c>
      <c r="Z212" s="165" cm="1">
        <f t="array" ref="Z212">IFERROR(INDEX($A$3:$F$345,MATCH(V212&amp;R212,$A$3:$A$345&amp;$E$3:$E$345,0),4),"")</f>
        <v>0</v>
      </c>
      <c r="AA212" s="165" t="str">
        <f t="shared" si="11"/>
        <v/>
      </c>
    </row>
    <row r="213" spans="1:27" x14ac:dyDescent="0.25">
      <c r="A213" s="160"/>
      <c r="B213" s="160"/>
      <c r="C213" s="160"/>
      <c r="D213" s="160"/>
      <c r="E213" s="160"/>
      <c r="F213" s="167" t="str">
        <f t="shared" si="10"/>
        <v/>
      </c>
      <c r="L213" s="164"/>
      <c r="M213" s="164"/>
      <c r="N213" s="169"/>
      <c r="O213" s="164"/>
      <c r="P213" s="164"/>
      <c r="Q213" s="164"/>
      <c r="R213" s="164"/>
      <c r="S213" s="518"/>
      <c r="T213" s="165" t="str">
        <f t="shared" si="9"/>
        <v/>
      </c>
      <c r="U213" s="160"/>
      <c r="V213" s="160"/>
      <c r="W213" s="165" cm="1">
        <f t="array" ref="W213">IFERROR(INDEX($A$3:$F$345,MATCH(U213&amp;R213,$A$3:$A$345&amp;$E$3:$E$345,0),2),"")</f>
        <v>0</v>
      </c>
      <c r="X213" s="165" cm="1">
        <f t="array" ref="X213">IFERROR(INDEX($A$3:$F$345,MATCH(V213&amp;R213,$A$3:$A$345&amp;$E$3:$E$345,0),2),"")</f>
        <v>0</v>
      </c>
      <c r="Y213" s="165" cm="1">
        <f t="array" ref="Y213">IFERROR(INDEX($A$3:$F$345,MATCH(U213&amp;R213,$A$3:$A$345&amp;$E$3:$E$345,0),4),"")</f>
        <v>0</v>
      </c>
      <c r="Z213" s="165" cm="1">
        <f t="array" ref="Z213">IFERROR(INDEX($A$3:$F$345,MATCH(V213&amp;R213,$A$3:$A$345&amp;$E$3:$E$345,0),4),"")</f>
        <v>0</v>
      </c>
      <c r="AA213" s="165" t="str">
        <f t="shared" si="11"/>
        <v/>
      </c>
    </row>
    <row r="214" spans="1:27" x14ac:dyDescent="0.25">
      <c r="A214" s="160"/>
      <c r="B214" s="160"/>
      <c r="C214" s="160"/>
      <c r="D214" s="160"/>
      <c r="E214" s="160"/>
      <c r="F214" s="167" t="str">
        <f t="shared" si="10"/>
        <v/>
      </c>
      <c r="L214" s="164"/>
      <c r="M214" s="164"/>
      <c r="N214" s="169"/>
      <c r="O214" s="164"/>
      <c r="P214" s="164"/>
      <c r="Q214" s="164"/>
      <c r="R214" s="164"/>
      <c r="S214" s="518"/>
      <c r="T214" s="165" t="str">
        <f t="shared" si="9"/>
        <v/>
      </c>
      <c r="U214" s="160"/>
      <c r="V214" s="160"/>
      <c r="W214" s="165" cm="1">
        <f t="array" ref="W214">IFERROR(INDEX($A$3:$F$345,MATCH(U214&amp;R214,$A$3:$A$345&amp;$E$3:$E$345,0),2),"")</f>
        <v>0</v>
      </c>
      <c r="X214" s="165" cm="1">
        <f t="array" ref="X214">IFERROR(INDEX($A$3:$F$345,MATCH(V214&amp;R214,$A$3:$A$345&amp;$E$3:$E$345,0),2),"")</f>
        <v>0</v>
      </c>
      <c r="Y214" s="165" cm="1">
        <f t="array" ref="Y214">IFERROR(INDEX($A$3:$F$345,MATCH(U214&amp;R214,$A$3:$A$345&amp;$E$3:$E$345,0),4),"")</f>
        <v>0</v>
      </c>
      <c r="Z214" s="165" cm="1">
        <f t="array" ref="Z214">IFERROR(INDEX($A$3:$F$345,MATCH(V214&amp;R214,$A$3:$A$345&amp;$E$3:$E$345,0),4),"")</f>
        <v>0</v>
      </c>
      <c r="AA214" s="165" t="str">
        <f t="shared" si="11"/>
        <v/>
      </c>
    </row>
    <row r="215" spans="1:27" x14ac:dyDescent="0.25">
      <c r="A215" s="160"/>
      <c r="B215" s="160"/>
      <c r="C215" s="160"/>
      <c r="D215" s="160"/>
      <c r="E215" s="160"/>
      <c r="F215" s="167" t="str">
        <f t="shared" si="10"/>
        <v/>
      </c>
      <c r="L215" s="164"/>
      <c r="M215" s="164"/>
      <c r="N215" s="169"/>
      <c r="O215" s="164"/>
      <c r="P215" s="164"/>
      <c r="Q215" s="164"/>
      <c r="R215" s="164"/>
      <c r="S215" s="518"/>
      <c r="T215" s="165" t="str">
        <f t="shared" si="9"/>
        <v/>
      </c>
      <c r="U215" s="160"/>
      <c r="V215" s="160"/>
      <c r="W215" s="165" cm="1">
        <f t="array" ref="W215">IFERROR(INDEX($A$3:$F$345,MATCH(U215&amp;R215,$A$3:$A$345&amp;$E$3:$E$345,0),2),"")</f>
        <v>0</v>
      </c>
      <c r="X215" s="165" cm="1">
        <f t="array" ref="X215">IFERROR(INDEX($A$3:$F$345,MATCH(V215&amp;R215,$A$3:$A$345&amp;$E$3:$E$345,0),2),"")</f>
        <v>0</v>
      </c>
      <c r="Y215" s="165" cm="1">
        <f t="array" ref="Y215">IFERROR(INDEX($A$3:$F$345,MATCH(U215&amp;R215,$A$3:$A$345&amp;$E$3:$E$345,0),4),"")</f>
        <v>0</v>
      </c>
      <c r="Z215" s="165" cm="1">
        <f t="array" ref="Z215">IFERROR(INDEX($A$3:$F$345,MATCH(V215&amp;R215,$A$3:$A$345&amp;$E$3:$E$345,0),4),"")</f>
        <v>0</v>
      </c>
      <c r="AA215" s="165" t="str">
        <f t="shared" si="11"/>
        <v/>
      </c>
    </row>
    <row r="216" spans="1:27" x14ac:dyDescent="0.25">
      <c r="A216" s="160"/>
      <c r="B216" s="160"/>
      <c r="C216" s="160"/>
      <c r="D216" s="160"/>
      <c r="E216" s="160"/>
      <c r="F216" s="167" t="str">
        <f t="shared" si="10"/>
        <v/>
      </c>
      <c r="L216" s="164"/>
      <c r="M216" s="164"/>
      <c r="N216" s="169"/>
      <c r="O216" s="164"/>
      <c r="P216" s="164"/>
      <c r="Q216" s="164"/>
      <c r="R216" s="164"/>
      <c r="S216" s="518"/>
      <c r="T216" s="165" t="str">
        <f t="shared" si="9"/>
        <v/>
      </c>
      <c r="U216" s="160"/>
      <c r="V216" s="160"/>
      <c r="W216" s="165" cm="1">
        <f t="array" ref="W216">IFERROR(INDEX($A$3:$F$345,MATCH(U216&amp;R216,$A$3:$A$345&amp;$E$3:$E$345,0),2),"")</f>
        <v>0</v>
      </c>
      <c r="X216" s="165" cm="1">
        <f t="array" ref="X216">IFERROR(INDEX($A$3:$F$345,MATCH(V216&amp;R216,$A$3:$A$345&amp;$E$3:$E$345,0),2),"")</f>
        <v>0</v>
      </c>
      <c r="Y216" s="165" cm="1">
        <f t="array" ref="Y216">IFERROR(INDEX($A$3:$F$345,MATCH(U216&amp;R216,$A$3:$A$345&amp;$E$3:$E$345,0),4),"")</f>
        <v>0</v>
      </c>
      <c r="Z216" s="165" cm="1">
        <f t="array" ref="Z216">IFERROR(INDEX($A$3:$F$345,MATCH(V216&amp;R216,$A$3:$A$345&amp;$E$3:$E$345,0),4),"")</f>
        <v>0</v>
      </c>
      <c r="AA216" s="165" t="str">
        <f t="shared" si="11"/>
        <v/>
      </c>
    </row>
    <row r="217" spans="1:27" x14ac:dyDescent="0.25">
      <c r="A217" s="160"/>
      <c r="B217" s="160"/>
      <c r="C217" s="160"/>
      <c r="D217" s="160"/>
      <c r="E217" s="160"/>
      <c r="F217" s="167" t="str">
        <f t="shared" si="10"/>
        <v/>
      </c>
      <c r="L217" s="164"/>
      <c r="M217" s="164"/>
      <c r="N217" s="169"/>
      <c r="O217" s="164"/>
      <c r="P217" s="164"/>
      <c r="Q217" s="164"/>
      <c r="R217" s="164"/>
      <c r="S217" s="518"/>
      <c r="T217" s="165" t="str">
        <f t="shared" si="9"/>
        <v/>
      </c>
      <c r="U217" s="160"/>
      <c r="V217" s="160"/>
      <c r="W217" s="165" cm="1">
        <f t="array" ref="W217">IFERROR(INDEX($A$3:$F$345,MATCH(U217&amp;R217,$A$3:$A$345&amp;$E$3:$E$345,0),2),"")</f>
        <v>0</v>
      </c>
      <c r="X217" s="165" cm="1">
        <f t="array" ref="X217">IFERROR(INDEX($A$3:$F$345,MATCH(V217&amp;R217,$A$3:$A$345&amp;$E$3:$E$345,0),2),"")</f>
        <v>0</v>
      </c>
      <c r="Y217" s="165" cm="1">
        <f t="array" ref="Y217">IFERROR(INDEX($A$3:$F$345,MATCH(U217&amp;R217,$A$3:$A$345&amp;$E$3:$E$345,0),4),"")</f>
        <v>0</v>
      </c>
      <c r="Z217" s="165" cm="1">
        <f t="array" ref="Z217">IFERROR(INDEX($A$3:$F$345,MATCH(V217&amp;R217,$A$3:$A$345&amp;$E$3:$E$345,0),4),"")</f>
        <v>0</v>
      </c>
      <c r="AA217" s="165" t="str">
        <f t="shared" si="11"/>
        <v/>
      </c>
    </row>
    <row r="218" spans="1:27" x14ac:dyDescent="0.25">
      <c r="A218" s="160"/>
      <c r="B218" s="160"/>
      <c r="C218" s="160"/>
      <c r="D218" s="160"/>
      <c r="E218" s="160"/>
      <c r="F218" s="167" t="str">
        <f t="shared" si="10"/>
        <v/>
      </c>
      <c r="L218" s="164"/>
      <c r="M218" s="164"/>
      <c r="N218" s="169"/>
      <c r="O218" s="164"/>
      <c r="P218" s="164"/>
      <c r="Q218" s="164"/>
      <c r="R218" s="164"/>
      <c r="S218" s="518"/>
      <c r="T218" s="165" t="str">
        <f t="shared" si="9"/>
        <v/>
      </c>
      <c r="U218" s="160"/>
      <c r="V218" s="160"/>
      <c r="W218" s="165" cm="1">
        <f t="array" ref="W218">IFERROR(INDEX($A$3:$F$345,MATCH(U218&amp;R218,$A$3:$A$345&amp;$E$3:$E$345,0),2),"")</f>
        <v>0</v>
      </c>
      <c r="X218" s="165" cm="1">
        <f t="array" ref="X218">IFERROR(INDEX($A$3:$F$345,MATCH(V218&amp;R218,$A$3:$A$345&amp;$E$3:$E$345,0),2),"")</f>
        <v>0</v>
      </c>
      <c r="Y218" s="165" cm="1">
        <f t="array" ref="Y218">IFERROR(INDEX($A$3:$F$345,MATCH(U218&amp;R218,$A$3:$A$345&amp;$E$3:$E$345,0),4),"")</f>
        <v>0</v>
      </c>
      <c r="Z218" s="165" cm="1">
        <f t="array" ref="Z218">IFERROR(INDEX($A$3:$F$345,MATCH(V218&amp;R218,$A$3:$A$345&amp;$E$3:$E$345,0),4),"")</f>
        <v>0</v>
      </c>
      <c r="AA218" s="165" t="str">
        <f t="shared" si="11"/>
        <v/>
      </c>
    </row>
    <row r="219" spans="1:27" x14ac:dyDescent="0.25">
      <c r="A219" s="160"/>
      <c r="B219" s="160"/>
      <c r="C219" s="160"/>
      <c r="D219" s="160"/>
      <c r="E219" s="160"/>
      <c r="F219" s="167" t="str">
        <f t="shared" si="10"/>
        <v/>
      </c>
      <c r="L219" s="164"/>
      <c r="M219" s="164"/>
      <c r="N219" s="169"/>
      <c r="O219" s="164"/>
      <c r="P219" s="164"/>
      <c r="Q219" s="164"/>
      <c r="R219" s="164"/>
      <c r="S219" s="518"/>
      <c r="T219" s="165" t="str">
        <f t="shared" si="9"/>
        <v/>
      </c>
      <c r="U219" s="160"/>
      <c r="V219" s="160"/>
      <c r="W219" s="165" cm="1">
        <f t="array" ref="W219">IFERROR(INDEX($A$3:$F$345,MATCH(U219&amp;R219,$A$3:$A$345&amp;$E$3:$E$345,0),2),"")</f>
        <v>0</v>
      </c>
      <c r="X219" s="165" cm="1">
        <f t="array" ref="X219">IFERROR(INDEX($A$3:$F$345,MATCH(V219&amp;R219,$A$3:$A$345&amp;$E$3:$E$345,0),2),"")</f>
        <v>0</v>
      </c>
      <c r="Y219" s="165" cm="1">
        <f t="array" ref="Y219">IFERROR(INDEX($A$3:$F$345,MATCH(U219&amp;R219,$A$3:$A$345&amp;$E$3:$E$345,0),4),"")</f>
        <v>0</v>
      </c>
      <c r="Z219" s="165" cm="1">
        <f t="array" ref="Z219">IFERROR(INDEX($A$3:$F$345,MATCH(V219&amp;R219,$A$3:$A$345&amp;$E$3:$E$345,0),4),"")</f>
        <v>0</v>
      </c>
      <c r="AA219" s="165" t="str">
        <f t="shared" si="11"/>
        <v/>
      </c>
    </row>
    <row r="220" spans="1:27" x14ac:dyDescent="0.25">
      <c r="A220" s="160"/>
      <c r="B220" s="160"/>
      <c r="C220" s="160"/>
      <c r="D220" s="160"/>
      <c r="E220" s="160"/>
      <c r="F220" s="167" t="str">
        <f t="shared" si="10"/>
        <v/>
      </c>
      <c r="L220" s="164"/>
      <c r="M220" s="164"/>
      <c r="N220" s="169"/>
      <c r="O220" s="164"/>
      <c r="P220" s="164"/>
      <c r="Q220" s="164"/>
      <c r="R220" s="164"/>
      <c r="S220" s="518"/>
      <c r="T220" s="165" t="str">
        <f t="shared" si="9"/>
        <v/>
      </c>
      <c r="U220" s="160"/>
      <c r="V220" s="160"/>
      <c r="W220" s="165" cm="1">
        <f t="array" ref="W220">IFERROR(INDEX($A$3:$F$345,MATCH(U220&amp;R220,$A$3:$A$345&amp;$E$3:$E$345,0),2),"")</f>
        <v>0</v>
      </c>
      <c r="X220" s="165" cm="1">
        <f t="array" ref="X220">IFERROR(INDEX($A$3:$F$345,MATCH(V220&amp;R220,$A$3:$A$345&amp;$E$3:$E$345,0),2),"")</f>
        <v>0</v>
      </c>
      <c r="Y220" s="165" cm="1">
        <f t="array" ref="Y220">IFERROR(INDEX($A$3:$F$345,MATCH(U220&amp;R220,$A$3:$A$345&amp;$E$3:$E$345,0),4),"")</f>
        <v>0</v>
      </c>
      <c r="Z220" s="165" cm="1">
        <f t="array" ref="Z220">IFERROR(INDEX($A$3:$F$345,MATCH(V220&amp;R220,$A$3:$A$345&amp;$E$3:$E$345,0),4),"")</f>
        <v>0</v>
      </c>
      <c r="AA220" s="165" t="str">
        <f t="shared" si="11"/>
        <v/>
      </c>
    </row>
    <row r="221" spans="1:27" x14ac:dyDescent="0.25">
      <c r="A221" s="160"/>
      <c r="B221" s="160"/>
      <c r="C221" s="160"/>
      <c r="D221" s="160"/>
      <c r="E221" s="160"/>
      <c r="F221" s="167" t="str">
        <f t="shared" si="10"/>
        <v/>
      </c>
      <c r="L221" s="164"/>
      <c r="M221" s="164"/>
      <c r="N221" s="169"/>
      <c r="O221" s="164"/>
      <c r="P221" s="164"/>
      <c r="Q221" s="164"/>
      <c r="R221" s="164"/>
      <c r="S221" s="518"/>
      <c r="T221" s="165" t="str">
        <f t="shared" si="9"/>
        <v/>
      </c>
      <c r="U221" s="160"/>
      <c r="V221" s="160"/>
      <c r="W221" s="165" cm="1">
        <f t="array" ref="W221">IFERROR(INDEX($A$3:$F$345,MATCH(U221&amp;R221,$A$3:$A$345&amp;$E$3:$E$345,0),2),"")</f>
        <v>0</v>
      </c>
      <c r="X221" s="165" cm="1">
        <f t="array" ref="X221">IFERROR(INDEX($A$3:$F$345,MATCH(V221&amp;R221,$A$3:$A$345&amp;$E$3:$E$345,0),2),"")</f>
        <v>0</v>
      </c>
      <c r="Y221" s="165" cm="1">
        <f t="array" ref="Y221">IFERROR(INDEX($A$3:$F$345,MATCH(U221&amp;R221,$A$3:$A$345&amp;$E$3:$E$345,0),4),"")</f>
        <v>0</v>
      </c>
      <c r="Z221" s="165" cm="1">
        <f t="array" ref="Z221">IFERROR(INDEX($A$3:$F$345,MATCH(V221&amp;R221,$A$3:$A$345&amp;$E$3:$E$345,0),4),"")</f>
        <v>0</v>
      </c>
      <c r="AA221" s="165" t="str">
        <f t="shared" si="11"/>
        <v/>
      </c>
    </row>
    <row r="222" spans="1:27" x14ac:dyDescent="0.25">
      <c r="A222" s="160"/>
      <c r="B222" s="160"/>
      <c r="C222" s="160"/>
      <c r="D222" s="160"/>
      <c r="E222" s="160"/>
      <c r="F222" s="167" t="str">
        <f t="shared" si="10"/>
        <v/>
      </c>
      <c r="L222" s="164"/>
      <c r="M222" s="164"/>
      <c r="N222" s="169"/>
      <c r="O222" s="164"/>
      <c r="P222" s="164"/>
      <c r="Q222" s="164"/>
      <c r="R222" s="164"/>
      <c r="S222" s="518"/>
      <c r="T222" s="165" t="str">
        <f t="shared" si="9"/>
        <v/>
      </c>
      <c r="U222" s="160"/>
      <c r="V222" s="160"/>
      <c r="W222" s="165" cm="1">
        <f t="array" ref="W222">IFERROR(INDEX($A$3:$F$345,MATCH(U222&amp;R222,$A$3:$A$345&amp;$E$3:$E$345,0),2),"")</f>
        <v>0</v>
      </c>
      <c r="X222" s="165" cm="1">
        <f t="array" ref="X222">IFERROR(INDEX($A$3:$F$345,MATCH(V222&amp;R222,$A$3:$A$345&amp;$E$3:$E$345,0),2),"")</f>
        <v>0</v>
      </c>
      <c r="Y222" s="165" cm="1">
        <f t="array" ref="Y222">IFERROR(INDEX($A$3:$F$345,MATCH(U222&amp;R222,$A$3:$A$345&amp;$E$3:$E$345,0),4),"")</f>
        <v>0</v>
      </c>
      <c r="Z222" s="165" cm="1">
        <f t="array" ref="Z222">IFERROR(INDEX($A$3:$F$345,MATCH(V222&amp;R222,$A$3:$A$345&amp;$E$3:$E$345,0),4),"")</f>
        <v>0</v>
      </c>
      <c r="AA222" s="165" t="str">
        <f t="shared" si="11"/>
        <v/>
      </c>
    </row>
    <row r="223" spans="1:27" x14ac:dyDescent="0.25">
      <c r="A223" s="160"/>
      <c r="B223" s="160"/>
      <c r="C223" s="160"/>
      <c r="D223" s="160"/>
      <c r="E223" s="160"/>
      <c r="F223" s="167" t="str">
        <f t="shared" si="10"/>
        <v/>
      </c>
      <c r="L223" s="164"/>
      <c r="M223" s="164"/>
      <c r="N223" s="169"/>
      <c r="O223" s="164"/>
      <c r="P223" s="164"/>
      <c r="Q223" s="164"/>
      <c r="R223" s="164"/>
      <c r="S223" s="518"/>
      <c r="T223" s="165" t="str">
        <f t="shared" si="9"/>
        <v/>
      </c>
      <c r="U223" s="160"/>
      <c r="V223" s="160"/>
      <c r="W223" s="165" cm="1">
        <f t="array" ref="W223">IFERROR(INDEX($A$3:$F$345,MATCH(U223&amp;R223,$A$3:$A$345&amp;$E$3:$E$345,0),2),"")</f>
        <v>0</v>
      </c>
      <c r="X223" s="165" cm="1">
        <f t="array" ref="X223">IFERROR(INDEX($A$3:$F$345,MATCH(V223&amp;R223,$A$3:$A$345&amp;$E$3:$E$345,0),2),"")</f>
        <v>0</v>
      </c>
      <c r="Y223" s="165" cm="1">
        <f t="array" ref="Y223">IFERROR(INDEX($A$3:$F$345,MATCH(U223&amp;R223,$A$3:$A$345&amp;$E$3:$E$345,0),4),"")</f>
        <v>0</v>
      </c>
      <c r="Z223" s="165" cm="1">
        <f t="array" ref="Z223">IFERROR(INDEX($A$3:$F$345,MATCH(V223&amp;R223,$A$3:$A$345&amp;$E$3:$E$345,0),4),"")</f>
        <v>0</v>
      </c>
      <c r="AA223" s="165" t="str">
        <f t="shared" si="11"/>
        <v/>
      </c>
    </row>
    <row r="224" spans="1:27" x14ac:dyDescent="0.25">
      <c r="A224" s="160"/>
      <c r="B224" s="160"/>
      <c r="C224" s="160"/>
      <c r="D224" s="160"/>
      <c r="E224" s="160"/>
      <c r="F224" s="167" t="str">
        <f t="shared" si="10"/>
        <v/>
      </c>
      <c r="L224" s="164"/>
      <c r="M224" s="164"/>
      <c r="N224" s="169"/>
      <c r="O224" s="164"/>
      <c r="P224" s="164"/>
      <c r="Q224" s="164"/>
      <c r="R224" s="164"/>
      <c r="S224" s="518"/>
      <c r="T224" s="165" t="str">
        <f t="shared" si="9"/>
        <v/>
      </c>
      <c r="U224" s="160"/>
      <c r="V224" s="160"/>
      <c r="W224" s="165" cm="1">
        <f t="array" ref="W224">IFERROR(INDEX($A$3:$F$345,MATCH(U224&amp;R224,$A$3:$A$345&amp;$E$3:$E$345,0),2),"")</f>
        <v>0</v>
      </c>
      <c r="X224" s="165" cm="1">
        <f t="array" ref="X224">IFERROR(INDEX($A$3:$F$345,MATCH(V224&amp;R224,$A$3:$A$345&amp;$E$3:$E$345,0),2),"")</f>
        <v>0</v>
      </c>
      <c r="Y224" s="165" cm="1">
        <f t="array" ref="Y224">IFERROR(INDEX($A$3:$F$345,MATCH(U224&amp;R224,$A$3:$A$345&amp;$E$3:$E$345,0),4),"")</f>
        <v>0</v>
      </c>
      <c r="Z224" s="165" cm="1">
        <f t="array" ref="Z224">IFERROR(INDEX($A$3:$F$345,MATCH(V224&amp;R224,$A$3:$A$345&amp;$E$3:$E$345,0),4),"")</f>
        <v>0</v>
      </c>
      <c r="AA224" s="165" t="str">
        <f t="shared" si="11"/>
        <v/>
      </c>
    </row>
    <row r="225" spans="1:27" x14ac:dyDescent="0.25">
      <c r="A225" s="160"/>
      <c r="B225" s="160"/>
      <c r="C225" s="160"/>
      <c r="D225" s="160"/>
      <c r="E225" s="160"/>
      <c r="F225" s="167" t="str">
        <f t="shared" si="10"/>
        <v/>
      </c>
      <c r="L225" s="164"/>
      <c r="M225" s="164"/>
      <c r="N225" s="169"/>
      <c r="O225" s="164"/>
      <c r="P225" s="164"/>
      <c r="Q225" s="164"/>
      <c r="R225" s="164"/>
      <c r="S225" s="518"/>
      <c r="T225" s="165" t="str">
        <f t="shared" si="9"/>
        <v/>
      </c>
      <c r="U225" s="160"/>
      <c r="V225" s="160"/>
      <c r="W225" s="165" cm="1">
        <f t="array" ref="W225">IFERROR(INDEX($A$3:$F$345,MATCH(U225&amp;R225,$A$3:$A$345&amp;$E$3:$E$345,0),2),"")</f>
        <v>0</v>
      </c>
      <c r="X225" s="165" cm="1">
        <f t="array" ref="X225">IFERROR(INDEX($A$3:$F$345,MATCH(V225&amp;R225,$A$3:$A$345&amp;$E$3:$E$345,0),2),"")</f>
        <v>0</v>
      </c>
      <c r="Y225" s="165" cm="1">
        <f t="array" ref="Y225">IFERROR(INDEX($A$3:$F$345,MATCH(U225&amp;R225,$A$3:$A$345&amp;$E$3:$E$345,0),4),"")</f>
        <v>0</v>
      </c>
      <c r="Z225" s="165" cm="1">
        <f t="array" ref="Z225">IFERROR(INDEX($A$3:$F$345,MATCH(V225&amp;R225,$A$3:$A$345&amp;$E$3:$E$345,0),4),"")</f>
        <v>0</v>
      </c>
      <c r="AA225" s="165" t="str">
        <f t="shared" si="11"/>
        <v/>
      </c>
    </row>
    <row r="226" spans="1:27" x14ac:dyDescent="0.25">
      <c r="A226" s="160"/>
      <c r="B226" s="160"/>
      <c r="C226" s="160"/>
      <c r="D226" s="160"/>
      <c r="E226" s="160"/>
      <c r="F226" s="167" t="str">
        <f t="shared" si="10"/>
        <v/>
      </c>
      <c r="L226" s="164"/>
      <c r="M226" s="164"/>
      <c r="N226" s="169"/>
      <c r="O226" s="164"/>
      <c r="P226" s="164"/>
      <c r="Q226" s="164"/>
      <c r="R226" s="164"/>
      <c r="S226" s="518"/>
      <c r="T226" s="165" t="str">
        <f t="shared" si="9"/>
        <v/>
      </c>
      <c r="U226" s="160"/>
      <c r="V226" s="160"/>
      <c r="W226" s="165" cm="1">
        <f t="array" ref="W226">IFERROR(INDEX($A$3:$F$345,MATCH(U226&amp;R226,$A$3:$A$345&amp;$E$3:$E$345,0),2),"")</f>
        <v>0</v>
      </c>
      <c r="X226" s="165" cm="1">
        <f t="array" ref="X226">IFERROR(INDEX($A$3:$F$345,MATCH(V226&amp;R226,$A$3:$A$345&amp;$E$3:$E$345,0),2),"")</f>
        <v>0</v>
      </c>
      <c r="Y226" s="165" cm="1">
        <f t="array" ref="Y226">IFERROR(INDEX($A$3:$F$345,MATCH(U226&amp;R226,$A$3:$A$345&amp;$E$3:$E$345,0),4),"")</f>
        <v>0</v>
      </c>
      <c r="Z226" s="165" cm="1">
        <f t="array" ref="Z226">IFERROR(INDEX($A$3:$F$345,MATCH(V226&amp;R226,$A$3:$A$345&amp;$E$3:$E$345,0),4),"")</f>
        <v>0</v>
      </c>
      <c r="AA226" s="165" t="str">
        <f t="shared" si="11"/>
        <v/>
      </c>
    </row>
    <row r="227" spans="1:27" x14ac:dyDescent="0.25">
      <c r="A227" s="160"/>
      <c r="B227" s="160"/>
      <c r="C227" s="160"/>
      <c r="D227" s="160"/>
      <c r="E227" s="160"/>
      <c r="F227" s="167" t="str">
        <f t="shared" si="10"/>
        <v/>
      </c>
      <c r="L227" s="164"/>
      <c r="M227" s="164"/>
      <c r="N227" s="169"/>
      <c r="O227" s="164"/>
      <c r="P227" s="164"/>
      <c r="Q227" s="164"/>
      <c r="R227" s="164"/>
      <c r="S227" s="518"/>
      <c r="T227" s="165" t="str">
        <f t="shared" si="9"/>
        <v/>
      </c>
      <c r="U227" s="160"/>
      <c r="V227" s="160"/>
      <c r="W227" s="165" cm="1">
        <f t="array" ref="W227">IFERROR(INDEX($A$3:$F$345,MATCH(U227&amp;R227,$A$3:$A$345&amp;$E$3:$E$345,0),2),"")</f>
        <v>0</v>
      </c>
      <c r="X227" s="165" cm="1">
        <f t="array" ref="X227">IFERROR(INDEX($A$3:$F$345,MATCH(V227&amp;R227,$A$3:$A$345&amp;$E$3:$E$345,0),2),"")</f>
        <v>0</v>
      </c>
      <c r="Y227" s="165" cm="1">
        <f t="array" ref="Y227">IFERROR(INDEX($A$3:$F$345,MATCH(U227&amp;R227,$A$3:$A$345&amp;$E$3:$E$345,0),4),"")</f>
        <v>0</v>
      </c>
      <c r="Z227" s="165" cm="1">
        <f t="array" ref="Z227">IFERROR(INDEX($A$3:$F$345,MATCH(V227&amp;R227,$A$3:$A$345&amp;$E$3:$E$345,0),4),"")</f>
        <v>0</v>
      </c>
      <c r="AA227" s="165" t="str">
        <f t="shared" si="11"/>
        <v/>
      </c>
    </row>
    <row r="228" spans="1:27" x14ac:dyDescent="0.25">
      <c r="A228" s="160"/>
      <c r="B228" s="160"/>
      <c r="C228" s="160"/>
      <c r="D228" s="160"/>
      <c r="E228" s="160"/>
      <c r="F228" s="167" t="str">
        <f t="shared" si="10"/>
        <v/>
      </c>
      <c r="L228" s="164"/>
      <c r="M228" s="164"/>
      <c r="N228" s="169"/>
      <c r="O228" s="164"/>
      <c r="P228" s="164"/>
      <c r="Q228" s="164"/>
      <c r="R228" s="164"/>
      <c r="S228" s="518"/>
      <c r="T228" s="165" t="str">
        <f t="shared" si="9"/>
        <v/>
      </c>
      <c r="U228" s="160"/>
      <c r="V228" s="160"/>
      <c r="W228" s="165" cm="1">
        <f t="array" ref="W228">IFERROR(INDEX($A$3:$F$345,MATCH(U228&amp;R228,$A$3:$A$345&amp;$E$3:$E$345,0),2),"")</f>
        <v>0</v>
      </c>
      <c r="X228" s="165" cm="1">
        <f t="array" ref="X228">IFERROR(INDEX($A$3:$F$345,MATCH(V228&amp;R228,$A$3:$A$345&amp;$E$3:$E$345,0),2),"")</f>
        <v>0</v>
      </c>
      <c r="Y228" s="165" cm="1">
        <f t="array" ref="Y228">IFERROR(INDEX($A$3:$F$345,MATCH(U228&amp;R228,$A$3:$A$345&amp;$E$3:$E$345,0),4),"")</f>
        <v>0</v>
      </c>
      <c r="Z228" s="165" cm="1">
        <f t="array" ref="Z228">IFERROR(INDEX($A$3:$F$345,MATCH(V228&amp;R228,$A$3:$A$345&amp;$E$3:$E$345,0),4),"")</f>
        <v>0</v>
      </c>
      <c r="AA228" s="165" t="str">
        <f t="shared" si="11"/>
        <v/>
      </c>
    </row>
    <row r="229" spans="1:27" x14ac:dyDescent="0.25">
      <c r="A229" s="160"/>
      <c r="B229" s="160"/>
      <c r="C229" s="160"/>
      <c r="D229" s="160"/>
      <c r="E229" s="160"/>
      <c r="F229" s="167" t="str">
        <f t="shared" si="10"/>
        <v/>
      </c>
      <c r="L229" s="164"/>
      <c r="M229" s="164"/>
      <c r="N229" s="169"/>
      <c r="O229" s="164"/>
      <c r="P229" s="164"/>
      <c r="Q229" s="164"/>
      <c r="R229" s="164"/>
      <c r="S229" s="518"/>
      <c r="T229" s="165" t="str">
        <f t="shared" si="9"/>
        <v/>
      </c>
      <c r="U229" s="160"/>
      <c r="V229" s="160"/>
      <c r="W229" s="165" cm="1">
        <f t="array" ref="W229">IFERROR(INDEX($A$3:$F$345,MATCH(U229&amp;R229,$A$3:$A$345&amp;$E$3:$E$345,0),2),"")</f>
        <v>0</v>
      </c>
      <c r="X229" s="165" cm="1">
        <f t="array" ref="X229">IFERROR(INDEX($A$3:$F$345,MATCH(V229&amp;R229,$A$3:$A$345&amp;$E$3:$E$345,0),2),"")</f>
        <v>0</v>
      </c>
      <c r="Y229" s="165" cm="1">
        <f t="array" ref="Y229">IFERROR(INDEX($A$3:$F$345,MATCH(U229&amp;R229,$A$3:$A$345&amp;$E$3:$E$345,0),4),"")</f>
        <v>0</v>
      </c>
      <c r="Z229" s="165" cm="1">
        <f t="array" ref="Z229">IFERROR(INDEX($A$3:$F$345,MATCH(V229&amp;R229,$A$3:$A$345&amp;$E$3:$E$345,0),4),"")</f>
        <v>0</v>
      </c>
      <c r="AA229" s="165" t="str">
        <f t="shared" si="11"/>
        <v/>
      </c>
    </row>
    <row r="230" spans="1:27" x14ac:dyDescent="0.25">
      <c r="A230" s="160"/>
      <c r="B230" s="160"/>
      <c r="C230" s="160"/>
      <c r="D230" s="160"/>
      <c r="E230" s="160"/>
      <c r="F230" s="167" t="str">
        <f t="shared" si="10"/>
        <v/>
      </c>
      <c r="L230" s="164"/>
      <c r="M230" s="164"/>
      <c r="N230" s="169"/>
      <c r="O230" s="164"/>
      <c r="P230" s="164"/>
      <c r="Q230" s="164"/>
      <c r="R230" s="164"/>
      <c r="S230" s="518"/>
      <c r="T230" s="165" t="str">
        <f t="shared" si="9"/>
        <v/>
      </c>
      <c r="U230" s="160"/>
      <c r="V230" s="160"/>
      <c r="W230" s="165" cm="1">
        <f t="array" ref="W230">IFERROR(INDEX($A$3:$F$345,MATCH(U230&amp;R230,$A$3:$A$345&amp;$E$3:$E$345,0),2),"")</f>
        <v>0</v>
      </c>
      <c r="X230" s="165" cm="1">
        <f t="array" ref="X230">IFERROR(INDEX($A$3:$F$345,MATCH(V230&amp;R230,$A$3:$A$345&amp;$E$3:$E$345,0),2),"")</f>
        <v>0</v>
      </c>
      <c r="Y230" s="165" cm="1">
        <f t="array" ref="Y230">IFERROR(INDEX($A$3:$F$345,MATCH(U230&amp;R230,$A$3:$A$345&amp;$E$3:$E$345,0),4),"")</f>
        <v>0</v>
      </c>
      <c r="Z230" s="165" cm="1">
        <f t="array" ref="Z230">IFERROR(INDEX($A$3:$F$345,MATCH(V230&amp;R230,$A$3:$A$345&amp;$E$3:$E$345,0),4),"")</f>
        <v>0</v>
      </c>
      <c r="AA230" s="165" t="str">
        <f t="shared" si="11"/>
        <v/>
      </c>
    </row>
    <row r="231" spans="1:27" x14ac:dyDescent="0.25">
      <c r="A231" s="160"/>
      <c r="B231" s="160"/>
      <c r="C231" s="160"/>
      <c r="D231" s="160"/>
      <c r="E231" s="160"/>
      <c r="F231" s="167" t="str">
        <f t="shared" si="10"/>
        <v/>
      </c>
      <c r="L231" s="164"/>
      <c r="M231" s="164"/>
      <c r="N231" s="169"/>
      <c r="O231" s="164"/>
      <c r="P231" s="164"/>
      <c r="Q231" s="164"/>
      <c r="R231" s="164"/>
      <c r="S231" s="518"/>
      <c r="T231" s="165" t="str">
        <f t="shared" si="9"/>
        <v/>
      </c>
      <c r="U231" s="160"/>
      <c r="V231" s="160"/>
      <c r="W231" s="165" cm="1">
        <f t="array" ref="W231">IFERROR(INDEX($A$3:$F$345,MATCH(U231&amp;R231,$A$3:$A$345&amp;$E$3:$E$345,0),2),"")</f>
        <v>0</v>
      </c>
      <c r="X231" s="165" cm="1">
        <f t="array" ref="X231">IFERROR(INDEX($A$3:$F$345,MATCH(V231&amp;R231,$A$3:$A$345&amp;$E$3:$E$345,0),2),"")</f>
        <v>0</v>
      </c>
      <c r="Y231" s="165" cm="1">
        <f t="array" ref="Y231">IFERROR(INDEX($A$3:$F$345,MATCH(U231&amp;R231,$A$3:$A$345&amp;$E$3:$E$345,0),4),"")</f>
        <v>0</v>
      </c>
      <c r="Z231" s="165" cm="1">
        <f t="array" ref="Z231">IFERROR(INDEX($A$3:$F$345,MATCH(V231&amp;R231,$A$3:$A$345&amp;$E$3:$E$345,0),4),"")</f>
        <v>0</v>
      </c>
      <c r="AA231" s="165" t="str">
        <f t="shared" si="11"/>
        <v/>
      </c>
    </row>
    <row r="232" spans="1:27" x14ac:dyDescent="0.25">
      <c r="A232" s="160"/>
      <c r="B232" s="160"/>
      <c r="C232" s="160"/>
      <c r="D232" s="160"/>
      <c r="E232" s="160"/>
      <c r="F232" s="167" t="str">
        <f t="shared" si="10"/>
        <v/>
      </c>
      <c r="L232" s="164"/>
      <c r="M232" s="164"/>
      <c r="N232" s="169"/>
      <c r="O232" s="164"/>
      <c r="P232" s="164"/>
      <c r="Q232" s="164"/>
      <c r="R232" s="164"/>
      <c r="S232" s="518"/>
      <c r="T232" s="165" t="str">
        <f t="shared" si="9"/>
        <v/>
      </c>
      <c r="U232" s="160"/>
      <c r="V232" s="160"/>
      <c r="W232" s="165" cm="1">
        <f t="array" ref="W232">IFERROR(INDEX($A$3:$F$345,MATCH(U232&amp;R232,$A$3:$A$345&amp;$E$3:$E$345,0),2),"")</f>
        <v>0</v>
      </c>
      <c r="X232" s="165" cm="1">
        <f t="array" ref="X232">IFERROR(INDEX($A$3:$F$345,MATCH(V232&amp;R232,$A$3:$A$345&amp;$E$3:$E$345,0),2),"")</f>
        <v>0</v>
      </c>
      <c r="Y232" s="165" cm="1">
        <f t="array" ref="Y232">IFERROR(INDEX($A$3:$F$345,MATCH(U232&amp;R232,$A$3:$A$345&amp;$E$3:$E$345,0),4),"")</f>
        <v>0</v>
      </c>
      <c r="Z232" s="165" cm="1">
        <f t="array" ref="Z232">IFERROR(INDEX($A$3:$F$345,MATCH(V232&amp;R232,$A$3:$A$345&amp;$E$3:$E$345,0),4),"")</f>
        <v>0</v>
      </c>
      <c r="AA232" s="165" t="str">
        <f t="shared" si="11"/>
        <v/>
      </c>
    </row>
    <row r="233" spans="1:27" x14ac:dyDescent="0.25">
      <c r="A233" s="160"/>
      <c r="B233" s="160"/>
      <c r="C233" s="160"/>
      <c r="D233" s="160"/>
      <c r="E233" s="160"/>
      <c r="F233" s="167" t="str">
        <f t="shared" si="10"/>
        <v/>
      </c>
      <c r="L233" s="164"/>
      <c r="M233" s="164"/>
      <c r="N233" s="169"/>
      <c r="O233" s="164"/>
      <c r="P233" s="164"/>
      <c r="Q233" s="164"/>
      <c r="R233" s="164"/>
      <c r="S233" s="518"/>
      <c r="T233" s="165" t="str">
        <f t="shared" si="9"/>
        <v/>
      </c>
      <c r="U233" s="160"/>
      <c r="V233" s="160"/>
      <c r="W233" s="165" cm="1">
        <f t="array" ref="W233">IFERROR(INDEX($A$3:$F$345,MATCH(U233&amp;R233,$A$3:$A$345&amp;$E$3:$E$345,0),2),"")</f>
        <v>0</v>
      </c>
      <c r="X233" s="165" cm="1">
        <f t="array" ref="X233">IFERROR(INDEX($A$3:$F$345,MATCH(V233&amp;R233,$A$3:$A$345&amp;$E$3:$E$345,0),2),"")</f>
        <v>0</v>
      </c>
      <c r="Y233" s="165" cm="1">
        <f t="array" ref="Y233">IFERROR(INDEX($A$3:$F$345,MATCH(U233&amp;R233,$A$3:$A$345&amp;$E$3:$E$345,0),4),"")</f>
        <v>0</v>
      </c>
      <c r="Z233" s="165" cm="1">
        <f t="array" ref="Z233">IFERROR(INDEX($A$3:$F$345,MATCH(V233&amp;R233,$A$3:$A$345&amp;$E$3:$E$345,0),4),"")</f>
        <v>0</v>
      </c>
      <c r="AA233" s="165" t="str">
        <f t="shared" si="11"/>
        <v/>
      </c>
    </row>
    <row r="234" spans="1:27" x14ac:dyDescent="0.25">
      <c r="A234" s="160"/>
      <c r="B234" s="160"/>
      <c r="C234" s="160"/>
      <c r="D234" s="160"/>
      <c r="E234" s="160"/>
      <c r="F234" s="167" t="str">
        <f t="shared" si="10"/>
        <v/>
      </c>
      <c r="L234" s="164"/>
      <c r="M234" s="164"/>
      <c r="N234" s="169"/>
      <c r="O234" s="164"/>
      <c r="P234" s="164"/>
      <c r="Q234" s="164"/>
      <c r="R234" s="164"/>
      <c r="S234" s="518"/>
      <c r="T234" s="165" t="str">
        <f t="shared" si="9"/>
        <v/>
      </c>
      <c r="U234" s="160"/>
      <c r="V234" s="160"/>
      <c r="W234" s="165" cm="1">
        <f t="array" ref="W234">IFERROR(INDEX($A$3:$F$345,MATCH(U234&amp;R234,$A$3:$A$345&amp;$E$3:$E$345,0),2),"")</f>
        <v>0</v>
      </c>
      <c r="X234" s="165" cm="1">
        <f t="array" ref="X234">IFERROR(INDEX($A$3:$F$345,MATCH(V234&amp;R234,$A$3:$A$345&amp;$E$3:$E$345,0),2),"")</f>
        <v>0</v>
      </c>
      <c r="Y234" s="165" cm="1">
        <f t="array" ref="Y234">IFERROR(INDEX($A$3:$F$345,MATCH(U234&amp;R234,$A$3:$A$345&amp;$E$3:$E$345,0),4),"")</f>
        <v>0</v>
      </c>
      <c r="Z234" s="165" cm="1">
        <f t="array" ref="Z234">IFERROR(INDEX($A$3:$F$345,MATCH(V234&amp;R234,$A$3:$A$345&amp;$E$3:$E$345,0),4),"")</f>
        <v>0</v>
      </c>
      <c r="AA234" s="165" t="str">
        <f t="shared" si="11"/>
        <v/>
      </c>
    </row>
    <row r="235" spans="1:27" x14ac:dyDescent="0.25">
      <c r="A235" s="160"/>
      <c r="B235" s="160"/>
      <c r="C235" s="160"/>
      <c r="D235" s="160"/>
      <c r="E235" s="160"/>
      <c r="F235" s="167" t="str">
        <f t="shared" si="10"/>
        <v/>
      </c>
      <c r="L235" s="164"/>
      <c r="M235" s="164"/>
      <c r="N235" s="169"/>
      <c r="O235" s="164"/>
      <c r="P235" s="164"/>
      <c r="Q235" s="164"/>
      <c r="R235" s="164"/>
      <c r="S235" s="518"/>
      <c r="T235" s="165" t="str">
        <f t="shared" si="9"/>
        <v/>
      </c>
      <c r="U235" s="160"/>
      <c r="V235" s="160"/>
      <c r="W235" s="165" cm="1">
        <f t="array" ref="W235">IFERROR(INDEX($A$3:$F$345,MATCH(U235&amp;R235,$A$3:$A$345&amp;$E$3:$E$345,0),2),"")</f>
        <v>0</v>
      </c>
      <c r="X235" s="165" cm="1">
        <f t="array" ref="X235">IFERROR(INDEX($A$3:$F$345,MATCH(V235&amp;R235,$A$3:$A$345&amp;$E$3:$E$345,0),2),"")</f>
        <v>0</v>
      </c>
      <c r="Y235" s="165" cm="1">
        <f t="array" ref="Y235">IFERROR(INDEX($A$3:$F$345,MATCH(U235&amp;R235,$A$3:$A$345&amp;$E$3:$E$345,0),4),"")</f>
        <v>0</v>
      </c>
      <c r="Z235" s="165" cm="1">
        <f t="array" ref="Z235">IFERROR(INDEX($A$3:$F$345,MATCH(V235&amp;R235,$A$3:$A$345&amp;$E$3:$E$345,0),4),"")</f>
        <v>0</v>
      </c>
      <c r="AA235" s="165" t="str">
        <f t="shared" si="11"/>
        <v/>
      </c>
    </row>
    <row r="236" spans="1:27" x14ac:dyDescent="0.25">
      <c r="A236" s="160"/>
      <c r="B236" s="160"/>
      <c r="C236" s="160"/>
      <c r="D236" s="160"/>
      <c r="E236" s="160"/>
      <c r="F236" s="167" t="str">
        <f t="shared" si="10"/>
        <v/>
      </c>
      <c r="L236" s="164"/>
      <c r="M236" s="164"/>
      <c r="N236" s="169"/>
      <c r="O236" s="164"/>
      <c r="P236" s="164"/>
      <c r="Q236" s="164"/>
      <c r="R236" s="164"/>
      <c r="S236" s="518"/>
      <c r="T236" s="165" t="str">
        <f t="shared" si="9"/>
        <v/>
      </c>
      <c r="U236" s="160"/>
      <c r="V236" s="160"/>
      <c r="W236" s="165" cm="1">
        <f t="array" ref="W236">IFERROR(INDEX($A$3:$F$345,MATCH(U236&amp;R236,$A$3:$A$345&amp;$E$3:$E$345,0),2),"")</f>
        <v>0</v>
      </c>
      <c r="X236" s="165" cm="1">
        <f t="array" ref="X236">IFERROR(INDEX($A$3:$F$345,MATCH(V236&amp;R236,$A$3:$A$345&amp;$E$3:$E$345,0),2),"")</f>
        <v>0</v>
      </c>
      <c r="Y236" s="165" cm="1">
        <f t="array" ref="Y236">IFERROR(INDEX($A$3:$F$345,MATCH(U236&amp;R236,$A$3:$A$345&amp;$E$3:$E$345,0),4),"")</f>
        <v>0</v>
      </c>
      <c r="Z236" s="165" cm="1">
        <f t="array" ref="Z236">IFERROR(INDEX($A$3:$F$345,MATCH(V236&amp;R236,$A$3:$A$345&amp;$E$3:$E$345,0),4),"")</f>
        <v>0</v>
      </c>
      <c r="AA236" s="165" t="str">
        <f t="shared" si="11"/>
        <v/>
      </c>
    </row>
    <row r="237" spans="1:27" x14ac:dyDescent="0.25">
      <c r="A237" s="160"/>
      <c r="B237" s="160"/>
      <c r="C237" s="160"/>
      <c r="D237" s="160"/>
      <c r="E237" s="160"/>
      <c r="F237" s="167" t="str">
        <f t="shared" si="10"/>
        <v/>
      </c>
      <c r="L237" s="164"/>
      <c r="M237" s="164"/>
      <c r="N237" s="169"/>
      <c r="O237" s="164"/>
      <c r="P237" s="164"/>
      <c r="Q237" s="164"/>
      <c r="R237" s="164"/>
      <c r="S237" s="518"/>
      <c r="T237" s="165" t="str">
        <f t="shared" si="9"/>
        <v/>
      </c>
      <c r="U237" s="160"/>
      <c r="V237" s="160"/>
      <c r="W237" s="165" cm="1">
        <f t="array" ref="W237">IFERROR(INDEX($A$3:$F$345,MATCH(U237&amp;R237,$A$3:$A$345&amp;$E$3:$E$345,0),2),"")</f>
        <v>0</v>
      </c>
      <c r="X237" s="165" cm="1">
        <f t="array" ref="X237">IFERROR(INDEX($A$3:$F$345,MATCH(V237&amp;R237,$A$3:$A$345&amp;$E$3:$E$345,0),2),"")</f>
        <v>0</v>
      </c>
      <c r="Y237" s="165" cm="1">
        <f t="array" ref="Y237">IFERROR(INDEX($A$3:$F$345,MATCH(U237&amp;R237,$A$3:$A$345&amp;$E$3:$E$345,0),4),"")</f>
        <v>0</v>
      </c>
      <c r="Z237" s="165" cm="1">
        <f t="array" ref="Z237">IFERROR(INDEX($A$3:$F$345,MATCH(V237&amp;R237,$A$3:$A$345&amp;$E$3:$E$345,0),4),"")</f>
        <v>0</v>
      </c>
      <c r="AA237" s="165" t="str">
        <f t="shared" si="11"/>
        <v/>
      </c>
    </row>
    <row r="238" spans="1:27" x14ac:dyDescent="0.25">
      <c r="A238" s="160"/>
      <c r="B238" s="160"/>
      <c r="C238" s="160"/>
      <c r="D238" s="160"/>
      <c r="E238" s="160"/>
      <c r="F238" s="167" t="str">
        <f t="shared" si="10"/>
        <v/>
      </c>
      <c r="L238" s="164"/>
      <c r="M238" s="164"/>
      <c r="N238" s="169"/>
      <c r="O238" s="164"/>
      <c r="P238" s="164"/>
      <c r="Q238" s="164"/>
      <c r="R238" s="164"/>
      <c r="S238" s="518"/>
      <c r="T238" s="165" t="str">
        <f t="shared" si="9"/>
        <v/>
      </c>
      <c r="U238" s="160"/>
      <c r="V238" s="160"/>
      <c r="W238" s="165" cm="1">
        <f t="array" ref="W238">IFERROR(INDEX($A$3:$F$345,MATCH(U238&amp;R238,$A$3:$A$345&amp;$E$3:$E$345,0),2),"")</f>
        <v>0</v>
      </c>
      <c r="X238" s="165" cm="1">
        <f t="array" ref="X238">IFERROR(INDEX($A$3:$F$345,MATCH(V238&amp;R238,$A$3:$A$345&amp;$E$3:$E$345,0),2),"")</f>
        <v>0</v>
      </c>
      <c r="Y238" s="165" cm="1">
        <f t="array" ref="Y238">IFERROR(INDEX($A$3:$F$345,MATCH(U238&amp;R238,$A$3:$A$345&amp;$E$3:$E$345,0),4),"")</f>
        <v>0</v>
      </c>
      <c r="Z238" s="165" cm="1">
        <f t="array" ref="Z238">IFERROR(INDEX($A$3:$F$345,MATCH(V238&amp;R238,$A$3:$A$345&amp;$E$3:$E$345,0),4),"")</f>
        <v>0</v>
      </c>
      <c r="AA238" s="165" t="str">
        <f t="shared" si="11"/>
        <v/>
      </c>
    </row>
    <row r="239" spans="1:27" x14ac:dyDescent="0.25">
      <c r="A239" s="160"/>
      <c r="B239" s="160"/>
      <c r="C239" s="160"/>
      <c r="D239" s="160"/>
      <c r="E239" s="160"/>
      <c r="F239" s="167" t="str">
        <f t="shared" si="10"/>
        <v/>
      </c>
      <c r="L239" s="164"/>
      <c r="M239" s="164"/>
      <c r="N239" s="169"/>
      <c r="O239" s="164"/>
      <c r="P239" s="164"/>
      <c r="Q239" s="164"/>
      <c r="R239" s="164"/>
      <c r="S239" s="518"/>
      <c r="T239" s="165" t="str">
        <f t="shared" si="9"/>
        <v/>
      </c>
      <c r="U239" s="160"/>
      <c r="V239" s="160"/>
      <c r="W239" s="165" cm="1">
        <f t="array" ref="W239">IFERROR(INDEX($A$3:$F$345,MATCH(U239&amp;R239,$A$3:$A$345&amp;$E$3:$E$345,0),2),"")</f>
        <v>0</v>
      </c>
      <c r="X239" s="165" cm="1">
        <f t="array" ref="X239">IFERROR(INDEX($A$3:$F$345,MATCH(V239&amp;R239,$A$3:$A$345&amp;$E$3:$E$345,0),2),"")</f>
        <v>0</v>
      </c>
      <c r="Y239" s="165" cm="1">
        <f t="array" ref="Y239">IFERROR(INDEX($A$3:$F$345,MATCH(U239&amp;R239,$A$3:$A$345&amp;$E$3:$E$345,0),4),"")</f>
        <v>0</v>
      </c>
      <c r="Z239" s="165" cm="1">
        <f t="array" ref="Z239">IFERROR(INDEX($A$3:$F$345,MATCH(V239&amp;R239,$A$3:$A$345&amp;$E$3:$E$345,0),4),"")</f>
        <v>0</v>
      </c>
      <c r="AA239" s="165" t="str">
        <f t="shared" si="11"/>
        <v/>
      </c>
    </row>
    <row r="240" spans="1:27" x14ac:dyDescent="0.25">
      <c r="A240" s="160"/>
      <c r="B240" s="160"/>
      <c r="C240" s="160"/>
      <c r="D240" s="160"/>
      <c r="E240" s="160"/>
      <c r="F240" s="167" t="str">
        <f t="shared" si="10"/>
        <v/>
      </c>
      <c r="L240" s="164"/>
      <c r="M240" s="164"/>
      <c r="N240" s="169"/>
      <c r="O240" s="164"/>
      <c r="P240" s="164"/>
      <c r="Q240" s="164"/>
      <c r="R240" s="164"/>
      <c r="S240" s="518"/>
      <c r="T240" s="165" t="str">
        <f t="shared" si="9"/>
        <v/>
      </c>
      <c r="U240" s="160"/>
      <c r="V240" s="160"/>
      <c r="W240" s="165" cm="1">
        <f t="array" ref="W240">IFERROR(INDEX($A$3:$F$345,MATCH(U240&amp;R240,$A$3:$A$345&amp;$E$3:$E$345,0),2),"")</f>
        <v>0</v>
      </c>
      <c r="X240" s="165" cm="1">
        <f t="array" ref="X240">IFERROR(INDEX($A$3:$F$345,MATCH(V240&amp;R240,$A$3:$A$345&amp;$E$3:$E$345,0),2),"")</f>
        <v>0</v>
      </c>
      <c r="Y240" s="165" cm="1">
        <f t="array" ref="Y240">IFERROR(INDEX($A$3:$F$345,MATCH(U240&amp;R240,$A$3:$A$345&amp;$E$3:$E$345,0),4),"")</f>
        <v>0</v>
      </c>
      <c r="Z240" s="165" cm="1">
        <f t="array" ref="Z240">IFERROR(INDEX($A$3:$F$345,MATCH(V240&amp;R240,$A$3:$A$345&amp;$E$3:$E$345,0),4),"")</f>
        <v>0</v>
      </c>
      <c r="AA240" s="165" t="str">
        <f t="shared" si="11"/>
        <v/>
      </c>
    </row>
    <row r="241" spans="1:27" x14ac:dyDescent="0.25">
      <c r="A241" s="160"/>
      <c r="B241" s="160"/>
      <c r="C241" s="160"/>
      <c r="D241" s="160"/>
      <c r="E241" s="160"/>
      <c r="F241" s="167" t="str">
        <f t="shared" si="10"/>
        <v/>
      </c>
      <c r="L241" s="164"/>
      <c r="M241" s="164"/>
      <c r="N241" s="169"/>
      <c r="O241" s="164"/>
      <c r="P241" s="164"/>
      <c r="Q241" s="164"/>
      <c r="R241" s="164"/>
      <c r="S241" s="518"/>
      <c r="T241" s="165" t="str">
        <f t="shared" si="9"/>
        <v/>
      </c>
      <c r="U241" s="160"/>
      <c r="V241" s="160"/>
      <c r="W241" s="165" cm="1">
        <f t="array" ref="W241">IFERROR(INDEX($A$3:$F$345,MATCH(U241&amp;R241,$A$3:$A$345&amp;$E$3:$E$345,0),2),"")</f>
        <v>0</v>
      </c>
      <c r="X241" s="165" cm="1">
        <f t="array" ref="X241">IFERROR(INDEX($A$3:$F$345,MATCH(V241&amp;R241,$A$3:$A$345&amp;$E$3:$E$345,0),2),"")</f>
        <v>0</v>
      </c>
      <c r="Y241" s="165" cm="1">
        <f t="array" ref="Y241">IFERROR(INDEX($A$3:$F$345,MATCH(U241&amp;R241,$A$3:$A$345&amp;$E$3:$E$345,0),4),"")</f>
        <v>0</v>
      </c>
      <c r="Z241" s="165" cm="1">
        <f t="array" ref="Z241">IFERROR(INDEX($A$3:$F$345,MATCH(V241&amp;R241,$A$3:$A$345&amp;$E$3:$E$345,0),4),"")</f>
        <v>0</v>
      </c>
      <c r="AA241" s="165" t="str">
        <f t="shared" si="11"/>
        <v/>
      </c>
    </row>
    <row r="242" spans="1:27" x14ac:dyDescent="0.25">
      <c r="A242" s="160"/>
      <c r="B242" s="160"/>
      <c r="C242" s="160"/>
      <c r="D242" s="160"/>
      <c r="E242" s="160"/>
      <c r="F242" s="167" t="str">
        <f t="shared" si="10"/>
        <v/>
      </c>
      <c r="L242" s="164"/>
      <c r="M242" s="164"/>
      <c r="N242" s="169"/>
      <c r="O242" s="164"/>
      <c r="P242" s="164"/>
      <c r="Q242" s="164"/>
      <c r="R242" s="164"/>
      <c r="S242" s="518"/>
      <c r="T242" s="165" t="str">
        <f t="shared" si="9"/>
        <v/>
      </c>
      <c r="U242" s="160"/>
      <c r="V242" s="160"/>
      <c r="W242" s="165" cm="1">
        <f t="array" ref="W242">IFERROR(INDEX($A$3:$F$345,MATCH(U242&amp;R242,$A$3:$A$345&amp;$E$3:$E$345,0),2),"")</f>
        <v>0</v>
      </c>
      <c r="X242" s="165" cm="1">
        <f t="array" ref="X242">IFERROR(INDEX($A$3:$F$345,MATCH(V242&amp;R242,$A$3:$A$345&amp;$E$3:$E$345,0),2),"")</f>
        <v>0</v>
      </c>
      <c r="Y242" s="165" cm="1">
        <f t="array" ref="Y242">IFERROR(INDEX($A$3:$F$345,MATCH(U242&amp;R242,$A$3:$A$345&amp;$E$3:$E$345,0),4),"")</f>
        <v>0</v>
      </c>
      <c r="Z242" s="165" cm="1">
        <f t="array" ref="Z242">IFERROR(INDEX($A$3:$F$345,MATCH(V242&amp;R242,$A$3:$A$345&amp;$E$3:$E$345,0),4),"")</f>
        <v>0</v>
      </c>
      <c r="AA242" s="165" t="str">
        <f t="shared" si="11"/>
        <v/>
      </c>
    </row>
    <row r="243" spans="1:27" x14ac:dyDescent="0.25">
      <c r="A243" s="160"/>
      <c r="B243" s="160"/>
      <c r="C243" s="160"/>
      <c r="D243" s="160"/>
      <c r="E243" s="160"/>
      <c r="F243" s="167" t="str">
        <f t="shared" si="10"/>
        <v/>
      </c>
      <c r="L243" s="164"/>
      <c r="M243" s="164"/>
      <c r="N243" s="169"/>
      <c r="O243" s="164"/>
      <c r="P243" s="164"/>
      <c r="Q243" s="164"/>
      <c r="R243" s="164"/>
      <c r="S243" s="518"/>
      <c r="T243" s="165" t="str">
        <f t="shared" si="9"/>
        <v/>
      </c>
      <c r="U243" s="160"/>
      <c r="V243" s="160"/>
      <c r="W243" s="165" cm="1">
        <f t="array" ref="W243">IFERROR(INDEX($A$3:$F$345,MATCH(U243&amp;R243,$A$3:$A$345&amp;$E$3:$E$345,0),2),"")</f>
        <v>0</v>
      </c>
      <c r="X243" s="165" cm="1">
        <f t="array" ref="X243">IFERROR(INDEX($A$3:$F$345,MATCH(V243&amp;R243,$A$3:$A$345&amp;$E$3:$E$345,0),2),"")</f>
        <v>0</v>
      </c>
      <c r="Y243" s="165" cm="1">
        <f t="array" ref="Y243">IFERROR(INDEX($A$3:$F$345,MATCH(U243&amp;R243,$A$3:$A$345&amp;$E$3:$E$345,0),4),"")</f>
        <v>0</v>
      </c>
      <c r="Z243" s="165" cm="1">
        <f t="array" ref="Z243">IFERROR(INDEX($A$3:$F$345,MATCH(V243&amp;R243,$A$3:$A$345&amp;$E$3:$E$345,0),4),"")</f>
        <v>0</v>
      </c>
      <c r="AA243" s="165" t="str">
        <f t="shared" si="11"/>
        <v/>
      </c>
    </row>
    <row r="244" spans="1:27" x14ac:dyDescent="0.25">
      <c r="A244" s="160"/>
      <c r="B244" s="160"/>
      <c r="C244" s="160"/>
      <c r="D244" s="160"/>
      <c r="E244" s="160"/>
      <c r="F244" s="167" t="str">
        <f t="shared" si="10"/>
        <v/>
      </c>
      <c r="L244" s="164"/>
      <c r="M244" s="164"/>
      <c r="N244" s="169"/>
      <c r="O244" s="164"/>
      <c r="P244" s="164"/>
      <c r="Q244" s="164"/>
      <c r="R244" s="164"/>
      <c r="S244" s="518"/>
      <c r="T244" s="165" t="str">
        <f t="shared" si="9"/>
        <v/>
      </c>
      <c r="U244" s="160"/>
      <c r="V244" s="160"/>
      <c r="W244" s="165" cm="1">
        <f t="array" ref="W244">IFERROR(INDEX($A$3:$F$345,MATCH(U244&amp;R244,$A$3:$A$345&amp;$E$3:$E$345,0),2),"")</f>
        <v>0</v>
      </c>
      <c r="X244" s="165" cm="1">
        <f t="array" ref="X244">IFERROR(INDEX($A$3:$F$345,MATCH(V244&amp;R244,$A$3:$A$345&amp;$E$3:$E$345,0),2),"")</f>
        <v>0</v>
      </c>
      <c r="Y244" s="165" cm="1">
        <f t="array" ref="Y244">IFERROR(INDEX($A$3:$F$345,MATCH(U244&amp;R244,$A$3:$A$345&amp;$E$3:$E$345,0),4),"")</f>
        <v>0</v>
      </c>
      <c r="Z244" s="165" cm="1">
        <f t="array" ref="Z244">IFERROR(INDEX($A$3:$F$345,MATCH(V244&amp;R244,$A$3:$A$345&amp;$E$3:$E$345,0),4),"")</f>
        <v>0</v>
      </c>
      <c r="AA244" s="165" t="str">
        <f t="shared" si="11"/>
        <v/>
      </c>
    </row>
    <row r="245" spans="1:27" x14ac:dyDescent="0.25">
      <c r="A245" s="160"/>
      <c r="B245" s="160"/>
      <c r="C245" s="160"/>
      <c r="D245" s="160"/>
      <c r="E245" s="160"/>
      <c r="F245" s="167" t="str">
        <f t="shared" si="10"/>
        <v/>
      </c>
      <c r="L245" s="164"/>
      <c r="M245" s="164"/>
      <c r="N245" s="169"/>
      <c r="O245" s="164"/>
      <c r="P245" s="164"/>
      <c r="Q245" s="164"/>
      <c r="R245" s="164"/>
      <c r="S245" s="518"/>
      <c r="T245" s="165" t="str">
        <f t="shared" si="9"/>
        <v/>
      </c>
      <c r="U245" s="160"/>
      <c r="V245" s="160"/>
      <c r="W245" s="165" cm="1">
        <f t="array" ref="W245">IFERROR(INDEX($A$3:$F$345,MATCH(U245&amp;R245,$A$3:$A$345&amp;$E$3:$E$345,0),2),"")</f>
        <v>0</v>
      </c>
      <c r="X245" s="165" cm="1">
        <f t="array" ref="X245">IFERROR(INDEX($A$3:$F$345,MATCH(V245&amp;R245,$A$3:$A$345&amp;$E$3:$E$345,0),2),"")</f>
        <v>0</v>
      </c>
      <c r="Y245" s="165" cm="1">
        <f t="array" ref="Y245">IFERROR(INDEX($A$3:$F$345,MATCH(U245&amp;R245,$A$3:$A$345&amp;$E$3:$E$345,0),4),"")</f>
        <v>0</v>
      </c>
      <c r="Z245" s="165" cm="1">
        <f t="array" ref="Z245">IFERROR(INDEX($A$3:$F$345,MATCH(V245&amp;R245,$A$3:$A$345&amp;$E$3:$E$345,0),4),"")</f>
        <v>0</v>
      </c>
      <c r="AA245" s="165" t="str">
        <f t="shared" si="11"/>
        <v/>
      </c>
    </row>
    <row r="246" spans="1:27" x14ac:dyDescent="0.25">
      <c r="A246" s="160"/>
      <c r="B246" s="160"/>
      <c r="C246" s="160"/>
      <c r="D246" s="160"/>
      <c r="E246" s="160"/>
      <c r="F246" s="167" t="str">
        <f t="shared" si="10"/>
        <v/>
      </c>
      <c r="L246" s="164"/>
      <c r="M246" s="164"/>
      <c r="N246" s="169"/>
      <c r="O246" s="164"/>
      <c r="P246" s="164"/>
      <c r="Q246" s="164"/>
      <c r="R246" s="164"/>
      <c r="S246" s="518"/>
      <c r="T246" s="165" t="str">
        <f t="shared" si="9"/>
        <v/>
      </c>
      <c r="U246" s="160"/>
      <c r="V246" s="160"/>
      <c r="W246" s="165" cm="1">
        <f t="array" ref="W246">IFERROR(INDEX($A$3:$F$345,MATCH(U246&amp;R246,$A$3:$A$345&amp;$E$3:$E$345,0),2),"")</f>
        <v>0</v>
      </c>
      <c r="X246" s="165" cm="1">
        <f t="array" ref="X246">IFERROR(INDEX($A$3:$F$345,MATCH(V246&amp;R246,$A$3:$A$345&amp;$E$3:$E$345,0),2),"")</f>
        <v>0</v>
      </c>
      <c r="Y246" s="165" cm="1">
        <f t="array" ref="Y246">IFERROR(INDEX($A$3:$F$345,MATCH(U246&amp;R246,$A$3:$A$345&amp;$E$3:$E$345,0),4),"")</f>
        <v>0</v>
      </c>
      <c r="Z246" s="165" cm="1">
        <f t="array" ref="Z246">IFERROR(INDEX($A$3:$F$345,MATCH(V246&amp;R246,$A$3:$A$345&amp;$E$3:$E$345,0),4),"")</f>
        <v>0</v>
      </c>
      <c r="AA246" s="165" t="str">
        <f t="shared" si="11"/>
        <v/>
      </c>
    </row>
    <row r="247" spans="1:27" x14ac:dyDescent="0.25">
      <c r="A247" s="160"/>
      <c r="B247" s="160"/>
      <c r="C247" s="160"/>
      <c r="D247" s="160"/>
      <c r="E247" s="160"/>
      <c r="F247" s="167" t="str">
        <f t="shared" si="10"/>
        <v/>
      </c>
      <c r="L247" s="164"/>
      <c r="M247" s="164"/>
      <c r="N247" s="169"/>
      <c r="O247" s="164"/>
      <c r="P247" s="164"/>
      <c r="Q247" s="164"/>
      <c r="R247" s="164"/>
      <c r="S247" s="518"/>
      <c r="T247" s="165" t="str">
        <f t="shared" si="9"/>
        <v/>
      </c>
      <c r="U247" s="160"/>
      <c r="V247" s="160"/>
      <c r="W247" s="165" cm="1">
        <f t="array" ref="W247">IFERROR(INDEX($A$3:$F$345,MATCH(U247&amp;R247,$A$3:$A$345&amp;$E$3:$E$345,0),2),"")</f>
        <v>0</v>
      </c>
      <c r="X247" s="165" cm="1">
        <f t="array" ref="X247">IFERROR(INDEX($A$3:$F$345,MATCH(V247&amp;R247,$A$3:$A$345&amp;$E$3:$E$345,0),2),"")</f>
        <v>0</v>
      </c>
      <c r="Y247" s="165" cm="1">
        <f t="array" ref="Y247">IFERROR(INDEX($A$3:$F$345,MATCH(U247&amp;R247,$A$3:$A$345&amp;$E$3:$E$345,0),4),"")</f>
        <v>0</v>
      </c>
      <c r="Z247" s="165" cm="1">
        <f t="array" ref="Z247">IFERROR(INDEX($A$3:$F$345,MATCH(V247&amp;R247,$A$3:$A$345&amp;$E$3:$E$345,0),4),"")</f>
        <v>0</v>
      </c>
      <c r="AA247" s="165" t="str">
        <f t="shared" si="11"/>
        <v/>
      </c>
    </row>
    <row r="248" spans="1:27" x14ac:dyDescent="0.25">
      <c r="A248" s="160"/>
      <c r="B248" s="160"/>
      <c r="C248" s="160"/>
      <c r="D248" s="160"/>
      <c r="E248" s="160"/>
      <c r="F248" s="167" t="str">
        <f t="shared" si="10"/>
        <v/>
      </c>
      <c r="L248" s="164"/>
      <c r="M248" s="164"/>
      <c r="N248" s="169"/>
      <c r="O248" s="164"/>
      <c r="P248" s="164"/>
      <c r="Q248" s="164"/>
      <c r="R248" s="164"/>
      <c r="S248" s="518"/>
      <c r="T248" s="165" t="str">
        <f t="shared" si="9"/>
        <v/>
      </c>
      <c r="U248" s="160"/>
      <c r="V248" s="160"/>
      <c r="W248" s="165" cm="1">
        <f t="array" ref="W248">IFERROR(INDEX($A$3:$F$345,MATCH(U248&amp;R248,$A$3:$A$345&amp;$E$3:$E$345,0),2),"")</f>
        <v>0</v>
      </c>
      <c r="X248" s="165" cm="1">
        <f t="array" ref="X248">IFERROR(INDEX($A$3:$F$345,MATCH(V248&amp;R248,$A$3:$A$345&amp;$E$3:$E$345,0),2),"")</f>
        <v>0</v>
      </c>
      <c r="Y248" s="165" cm="1">
        <f t="array" ref="Y248">IFERROR(INDEX($A$3:$F$345,MATCH(U248&amp;R248,$A$3:$A$345&amp;$E$3:$E$345,0),4),"")</f>
        <v>0</v>
      </c>
      <c r="Z248" s="165" cm="1">
        <f t="array" ref="Z248">IFERROR(INDEX($A$3:$F$345,MATCH(V248&amp;R248,$A$3:$A$345&amp;$E$3:$E$345,0),4),"")</f>
        <v>0</v>
      </c>
      <c r="AA248" s="165" t="str">
        <f t="shared" si="11"/>
        <v/>
      </c>
    </row>
    <row r="249" spans="1:27" x14ac:dyDescent="0.25">
      <c r="A249" s="160"/>
      <c r="B249" s="160"/>
      <c r="C249" s="160"/>
      <c r="D249" s="160"/>
      <c r="E249" s="160"/>
      <c r="F249" s="167" t="str">
        <f t="shared" si="10"/>
        <v/>
      </c>
      <c r="L249" s="164"/>
      <c r="M249" s="164"/>
      <c r="N249" s="169"/>
      <c r="O249" s="164"/>
      <c r="P249" s="164"/>
      <c r="Q249" s="164"/>
      <c r="R249" s="164"/>
      <c r="S249" s="518"/>
      <c r="T249" s="165" t="str">
        <f t="shared" si="9"/>
        <v/>
      </c>
      <c r="U249" s="160"/>
      <c r="V249" s="160"/>
      <c r="W249" s="165" cm="1">
        <f t="array" ref="W249">IFERROR(INDEX($A$3:$F$345,MATCH(U249&amp;R249,$A$3:$A$345&amp;$E$3:$E$345,0),2),"")</f>
        <v>0</v>
      </c>
      <c r="X249" s="165" cm="1">
        <f t="array" ref="X249">IFERROR(INDEX($A$3:$F$345,MATCH(V249&amp;R249,$A$3:$A$345&amp;$E$3:$E$345,0),2),"")</f>
        <v>0</v>
      </c>
      <c r="Y249" s="165" cm="1">
        <f t="array" ref="Y249">IFERROR(INDEX($A$3:$F$345,MATCH(U249&amp;R249,$A$3:$A$345&amp;$E$3:$E$345,0),4),"")</f>
        <v>0</v>
      </c>
      <c r="Z249" s="165" cm="1">
        <f t="array" ref="Z249">IFERROR(INDEX($A$3:$F$345,MATCH(V249&amp;R249,$A$3:$A$345&amp;$E$3:$E$345,0),4),"")</f>
        <v>0</v>
      </c>
      <c r="AA249" s="165" t="str">
        <f t="shared" si="11"/>
        <v/>
      </c>
    </row>
    <row r="250" spans="1:27" x14ac:dyDescent="0.25">
      <c r="A250" s="160"/>
      <c r="B250" s="160"/>
      <c r="C250" s="160"/>
      <c r="D250" s="160"/>
      <c r="E250" s="160"/>
      <c r="F250" s="167" t="str">
        <f t="shared" si="10"/>
        <v/>
      </c>
      <c r="L250" s="164"/>
      <c r="M250" s="164"/>
      <c r="N250" s="169"/>
      <c r="O250" s="164"/>
      <c r="P250" s="164"/>
      <c r="Q250" s="164"/>
      <c r="R250" s="164"/>
      <c r="S250" s="518"/>
      <c r="T250" s="165" t="str">
        <f t="shared" si="9"/>
        <v/>
      </c>
      <c r="U250" s="160"/>
      <c r="V250" s="160"/>
      <c r="W250" s="165" cm="1">
        <f t="array" ref="W250">IFERROR(INDEX($A$3:$F$345,MATCH(U250&amp;R250,$A$3:$A$345&amp;$E$3:$E$345,0),2),"")</f>
        <v>0</v>
      </c>
      <c r="X250" s="165" cm="1">
        <f t="array" ref="X250">IFERROR(INDEX($A$3:$F$345,MATCH(V250&amp;R250,$A$3:$A$345&amp;$E$3:$E$345,0),2),"")</f>
        <v>0</v>
      </c>
      <c r="Y250" s="165" cm="1">
        <f t="array" ref="Y250">IFERROR(INDEX($A$3:$F$345,MATCH(U250&amp;R250,$A$3:$A$345&amp;$E$3:$E$345,0),4),"")</f>
        <v>0</v>
      </c>
      <c r="Z250" s="165" cm="1">
        <f t="array" ref="Z250">IFERROR(INDEX($A$3:$F$345,MATCH(V250&amp;R250,$A$3:$A$345&amp;$E$3:$E$345,0),4),"")</f>
        <v>0</v>
      </c>
      <c r="AA250" s="165" t="str">
        <f t="shared" si="11"/>
        <v/>
      </c>
    </row>
    <row r="251" spans="1:27" x14ac:dyDescent="0.25">
      <c r="A251" s="160"/>
      <c r="B251" s="160"/>
      <c r="C251" s="160"/>
      <c r="D251" s="160"/>
      <c r="E251" s="160"/>
      <c r="F251" s="167" t="str">
        <f t="shared" si="10"/>
        <v/>
      </c>
      <c r="L251" s="164"/>
      <c r="M251" s="164"/>
      <c r="N251" s="169"/>
      <c r="O251" s="164"/>
      <c r="P251" s="164"/>
      <c r="Q251" s="164"/>
      <c r="R251" s="164"/>
      <c r="S251" s="518"/>
      <c r="T251" s="165" t="str">
        <f t="shared" si="9"/>
        <v/>
      </c>
      <c r="U251" s="160"/>
      <c r="V251" s="160"/>
      <c r="W251" s="165" cm="1">
        <f t="array" ref="W251">IFERROR(INDEX($A$3:$F$345,MATCH(U251&amp;R251,$A$3:$A$345&amp;$E$3:$E$345,0),2),"")</f>
        <v>0</v>
      </c>
      <c r="X251" s="165" cm="1">
        <f t="array" ref="X251">IFERROR(INDEX($A$3:$F$345,MATCH(V251&amp;R251,$A$3:$A$345&amp;$E$3:$E$345,0),2),"")</f>
        <v>0</v>
      </c>
      <c r="Y251" s="165" cm="1">
        <f t="array" ref="Y251">IFERROR(INDEX($A$3:$F$345,MATCH(U251&amp;R251,$A$3:$A$345&amp;$E$3:$E$345,0),4),"")</f>
        <v>0</v>
      </c>
      <c r="Z251" s="165" cm="1">
        <f t="array" ref="Z251">IFERROR(INDEX($A$3:$F$345,MATCH(V251&amp;R251,$A$3:$A$345&amp;$E$3:$E$345,0),4),"")</f>
        <v>0</v>
      </c>
      <c r="AA251" s="165" t="str">
        <f t="shared" si="11"/>
        <v/>
      </c>
    </row>
    <row r="252" spans="1:27" x14ac:dyDescent="0.25">
      <c r="A252" s="160"/>
      <c r="B252" s="160"/>
      <c r="C252" s="160"/>
      <c r="D252" s="160"/>
      <c r="E252" s="160"/>
      <c r="F252" s="167" t="str">
        <f t="shared" si="10"/>
        <v/>
      </c>
      <c r="L252" s="164"/>
      <c r="M252" s="164"/>
      <c r="N252" s="169"/>
      <c r="O252" s="164"/>
      <c r="P252" s="164"/>
      <c r="Q252" s="164"/>
      <c r="R252" s="164"/>
      <c r="S252" s="518"/>
      <c r="T252" s="165" t="str">
        <f t="shared" si="9"/>
        <v/>
      </c>
      <c r="U252" s="160"/>
      <c r="V252" s="160"/>
      <c r="W252" s="165" cm="1">
        <f t="array" ref="W252">IFERROR(INDEX($A$3:$F$345,MATCH(U252&amp;R252,$A$3:$A$345&amp;$E$3:$E$345,0),2),"")</f>
        <v>0</v>
      </c>
      <c r="X252" s="165" cm="1">
        <f t="array" ref="X252">IFERROR(INDEX($A$3:$F$345,MATCH(V252&amp;R252,$A$3:$A$345&amp;$E$3:$E$345,0),2),"")</f>
        <v>0</v>
      </c>
      <c r="Y252" s="165" cm="1">
        <f t="array" ref="Y252">IFERROR(INDEX($A$3:$F$345,MATCH(U252&amp;R252,$A$3:$A$345&amp;$E$3:$E$345,0),4),"")</f>
        <v>0</v>
      </c>
      <c r="Z252" s="165" cm="1">
        <f t="array" ref="Z252">IFERROR(INDEX($A$3:$F$345,MATCH(V252&amp;R252,$A$3:$A$345&amp;$E$3:$E$345,0),4),"")</f>
        <v>0</v>
      </c>
      <c r="AA252" s="165" t="str">
        <f t="shared" si="11"/>
        <v/>
      </c>
    </row>
    <row r="253" spans="1:27" x14ac:dyDescent="0.25">
      <c r="A253" s="160"/>
      <c r="B253" s="160"/>
      <c r="C253" s="160"/>
      <c r="D253" s="160"/>
      <c r="E253" s="160"/>
      <c r="F253" s="167" t="str">
        <f t="shared" si="10"/>
        <v/>
      </c>
      <c r="L253" s="164"/>
      <c r="M253" s="164"/>
      <c r="N253" s="169"/>
      <c r="O253" s="164"/>
      <c r="P253" s="164"/>
      <c r="Q253" s="164"/>
      <c r="R253" s="164"/>
      <c r="S253" s="518"/>
      <c r="T253" s="165" t="str">
        <f t="shared" si="9"/>
        <v/>
      </c>
      <c r="U253" s="160"/>
      <c r="V253" s="160"/>
      <c r="W253" s="165" cm="1">
        <f t="array" ref="W253">IFERROR(INDEX($A$3:$F$345,MATCH(U253&amp;R253,$A$3:$A$345&amp;$E$3:$E$345,0),2),"")</f>
        <v>0</v>
      </c>
      <c r="X253" s="165" cm="1">
        <f t="array" ref="X253">IFERROR(INDEX($A$3:$F$345,MATCH(V253&amp;R253,$A$3:$A$345&amp;$E$3:$E$345,0),2),"")</f>
        <v>0</v>
      </c>
      <c r="Y253" s="165" cm="1">
        <f t="array" ref="Y253">IFERROR(INDEX($A$3:$F$345,MATCH(U253&amp;R253,$A$3:$A$345&amp;$E$3:$E$345,0),4),"")</f>
        <v>0</v>
      </c>
      <c r="Z253" s="165" cm="1">
        <f t="array" ref="Z253">IFERROR(INDEX($A$3:$F$345,MATCH(V253&amp;R253,$A$3:$A$345&amp;$E$3:$E$345,0),4),"")</f>
        <v>0</v>
      </c>
      <c r="AA253" s="165" t="str">
        <f t="shared" si="11"/>
        <v/>
      </c>
    </row>
    <row r="254" spans="1:27" x14ac:dyDescent="0.25">
      <c r="A254" s="160"/>
      <c r="B254" s="160"/>
      <c r="C254" s="160"/>
      <c r="D254" s="160"/>
      <c r="E254" s="160"/>
      <c r="F254" s="167" t="str">
        <f t="shared" si="10"/>
        <v/>
      </c>
      <c r="L254" s="164"/>
      <c r="M254" s="164"/>
      <c r="N254" s="169"/>
      <c r="O254" s="164"/>
      <c r="P254" s="164"/>
      <c r="Q254" s="164"/>
      <c r="R254" s="164"/>
      <c r="S254" s="518"/>
      <c r="T254" s="165" t="str">
        <f t="shared" si="9"/>
        <v/>
      </c>
      <c r="U254" s="160"/>
      <c r="V254" s="160"/>
      <c r="W254" s="165" cm="1">
        <f t="array" ref="W254">IFERROR(INDEX($A$3:$F$345,MATCH(U254&amp;R254,$A$3:$A$345&amp;$E$3:$E$345,0),2),"")</f>
        <v>0</v>
      </c>
      <c r="X254" s="165" cm="1">
        <f t="array" ref="X254">IFERROR(INDEX($A$3:$F$345,MATCH(V254&amp;R254,$A$3:$A$345&amp;$E$3:$E$345,0),2),"")</f>
        <v>0</v>
      </c>
      <c r="Y254" s="165" cm="1">
        <f t="array" ref="Y254">IFERROR(INDEX($A$3:$F$345,MATCH(U254&amp;R254,$A$3:$A$345&amp;$E$3:$E$345,0),4),"")</f>
        <v>0</v>
      </c>
      <c r="Z254" s="165" cm="1">
        <f t="array" ref="Z254">IFERROR(INDEX($A$3:$F$345,MATCH(V254&amp;R254,$A$3:$A$345&amp;$E$3:$E$345,0),4),"")</f>
        <v>0</v>
      </c>
      <c r="AA254" s="165" t="str">
        <f t="shared" si="11"/>
        <v/>
      </c>
    </row>
    <row r="255" spans="1:27" x14ac:dyDescent="0.25">
      <c r="A255" s="160"/>
      <c r="B255" s="160"/>
      <c r="C255" s="160"/>
      <c r="D255" s="160"/>
      <c r="E255" s="160"/>
      <c r="F255" s="167" t="str">
        <f t="shared" si="10"/>
        <v/>
      </c>
      <c r="L255" s="164"/>
      <c r="M255" s="164"/>
      <c r="N255" s="169"/>
      <c r="O255" s="164"/>
      <c r="P255" s="164"/>
      <c r="Q255" s="164"/>
      <c r="R255" s="164"/>
      <c r="S255" s="518"/>
      <c r="T255" s="165" t="str">
        <f t="shared" si="9"/>
        <v/>
      </c>
      <c r="U255" s="160"/>
      <c r="V255" s="160"/>
      <c r="W255" s="165" cm="1">
        <f t="array" ref="W255">IFERROR(INDEX($A$3:$F$345,MATCH(U255&amp;R255,$A$3:$A$345&amp;$E$3:$E$345,0),2),"")</f>
        <v>0</v>
      </c>
      <c r="X255" s="165" cm="1">
        <f t="array" ref="X255">IFERROR(INDEX($A$3:$F$345,MATCH(V255&amp;R255,$A$3:$A$345&amp;$E$3:$E$345,0),2),"")</f>
        <v>0</v>
      </c>
      <c r="Y255" s="165" cm="1">
        <f t="array" ref="Y255">IFERROR(INDEX($A$3:$F$345,MATCH(U255&amp;R255,$A$3:$A$345&amp;$E$3:$E$345,0),4),"")</f>
        <v>0</v>
      </c>
      <c r="Z255" s="165" cm="1">
        <f t="array" ref="Z255">IFERROR(INDEX($A$3:$F$345,MATCH(V255&amp;R255,$A$3:$A$345&amp;$E$3:$E$345,0),4),"")</f>
        <v>0</v>
      </c>
      <c r="AA255" s="165" t="str">
        <f t="shared" si="11"/>
        <v/>
      </c>
    </row>
    <row r="256" spans="1:27" x14ac:dyDescent="0.25">
      <c r="A256" s="160"/>
      <c r="B256" s="160"/>
      <c r="C256" s="160"/>
      <c r="D256" s="160"/>
      <c r="E256" s="160"/>
      <c r="F256" s="167" t="str">
        <f t="shared" si="10"/>
        <v/>
      </c>
      <c r="L256" s="164"/>
      <c r="M256" s="164"/>
      <c r="N256" s="169"/>
      <c r="O256" s="164"/>
      <c r="P256" s="164"/>
      <c r="Q256" s="164"/>
      <c r="R256" s="164"/>
      <c r="S256" s="518"/>
      <c r="T256" s="165" t="str">
        <f t="shared" ref="T256:T319" si="12">IF(S256="E","EXISTENTE",IF(AND(S256="R",LEFT(L256,7)="RBIGODE",M256=400),"RBIGODE 40",IF(AND(LEFT(L256,7)="RBIGODE",M256=600),"RBIGODE 60",IF(AND(S256="I",LEFT(L256,6)="BIGODE",M256=400),"BIGODE 40",IF(AND(LEFT(L256,6)="BIGODE",M256=600),"BIGODE 60",LEFT(L256,7))))))</f>
        <v/>
      </c>
      <c r="U256" s="160"/>
      <c r="V256" s="160"/>
      <c r="W256" s="165" cm="1">
        <f t="array" ref="W256">IFERROR(INDEX($A$3:$F$345,MATCH(U256&amp;R256,$A$3:$A$345&amp;$E$3:$E$345,0),2),"")</f>
        <v>0</v>
      </c>
      <c r="X256" s="165" cm="1">
        <f t="array" ref="X256">IFERROR(INDEX($A$3:$F$345,MATCH(V256&amp;R256,$A$3:$A$345&amp;$E$3:$E$345,0),2),"")</f>
        <v>0</v>
      </c>
      <c r="Y256" s="165" cm="1">
        <f t="array" ref="Y256">IFERROR(INDEX($A$3:$F$345,MATCH(U256&amp;R256,$A$3:$A$345&amp;$E$3:$E$345,0),4),"")</f>
        <v>0</v>
      </c>
      <c r="Z256" s="165" cm="1">
        <f t="array" ref="Z256">IFERROR(INDEX($A$3:$F$345,MATCH(V256&amp;R256,$A$3:$A$345&amp;$E$3:$E$345,0),4),"")</f>
        <v>0</v>
      </c>
      <c r="AA256" s="165" t="str">
        <f t="shared" si="11"/>
        <v/>
      </c>
    </row>
    <row r="257" spans="1:27" x14ac:dyDescent="0.25">
      <c r="A257" s="160"/>
      <c r="B257" s="160"/>
      <c r="C257" s="160"/>
      <c r="D257" s="160"/>
      <c r="E257" s="160"/>
      <c r="F257" s="167" t="str">
        <f t="shared" si="10"/>
        <v/>
      </c>
      <c r="L257" s="164"/>
      <c r="M257" s="164"/>
      <c r="N257" s="169"/>
      <c r="O257" s="164"/>
      <c r="P257" s="164"/>
      <c r="Q257" s="164"/>
      <c r="R257" s="164"/>
      <c r="S257" s="518"/>
      <c r="T257" s="165" t="str">
        <f t="shared" si="12"/>
        <v/>
      </c>
      <c r="U257" s="160"/>
      <c r="V257" s="160"/>
      <c r="W257" s="165" cm="1">
        <f t="array" ref="W257">IFERROR(INDEX($A$3:$F$345,MATCH(U257&amp;R257,$A$3:$A$345&amp;$E$3:$E$345,0),2),"")</f>
        <v>0</v>
      </c>
      <c r="X257" s="165" cm="1">
        <f t="array" ref="X257">IFERROR(INDEX($A$3:$F$345,MATCH(V257&amp;R257,$A$3:$A$345&amp;$E$3:$E$345,0),2),"")</f>
        <v>0</v>
      </c>
      <c r="Y257" s="165" cm="1">
        <f t="array" ref="Y257">IFERROR(INDEX($A$3:$F$345,MATCH(U257&amp;R257,$A$3:$A$345&amp;$E$3:$E$345,0),4),"")</f>
        <v>0</v>
      </c>
      <c r="Z257" s="165" cm="1">
        <f t="array" ref="Z257">IFERROR(INDEX($A$3:$F$345,MATCH(V257&amp;R257,$A$3:$A$345&amp;$E$3:$E$345,0),4),"")</f>
        <v>0</v>
      </c>
      <c r="AA257" s="165" t="str">
        <f t="shared" si="11"/>
        <v/>
      </c>
    </row>
    <row r="258" spans="1:27" x14ac:dyDescent="0.25">
      <c r="A258" s="160"/>
      <c r="B258" s="160"/>
      <c r="C258" s="160"/>
      <c r="D258" s="160"/>
      <c r="E258" s="160"/>
      <c r="F258" s="167" t="str">
        <f t="shared" si="10"/>
        <v/>
      </c>
      <c r="L258" s="164"/>
      <c r="M258" s="164"/>
      <c r="N258" s="169"/>
      <c r="O258" s="164"/>
      <c r="P258" s="164"/>
      <c r="Q258" s="164"/>
      <c r="R258" s="164"/>
      <c r="S258" s="518"/>
      <c r="T258" s="165" t="str">
        <f t="shared" si="12"/>
        <v/>
      </c>
      <c r="U258" s="160"/>
      <c r="V258" s="160"/>
      <c r="W258" s="165" cm="1">
        <f t="array" ref="W258">IFERROR(INDEX($A$3:$F$345,MATCH(U258&amp;R258,$A$3:$A$345&amp;$E$3:$E$345,0),2),"")</f>
        <v>0</v>
      </c>
      <c r="X258" s="165" cm="1">
        <f t="array" ref="X258">IFERROR(INDEX($A$3:$F$345,MATCH(V258&amp;R258,$A$3:$A$345&amp;$E$3:$E$345,0),2),"")</f>
        <v>0</v>
      </c>
      <c r="Y258" s="165" cm="1">
        <f t="array" ref="Y258">IFERROR(INDEX($A$3:$F$345,MATCH(U258&amp;R258,$A$3:$A$345&amp;$E$3:$E$345,0),4),"")</f>
        <v>0</v>
      </c>
      <c r="Z258" s="165" cm="1">
        <f t="array" ref="Z258">IFERROR(INDEX($A$3:$F$345,MATCH(V258&amp;R258,$A$3:$A$345&amp;$E$3:$E$345,0),4),"")</f>
        <v>0</v>
      </c>
      <c r="AA258" s="165" t="str">
        <f t="shared" si="11"/>
        <v/>
      </c>
    </row>
    <row r="259" spans="1:27" x14ac:dyDescent="0.25">
      <c r="A259" s="160"/>
      <c r="B259" s="160"/>
      <c r="C259" s="160"/>
      <c r="D259" s="160"/>
      <c r="E259" s="160"/>
      <c r="F259" s="167" t="str">
        <f t="shared" ref="F259:F317" si="13">IF(AND(LEFT(A259,4)&lt;&gt;"PV",LEFT(A259,4)&lt;&gt;"CX"),IF(LEFT(A259,1)="R",RIGHT(LEFT(A259,3),4),IF(LEFT(A259,1)="I",RIGHT(LEFT(A259,4),3),LEFT(A259,3))))</f>
        <v/>
      </c>
      <c r="L259" s="164"/>
      <c r="M259" s="164"/>
      <c r="N259" s="169"/>
      <c r="O259" s="164"/>
      <c r="P259" s="164"/>
      <c r="Q259" s="164"/>
      <c r="R259" s="164"/>
      <c r="S259" s="518"/>
      <c r="T259" s="165" t="str">
        <f t="shared" si="12"/>
        <v/>
      </c>
      <c r="U259" s="160"/>
      <c r="V259" s="160"/>
      <c r="W259" s="165" cm="1">
        <f t="array" ref="W259">IFERROR(INDEX($A$3:$F$345,MATCH(U259&amp;R259,$A$3:$A$345&amp;$E$3:$E$345,0),2),"")</f>
        <v>0</v>
      </c>
      <c r="X259" s="165" cm="1">
        <f t="array" ref="X259">IFERROR(INDEX($A$3:$F$345,MATCH(V259&amp;R259,$A$3:$A$345&amp;$E$3:$E$345,0),2),"")</f>
        <v>0</v>
      </c>
      <c r="Y259" s="165" cm="1">
        <f t="array" ref="Y259">IFERROR(INDEX($A$3:$F$345,MATCH(U259&amp;R259,$A$3:$A$345&amp;$E$3:$E$345,0),4),"")</f>
        <v>0</v>
      </c>
      <c r="Z259" s="165" cm="1">
        <f t="array" ref="Z259">IFERROR(INDEX($A$3:$F$345,MATCH(V259&amp;R259,$A$3:$A$345&amp;$E$3:$E$345,0),4),"")</f>
        <v>0</v>
      </c>
      <c r="AA259" s="165" t="str">
        <f t="shared" ref="AA259:AA303" si="14">IFERROR((IF(LEFT(U259,1)="R",RIGHT(LEFT(U259,3),2),LEFT(U259,2))),"")</f>
        <v/>
      </c>
    </row>
    <row r="260" spans="1:27" x14ac:dyDescent="0.25">
      <c r="A260" s="160"/>
      <c r="B260" s="160"/>
      <c r="C260" s="160"/>
      <c r="D260" s="160"/>
      <c r="E260" s="160"/>
      <c r="F260" s="167" t="str">
        <f t="shared" si="13"/>
        <v/>
      </c>
      <c r="L260" s="164"/>
      <c r="M260" s="164"/>
      <c r="N260" s="169"/>
      <c r="O260" s="164"/>
      <c r="P260" s="164"/>
      <c r="Q260" s="164"/>
      <c r="R260" s="164"/>
      <c r="S260" s="518"/>
      <c r="T260" s="165" t="str">
        <f t="shared" si="12"/>
        <v/>
      </c>
      <c r="U260" s="160"/>
      <c r="V260" s="160"/>
      <c r="W260" s="165" cm="1">
        <f t="array" ref="W260">IFERROR(INDEX($A$3:$F$345,MATCH(U260&amp;R260,$A$3:$A$345&amp;$E$3:$E$345,0),2),"")</f>
        <v>0</v>
      </c>
      <c r="X260" s="165" cm="1">
        <f t="array" ref="X260">IFERROR(INDEX($A$3:$F$345,MATCH(V260&amp;R260,$A$3:$A$345&amp;$E$3:$E$345,0),2),"")</f>
        <v>0</v>
      </c>
      <c r="Y260" s="165" cm="1">
        <f t="array" ref="Y260">IFERROR(INDEX($A$3:$F$345,MATCH(U260&amp;R260,$A$3:$A$345&amp;$E$3:$E$345,0),4),"")</f>
        <v>0</v>
      </c>
      <c r="Z260" s="165" cm="1">
        <f t="array" ref="Z260">IFERROR(INDEX($A$3:$F$345,MATCH(V260&amp;R260,$A$3:$A$345&amp;$E$3:$E$345,0),4),"")</f>
        <v>0</v>
      </c>
      <c r="AA260" s="165" t="str">
        <f t="shared" si="14"/>
        <v/>
      </c>
    </row>
    <row r="261" spans="1:27" x14ac:dyDescent="0.25">
      <c r="A261" s="160"/>
      <c r="B261" s="160"/>
      <c r="C261" s="160"/>
      <c r="D261" s="160"/>
      <c r="E261" s="160"/>
      <c r="F261" s="167" t="str">
        <f t="shared" si="13"/>
        <v/>
      </c>
      <c r="L261" s="164"/>
      <c r="M261" s="164"/>
      <c r="N261" s="169"/>
      <c r="O261" s="164"/>
      <c r="P261" s="164"/>
      <c r="Q261" s="164"/>
      <c r="R261" s="164"/>
      <c r="S261" s="518"/>
      <c r="T261" s="165" t="str">
        <f t="shared" si="12"/>
        <v/>
      </c>
      <c r="U261" s="160"/>
      <c r="V261" s="160"/>
      <c r="W261" s="165" cm="1">
        <f t="array" ref="W261">IFERROR(INDEX($A$3:$F$345,MATCH(U261&amp;R261,$A$3:$A$345&amp;$E$3:$E$345,0),2),"")</f>
        <v>0</v>
      </c>
      <c r="X261" s="165" cm="1">
        <f t="array" ref="X261">IFERROR(INDEX($A$3:$F$345,MATCH(V261&amp;R261,$A$3:$A$345&amp;$E$3:$E$345,0),2),"")</f>
        <v>0</v>
      </c>
      <c r="Y261" s="165" cm="1">
        <f t="array" ref="Y261">IFERROR(INDEX($A$3:$F$345,MATCH(U261&amp;R261,$A$3:$A$345&amp;$E$3:$E$345,0),4),"")</f>
        <v>0</v>
      </c>
      <c r="Z261" s="165" cm="1">
        <f t="array" ref="Z261">IFERROR(INDEX($A$3:$F$345,MATCH(V261&amp;R261,$A$3:$A$345&amp;$E$3:$E$345,0),4),"")</f>
        <v>0</v>
      </c>
      <c r="AA261" s="165" t="str">
        <f t="shared" si="14"/>
        <v/>
      </c>
    </row>
    <row r="262" spans="1:27" x14ac:dyDescent="0.25">
      <c r="A262" s="160"/>
      <c r="B262" s="160"/>
      <c r="C262" s="160"/>
      <c r="D262" s="160"/>
      <c r="E262" s="160"/>
      <c r="F262" s="167" t="str">
        <f t="shared" si="13"/>
        <v/>
      </c>
      <c r="L262" s="164"/>
      <c r="M262" s="164"/>
      <c r="N262" s="169"/>
      <c r="O262" s="164"/>
      <c r="P262" s="164"/>
      <c r="Q262" s="164"/>
      <c r="R262" s="164"/>
      <c r="S262" s="518"/>
      <c r="T262" s="165" t="str">
        <f t="shared" si="12"/>
        <v/>
      </c>
      <c r="U262" s="160"/>
      <c r="V262" s="160"/>
      <c r="W262" s="165" cm="1">
        <f t="array" ref="W262">IFERROR(INDEX($A$3:$F$345,MATCH(U262&amp;R262,$A$3:$A$345&amp;$E$3:$E$345,0),2),"")</f>
        <v>0</v>
      </c>
      <c r="X262" s="165" cm="1">
        <f t="array" ref="X262">IFERROR(INDEX($A$3:$F$345,MATCH(V262&amp;R262,$A$3:$A$345&amp;$E$3:$E$345,0),2),"")</f>
        <v>0</v>
      </c>
      <c r="Y262" s="165" cm="1">
        <f t="array" ref="Y262">IFERROR(INDEX($A$3:$F$345,MATCH(U262&amp;R262,$A$3:$A$345&amp;$E$3:$E$345,0),4),"")</f>
        <v>0</v>
      </c>
      <c r="Z262" s="165" cm="1">
        <f t="array" ref="Z262">IFERROR(INDEX($A$3:$F$345,MATCH(V262&amp;R262,$A$3:$A$345&amp;$E$3:$E$345,0),4),"")</f>
        <v>0</v>
      </c>
      <c r="AA262" s="165" t="str">
        <f t="shared" si="14"/>
        <v/>
      </c>
    </row>
    <row r="263" spans="1:27" x14ac:dyDescent="0.25">
      <c r="A263" s="160"/>
      <c r="B263" s="160"/>
      <c r="C263" s="160"/>
      <c r="D263" s="160"/>
      <c r="E263" s="160"/>
      <c r="F263" s="167" t="str">
        <f t="shared" si="13"/>
        <v/>
      </c>
      <c r="L263" s="164"/>
      <c r="M263" s="164"/>
      <c r="N263" s="169"/>
      <c r="O263" s="164"/>
      <c r="P263" s="164"/>
      <c r="Q263" s="164"/>
      <c r="R263" s="164"/>
      <c r="S263" s="518"/>
      <c r="T263" s="165" t="str">
        <f t="shared" si="12"/>
        <v/>
      </c>
      <c r="U263" s="160"/>
      <c r="V263" s="160"/>
      <c r="W263" s="165" cm="1">
        <f t="array" ref="W263">IFERROR(INDEX($A$3:$F$345,MATCH(U263&amp;R263,$A$3:$A$345&amp;$E$3:$E$345,0),2),"")</f>
        <v>0</v>
      </c>
      <c r="X263" s="165" cm="1">
        <f t="array" ref="X263">IFERROR(INDEX($A$3:$F$345,MATCH(V263&amp;R263,$A$3:$A$345&amp;$E$3:$E$345,0),2),"")</f>
        <v>0</v>
      </c>
      <c r="Y263" s="165" cm="1">
        <f t="array" ref="Y263">IFERROR(INDEX($A$3:$F$345,MATCH(U263&amp;R263,$A$3:$A$345&amp;$E$3:$E$345,0),4),"")</f>
        <v>0</v>
      </c>
      <c r="Z263" s="165" cm="1">
        <f t="array" ref="Z263">IFERROR(INDEX($A$3:$F$345,MATCH(V263&amp;R263,$A$3:$A$345&amp;$E$3:$E$345,0),4),"")</f>
        <v>0</v>
      </c>
      <c r="AA263" s="165" t="str">
        <f t="shared" si="14"/>
        <v/>
      </c>
    </row>
    <row r="264" spans="1:27" x14ac:dyDescent="0.25">
      <c r="A264" s="160"/>
      <c r="B264" s="160"/>
      <c r="C264" s="160"/>
      <c r="D264" s="160"/>
      <c r="E264" s="160"/>
      <c r="F264" s="167" t="str">
        <f t="shared" si="13"/>
        <v/>
      </c>
      <c r="L264" s="164"/>
      <c r="M264" s="164"/>
      <c r="N264" s="169"/>
      <c r="O264" s="164"/>
      <c r="P264" s="164"/>
      <c r="Q264" s="164"/>
      <c r="R264" s="164"/>
      <c r="S264" s="518"/>
      <c r="T264" s="165" t="str">
        <f t="shared" si="12"/>
        <v/>
      </c>
      <c r="U264" s="160"/>
      <c r="V264" s="160"/>
      <c r="W264" s="165" cm="1">
        <f t="array" ref="W264">IFERROR(INDEX($A$3:$F$345,MATCH(U264&amp;R264,$A$3:$A$345&amp;$E$3:$E$345,0),2),"")</f>
        <v>0</v>
      </c>
      <c r="X264" s="165" cm="1">
        <f t="array" ref="X264">IFERROR(INDEX($A$3:$F$345,MATCH(V264&amp;R264,$A$3:$A$345&amp;$E$3:$E$345,0),2),"")</f>
        <v>0</v>
      </c>
      <c r="Y264" s="165" cm="1">
        <f t="array" ref="Y264">IFERROR(INDEX($A$3:$F$345,MATCH(U264&amp;R264,$A$3:$A$345&amp;$E$3:$E$345,0),4),"")</f>
        <v>0</v>
      </c>
      <c r="Z264" s="165" cm="1">
        <f t="array" ref="Z264">IFERROR(INDEX($A$3:$F$345,MATCH(V264&amp;R264,$A$3:$A$345&amp;$E$3:$E$345,0),4),"")</f>
        <v>0</v>
      </c>
      <c r="AA264" s="165" t="str">
        <f t="shared" si="14"/>
        <v/>
      </c>
    </row>
    <row r="265" spans="1:27" x14ac:dyDescent="0.25">
      <c r="A265" s="160"/>
      <c r="B265" s="160"/>
      <c r="C265" s="160"/>
      <c r="D265" s="160"/>
      <c r="E265" s="160"/>
      <c r="F265" s="167" t="str">
        <f t="shared" si="13"/>
        <v/>
      </c>
      <c r="L265" s="164"/>
      <c r="M265" s="164"/>
      <c r="N265" s="169"/>
      <c r="O265" s="164"/>
      <c r="P265" s="164"/>
      <c r="Q265" s="164"/>
      <c r="R265" s="164"/>
      <c r="S265" s="518"/>
      <c r="T265" s="165" t="str">
        <f t="shared" si="12"/>
        <v/>
      </c>
      <c r="U265" s="160"/>
      <c r="V265" s="160"/>
      <c r="W265" s="165" cm="1">
        <f t="array" ref="W265">IFERROR(INDEX($A$3:$F$345,MATCH(U265&amp;R265,$A$3:$A$345&amp;$E$3:$E$345,0),2),"")</f>
        <v>0</v>
      </c>
      <c r="X265" s="165" cm="1">
        <f t="array" ref="X265">IFERROR(INDEX($A$3:$F$345,MATCH(V265&amp;R265,$A$3:$A$345&amp;$E$3:$E$345,0),2),"")</f>
        <v>0</v>
      </c>
      <c r="Y265" s="165" cm="1">
        <f t="array" ref="Y265">IFERROR(INDEX($A$3:$F$345,MATCH(U265&amp;R265,$A$3:$A$345&amp;$E$3:$E$345,0),4),"")</f>
        <v>0</v>
      </c>
      <c r="Z265" s="165" cm="1">
        <f t="array" ref="Z265">IFERROR(INDEX($A$3:$F$345,MATCH(V265&amp;R265,$A$3:$A$345&amp;$E$3:$E$345,0),4),"")</f>
        <v>0</v>
      </c>
      <c r="AA265" s="165" t="str">
        <f t="shared" si="14"/>
        <v/>
      </c>
    </row>
    <row r="266" spans="1:27" x14ac:dyDescent="0.25">
      <c r="A266" s="160"/>
      <c r="B266" s="160"/>
      <c r="C266" s="160"/>
      <c r="D266" s="160"/>
      <c r="E266" s="160"/>
      <c r="F266" s="167" t="str">
        <f t="shared" si="13"/>
        <v/>
      </c>
      <c r="L266" s="164"/>
      <c r="M266" s="164"/>
      <c r="N266" s="169"/>
      <c r="O266" s="164"/>
      <c r="P266" s="164"/>
      <c r="Q266" s="164"/>
      <c r="R266" s="164"/>
      <c r="S266" s="518"/>
      <c r="T266" s="165" t="str">
        <f t="shared" si="12"/>
        <v/>
      </c>
      <c r="U266" s="160"/>
      <c r="V266" s="160"/>
      <c r="W266" s="165" cm="1">
        <f t="array" ref="W266">IFERROR(INDEX($A$3:$F$345,MATCH(U266&amp;R266,$A$3:$A$345&amp;$E$3:$E$345,0),2),"")</f>
        <v>0</v>
      </c>
      <c r="X266" s="165" cm="1">
        <f t="array" ref="X266">IFERROR(INDEX($A$3:$F$345,MATCH(V266&amp;R266,$A$3:$A$345&amp;$E$3:$E$345,0),2),"")</f>
        <v>0</v>
      </c>
      <c r="Y266" s="165" cm="1">
        <f t="array" ref="Y266">IFERROR(INDEX($A$3:$F$345,MATCH(U266&amp;R266,$A$3:$A$345&amp;$E$3:$E$345,0),4),"")</f>
        <v>0</v>
      </c>
      <c r="Z266" s="165" cm="1">
        <f t="array" ref="Z266">IFERROR(INDEX($A$3:$F$345,MATCH(V266&amp;R266,$A$3:$A$345&amp;$E$3:$E$345,0),4),"")</f>
        <v>0</v>
      </c>
      <c r="AA266" s="165" t="str">
        <f t="shared" si="14"/>
        <v/>
      </c>
    </row>
    <row r="267" spans="1:27" x14ac:dyDescent="0.25">
      <c r="A267" s="160"/>
      <c r="B267" s="160"/>
      <c r="C267" s="160"/>
      <c r="D267" s="160"/>
      <c r="E267" s="160"/>
      <c r="F267" s="167" t="str">
        <f t="shared" si="13"/>
        <v/>
      </c>
      <c r="L267" s="164"/>
      <c r="M267" s="164"/>
      <c r="N267" s="169"/>
      <c r="O267" s="164"/>
      <c r="P267" s="164"/>
      <c r="Q267" s="164"/>
      <c r="R267" s="164"/>
      <c r="S267" s="518"/>
      <c r="T267" s="165" t="str">
        <f t="shared" si="12"/>
        <v/>
      </c>
      <c r="U267" s="160"/>
      <c r="V267" s="160"/>
      <c r="W267" s="165" cm="1">
        <f t="array" ref="W267">IFERROR(INDEX($A$3:$F$345,MATCH(U267&amp;R267,$A$3:$A$345&amp;$E$3:$E$345,0),2),"")</f>
        <v>0</v>
      </c>
      <c r="X267" s="165" cm="1">
        <f t="array" ref="X267">IFERROR(INDEX($A$3:$F$345,MATCH(V267&amp;R267,$A$3:$A$345&amp;$E$3:$E$345,0),2),"")</f>
        <v>0</v>
      </c>
      <c r="Y267" s="165" cm="1">
        <f t="array" ref="Y267">IFERROR(INDEX($A$3:$F$345,MATCH(U267&amp;R267,$A$3:$A$345&amp;$E$3:$E$345,0),4),"")</f>
        <v>0</v>
      </c>
      <c r="Z267" s="165" cm="1">
        <f t="array" ref="Z267">IFERROR(INDEX($A$3:$F$345,MATCH(V267&amp;R267,$A$3:$A$345&amp;$E$3:$E$345,0),4),"")</f>
        <v>0</v>
      </c>
      <c r="AA267" s="165" t="str">
        <f t="shared" si="14"/>
        <v/>
      </c>
    </row>
    <row r="268" spans="1:27" x14ac:dyDescent="0.25">
      <c r="A268" s="160"/>
      <c r="B268" s="160"/>
      <c r="C268" s="160"/>
      <c r="D268" s="160"/>
      <c r="E268" s="160"/>
      <c r="F268" s="167" t="str">
        <f t="shared" si="13"/>
        <v/>
      </c>
      <c r="L268" s="164"/>
      <c r="M268" s="164"/>
      <c r="N268" s="169"/>
      <c r="O268" s="164"/>
      <c r="P268" s="164"/>
      <c r="Q268" s="164"/>
      <c r="R268" s="164"/>
      <c r="S268" s="518"/>
      <c r="T268" s="165" t="str">
        <f t="shared" si="12"/>
        <v/>
      </c>
      <c r="U268" s="160"/>
      <c r="V268" s="160"/>
      <c r="W268" s="165" cm="1">
        <f t="array" ref="W268">IFERROR(INDEX($A$3:$F$345,MATCH(U268&amp;R268,$A$3:$A$345&amp;$E$3:$E$345,0),2),"")</f>
        <v>0</v>
      </c>
      <c r="X268" s="165" cm="1">
        <f t="array" ref="X268">IFERROR(INDEX($A$3:$F$345,MATCH(V268&amp;R268,$A$3:$A$345&amp;$E$3:$E$345,0),2),"")</f>
        <v>0</v>
      </c>
      <c r="Y268" s="165" cm="1">
        <f t="array" ref="Y268">IFERROR(INDEX($A$3:$F$345,MATCH(U268&amp;R268,$A$3:$A$345&amp;$E$3:$E$345,0),4),"")</f>
        <v>0</v>
      </c>
      <c r="Z268" s="165" cm="1">
        <f t="array" ref="Z268">IFERROR(INDEX($A$3:$F$345,MATCH(V268&amp;R268,$A$3:$A$345&amp;$E$3:$E$345,0),4),"")</f>
        <v>0</v>
      </c>
      <c r="AA268" s="165" t="str">
        <f t="shared" si="14"/>
        <v/>
      </c>
    </row>
    <row r="269" spans="1:27" x14ac:dyDescent="0.25">
      <c r="A269" s="160"/>
      <c r="B269" s="160"/>
      <c r="C269" s="160"/>
      <c r="D269" s="160"/>
      <c r="E269" s="160"/>
      <c r="F269" s="167" t="str">
        <f t="shared" si="13"/>
        <v/>
      </c>
      <c r="L269" s="164"/>
      <c r="M269" s="164"/>
      <c r="N269" s="169"/>
      <c r="O269" s="164"/>
      <c r="P269" s="164"/>
      <c r="Q269" s="164"/>
      <c r="R269" s="164"/>
      <c r="S269" s="518"/>
      <c r="T269" s="165" t="str">
        <f t="shared" si="12"/>
        <v/>
      </c>
      <c r="U269" s="160"/>
      <c r="V269" s="160"/>
      <c r="W269" s="165" cm="1">
        <f t="array" ref="W269">IFERROR(INDEX($A$3:$F$345,MATCH(U269&amp;R269,$A$3:$A$345&amp;$E$3:$E$345,0),2),"")</f>
        <v>0</v>
      </c>
      <c r="X269" s="165" cm="1">
        <f t="array" ref="X269">IFERROR(INDEX($A$3:$F$345,MATCH(V269&amp;R269,$A$3:$A$345&amp;$E$3:$E$345,0),2),"")</f>
        <v>0</v>
      </c>
      <c r="Y269" s="165" cm="1">
        <f t="array" ref="Y269">IFERROR(INDEX($A$3:$F$345,MATCH(U269&amp;R269,$A$3:$A$345&amp;$E$3:$E$345,0),4),"")</f>
        <v>0</v>
      </c>
      <c r="Z269" s="165" cm="1">
        <f t="array" ref="Z269">IFERROR(INDEX($A$3:$F$345,MATCH(V269&amp;R269,$A$3:$A$345&amp;$E$3:$E$345,0),4),"")</f>
        <v>0</v>
      </c>
      <c r="AA269" s="165" t="str">
        <f t="shared" si="14"/>
        <v/>
      </c>
    </row>
    <row r="270" spans="1:27" x14ac:dyDescent="0.25">
      <c r="A270" s="160"/>
      <c r="B270" s="160"/>
      <c r="C270" s="160"/>
      <c r="D270" s="160"/>
      <c r="E270" s="160"/>
      <c r="F270" s="167" t="str">
        <f t="shared" si="13"/>
        <v/>
      </c>
      <c r="L270" s="164"/>
      <c r="M270" s="164"/>
      <c r="N270" s="169"/>
      <c r="O270" s="164"/>
      <c r="P270" s="164"/>
      <c r="Q270" s="164"/>
      <c r="R270" s="164"/>
      <c r="S270" s="518"/>
      <c r="T270" s="165" t="str">
        <f t="shared" si="12"/>
        <v/>
      </c>
      <c r="U270" s="160"/>
      <c r="V270" s="160"/>
      <c r="W270" s="165" cm="1">
        <f t="array" ref="W270">IFERROR(INDEX($A$3:$F$345,MATCH(U270&amp;R270,$A$3:$A$345&amp;$E$3:$E$345,0),2),"")</f>
        <v>0</v>
      </c>
      <c r="X270" s="165" cm="1">
        <f t="array" ref="X270">IFERROR(INDEX($A$3:$F$345,MATCH(V270&amp;R270,$A$3:$A$345&amp;$E$3:$E$345,0),2),"")</f>
        <v>0</v>
      </c>
      <c r="Y270" s="165" cm="1">
        <f t="array" ref="Y270">IFERROR(INDEX($A$3:$F$345,MATCH(U270&amp;R270,$A$3:$A$345&amp;$E$3:$E$345,0),4),"")</f>
        <v>0</v>
      </c>
      <c r="Z270" s="165" cm="1">
        <f t="array" ref="Z270">IFERROR(INDEX($A$3:$F$345,MATCH(V270&amp;R270,$A$3:$A$345&amp;$E$3:$E$345,0),4),"")</f>
        <v>0</v>
      </c>
      <c r="AA270" s="165" t="str">
        <f t="shared" si="14"/>
        <v/>
      </c>
    </row>
    <row r="271" spans="1:27" x14ac:dyDescent="0.25">
      <c r="A271" s="160"/>
      <c r="B271" s="160"/>
      <c r="C271" s="160"/>
      <c r="D271" s="160"/>
      <c r="E271" s="160"/>
      <c r="F271" s="167" t="str">
        <f t="shared" si="13"/>
        <v/>
      </c>
      <c r="L271" s="164"/>
      <c r="M271" s="164"/>
      <c r="N271" s="169"/>
      <c r="O271" s="164"/>
      <c r="P271" s="164"/>
      <c r="Q271" s="164"/>
      <c r="R271" s="164"/>
      <c r="S271" s="518"/>
      <c r="T271" s="165" t="str">
        <f t="shared" si="12"/>
        <v/>
      </c>
      <c r="U271" s="160"/>
      <c r="V271" s="160"/>
      <c r="W271" s="165" cm="1">
        <f t="array" ref="W271">IFERROR(INDEX($A$3:$F$345,MATCH(U271&amp;R271,$A$3:$A$345&amp;$E$3:$E$345,0),2),"")</f>
        <v>0</v>
      </c>
      <c r="X271" s="165" cm="1">
        <f t="array" ref="X271">IFERROR(INDEX($A$3:$F$345,MATCH(V271&amp;R271,$A$3:$A$345&amp;$E$3:$E$345,0),2),"")</f>
        <v>0</v>
      </c>
      <c r="Y271" s="165" cm="1">
        <f t="array" ref="Y271">IFERROR(INDEX($A$3:$F$345,MATCH(U271&amp;R271,$A$3:$A$345&amp;$E$3:$E$345,0),4),"")</f>
        <v>0</v>
      </c>
      <c r="Z271" s="165" cm="1">
        <f t="array" ref="Z271">IFERROR(INDEX($A$3:$F$345,MATCH(V271&amp;R271,$A$3:$A$345&amp;$E$3:$E$345,0),4),"")</f>
        <v>0</v>
      </c>
      <c r="AA271" s="165" t="str">
        <f t="shared" si="14"/>
        <v/>
      </c>
    </row>
    <row r="272" spans="1:27" x14ac:dyDescent="0.25">
      <c r="A272" s="160"/>
      <c r="B272" s="160"/>
      <c r="C272" s="160"/>
      <c r="D272" s="160"/>
      <c r="E272" s="160"/>
      <c r="F272" s="167" t="str">
        <f t="shared" si="13"/>
        <v/>
      </c>
      <c r="L272" s="164"/>
      <c r="M272" s="164"/>
      <c r="N272" s="169"/>
      <c r="O272" s="164"/>
      <c r="P272" s="164"/>
      <c r="Q272" s="164"/>
      <c r="R272" s="164"/>
      <c r="S272" s="518"/>
      <c r="T272" s="165" t="str">
        <f t="shared" si="12"/>
        <v/>
      </c>
      <c r="U272" s="160"/>
      <c r="V272" s="160"/>
      <c r="W272" s="165" cm="1">
        <f t="array" ref="W272">IFERROR(INDEX($A$3:$F$345,MATCH(U272&amp;R272,$A$3:$A$345&amp;$E$3:$E$345,0),2),"")</f>
        <v>0</v>
      </c>
      <c r="X272" s="165" cm="1">
        <f t="array" ref="X272">IFERROR(INDEX($A$3:$F$345,MATCH(V272&amp;R272,$A$3:$A$345&amp;$E$3:$E$345,0),2),"")</f>
        <v>0</v>
      </c>
      <c r="Y272" s="165" cm="1">
        <f t="array" ref="Y272">IFERROR(INDEX($A$3:$F$345,MATCH(U272&amp;R272,$A$3:$A$345&amp;$E$3:$E$345,0),4),"")</f>
        <v>0</v>
      </c>
      <c r="Z272" s="165" cm="1">
        <f t="array" ref="Z272">IFERROR(INDEX($A$3:$F$345,MATCH(V272&amp;R272,$A$3:$A$345&amp;$E$3:$E$345,0),4),"")</f>
        <v>0</v>
      </c>
      <c r="AA272" s="165" t="str">
        <f t="shared" si="14"/>
        <v/>
      </c>
    </row>
    <row r="273" spans="1:27" x14ac:dyDescent="0.25">
      <c r="A273" s="160"/>
      <c r="B273" s="160"/>
      <c r="C273" s="160"/>
      <c r="D273" s="160"/>
      <c r="E273" s="160"/>
      <c r="F273" s="167" t="str">
        <f t="shared" si="13"/>
        <v/>
      </c>
      <c r="L273" s="164"/>
      <c r="M273" s="164"/>
      <c r="N273" s="169"/>
      <c r="O273" s="164"/>
      <c r="P273" s="164"/>
      <c r="Q273" s="164"/>
      <c r="R273" s="164"/>
      <c r="S273" s="518"/>
      <c r="T273" s="165" t="str">
        <f t="shared" si="12"/>
        <v/>
      </c>
      <c r="U273" s="160"/>
      <c r="V273" s="160"/>
      <c r="W273" s="165" cm="1">
        <f t="array" ref="W273">IFERROR(INDEX($A$3:$F$345,MATCH(U273&amp;R273,$A$3:$A$345&amp;$E$3:$E$345,0),2),"")</f>
        <v>0</v>
      </c>
      <c r="X273" s="165" cm="1">
        <f t="array" ref="X273">IFERROR(INDEX($A$3:$F$345,MATCH(V273&amp;R273,$A$3:$A$345&amp;$E$3:$E$345,0),2),"")</f>
        <v>0</v>
      </c>
      <c r="Y273" s="165" cm="1">
        <f t="array" ref="Y273">IFERROR(INDEX($A$3:$F$345,MATCH(U273&amp;R273,$A$3:$A$345&amp;$E$3:$E$345,0),4),"")</f>
        <v>0</v>
      </c>
      <c r="Z273" s="165" cm="1">
        <f t="array" ref="Z273">IFERROR(INDEX($A$3:$F$345,MATCH(V273&amp;R273,$A$3:$A$345&amp;$E$3:$E$345,0),4),"")</f>
        <v>0</v>
      </c>
      <c r="AA273" s="165" t="str">
        <f t="shared" si="14"/>
        <v/>
      </c>
    </row>
    <row r="274" spans="1:27" x14ac:dyDescent="0.25">
      <c r="A274" s="160"/>
      <c r="B274" s="160"/>
      <c r="C274" s="160"/>
      <c r="D274" s="160"/>
      <c r="E274" s="160"/>
      <c r="F274" s="167" t="str">
        <f t="shared" si="13"/>
        <v/>
      </c>
      <c r="L274" s="164"/>
      <c r="M274" s="164"/>
      <c r="N274" s="169"/>
      <c r="O274" s="164"/>
      <c r="P274" s="164"/>
      <c r="Q274" s="164"/>
      <c r="R274" s="164"/>
      <c r="S274" s="518"/>
      <c r="T274" s="165" t="str">
        <f t="shared" si="12"/>
        <v/>
      </c>
      <c r="U274" s="160"/>
      <c r="V274" s="160"/>
      <c r="W274" s="165" cm="1">
        <f t="array" ref="W274">IFERROR(INDEX($A$3:$F$345,MATCH(U274&amp;R274,$A$3:$A$345&amp;$E$3:$E$345,0),2),"")</f>
        <v>0</v>
      </c>
      <c r="X274" s="165" cm="1">
        <f t="array" ref="X274">IFERROR(INDEX($A$3:$F$345,MATCH(V274&amp;R274,$A$3:$A$345&amp;$E$3:$E$345,0),2),"")</f>
        <v>0</v>
      </c>
      <c r="Y274" s="165" cm="1">
        <f t="array" ref="Y274">IFERROR(INDEX($A$3:$F$345,MATCH(U274&amp;R274,$A$3:$A$345&amp;$E$3:$E$345,0),4),"")</f>
        <v>0</v>
      </c>
      <c r="Z274" s="165" cm="1">
        <f t="array" ref="Z274">IFERROR(INDEX($A$3:$F$345,MATCH(V274&amp;R274,$A$3:$A$345&amp;$E$3:$E$345,0),4),"")</f>
        <v>0</v>
      </c>
      <c r="AA274" s="165" t="str">
        <f t="shared" si="14"/>
        <v/>
      </c>
    </row>
    <row r="275" spans="1:27" x14ac:dyDescent="0.25">
      <c r="A275" s="160"/>
      <c r="B275" s="160"/>
      <c r="C275" s="160"/>
      <c r="D275" s="160"/>
      <c r="E275" s="160"/>
      <c r="F275" s="167" t="str">
        <f t="shared" si="13"/>
        <v/>
      </c>
      <c r="L275" s="164"/>
      <c r="M275" s="164"/>
      <c r="N275" s="169"/>
      <c r="O275" s="164"/>
      <c r="P275" s="164"/>
      <c r="Q275" s="164"/>
      <c r="R275" s="164"/>
      <c r="S275" s="518"/>
      <c r="T275" s="165" t="str">
        <f t="shared" si="12"/>
        <v/>
      </c>
      <c r="U275" s="160"/>
      <c r="V275" s="160"/>
      <c r="W275" s="165" cm="1">
        <f t="array" ref="W275">IFERROR(INDEX($A$3:$F$345,MATCH(U275&amp;R275,$A$3:$A$345&amp;$E$3:$E$345,0),2),"")</f>
        <v>0</v>
      </c>
      <c r="X275" s="165" cm="1">
        <f t="array" ref="X275">IFERROR(INDEX($A$3:$F$345,MATCH(V275&amp;R275,$A$3:$A$345&amp;$E$3:$E$345,0),2),"")</f>
        <v>0</v>
      </c>
      <c r="Y275" s="165" cm="1">
        <f t="array" ref="Y275">IFERROR(INDEX($A$3:$F$345,MATCH(U275&amp;R275,$A$3:$A$345&amp;$E$3:$E$345,0),4),"")</f>
        <v>0</v>
      </c>
      <c r="Z275" s="165" cm="1">
        <f t="array" ref="Z275">IFERROR(INDEX($A$3:$F$345,MATCH(V275&amp;R275,$A$3:$A$345&amp;$E$3:$E$345,0),4),"")</f>
        <v>0</v>
      </c>
      <c r="AA275" s="165" t="str">
        <f t="shared" si="14"/>
        <v/>
      </c>
    </row>
    <row r="276" spans="1:27" x14ac:dyDescent="0.25">
      <c r="A276" s="160"/>
      <c r="B276" s="160"/>
      <c r="C276" s="160"/>
      <c r="D276" s="160"/>
      <c r="E276" s="160"/>
      <c r="F276" s="167" t="str">
        <f t="shared" si="13"/>
        <v/>
      </c>
      <c r="L276" s="164"/>
      <c r="M276" s="164"/>
      <c r="N276" s="169"/>
      <c r="O276" s="164"/>
      <c r="P276" s="164"/>
      <c r="Q276" s="164"/>
      <c r="R276" s="164"/>
      <c r="S276" s="518"/>
      <c r="T276" s="165" t="str">
        <f t="shared" si="12"/>
        <v/>
      </c>
      <c r="U276" s="160"/>
      <c r="V276" s="160"/>
      <c r="W276" s="165" cm="1">
        <f t="array" ref="W276">IFERROR(INDEX($A$3:$F$345,MATCH(U276&amp;R276,$A$3:$A$345&amp;$E$3:$E$345,0),2),"")</f>
        <v>0</v>
      </c>
      <c r="X276" s="165" cm="1">
        <f t="array" ref="X276">IFERROR(INDEX($A$3:$F$345,MATCH(V276&amp;R276,$A$3:$A$345&amp;$E$3:$E$345,0),2),"")</f>
        <v>0</v>
      </c>
      <c r="Y276" s="165" cm="1">
        <f t="array" ref="Y276">IFERROR(INDEX($A$3:$F$345,MATCH(U276&amp;R276,$A$3:$A$345&amp;$E$3:$E$345,0),4),"")</f>
        <v>0</v>
      </c>
      <c r="Z276" s="165" cm="1">
        <f t="array" ref="Z276">IFERROR(INDEX($A$3:$F$345,MATCH(V276&amp;R276,$A$3:$A$345&amp;$E$3:$E$345,0),4),"")</f>
        <v>0</v>
      </c>
      <c r="AA276" s="165" t="str">
        <f t="shared" si="14"/>
        <v/>
      </c>
    </row>
    <row r="277" spans="1:27" x14ac:dyDescent="0.25">
      <c r="A277" s="160"/>
      <c r="B277" s="160"/>
      <c r="C277" s="160"/>
      <c r="D277" s="160"/>
      <c r="E277" s="160"/>
      <c r="F277" s="167" t="str">
        <f t="shared" si="13"/>
        <v/>
      </c>
      <c r="L277" s="164"/>
      <c r="M277" s="164"/>
      <c r="N277" s="169"/>
      <c r="O277" s="164"/>
      <c r="P277" s="164"/>
      <c r="Q277" s="164"/>
      <c r="R277" s="164"/>
      <c r="S277" s="518"/>
      <c r="T277" s="165" t="str">
        <f t="shared" si="12"/>
        <v/>
      </c>
      <c r="U277" s="160"/>
      <c r="V277" s="160"/>
      <c r="W277" s="165" cm="1">
        <f t="array" ref="W277">IFERROR(INDEX($A$3:$F$345,MATCH(U277&amp;R277,$A$3:$A$345&amp;$E$3:$E$345,0),2),"")</f>
        <v>0</v>
      </c>
      <c r="X277" s="165" cm="1">
        <f t="array" ref="X277">IFERROR(INDEX($A$3:$F$345,MATCH(V277&amp;R277,$A$3:$A$345&amp;$E$3:$E$345,0),2),"")</f>
        <v>0</v>
      </c>
      <c r="Y277" s="165" cm="1">
        <f t="array" ref="Y277">IFERROR(INDEX($A$3:$F$345,MATCH(U277&amp;R277,$A$3:$A$345&amp;$E$3:$E$345,0),4),"")</f>
        <v>0</v>
      </c>
      <c r="Z277" s="165" cm="1">
        <f t="array" ref="Z277">IFERROR(INDEX($A$3:$F$345,MATCH(V277&amp;R277,$A$3:$A$345&amp;$E$3:$E$345,0),4),"")</f>
        <v>0</v>
      </c>
      <c r="AA277" s="165" t="str">
        <f t="shared" si="14"/>
        <v/>
      </c>
    </row>
    <row r="278" spans="1:27" x14ac:dyDescent="0.25">
      <c r="A278" s="160"/>
      <c r="B278" s="160"/>
      <c r="C278" s="160"/>
      <c r="D278" s="160"/>
      <c r="E278" s="160"/>
      <c r="F278" s="167" t="str">
        <f t="shared" si="13"/>
        <v/>
      </c>
      <c r="L278" s="164"/>
      <c r="M278" s="164"/>
      <c r="N278" s="169"/>
      <c r="O278" s="164"/>
      <c r="P278" s="164"/>
      <c r="Q278" s="164"/>
      <c r="R278" s="164"/>
      <c r="S278" s="518"/>
      <c r="T278" s="165" t="str">
        <f t="shared" si="12"/>
        <v/>
      </c>
      <c r="U278" s="160"/>
      <c r="V278" s="160"/>
      <c r="W278" s="165" cm="1">
        <f t="array" ref="W278">IFERROR(INDEX($A$3:$F$345,MATCH(U278&amp;R278,$A$3:$A$345&amp;$E$3:$E$345,0),2),"")</f>
        <v>0</v>
      </c>
      <c r="X278" s="165" cm="1">
        <f t="array" ref="X278">IFERROR(INDEX($A$3:$F$345,MATCH(V278&amp;R278,$A$3:$A$345&amp;$E$3:$E$345,0),2),"")</f>
        <v>0</v>
      </c>
      <c r="Y278" s="165" cm="1">
        <f t="array" ref="Y278">IFERROR(INDEX($A$3:$F$345,MATCH(U278&amp;R278,$A$3:$A$345&amp;$E$3:$E$345,0),4),"")</f>
        <v>0</v>
      </c>
      <c r="Z278" s="165" cm="1">
        <f t="array" ref="Z278">IFERROR(INDEX($A$3:$F$345,MATCH(V278&amp;R278,$A$3:$A$345&amp;$E$3:$E$345,0),4),"")</f>
        <v>0</v>
      </c>
      <c r="AA278" s="165" t="str">
        <f t="shared" si="14"/>
        <v/>
      </c>
    </row>
    <row r="279" spans="1:27" x14ac:dyDescent="0.25">
      <c r="A279" s="160"/>
      <c r="B279" s="160"/>
      <c r="C279" s="160"/>
      <c r="D279" s="160"/>
      <c r="E279" s="160"/>
      <c r="F279" s="167" t="str">
        <f t="shared" si="13"/>
        <v/>
      </c>
      <c r="L279" s="164"/>
      <c r="M279" s="164"/>
      <c r="N279" s="169"/>
      <c r="O279" s="164"/>
      <c r="P279" s="164"/>
      <c r="Q279" s="164"/>
      <c r="R279" s="164"/>
      <c r="S279" s="518"/>
      <c r="T279" s="165" t="str">
        <f t="shared" si="12"/>
        <v/>
      </c>
      <c r="U279" s="160"/>
      <c r="V279" s="160"/>
      <c r="W279" s="165" cm="1">
        <f t="array" ref="W279">IFERROR(INDEX($A$3:$F$345,MATCH(U279&amp;R279,$A$3:$A$345&amp;$E$3:$E$345,0),2),"")</f>
        <v>0</v>
      </c>
      <c r="X279" s="165" cm="1">
        <f t="array" ref="X279">IFERROR(INDEX($A$3:$F$345,MATCH(V279&amp;R279,$A$3:$A$345&amp;$E$3:$E$345,0),2),"")</f>
        <v>0</v>
      </c>
      <c r="Y279" s="165" cm="1">
        <f t="array" ref="Y279">IFERROR(INDEX($A$3:$F$345,MATCH(U279&amp;R279,$A$3:$A$345&amp;$E$3:$E$345,0),4),"")</f>
        <v>0</v>
      </c>
      <c r="Z279" s="165" cm="1">
        <f t="array" ref="Z279">IFERROR(INDEX($A$3:$F$345,MATCH(V279&amp;R279,$A$3:$A$345&amp;$E$3:$E$345,0),4),"")</f>
        <v>0</v>
      </c>
      <c r="AA279" s="165" t="str">
        <f t="shared" si="14"/>
        <v/>
      </c>
    </row>
    <row r="280" spans="1:27" x14ac:dyDescent="0.25">
      <c r="A280" s="160"/>
      <c r="B280" s="160"/>
      <c r="C280" s="160"/>
      <c r="D280" s="160"/>
      <c r="E280" s="160"/>
      <c r="F280" s="167" t="str">
        <f t="shared" si="13"/>
        <v/>
      </c>
      <c r="L280" s="164"/>
      <c r="M280" s="164"/>
      <c r="N280" s="169"/>
      <c r="O280" s="164"/>
      <c r="P280" s="164"/>
      <c r="Q280" s="164"/>
      <c r="R280" s="164"/>
      <c r="S280" s="518"/>
      <c r="T280" s="165" t="str">
        <f t="shared" si="12"/>
        <v/>
      </c>
      <c r="U280" s="160"/>
      <c r="V280" s="160"/>
      <c r="W280" s="165" cm="1">
        <f t="array" ref="W280">IFERROR(INDEX($A$3:$F$345,MATCH(U280&amp;R280,$A$3:$A$345&amp;$E$3:$E$345,0),2),"")</f>
        <v>0</v>
      </c>
      <c r="X280" s="165" cm="1">
        <f t="array" ref="X280">IFERROR(INDEX($A$3:$F$345,MATCH(V280&amp;R280,$A$3:$A$345&amp;$E$3:$E$345,0),2),"")</f>
        <v>0</v>
      </c>
      <c r="Y280" s="165" cm="1">
        <f t="array" ref="Y280">IFERROR(INDEX($A$3:$F$345,MATCH(U280&amp;R280,$A$3:$A$345&amp;$E$3:$E$345,0),4),"")</f>
        <v>0</v>
      </c>
      <c r="Z280" s="165" cm="1">
        <f t="array" ref="Z280">IFERROR(INDEX($A$3:$F$345,MATCH(V280&amp;R280,$A$3:$A$345&amp;$E$3:$E$345,0),4),"")</f>
        <v>0</v>
      </c>
      <c r="AA280" s="165" t="str">
        <f t="shared" si="14"/>
        <v/>
      </c>
    </row>
    <row r="281" spans="1:27" x14ac:dyDescent="0.25">
      <c r="A281" s="160"/>
      <c r="B281" s="160"/>
      <c r="C281" s="160"/>
      <c r="D281" s="160"/>
      <c r="E281" s="160"/>
      <c r="F281" s="167" t="str">
        <f t="shared" si="13"/>
        <v/>
      </c>
      <c r="L281" s="164"/>
      <c r="M281" s="164"/>
      <c r="N281" s="169"/>
      <c r="O281" s="164"/>
      <c r="P281" s="164"/>
      <c r="Q281" s="164"/>
      <c r="R281" s="164"/>
      <c r="S281" s="518"/>
      <c r="T281" s="165" t="str">
        <f t="shared" si="12"/>
        <v/>
      </c>
      <c r="U281" s="160"/>
      <c r="V281" s="160"/>
      <c r="W281" s="165" cm="1">
        <f t="array" ref="W281">IFERROR(INDEX($A$3:$F$345,MATCH(U281&amp;R281,$A$3:$A$345&amp;$E$3:$E$345,0),2),"")</f>
        <v>0</v>
      </c>
      <c r="X281" s="165" cm="1">
        <f t="array" ref="X281">IFERROR(INDEX($A$3:$F$345,MATCH(V281&amp;R281,$A$3:$A$345&amp;$E$3:$E$345,0),2),"")</f>
        <v>0</v>
      </c>
      <c r="Y281" s="165" cm="1">
        <f t="array" ref="Y281">IFERROR(INDEX($A$3:$F$345,MATCH(U281&amp;R281,$A$3:$A$345&amp;$E$3:$E$345,0),4),"")</f>
        <v>0</v>
      </c>
      <c r="Z281" s="165" cm="1">
        <f t="array" ref="Z281">IFERROR(INDEX($A$3:$F$345,MATCH(V281&amp;R281,$A$3:$A$345&amp;$E$3:$E$345,0),4),"")</f>
        <v>0</v>
      </c>
      <c r="AA281" s="165" t="str">
        <f t="shared" si="14"/>
        <v/>
      </c>
    </row>
    <row r="282" spans="1:27" x14ac:dyDescent="0.25">
      <c r="A282" s="160"/>
      <c r="B282" s="160"/>
      <c r="C282" s="160"/>
      <c r="D282" s="160"/>
      <c r="E282" s="160"/>
      <c r="F282" s="167" t="str">
        <f t="shared" si="13"/>
        <v/>
      </c>
      <c r="L282" s="164"/>
      <c r="M282" s="164"/>
      <c r="N282" s="169"/>
      <c r="O282" s="164"/>
      <c r="P282" s="164"/>
      <c r="Q282" s="164"/>
      <c r="R282" s="164"/>
      <c r="S282" s="518"/>
      <c r="T282" s="165" t="str">
        <f t="shared" si="12"/>
        <v/>
      </c>
      <c r="U282" s="160"/>
      <c r="V282" s="160"/>
      <c r="W282" s="165" cm="1">
        <f t="array" ref="W282">IFERROR(INDEX($A$3:$F$345,MATCH(U282&amp;R282,$A$3:$A$345&amp;$E$3:$E$345,0),2),"")</f>
        <v>0</v>
      </c>
      <c r="X282" s="165" cm="1">
        <f t="array" ref="X282">IFERROR(INDEX($A$3:$F$345,MATCH(V282&amp;R282,$A$3:$A$345&amp;$E$3:$E$345,0),2),"")</f>
        <v>0</v>
      </c>
      <c r="Y282" s="165" cm="1">
        <f t="array" ref="Y282">IFERROR(INDEX($A$3:$F$345,MATCH(U282&amp;R282,$A$3:$A$345&amp;$E$3:$E$345,0),4),"")</f>
        <v>0</v>
      </c>
      <c r="Z282" s="165" cm="1">
        <f t="array" ref="Z282">IFERROR(INDEX($A$3:$F$345,MATCH(V282&amp;R282,$A$3:$A$345&amp;$E$3:$E$345,0),4),"")</f>
        <v>0</v>
      </c>
      <c r="AA282" s="165" t="str">
        <f t="shared" si="14"/>
        <v/>
      </c>
    </row>
    <row r="283" spans="1:27" x14ac:dyDescent="0.25">
      <c r="A283" s="160"/>
      <c r="B283" s="160"/>
      <c r="C283" s="160"/>
      <c r="D283" s="160"/>
      <c r="E283" s="160"/>
      <c r="F283" s="167" t="str">
        <f t="shared" si="13"/>
        <v/>
      </c>
      <c r="L283" s="164"/>
      <c r="M283" s="164"/>
      <c r="N283" s="169"/>
      <c r="O283" s="164"/>
      <c r="P283" s="164"/>
      <c r="Q283" s="164"/>
      <c r="R283" s="164"/>
      <c r="S283" s="518"/>
      <c r="T283" s="165" t="str">
        <f t="shared" si="12"/>
        <v/>
      </c>
      <c r="U283" s="160"/>
      <c r="V283" s="160"/>
      <c r="W283" s="165" cm="1">
        <f t="array" ref="W283">IFERROR(INDEX($A$3:$F$345,MATCH(U283&amp;R283,$A$3:$A$345&amp;$E$3:$E$345,0),2),"")</f>
        <v>0</v>
      </c>
      <c r="X283" s="165" cm="1">
        <f t="array" ref="X283">IFERROR(INDEX($A$3:$F$345,MATCH(V283&amp;R283,$A$3:$A$345&amp;$E$3:$E$345,0),2),"")</f>
        <v>0</v>
      </c>
      <c r="Y283" s="165" cm="1">
        <f t="array" ref="Y283">IFERROR(INDEX($A$3:$F$345,MATCH(U283&amp;R283,$A$3:$A$345&amp;$E$3:$E$345,0),4),"")</f>
        <v>0</v>
      </c>
      <c r="Z283" s="165" cm="1">
        <f t="array" ref="Z283">IFERROR(INDEX($A$3:$F$345,MATCH(V283&amp;R283,$A$3:$A$345&amp;$E$3:$E$345,0),4),"")</f>
        <v>0</v>
      </c>
      <c r="AA283" s="165" t="str">
        <f t="shared" si="14"/>
        <v/>
      </c>
    </row>
    <row r="284" spans="1:27" x14ac:dyDescent="0.25">
      <c r="A284" s="160"/>
      <c r="B284" s="160"/>
      <c r="C284" s="160"/>
      <c r="D284" s="160"/>
      <c r="E284" s="160"/>
      <c r="F284" s="167" t="str">
        <f t="shared" si="13"/>
        <v/>
      </c>
      <c r="L284" s="164"/>
      <c r="M284" s="164"/>
      <c r="N284" s="169"/>
      <c r="O284" s="164"/>
      <c r="P284" s="164"/>
      <c r="Q284" s="164"/>
      <c r="R284" s="164"/>
      <c r="S284" s="518"/>
      <c r="T284" s="165" t="str">
        <f t="shared" si="12"/>
        <v/>
      </c>
      <c r="U284" s="160"/>
      <c r="V284" s="160"/>
      <c r="W284" s="165" cm="1">
        <f t="array" ref="W284">IFERROR(INDEX($A$3:$F$345,MATCH(U284&amp;R284,$A$3:$A$345&amp;$E$3:$E$345,0),2),"")</f>
        <v>0</v>
      </c>
      <c r="X284" s="165" cm="1">
        <f t="array" ref="X284">IFERROR(INDEX($A$3:$F$345,MATCH(V284&amp;R284,$A$3:$A$345&amp;$E$3:$E$345,0),2),"")</f>
        <v>0</v>
      </c>
      <c r="Y284" s="165" cm="1">
        <f t="array" ref="Y284">IFERROR(INDEX($A$3:$F$345,MATCH(U284&amp;R284,$A$3:$A$345&amp;$E$3:$E$345,0),4),"")</f>
        <v>0</v>
      </c>
      <c r="Z284" s="165" cm="1">
        <f t="array" ref="Z284">IFERROR(INDEX($A$3:$F$345,MATCH(V284&amp;R284,$A$3:$A$345&amp;$E$3:$E$345,0),4),"")</f>
        <v>0</v>
      </c>
      <c r="AA284" s="165" t="str">
        <f t="shared" si="14"/>
        <v/>
      </c>
    </row>
    <row r="285" spans="1:27" x14ac:dyDescent="0.25">
      <c r="A285" s="160"/>
      <c r="B285" s="160"/>
      <c r="C285" s="160"/>
      <c r="D285" s="160"/>
      <c r="E285" s="160"/>
      <c r="F285" s="167" t="str">
        <f t="shared" si="13"/>
        <v/>
      </c>
      <c r="L285" s="164"/>
      <c r="M285" s="164"/>
      <c r="N285" s="169"/>
      <c r="O285" s="164"/>
      <c r="P285" s="164"/>
      <c r="Q285" s="164"/>
      <c r="R285" s="164"/>
      <c r="S285" s="518"/>
      <c r="T285" s="165" t="str">
        <f t="shared" si="12"/>
        <v/>
      </c>
      <c r="U285" s="160"/>
      <c r="V285" s="160"/>
      <c r="W285" s="165" cm="1">
        <f t="array" ref="W285">IFERROR(INDEX($A$3:$F$345,MATCH(U285&amp;R285,$A$3:$A$345&amp;$E$3:$E$345,0),2),"")</f>
        <v>0</v>
      </c>
      <c r="X285" s="165" cm="1">
        <f t="array" ref="X285">IFERROR(INDEX($A$3:$F$345,MATCH(V285&amp;R285,$A$3:$A$345&amp;$E$3:$E$345,0),2),"")</f>
        <v>0</v>
      </c>
      <c r="Y285" s="165" cm="1">
        <f t="array" ref="Y285">IFERROR(INDEX($A$3:$F$345,MATCH(U285&amp;R285,$A$3:$A$345&amp;$E$3:$E$345,0),4),"")</f>
        <v>0</v>
      </c>
      <c r="Z285" s="165" cm="1">
        <f t="array" ref="Z285">IFERROR(INDEX($A$3:$F$345,MATCH(V285&amp;R285,$A$3:$A$345&amp;$E$3:$E$345,0),4),"")</f>
        <v>0</v>
      </c>
      <c r="AA285" s="165" t="str">
        <f t="shared" si="14"/>
        <v/>
      </c>
    </row>
    <row r="286" spans="1:27" x14ac:dyDescent="0.25">
      <c r="A286" s="160"/>
      <c r="B286" s="160"/>
      <c r="C286" s="160"/>
      <c r="D286" s="160"/>
      <c r="E286" s="160"/>
      <c r="F286" s="167" t="str">
        <f t="shared" si="13"/>
        <v/>
      </c>
      <c r="L286" s="164"/>
      <c r="M286" s="164"/>
      <c r="N286" s="169"/>
      <c r="O286" s="164"/>
      <c r="P286" s="164"/>
      <c r="Q286" s="164"/>
      <c r="R286" s="164"/>
      <c r="S286" s="518"/>
      <c r="T286" s="165" t="str">
        <f t="shared" si="12"/>
        <v/>
      </c>
      <c r="U286" s="160"/>
      <c r="V286" s="160"/>
      <c r="W286" s="165" cm="1">
        <f t="array" ref="W286">IFERROR(INDEX($A$3:$F$345,MATCH(U286&amp;R286,$A$3:$A$345&amp;$E$3:$E$345,0),2),"")</f>
        <v>0</v>
      </c>
      <c r="X286" s="165" cm="1">
        <f t="array" ref="X286">IFERROR(INDEX($A$3:$F$345,MATCH(V286&amp;R286,$A$3:$A$345&amp;$E$3:$E$345,0),2),"")</f>
        <v>0</v>
      </c>
      <c r="Y286" s="165" cm="1">
        <f t="array" ref="Y286">IFERROR(INDEX($A$3:$F$345,MATCH(U286&amp;R286,$A$3:$A$345&amp;$E$3:$E$345,0),4),"")</f>
        <v>0</v>
      </c>
      <c r="Z286" s="165" cm="1">
        <f t="array" ref="Z286">IFERROR(INDEX($A$3:$F$345,MATCH(V286&amp;R286,$A$3:$A$345&amp;$E$3:$E$345,0),4),"")</f>
        <v>0</v>
      </c>
      <c r="AA286" s="165" t="str">
        <f t="shared" si="14"/>
        <v/>
      </c>
    </row>
    <row r="287" spans="1:27" x14ac:dyDescent="0.25">
      <c r="A287" s="160"/>
      <c r="B287" s="160"/>
      <c r="C287" s="160"/>
      <c r="D287" s="160"/>
      <c r="E287" s="160"/>
      <c r="F287" s="167" t="str">
        <f t="shared" si="13"/>
        <v/>
      </c>
      <c r="L287" s="164"/>
      <c r="M287" s="164"/>
      <c r="N287" s="169"/>
      <c r="O287" s="164"/>
      <c r="P287" s="164"/>
      <c r="Q287" s="164"/>
      <c r="R287" s="164"/>
      <c r="S287" s="518"/>
      <c r="T287" s="165" t="str">
        <f t="shared" si="12"/>
        <v/>
      </c>
      <c r="U287" s="160"/>
      <c r="V287" s="160"/>
      <c r="W287" s="165" cm="1">
        <f t="array" ref="W287">IFERROR(INDEX($A$3:$F$345,MATCH(U287&amp;R287,$A$3:$A$345&amp;$E$3:$E$345,0),2),"")</f>
        <v>0</v>
      </c>
      <c r="X287" s="165" cm="1">
        <f t="array" ref="X287">IFERROR(INDEX($A$3:$F$345,MATCH(V287&amp;R287,$A$3:$A$345&amp;$E$3:$E$345,0),2),"")</f>
        <v>0</v>
      </c>
      <c r="Y287" s="165" cm="1">
        <f t="array" ref="Y287">IFERROR(INDEX($A$3:$F$345,MATCH(U287&amp;R287,$A$3:$A$345&amp;$E$3:$E$345,0),4),"")</f>
        <v>0</v>
      </c>
      <c r="Z287" s="165" cm="1">
        <f t="array" ref="Z287">IFERROR(INDEX($A$3:$F$345,MATCH(V287&amp;R287,$A$3:$A$345&amp;$E$3:$E$345,0),4),"")</f>
        <v>0</v>
      </c>
      <c r="AA287" s="165" t="str">
        <f t="shared" si="14"/>
        <v/>
      </c>
    </row>
    <row r="288" spans="1:27" x14ac:dyDescent="0.25">
      <c r="A288" s="160"/>
      <c r="B288" s="160"/>
      <c r="C288" s="160"/>
      <c r="D288" s="160"/>
      <c r="E288" s="160"/>
      <c r="F288" s="167" t="str">
        <f>IF(AND(LEFT(A288,4)&lt;&gt;"PV",LEFT(A288,4)&lt;&gt;"CX"),IF(LEFT(A288,1)="R",RIGHT(LEFT(A288,3),4),IF(LEFT(A288,1)="I",RIGHT(LEFT(A288,4),3),LEFT(A288,3))))&amp;"EX"</f>
        <v>EX</v>
      </c>
      <c r="L288" s="164"/>
      <c r="M288" s="164"/>
      <c r="N288" s="169"/>
      <c r="O288" s="164"/>
      <c r="P288" s="164"/>
      <c r="Q288" s="164"/>
      <c r="R288" s="164"/>
      <c r="S288" s="518"/>
      <c r="T288" s="165" t="str">
        <f t="shared" si="12"/>
        <v/>
      </c>
      <c r="U288" s="160"/>
      <c r="V288" s="160"/>
      <c r="W288" s="165" cm="1">
        <f t="array" ref="W288">IFERROR(INDEX($A$3:$F$345,MATCH(U288&amp;R288,$A$3:$A$345&amp;$E$3:$E$345,0),2),"")</f>
        <v>0</v>
      </c>
      <c r="X288" s="165" cm="1">
        <f t="array" ref="X288">IFERROR(INDEX($A$3:$F$345,MATCH(V288&amp;R288,$A$3:$A$345&amp;$E$3:$E$345,0),2),"")</f>
        <v>0</v>
      </c>
      <c r="Y288" s="165" cm="1">
        <f t="array" ref="Y288">IFERROR(INDEX($A$3:$F$345,MATCH(U288&amp;R288,$A$3:$A$345&amp;$E$3:$E$345,0),4),"")</f>
        <v>0</v>
      </c>
      <c r="Z288" s="165" cm="1">
        <f t="array" ref="Z288">IFERROR(INDEX($A$3:$F$345,MATCH(V288&amp;R288,$A$3:$A$345&amp;$E$3:$E$345,0),4),"")</f>
        <v>0</v>
      </c>
      <c r="AA288" s="165" t="str">
        <f t="shared" si="14"/>
        <v/>
      </c>
    </row>
    <row r="289" spans="1:27" x14ac:dyDescent="0.25">
      <c r="A289" s="160"/>
      <c r="B289" s="160"/>
      <c r="C289" s="160"/>
      <c r="D289" s="160"/>
      <c r="E289" s="160"/>
      <c r="F289" s="167" t="str">
        <f t="shared" si="13"/>
        <v/>
      </c>
      <c r="L289" s="164"/>
      <c r="M289" s="164"/>
      <c r="N289" s="169"/>
      <c r="O289" s="164"/>
      <c r="P289" s="164"/>
      <c r="Q289" s="164"/>
      <c r="R289" s="164"/>
      <c r="S289" s="518"/>
      <c r="T289" s="165" t="str">
        <f t="shared" si="12"/>
        <v/>
      </c>
      <c r="U289" s="160"/>
      <c r="V289" s="160"/>
      <c r="W289" s="165" cm="1">
        <f t="array" ref="W289">IFERROR(INDEX($A$3:$F$345,MATCH(U289&amp;R289,$A$3:$A$345&amp;$E$3:$E$345,0),2),"")</f>
        <v>0</v>
      </c>
      <c r="X289" s="165" cm="1">
        <f t="array" ref="X289">IFERROR(INDEX($A$3:$F$345,MATCH(V289&amp;R289,$A$3:$A$345&amp;$E$3:$E$345,0),2),"")</f>
        <v>0</v>
      </c>
      <c r="Y289" s="165" cm="1">
        <f t="array" ref="Y289">IFERROR(INDEX($A$3:$F$345,MATCH(U289&amp;R289,$A$3:$A$345&amp;$E$3:$E$345,0),4),"")</f>
        <v>0</v>
      </c>
      <c r="Z289" s="165" cm="1">
        <f t="array" ref="Z289">IFERROR(INDEX($A$3:$F$345,MATCH(V289&amp;R289,$A$3:$A$345&amp;$E$3:$E$345,0),4),"")</f>
        <v>0</v>
      </c>
      <c r="AA289" s="165" t="str">
        <f t="shared" si="14"/>
        <v/>
      </c>
    </row>
    <row r="290" spans="1:27" x14ac:dyDescent="0.25">
      <c r="A290" s="160"/>
      <c r="B290" s="160"/>
      <c r="C290" s="160"/>
      <c r="D290" s="160"/>
      <c r="E290" s="160"/>
      <c r="F290" s="167" t="str">
        <f t="shared" si="13"/>
        <v/>
      </c>
      <c r="L290" s="164"/>
      <c r="M290" s="164"/>
      <c r="N290" s="169"/>
      <c r="O290" s="164"/>
      <c r="P290" s="164"/>
      <c r="Q290" s="164"/>
      <c r="R290" s="164"/>
      <c r="S290" s="518"/>
      <c r="T290" s="165" t="str">
        <f t="shared" si="12"/>
        <v/>
      </c>
      <c r="U290" s="160"/>
      <c r="V290" s="160"/>
      <c r="W290" s="165" cm="1">
        <f t="array" ref="W290">IFERROR(INDEX($A$3:$F$345,MATCH(U290&amp;R290,$A$3:$A$345&amp;$E$3:$E$345,0),2),"")</f>
        <v>0</v>
      </c>
      <c r="X290" s="165" cm="1">
        <f t="array" ref="X290">IFERROR(INDEX($A$3:$F$345,MATCH(V290&amp;R290,$A$3:$A$345&amp;$E$3:$E$345,0),2),"")</f>
        <v>0</v>
      </c>
      <c r="Y290" s="165" cm="1">
        <f t="array" ref="Y290">IFERROR(INDEX($A$3:$F$345,MATCH(U290&amp;R290,$A$3:$A$345&amp;$E$3:$E$345,0),4),"")</f>
        <v>0</v>
      </c>
      <c r="Z290" s="165" cm="1">
        <f t="array" ref="Z290">IFERROR(INDEX($A$3:$F$345,MATCH(V290&amp;R290,$A$3:$A$345&amp;$E$3:$E$345,0),4),"")</f>
        <v>0</v>
      </c>
      <c r="AA290" s="165" t="str">
        <f t="shared" si="14"/>
        <v/>
      </c>
    </row>
    <row r="291" spans="1:27" x14ac:dyDescent="0.25">
      <c r="A291" s="160"/>
      <c r="B291" s="160"/>
      <c r="C291" s="160"/>
      <c r="D291" s="160"/>
      <c r="E291" s="160"/>
      <c r="F291" s="167" t="str">
        <f t="shared" si="13"/>
        <v/>
      </c>
      <c r="L291" s="164"/>
      <c r="M291" s="164"/>
      <c r="N291" s="169"/>
      <c r="O291" s="164"/>
      <c r="P291" s="164"/>
      <c r="Q291" s="164"/>
      <c r="R291" s="164"/>
      <c r="S291" s="518"/>
      <c r="T291" s="165" t="str">
        <f t="shared" si="12"/>
        <v/>
      </c>
      <c r="U291" s="160"/>
      <c r="V291" s="160"/>
      <c r="W291" s="165" cm="1">
        <f t="array" ref="W291">IFERROR(INDEX($A$3:$F$345,MATCH(U291&amp;R291,$A$3:$A$345&amp;$E$3:$E$345,0),2),"")</f>
        <v>0</v>
      </c>
      <c r="X291" s="165" cm="1">
        <f t="array" ref="X291">IFERROR(INDEX($A$3:$F$345,MATCH(V291&amp;R291,$A$3:$A$345&amp;$E$3:$E$345,0),2),"")</f>
        <v>0</v>
      </c>
      <c r="Y291" s="165" cm="1">
        <f t="array" ref="Y291">IFERROR(INDEX($A$3:$F$345,MATCH(U291&amp;R291,$A$3:$A$345&amp;$E$3:$E$345,0),4),"")</f>
        <v>0</v>
      </c>
      <c r="Z291" s="165" cm="1">
        <f t="array" ref="Z291">IFERROR(INDEX($A$3:$F$345,MATCH(V291&amp;R291,$A$3:$A$345&amp;$E$3:$E$345,0),4),"")</f>
        <v>0</v>
      </c>
      <c r="AA291" s="165" t="str">
        <f t="shared" si="14"/>
        <v/>
      </c>
    </row>
    <row r="292" spans="1:27" x14ac:dyDescent="0.25">
      <c r="A292" s="160"/>
      <c r="B292" s="160"/>
      <c r="C292" s="160"/>
      <c r="D292" s="160"/>
      <c r="E292" s="160"/>
      <c r="F292" s="167" t="str">
        <f t="shared" si="13"/>
        <v/>
      </c>
      <c r="L292" s="164"/>
      <c r="M292" s="164"/>
      <c r="N292" s="169"/>
      <c r="O292" s="164"/>
      <c r="P292" s="164"/>
      <c r="Q292" s="164"/>
      <c r="R292" s="164"/>
      <c r="S292" s="518"/>
      <c r="T292" s="165" t="str">
        <f t="shared" si="12"/>
        <v/>
      </c>
      <c r="U292" s="160"/>
      <c r="V292" s="160"/>
      <c r="W292" s="165" cm="1">
        <f t="array" ref="W292">IFERROR(INDEX($A$3:$F$345,MATCH(U292&amp;R292,$A$3:$A$345&amp;$E$3:$E$345,0),2),"")</f>
        <v>0</v>
      </c>
      <c r="X292" s="165" cm="1">
        <f t="array" ref="X292">IFERROR(INDEX($A$3:$F$345,MATCH(V292&amp;R292,$A$3:$A$345&amp;$E$3:$E$345,0),2),"")</f>
        <v>0</v>
      </c>
      <c r="Y292" s="165" cm="1">
        <f t="array" ref="Y292">IFERROR(INDEX($A$3:$F$345,MATCH(U292&amp;R292,$A$3:$A$345&amp;$E$3:$E$345,0),4),"")</f>
        <v>0</v>
      </c>
      <c r="Z292" s="165" cm="1">
        <f t="array" ref="Z292">IFERROR(INDEX($A$3:$F$345,MATCH(V292&amp;R292,$A$3:$A$345&amp;$E$3:$E$345,0),4),"")</f>
        <v>0</v>
      </c>
      <c r="AA292" s="165" t="str">
        <f t="shared" si="14"/>
        <v/>
      </c>
    </row>
    <row r="293" spans="1:27" x14ac:dyDescent="0.25">
      <c r="A293" s="160"/>
      <c r="B293" s="160"/>
      <c r="C293" s="160"/>
      <c r="D293" s="160"/>
      <c r="E293" s="160"/>
      <c r="F293" s="167" t="str">
        <f t="shared" si="13"/>
        <v/>
      </c>
      <c r="L293" s="164"/>
      <c r="M293" s="164"/>
      <c r="N293" s="169"/>
      <c r="O293" s="164"/>
      <c r="P293" s="164"/>
      <c r="Q293" s="164"/>
      <c r="R293" s="164"/>
      <c r="S293" s="518"/>
      <c r="T293" s="165" t="str">
        <f t="shared" si="12"/>
        <v/>
      </c>
      <c r="U293" s="160"/>
      <c r="V293" s="160"/>
      <c r="W293" s="165" cm="1">
        <f t="array" ref="W293">IFERROR(INDEX($A$3:$F$345,MATCH(U293&amp;R293,$A$3:$A$345&amp;$E$3:$E$345,0),2),"")</f>
        <v>0</v>
      </c>
      <c r="X293" s="165" cm="1">
        <f t="array" ref="X293">IFERROR(INDEX($A$3:$F$345,MATCH(V293&amp;R293,$A$3:$A$345&amp;$E$3:$E$345,0),2),"")</f>
        <v>0</v>
      </c>
      <c r="Y293" s="165" cm="1">
        <f t="array" ref="Y293">IFERROR(INDEX($A$3:$F$345,MATCH(U293&amp;R293,$A$3:$A$345&amp;$E$3:$E$345,0),4),"")</f>
        <v>0</v>
      </c>
      <c r="Z293" s="165" cm="1">
        <f t="array" ref="Z293">IFERROR(INDEX($A$3:$F$345,MATCH(V293&amp;R293,$A$3:$A$345&amp;$E$3:$E$345,0),4),"")</f>
        <v>0</v>
      </c>
      <c r="AA293" s="165" t="str">
        <f t="shared" si="14"/>
        <v/>
      </c>
    </row>
    <row r="294" spans="1:27" x14ac:dyDescent="0.25">
      <c r="A294" s="160"/>
      <c r="B294" s="160"/>
      <c r="C294" s="160"/>
      <c r="D294" s="160"/>
      <c r="E294" s="160"/>
      <c r="F294" s="167" t="str">
        <f t="shared" si="13"/>
        <v/>
      </c>
      <c r="L294" s="164"/>
      <c r="M294" s="164"/>
      <c r="N294" s="169"/>
      <c r="O294" s="164"/>
      <c r="P294" s="164"/>
      <c r="Q294" s="164"/>
      <c r="R294" s="164"/>
      <c r="S294" s="518"/>
      <c r="T294" s="165" t="str">
        <f t="shared" si="12"/>
        <v/>
      </c>
      <c r="U294" s="160"/>
      <c r="V294" s="160"/>
      <c r="W294" s="165" cm="1">
        <f t="array" ref="W294">IFERROR(INDEX($A$3:$F$345,MATCH(U294&amp;R294,$A$3:$A$345&amp;$E$3:$E$345,0),2),"")</f>
        <v>0</v>
      </c>
      <c r="X294" s="165" cm="1">
        <f t="array" ref="X294">IFERROR(INDEX($A$3:$F$345,MATCH(V294&amp;R294,$A$3:$A$345&amp;$E$3:$E$345,0),2),"")</f>
        <v>0</v>
      </c>
      <c r="Y294" s="165" cm="1">
        <f t="array" ref="Y294">IFERROR(INDEX($A$3:$F$345,MATCH(U294&amp;R294,$A$3:$A$345&amp;$E$3:$E$345,0),4),"")</f>
        <v>0</v>
      </c>
      <c r="Z294" s="165" cm="1">
        <f t="array" ref="Z294">IFERROR(INDEX($A$3:$F$345,MATCH(V294&amp;R294,$A$3:$A$345&amp;$E$3:$E$345,0),4),"")</f>
        <v>0</v>
      </c>
      <c r="AA294" s="165" t="str">
        <f t="shared" si="14"/>
        <v/>
      </c>
    </row>
    <row r="295" spans="1:27" x14ac:dyDescent="0.25">
      <c r="A295" s="160"/>
      <c r="B295" s="160"/>
      <c r="C295" s="160"/>
      <c r="D295" s="160"/>
      <c r="E295" s="160"/>
      <c r="F295" s="167" t="str">
        <f t="shared" si="13"/>
        <v/>
      </c>
      <c r="L295" s="164"/>
      <c r="M295" s="164"/>
      <c r="N295" s="169"/>
      <c r="O295" s="164"/>
      <c r="P295" s="164"/>
      <c r="Q295" s="164"/>
      <c r="R295" s="164"/>
      <c r="S295" s="518"/>
      <c r="T295" s="165" t="str">
        <f t="shared" si="12"/>
        <v/>
      </c>
      <c r="U295" s="160"/>
      <c r="V295" s="160"/>
      <c r="W295" s="165" cm="1">
        <f t="array" ref="W295">IFERROR(INDEX($A$3:$F$345,MATCH(U295&amp;R295,$A$3:$A$345&amp;$E$3:$E$345,0),2),"")</f>
        <v>0</v>
      </c>
      <c r="X295" s="165" cm="1">
        <f t="array" ref="X295">IFERROR(INDEX($A$3:$F$345,MATCH(V295&amp;R295,$A$3:$A$345&amp;$E$3:$E$345,0),2),"")</f>
        <v>0</v>
      </c>
      <c r="Y295" s="165" cm="1">
        <f t="array" ref="Y295">IFERROR(INDEX($A$3:$F$345,MATCH(U295&amp;R295,$A$3:$A$345&amp;$E$3:$E$345,0),4),"")</f>
        <v>0</v>
      </c>
      <c r="Z295" s="165" cm="1">
        <f t="array" ref="Z295">IFERROR(INDEX($A$3:$F$345,MATCH(V295&amp;R295,$A$3:$A$345&amp;$E$3:$E$345,0),4),"")</f>
        <v>0</v>
      </c>
      <c r="AA295" s="165" t="str">
        <f t="shared" si="14"/>
        <v/>
      </c>
    </row>
    <row r="296" spans="1:27" x14ac:dyDescent="0.25">
      <c r="A296" s="160"/>
      <c r="B296" s="160"/>
      <c r="C296" s="160"/>
      <c r="D296" s="160"/>
      <c r="E296" s="160"/>
      <c r="F296" s="167" t="str">
        <f t="shared" si="13"/>
        <v/>
      </c>
      <c r="L296" s="164"/>
      <c r="M296" s="164"/>
      <c r="N296" s="169"/>
      <c r="O296" s="164"/>
      <c r="P296" s="164"/>
      <c r="Q296" s="164"/>
      <c r="R296" s="164"/>
      <c r="S296" s="518"/>
      <c r="T296" s="165" t="str">
        <f t="shared" si="12"/>
        <v/>
      </c>
      <c r="U296" s="160"/>
      <c r="V296" s="160"/>
      <c r="W296" s="165" cm="1">
        <f t="array" ref="W296">IFERROR(INDEX($A$3:$F$345,MATCH(U296&amp;R296,$A$3:$A$345&amp;$E$3:$E$345,0),2),"")</f>
        <v>0</v>
      </c>
      <c r="X296" s="165" cm="1">
        <f t="array" ref="X296">IFERROR(INDEX($A$3:$F$345,MATCH(V296&amp;R296,$A$3:$A$345&amp;$E$3:$E$345,0),2),"")</f>
        <v>0</v>
      </c>
      <c r="Y296" s="165" cm="1">
        <f t="array" ref="Y296">IFERROR(INDEX($A$3:$F$345,MATCH(U296&amp;R296,$A$3:$A$345&amp;$E$3:$E$345,0),4),"")</f>
        <v>0</v>
      </c>
      <c r="Z296" s="165" cm="1">
        <f t="array" ref="Z296">IFERROR(INDEX($A$3:$F$345,MATCH(V296&amp;R296,$A$3:$A$345&amp;$E$3:$E$345,0),4),"")</f>
        <v>0</v>
      </c>
      <c r="AA296" s="165" t="str">
        <f t="shared" si="14"/>
        <v/>
      </c>
    </row>
    <row r="297" spans="1:27" x14ac:dyDescent="0.25">
      <c r="A297" s="160"/>
      <c r="B297" s="160"/>
      <c r="C297" s="160"/>
      <c r="D297" s="160"/>
      <c r="E297" s="160"/>
      <c r="F297" s="167" t="str">
        <f t="shared" si="13"/>
        <v/>
      </c>
      <c r="L297" s="164"/>
      <c r="M297" s="164"/>
      <c r="N297" s="169"/>
      <c r="O297" s="164"/>
      <c r="P297" s="164"/>
      <c r="Q297" s="164"/>
      <c r="R297" s="164"/>
      <c r="S297" s="518"/>
      <c r="T297" s="165" t="str">
        <f t="shared" si="12"/>
        <v/>
      </c>
      <c r="U297" s="160"/>
      <c r="V297" s="160"/>
      <c r="W297" s="165" cm="1">
        <f t="array" ref="W297">IFERROR(INDEX($A$3:$F$345,MATCH(U297&amp;R297,$A$3:$A$345&amp;$E$3:$E$345,0),2),"")</f>
        <v>0</v>
      </c>
      <c r="X297" s="165" cm="1">
        <f t="array" ref="X297">IFERROR(INDEX($A$3:$F$345,MATCH(V297&amp;R297,$A$3:$A$345&amp;$E$3:$E$345,0),2),"")</f>
        <v>0</v>
      </c>
      <c r="Y297" s="165" cm="1">
        <f t="array" ref="Y297">IFERROR(INDEX($A$3:$F$345,MATCH(U297&amp;R297,$A$3:$A$345&amp;$E$3:$E$345,0),4),"")</f>
        <v>0</v>
      </c>
      <c r="Z297" s="165" cm="1">
        <f t="array" ref="Z297">IFERROR(INDEX($A$3:$F$345,MATCH(V297&amp;R297,$A$3:$A$345&amp;$E$3:$E$345,0),4),"")</f>
        <v>0</v>
      </c>
      <c r="AA297" s="165" t="str">
        <f t="shared" si="14"/>
        <v/>
      </c>
    </row>
    <row r="298" spans="1:27" x14ac:dyDescent="0.25">
      <c r="A298" s="160"/>
      <c r="B298" s="160"/>
      <c r="C298" s="160"/>
      <c r="D298" s="160"/>
      <c r="E298" s="160"/>
      <c r="F298" s="167" t="str">
        <f t="shared" si="13"/>
        <v/>
      </c>
      <c r="L298" s="164"/>
      <c r="M298" s="164"/>
      <c r="N298" s="169"/>
      <c r="O298" s="164"/>
      <c r="P298" s="164"/>
      <c r="Q298" s="164"/>
      <c r="R298" s="164"/>
      <c r="S298" s="518"/>
      <c r="T298" s="165" t="str">
        <f t="shared" si="12"/>
        <v/>
      </c>
      <c r="U298" s="160"/>
      <c r="V298" s="160"/>
      <c r="W298" s="165" cm="1">
        <f t="array" ref="W298">IFERROR(INDEX($A$3:$F$345,MATCH(U298&amp;R298,$A$3:$A$345&amp;$E$3:$E$345,0),2),"")</f>
        <v>0</v>
      </c>
      <c r="X298" s="165" cm="1">
        <f t="array" ref="X298">IFERROR(INDEX($A$3:$F$345,MATCH(V298&amp;R298,$A$3:$A$345&amp;$E$3:$E$345,0),2),"")</f>
        <v>0</v>
      </c>
      <c r="Y298" s="165" cm="1">
        <f t="array" ref="Y298">IFERROR(INDEX($A$3:$F$345,MATCH(U298&amp;R298,$A$3:$A$345&amp;$E$3:$E$345,0),4),"")</f>
        <v>0</v>
      </c>
      <c r="Z298" s="165" cm="1">
        <f t="array" ref="Z298">IFERROR(INDEX($A$3:$F$345,MATCH(V298&amp;R298,$A$3:$A$345&amp;$E$3:$E$345,0),4),"")</f>
        <v>0</v>
      </c>
      <c r="AA298" s="165" t="str">
        <f t="shared" si="14"/>
        <v/>
      </c>
    </row>
    <row r="299" spans="1:27" x14ac:dyDescent="0.25">
      <c r="A299" s="160"/>
      <c r="B299" s="160"/>
      <c r="C299" s="160"/>
      <c r="D299" s="160"/>
      <c r="E299" s="160"/>
      <c r="F299" s="167" t="str">
        <f t="shared" si="13"/>
        <v/>
      </c>
      <c r="L299" s="164"/>
      <c r="M299" s="164"/>
      <c r="N299" s="169"/>
      <c r="O299" s="164"/>
      <c r="P299" s="164"/>
      <c r="Q299" s="164"/>
      <c r="R299" s="164"/>
      <c r="S299" s="518"/>
      <c r="T299" s="165" t="str">
        <f t="shared" si="12"/>
        <v/>
      </c>
      <c r="U299" s="160"/>
      <c r="V299" s="160"/>
      <c r="W299" s="165" cm="1">
        <f t="array" ref="W299">IFERROR(INDEX($A$3:$F$345,MATCH(U299&amp;R299,$A$3:$A$345&amp;$E$3:$E$345,0),2),"")</f>
        <v>0</v>
      </c>
      <c r="X299" s="165" cm="1">
        <f t="array" ref="X299">IFERROR(INDEX($A$3:$F$345,MATCH(V299&amp;R299,$A$3:$A$345&amp;$E$3:$E$345,0),2),"")</f>
        <v>0</v>
      </c>
      <c r="Y299" s="165" cm="1">
        <f t="array" ref="Y299">IFERROR(INDEX($A$3:$F$345,MATCH(U299&amp;R299,$A$3:$A$345&amp;$E$3:$E$345,0),4),"")</f>
        <v>0</v>
      </c>
      <c r="Z299" s="165" cm="1">
        <f t="array" ref="Z299">IFERROR(INDEX($A$3:$F$345,MATCH(V299&amp;R299,$A$3:$A$345&amp;$E$3:$E$345,0),4),"")</f>
        <v>0</v>
      </c>
      <c r="AA299" s="165" t="str">
        <f t="shared" si="14"/>
        <v/>
      </c>
    </row>
    <row r="300" spans="1:27" x14ac:dyDescent="0.25">
      <c r="A300" s="160"/>
      <c r="B300" s="160"/>
      <c r="C300" s="160"/>
      <c r="D300" s="160"/>
      <c r="E300" s="160"/>
      <c r="F300" s="167" t="str">
        <f t="shared" si="13"/>
        <v/>
      </c>
      <c r="L300" s="164"/>
      <c r="M300" s="164"/>
      <c r="N300" s="169"/>
      <c r="O300" s="164"/>
      <c r="P300" s="164"/>
      <c r="Q300" s="164"/>
      <c r="R300" s="164"/>
      <c r="S300" s="518"/>
      <c r="T300" s="165" t="str">
        <f t="shared" si="12"/>
        <v/>
      </c>
      <c r="U300" s="160"/>
      <c r="V300" s="160"/>
      <c r="W300" s="165" cm="1">
        <f t="array" ref="W300">IFERROR(INDEX($A$3:$F$345,MATCH(U300&amp;R300,$A$3:$A$345&amp;$E$3:$E$345,0),2),"")</f>
        <v>0</v>
      </c>
      <c r="X300" s="165" cm="1">
        <f t="array" ref="X300">IFERROR(INDEX($A$3:$F$345,MATCH(V300&amp;R300,$A$3:$A$345&amp;$E$3:$E$345,0),2),"")</f>
        <v>0</v>
      </c>
      <c r="Y300" s="165" cm="1">
        <f t="array" ref="Y300">IFERROR(INDEX($A$3:$F$345,MATCH(U300&amp;R300,$A$3:$A$345&amp;$E$3:$E$345,0),4),"")</f>
        <v>0</v>
      </c>
      <c r="Z300" s="165" cm="1">
        <f t="array" ref="Z300">IFERROR(INDEX($A$3:$F$345,MATCH(V300&amp;R300,$A$3:$A$345&amp;$E$3:$E$345,0),4),"")</f>
        <v>0</v>
      </c>
      <c r="AA300" s="165" t="str">
        <f t="shared" si="14"/>
        <v/>
      </c>
    </row>
    <row r="301" spans="1:27" x14ac:dyDescent="0.25">
      <c r="A301" s="160"/>
      <c r="B301" s="160"/>
      <c r="C301" s="160"/>
      <c r="D301" s="160"/>
      <c r="E301" s="160"/>
      <c r="F301" s="167" t="str">
        <f t="shared" si="13"/>
        <v/>
      </c>
      <c r="L301" s="164"/>
      <c r="M301" s="164"/>
      <c r="N301" s="169"/>
      <c r="O301" s="164"/>
      <c r="P301" s="164"/>
      <c r="Q301" s="164"/>
      <c r="R301" s="164"/>
      <c r="S301" s="518"/>
      <c r="T301" s="165" t="str">
        <f t="shared" si="12"/>
        <v/>
      </c>
      <c r="U301" s="160"/>
      <c r="V301" s="160"/>
      <c r="W301" s="165" cm="1">
        <f t="array" ref="W301">IFERROR(INDEX($A$3:$F$345,MATCH(U301&amp;R301,$A$3:$A$345&amp;$E$3:$E$345,0),2),"")</f>
        <v>0</v>
      </c>
      <c r="X301" s="165" cm="1">
        <f t="array" ref="X301">IFERROR(INDEX($A$3:$F$345,MATCH(V301&amp;R301,$A$3:$A$345&amp;$E$3:$E$345,0),2),"")</f>
        <v>0</v>
      </c>
      <c r="Y301" s="165" cm="1">
        <f t="array" ref="Y301">IFERROR(INDEX($A$3:$F$345,MATCH(U301&amp;R301,$A$3:$A$345&amp;$E$3:$E$345,0),4),"")</f>
        <v>0</v>
      </c>
      <c r="Z301" s="165" cm="1">
        <f t="array" ref="Z301">IFERROR(INDEX($A$3:$F$345,MATCH(V301&amp;R301,$A$3:$A$345&amp;$E$3:$E$345,0),4),"")</f>
        <v>0</v>
      </c>
      <c r="AA301" s="165" t="str">
        <f t="shared" si="14"/>
        <v/>
      </c>
    </row>
    <row r="302" spans="1:27" x14ac:dyDescent="0.25">
      <c r="A302" s="160"/>
      <c r="B302" s="160"/>
      <c r="C302" s="160"/>
      <c r="D302" s="160"/>
      <c r="E302" s="160"/>
      <c r="F302" s="167" t="str">
        <f t="shared" si="13"/>
        <v/>
      </c>
      <c r="L302" s="164"/>
      <c r="M302" s="164"/>
      <c r="N302" s="169"/>
      <c r="O302" s="164"/>
      <c r="P302" s="164"/>
      <c r="Q302" s="164"/>
      <c r="R302" s="164"/>
      <c r="S302" s="518"/>
      <c r="T302" s="165" t="str">
        <f t="shared" si="12"/>
        <v/>
      </c>
      <c r="U302" s="160"/>
      <c r="V302" s="160"/>
      <c r="W302" s="165" cm="1">
        <f t="array" ref="W302">IFERROR(INDEX($A$3:$F$345,MATCH(U302&amp;R302,$A$3:$A$345&amp;$E$3:$E$345,0),2),"")</f>
        <v>0</v>
      </c>
      <c r="X302" s="165" cm="1">
        <f t="array" ref="X302">IFERROR(INDEX($A$3:$F$345,MATCH(V302&amp;R302,$A$3:$A$345&amp;$E$3:$E$345,0),2),"")</f>
        <v>0</v>
      </c>
      <c r="Y302" s="165" cm="1">
        <f t="array" ref="Y302">IFERROR(INDEX($A$3:$F$345,MATCH(U302&amp;R302,$A$3:$A$345&amp;$E$3:$E$345,0),4),"")</f>
        <v>0</v>
      </c>
      <c r="Z302" s="165" cm="1">
        <f t="array" ref="Z302">IFERROR(INDEX($A$3:$F$345,MATCH(V302&amp;R302,$A$3:$A$345&amp;$E$3:$E$345,0),4),"")</f>
        <v>0</v>
      </c>
      <c r="AA302" s="165" t="str">
        <f t="shared" si="14"/>
        <v/>
      </c>
    </row>
    <row r="303" spans="1:27" x14ac:dyDescent="0.25">
      <c r="A303" s="160"/>
      <c r="B303" s="160"/>
      <c r="C303" s="160"/>
      <c r="D303" s="160"/>
      <c r="E303" s="160"/>
      <c r="F303" s="167" t="str">
        <f t="shared" si="13"/>
        <v/>
      </c>
      <c r="L303" s="164"/>
      <c r="M303" s="164"/>
      <c r="N303" s="169"/>
      <c r="O303" s="164"/>
      <c r="P303" s="164"/>
      <c r="Q303" s="164"/>
      <c r="R303" s="164"/>
      <c r="S303" s="518"/>
      <c r="T303" s="165" t="str">
        <f t="shared" si="12"/>
        <v/>
      </c>
      <c r="U303" s="160"/>
      <c r="V303" s="160"/>
      <c r="W303" s="165" cm="1">
        <f t="array" ref="W303">IFERROR(INDEX($A$3:$F$345,MATCH(U303&amp;R303,$A$3:$A$345&amp;$E$3:$E$345,0),2),"")</f>
        <v>0</v>
      </c>
      <c r="X303" s="165" cm="1">
        <f t="array" ref="X303">IFERROR(INDEX($A$3:$F$345,MATCH(V303&amp;R303,$A$3:$A$345&amp;$E$3:$E$345,0),2),"")</f>
        <v>0</v>
      </c>
      <c r="Y303" s="165" cm="1">
        <f t="array" ref="Y303">IFERROR(INDEX($A$3:$F$345,MATCH(U303&amp;R303,$A$3:$A$345&amp;$E$3:$E$345,0),4),"")</f>
        <v>0</v>
      </c>
      <c r="Z303" s="165" cm="1">
        <f t="array" ref="Z303">IFERROR(INDEX($A$3:$F$345,MATCH(V303&amp;R303,$A$3:$A$345&amp;$E$3:$E$345,0),4),"")</f>
        <v>0</v>
      </c>
      <c r="AA303" s="165" t="str">
        <f t="shared" si="14"/>
        <v/>
      </c>
    </row>
    <row r="304" spans="1:27" x14ac:dyDescent="0.25">
      <c r="A304" s="160"/>
      <c r="B304" s="160"/>
      <c r="C304" s="160"/>
      <c r="D304" s="160"/>
      <c r="E304" s="160"/>
      <c r="F304" s="167" t="str">
        <f t="shared" si="13"/>
        <v/>
      </c>
      <c r="L304" s="164"/>
      <c r="M304" s="164"/>
      <c r="N304" s="169"/>
      <c r="O304" s="164"/>
      <c r="P304" s="164"/>
      <c r="Q304" s="164"/>
      <c r="R304" s="164"/>
      <c r="S304" s="518"/>
      <c r="T304" s="165" t="str">
        <f t="shared" si="12"/>
        <v/>
      </c>
      <c r="U304" s="160"/>
      <c r="V304" s="160"/>
      <c r="W304" s="165" cm="1">
        <f t="array" ref="W304">IFERROR(INDEX($A$3:$F$345,MATCH(U304&amp;R304,$A$3:$A$345&amp;$E$3:$E$345,0),2),"")</f>
        <v>0</v>
      </c>
      <c r="X304" s="165" cm="1">
        <f t="array" ref="X304">IFERROR(INDEX($A$3:$F$345,MATCH(V304&amp;R304,$A$3:$A$345&amp;$E$3:$E$345,0),2),"")</f>
        <v>0</v>
      </c>
      <c r="Y304" s="165" cm="1">
        <f t="array" ref="Y304">IFERROR(INDEX($A$3:$F$345,MATCH(U304&amp;R304,$A$3:$A$345&amp;$E$3:$E$345,0),4),"")</f>
        <v>0</v>
      </c>
      <c r="Z304" s="165" cm="1">
        <f t="array" ref="Z304">IFERROR(INDEX($A$3:$F$345,MATCH(V304&amp;R304,$A$3:$A$345&amp;$E$3:$E$345,0),4),"")</f>
        <v>0</v>
      </c>
      <c r="AA304" s="165" t="str">
        <f t="shared" ref="AA304:AA309" si="15">IFERROR((IF(LEFT(U304,1)="R",RIGHT(LEFT(U304,3),2),LEFT(U304,2))),"")</f>
        <v/>
      </c>
    </row>
    <row r="305" spans="1:27" x14ac:dyDescent="0.25">
      <c r="A305" s="160"/>
      <c r="B305" s="160"/>
      <c r="C305" s="160"/>
      <c r="D305" s="160"/>
      <c r="E305" s="160"/>
      <c r="F305" s="167" t="str">
        <f t="shared" si="13"/>
        <v/>
      </c>
      <c r="L305" s="164"/>
      <c r="M305" s="164"/>
      <c r="N305" s="169"/>
      <c r="O305" s="164"/>
      <c r="P305" s="164"/>
      <c r="Q305" s="164"/>
      <c r="R305" s="164"/>
      <c r="S305" s="518"/>
      <c r="T305" s="165" t="str">
        <f t="shared" si="12"/>
        <v/>
      </c>
      <c r="U305" s="160"/>
      <c r="V305" s="160"/>
      <c r="W305" s="165" cm="1">
        <f t="array" ref="W305">IFERROR(INDEX($A$3:$F$345,MATCH(U305&amp;R305,$A$3:$A$345&amp;$E$3:$E$345,0),2),"")</f>
        <v>0</v>
      </c>
      <c r="X305" s="165" cm="1">
        <f t="array" ref="X305">IFERROR(INDEX($A$3:$F$345,MATCH(V305&amp;R305,$A$3:$A$345&amp;$E$3:$E$345,0),2),"")</f>
        <v>0</v>
      </c>
      <c r="Y305" s="165" cm="1">
        <f t="array" ref="Y305">IFERROR(INDEX($A$3:$F$345,MATCH(U305&amp;R305,$A$3:$A$345&amp;$E$3:$E$345,0),4),"")</f>
        <v>0</v>
      </c>
      <c r="Z305" s="165" cm="1">
        <f t="array" ref="Z305">IFERROR(INDEX($A$3:$F$345,MATCH(V305&amp;R305,$A$3:$A$345&amp;$E$3:$E$345,0),4),"")</f>
        <v>0</v>
      </c>
      <c r="AA305" s="165" t="str">
        <f t="shared" si="15"/>
        <v/>
      </c>
    </row>
    <row r="306" spans="1:27" x14ac:dyDescent="0.25">
      <c r="A306" s="160"/>
      <c r="B306" s="160"/>
      <c r="C306" s="160"/>
      <c r="D306" s="160"/>
      <c r="E306" s="160"/>
      <c r="F306" s="167" t="str">
        <f t="shared" si="13"/>
        <v/>
      </c>
      <c r="L306" s="164"/>
      <c r="M306" s="164"/>
      <c r="N306" s="169"/>
      <c r="O306" s="164"/>
      <c r="P306" s="164"/>
      <c r="Q306" s="164"/>
      <c r="R306" s="164"/>
      <c r="S306" s="518"/>
      <c r="T306" s="165" t="str">
        <f t="shared" si="12"/>
        <v/>
      </c>
      <c r="U306" s="160"/>
      <c r="V306" s="160"/>
      <c r="W306" s="165" cm="1">
        <f t="array" ref="W306">IFERROR(INDEX($A$3:$F$345,MATCH(U306&amp;R306,$A$3:$A$345&amp;$E$3:$E$345,0),2),"")</f>
        <v>0</v>
      </c>
      <c r="X306" s="165" cm="1">
        <f t="array" ref="X306">IFERROR(INDEX($A$3:$F$345,MATCH(V306&amp;R306,$A$3:$A$345&amp;$E$3:$E$345,0),2),"")</f>
        <v>0</v>
      </c>
      <c r="Y306" s="165" cm="1">
        <f t="array" ref="Y306">IFERROR(INDEX($A$3:$F$345,MATCH(U306&amp;R306,$A$3:$A$345&amp;$E$3:$E$345,0),4),"")</f>
        <v>0</v>
      </c>
      <c r="Z306" s="165" cm="1">
        <f t="array" ref="Z306">IFERROR(INDEX($A$3:$F$345,MATCH(V306&amp;R306,$A$3:$A$345&amp;$E$3:$E$345,0),4),"")</f>
        <v>0</v>
      </c>
      <c r="AA306" s="165" t="str">
        <f t="shared" si="15"/>
        <v/>
      </c>
    </row>
    <row r="307" spans="1:27" x14ac:dyDescent="0.25">
      <c r="A307" s="160"/>
      <c r="B307" s="160"/>
      <c r="C307" s="160"/>
      <c r="D307" s="160"/>
      <c r="E307" s="160"/>
      <c r="F307" s="167" t="str">
        <f t="shared" si="13"/>
        <v/>
      </c>
      <c r="L307" s="164"/>
      <c r="M307" s="164"/>
      <c r="N307" s="169"/>
      <c r="O307" s="164"/>
      <c r="P307" s="164"/>
      <c r="Q307" s="164"/>
      <c r="R307" s="164"/>
      <c r="S307" s="518"/>
      <c r="T307" s="165" t="str">
        <f t="shared" si="12"/>
        <v/>
      </c>
      <c r="U307" s="160"/>
      <c r="V307" s="160"/>
      <c r="W307" s="165" cm="1">
        <f t="array" ref="W307">IFERROR(INDEX($A$3:$F$345,MATCH(U307&amp;R307,$A$3:$A$345&amp;$E$3:$E$345,0),2),"")</f>
        <v>0</v>
      </c>
      <c r="X307" s="165" cm="1">
        <f t="array" ref="X307">IFERROR(INDEX($A$3:$F$345,MATCH(V307&amp;R307,$A$3:$A$345&amp;$E$3:$E$345,0),2),"")</f>
        <v>0</v>
      </c>
      <c r="Y307" s="165" cm="1">
        <f t="array" ref="Y307">IFERROR(INDEX($A$3:$F$345,MATCH(U307&amp;R307,$A$3:$A$345&amp;$E$3:$E$345,0),4),"")</f>
        <v>0</v>
      </c>
      <c r="Z307" s="165" cm="1">
        <f t="array" ref="Z307">IFERROR(INDEX($A$3:$F$345,MATCH(V307&amp;R307,$A$3:$A$345&amp;$E$3:$E$345,0),4),"")</f>
        <v>0</v>
      </c>
      <c r="AA307" s="165" t="str">
        <f t="shared" si="15"/>
        <v/>
      </c>
    </row>
    <row r="308" spans="1:27" x14ac:dyDescent="0.25">
      <c r="A308" s="160"/>
      <c r="B308" s="160"/>
      <c r="C308" s="160"/>
      <c r="D308" s="160"/>
      <c r="E308" s="160"/>
      <c r="F308" s="167" t="str">
        <f t="shared" si="13"/>
        <v/>
      </c>
      <c r="L308" s="164"/>
      <c r="M308" s="164"/>
      <c r="N308" s="169"/>
      <c r="O308" s="164"/>
      <c r="P308" s="164"/>
      <c r="Q308" s="164"/>
      <c r="R308" s="164"/>
      <c r="S308" s="518"/>
      <c r="T308" s="165" t="str">
        <f t="shared" si="12"/>
        <v/>
      </c>
      <c r="U308" s="160"/>
      <c r="V308" s="160"/>
      <c r="W308" s="165" cm="1">
        <f t="array" ref="W308">IFERROR(INDEX($A$3:$F$345,MATCH(U308&amp;R308,$A$3:$A$345&amp;$E$3:$E$345,0),2),"")</f>
        <v>0</v>
      </c>
      <c r="X308" s="165" cm="1">
        <f t="array" ref="X308">IFERROR(INDEX($A$3:$F$345,MATCH(V308&amp;R308,$A$3:$A$345&amp;$E$3:$E$345,0),2),"")</f>
        <v>0</v>
      </c>
      <c r="Y308" s="165" cm="1">
        <f t="array" ref="Y308">IFERROR(INDEX($A$3:$F$345,MATCH(U308&amp;R308,$A$3:$A$345&amp;$E$3:$E$345,0),4),"")</f>
        <v>0</v>
      </c>
      <c r="Z308" s="165" cm="1">
        <f t="array" ref="Z308">IFERROR(INDEX($A$3:$F$345,MATCH(V308&amp;R308,$A$3:$A$345&amp;$E$3:$E$345,0),4),"")</f>
        <v>0</v>
      </c>
      <c r="AA308" s="165" t="str">
        <f t="shared" si="15"/>
        <v/>
      </c>
    </row>
    <row r="309" spans="1:27" x14ac:dyDescent="0.25">
      <c r="A309" s="160"/>
      <c r="B309" s="160"/>
      <c r="C309" s="160"/>
      <c r="D309" s="160"/>
      <c r="E309" s="160"/>
      <c r="F309" s="167" t="str">
        <f t="shared" si="13"/>
        <v/>
      </c>
      <c r="L309" s="164"/>
      <c r="M309" s="164"/>
      <c r="N309" s="169"/>
      <c r="O309" s="164"/>
      <c r="P309" s="164"/>
      <c r="Q309" s="164"/>
      <c r="R309" s="164"/>
      <c r="S309" s="518"/>
      <c r="T309" s="165" t="str">
        <f t="shared" si="12"/>
        <v/>
      </c>
      <c r="U309" s="160"/>
      <c r="V309" s="160"/>
      <c r="W309" s="165" cm="1">
        <f t="array" ref="W309">IFERROR(INDEX($A$3:$F$345,MATCH(U309&amp;R309,$A$3:$A$345&amp;$E$3:$E$345,0),2),"")</f>
        <v>0</v>
      </c>
      <c r="X309" s="165" cm="1">
        <f t="array" ref="X309">IFERROR(INDEX($A$3:$F$345,MATCH(V309&amp;R309,$A$3:$A$345&amp;$E$3:$E$345,0),2),"")</f>
        <v>0</v>
      </c>
      <c r="Y309" s="165" cm="1">
        <f t="array" ref="Y309">IFERROR(INDEX($A$3:$F$345,MATCH(U309&amp;R309,$A$3:$A$345&amp;$E$3:$E$345,0),4),"")</f>
        <v>0</v>
      </c>
      <c r="Z309" s="165" cm="1">
        <f t="array" ref="Z309">IFERROR(INDEX($A$3:$F$345,MATCH(V309&amp;R309,$A$3:$A$345&amp;$E$3:$E$345,0),4),"")</f>
        <v>0</v>
      </c>
      <c r="AA309" s="165" t="str">
        <f t="shared" si="15"/>
        <v/>
      </c>
    </row>
    <row r="310" spans="1:27" x14ac:dyDescent="0.25">
      <c r="A310" s="160"/>
      <c r="B310" s="160"/>
      <c r="C310" s="160"/>
      <c r="D310" s="160"/>
      <c r="E310" s="160"/>
      <c r="F310" s="167" t="str">
        <f t="shared" si="13"/>
        <v/>
      </c>
      <c r="L310" s="164"/>
      <c r="M310" s="164"/>
      <c r="N310" s="169"/>
      <c r="O310" s="164"/>
      <c r="P310" s="164"/>
      <c r="Q310" s="164"/>
      <c r="R310" s="164"/>
      <c r="S310" s="518"/>
      <c r="T310" s="165" t="str">
        <f t="shared" si="12"/>
        <v/>
      </c>
      <c r="U310" s="160"/>
      <c r="V310" s="160"/>
      <c r="W310" s="165" cm="1">
        <f t="array" ref="W310">IFERROR(INDEX($A$3:$F$345,MATCH(U310&amp;R310,$A$3:$A$345&amp;$E$3:$E$345,0),2),"")</f>
        <v>0</v>
      </c>
      <c r="X310" s="165" cm="1">
        <f t="array" ref="X310">IFERROR(INDEX($A$3:$F$345,MATCH(V310&amp;R310,$A$3:$A$345&amp;$E$3:$E$345,0),2),"")</f>
        <v>0</v>
      </c>
      <c r="Y310" s="165" cm="1">
        <f t="array" ref="Y310">IFERROR(INDEX($A$3:$F$345,MATCH(U310&amp;R310,$A$3:$A$345&amp;$E$3:$E$345,0),4),"")</f>
        <v>0</v>
      </c>
      <c r="Z310" s="165" cm="1">
        <f t="array" ref="Z310">IFERROR(INDEX($A$3:$F$345,MATCH(V310&amp;R310,$A$3:$A$345&amp;$E$3:$E$345,0),4),"")</f>
        <v>0</v>
      </c>
      <c r="AA310" s="165" t="str">
        <f>IFERROR((IF(LEFT(U310,1)="R",RIGHT(LEFT(U310,3),2),LEFT(U310,2))),"")</f>
        <v/>
      </c>
    </row>
    <row r="311" spans="1:27" x14ac:dyDescent="0.25">
      <c r="A311" s="160"/>
      <c r="B311" s="160"/>
      <c r="C311" s="160"/>
      <c r="D311" s="160"/>
      <c r="E311" s="160"/>
      <c r="F311" s="167" t="str">
        <f t="shared" si="13"/>
        <v/>
      </c>
      <c r="L311" s="164"/>
      <c r="M311" s="164"/>
      <c r="N311" s="169"/>
      <c r="O311" s="164"/>
      <c r="P311" s="164"/>
      <c r="Q311" s="164"/>
      <c r="R311" s="164"/>
      <c r="S311" s="518"/>
      <c r="T311" s="165" t="str">
        <f t="shared" si="12"/>
        <v/>
      </c>
      <c r="U311" s="160"/>
      <c r="V311" s="160"/>
      <c r="W311" s="165" cm="1">
        <f t="array" ref="W311">IFERROR(INDEX($A$3:$F$345,MATCH(U311&amp;R311,$A$3:$A$345&amp;$E$3:$E$345,0),2),"")</f>
        <v>0</v>
      </c>
      <c r="X311" s="165" cm="1">
        <f t="array" ref="X311">IFERROR(INDEX($A$3:$F$345,MATCH(V311&amp;R311,$A$3:$A$345&amp;$E$3:$E$345,0),2),"")</f>
        <v>0</v>
      </c>
      <c r="Y311" s="165" cm="1">
        <f t="array" ref="Y311">IFERROR(INDEX($A$3:$F$345,MATCH(U311&amp;R311,$A$3:$A$345&amp;$E$3:$E$345,0),4),"")</f>
        <v>0</v>
      </c>
      <c r="Z311" s="165" cm="1">
        <f t="array" ref="Z311">IFERROR(INDEX($A$3:$F$345,MATCH(V311&amp;R311,$A$3:$A$345&amp;$E$3:$E$345,0),4),"")</f>
        <v>0</v>
      </c>
      <c r="AA311" s="165" t="str">
        <f>IFERROR((IF(LEFT(U311,1)="R",RIGHT(LEFT(U311,3),2),LEFT(U311,2))),"")</f>
        <v/>
      </c>
    </row>
    <row r="312" spans="1:27" x14ac:dyDescent="0.25">
      <c r="A312" s="160"/>
      <c r="B312" s="160"/>
      <c r="C312" s="160"/>
      <c r="D312" s="160"/>
      <c r="E312" s="160"/>
      <c r="F312" s="167" t="str">
        <f t="shared" si="13"/>
        <v/>
      </c>
      <c r="L312" s="164"/>
      <c r="M312" s="164"/>
      <c r="N312" s="169"/>
      <c r="O312" s="164"/>
      <c r="P312" s="164"/>
      <c r="Q312" s="164"/>
      <c r="R312" s="164"/>
      <c r="S312" s="518"/>
      <c r="T312" s="165" t="str">
        <f t="shared" si="12"/>
        <v/>
      </c>
      <c r="U312" s="160"/>
      <c r="V312" s="160"/>
      <c r="W312" s="165" cm="1">
        <f t="array" ref="W312">IFERROR(INDEX($A$3:$F$345,MATCH(U312&amp;R312,$A$3:$A$345&amp;$E$3:$E$345,0),2),"")</f>
        <v>0</v>
      </c>
      <c r="X312" s="165" cm="1">
        <f t="array" ref="X312">IFERROR(INDEX($A$3:$F$345,MATCH(V312&amp;R312,$A$3:$A$345&amp;$E$3:$E$345,0),2),"")</f>
        <v>0</v>
      </c>
      <c r="Y312" s="165" cm="1">
        <f t="array" ref="Y312">IFERROR(INDEX($A$3:$F$345,MATCH(U312&amp;R312,$A$3:$A$345&amp;$E$3:$E$345,0),4),"")</f>
        <v>0</v>
      </c>
      <c r="Z312" s="165" cm="1">
        <f t="array" ref="Z312">IFERROR(INDEX($A$3:$F$345,MATCH(V312&amp;R312,$A$3:$A$345&amp;$E$3:$E$345,0),4),"")</f>
        <v>0</v>
      </c>
      <c r="AA312" s="165" t="str">
        <f>IFERROR((IF(LEFT(U312,1)="R",RIGHT(LEFT(U312,3),2),LEFT(U312,2))),"")</f>
        <v/>
      </c>
    </row>
    <row r="313" spans="1:27" x14ac:dyDescent="0.25">
      <c r="A313" s="160"/>
      <c r="B313" s="160"/>
      <c r="C313" s="160"/>
      <c r="D313" s="160"/>
      <c r="E313" s="160"/>
      <c r="F313" s="167" t="str">
        <f t="shared" si="13"/>
        <v/>
      </c>
      <c r="L313" s="164"/>
      <c r="M313" s="164"/>
      <c r="N313" s="169"/>
      <c r="O313" s="164"/>
      <c r="P313" s="164"/>
      <c r="Q313" s="164"/>
      <c r="R313" s="164"/>
      <c r="S313" s="518"/>
      <c r="T313" s="165" t="str">
        <f t="shared" si="12"/>
        <v/>
      </c>
      <c r="U313" s="160"/>
      <c r="V313" s="160"/>
      <c r="W313" s="165" cm="1">
        <f t="array" ref="W313">IFERROR(INDEX($A$3:$F$345,MATCH(U313&amp;R313,$A$3:$A$345&amp;$E$3:$E$345,0),2),"")</f>
        <v>0</v>
      </c>
      <c r="X313" s="165" cm="1">
        <f t="array" ref="X313">IFERROR(INDEX($A$3:$F$345,MATCH(V313&amp;R313,$A$3:$A$345&amp;$E$3:$E$345,0),2),"")</f>
        <v>0</v>
      </c>
      <c r="Y313" s="165" cm="1">
        <f t="array" ref="Y313">IFERROR(INDEX($A$3:$F$345,MATCH(U313&amp;R313,$A$3:$A$345&amp;$E$3:$E$345,0),4),"")</f>
        <v>0</v>
      </c>
      <c r="Z313" s="165" cm="1">
        <f t="array" ref="Z313">IFERROR(INDEX($A$3:$F$345,MATCH(V313&amp;R313,$A$3:$A$345&amp;$E$3:$E$345,0),4),"")</f>
        <v>0</v>
      </c>
      <c r="AA313" s="165" t="str">
        <f>IFERROR((IF(LEFT(U313,1)="R",RIGHT(LEFT(U313,3),2),LEFT(U313,2))),"")</f>
        <v/>
      </c>
    </row>
    <row r="314" spans="1:27" x14ac:dyDescent="0.25">
      <c r="A314" s="160"/>
      <c r="B314" s="160"/>
      <c r="C314" s="160"/>
      <c r="D314" s="160"/>
      <c r="E314" s="160"/>
      <c r="F314" s="167" t="str">
        <f t="shared" si="13"/>
        <v/>
      </c>
      <c r="L314" s="164"/>
      <c r="M314" s="164"/>
      <c r="N314" s="169"/>
      <c r="O314" s="164"/>
      <c r="P314" s="164"/>
      <c r="Q314" s="164"/>
      <c r="R314" s="164"/>
      <c r="S314" s="518"/>
      <c r="T314" s="165" t="str">
        <f t="shared" si="12"/>
        <v/>
      </c>
      <c r="U314" s="160"/>
      <c r="V314" s="160"/>
      <c r="W314" s="165" cm="1">
        <f t="array" ref="W314">IFERROR(INDEX($A$3:$F$345,MATCH(U314&amp;R314,$A$3:$A$345&amp;$E$3:$E$345,0),2),"")</f>
        <v>0</v>
      </c>
      <c r="X314" s="165" cm="1">
        <f t="array" ref="X314">IFERROR(INDEX($A$3:$F$345,MATCH(V314&amp;R314,$A$3:$A$345&amp;$E$3:$E$345,0),2),"")</f>
        <v>0</v>
      </c>
      <c r="Y314" s="165" cm="1">
        <f t="array" ref="Y314">IFERROR(INDEX($A$3:$F$345,MATCH(U314&amp;R314,$A$3:$A$345&amp;$E$3:$E$345,0),4),"")</f>
        <v>0</v>
      </c>
      <c r="Z314" s="165" cm="1">
        <f t="array" ref="Z314">IFERROR(INDEX($A$3:$F$345,MATCH(V314&amp;R314,$A$3:$A$345&amp;$E$3:$E$345,0),4),"")</f>
        <v>0</v>
      </c>
      <c r="AA314" s="165" t="str">
        <f>IFERROR((IF(LEFT(U314,1)="R",RIGHT(LEFT(U314,3),2),LEFT(U314,2))),"")</f>
        <v/>
      </c>
    </row>
    <row r="315" spans="1:27" x14ac:dyDescent="0.25">
      <c r="A315" s="160"/>
      <c r="B315" s="160"/>
      <c r="C315" s="160"/>
      <c r="D315" s="160"/>
      <c r="E315" s="160"/>
      <c r="F315" s="167" t="str">
        <f t="shared" si="13"/>
        <v/>
      </c>
      <c r="L315" s="164"/>
      <c r="M315" s="164"/>
      <c r="N315" s="169"/>
      <c r="O315" s="164"/>
      <c r="P315" s="164"/>
      <c r="Q315" s="164"/>
      <c r="R315" s="164"/>
      <c r="S315" s="515"/>
      <c r="T315" s="165" t="str">
        <f t="shared" si="12"/>
        <v/>
      </c>
      <c r="U315" s="160"/>
      <c r="V315" s="160"/>
      <c r="W315" s="165" cm="1">
        <f t="array" ref="W315">IFERROR(INDEX($A$3:$F$345,MATCH(U315&amp;R315,$A$3:$A$345&amp;$E$3:$E$345,0),2),"")</f>
        <v>0</v>
      </c>
      <c r="X315" s="165" cm="1">
        <f t="array" ref="X315">IFERROR(INDEX($A$3:$F$345,MATCH(V315&amp;R315,$A$3:$A$345&amp;$E$3:$E$345,0),2),"")</f>
        <v>0</v>
      </c>
      <c r="Y315" s="165" cm="1">
        <f t="array" ref="Y315">IFERROR(INDEX($A$3:$F$345,MATCH(U315&amp;R315,$A$3:$A$345&amp;$E$3:$E$345,0),4),"")</f>
        <v>0</v>
      </c>
      <c r="Z315" s="165" cm="1">
        <f t="array" ref="Z315">IFERROR(INDEX($A$3:$F$345,MATCH(V315&amp;R315,$A$3:$A$345&amp;$E$3:$E$345,0),4),"")</f>
        <v>0</v>
      </c>
      <c r="AA315" s="165" t="str">
        <f t="shared" ref="AA315:AA343" si="16">IFERROR((IF(LEFT(U315,1)="R",RIGHT(LEFT(U315,3),2),LEFT(U315,2))),"")</f>
        <v/>
      </c>
    </row>
    <row r="316" spans="1:27" x14ac:dyDescent="0.25">
      <c r="A316" s="160"/>
      <c r="B316" s="160"/>
      <c r="C316" s="160"/>
      <c r="D316" s="160"/>
      <c r="E316" s="160"/>
      <c r="F316" s="167" t="str">
        <f t="shared" si="13"/>
        <v/>
      </c>
      <c r="L316" s="164"/>
      <c r="M316" s="164"/>
      <c r="N316" s="169"/>
      <c r="O316" s="164"/>
      <c r="P316" s="164"/>
      <c r="Q316" s="164"/>
      <c r="R316" s="164"/>
      <c r="S316" s="515"/>
      <c r="T316" s="165" t="str">
        <f t="shared" si="12"/>
        <v/>
      </c>
      <c r="U316" s="160"/>
      <c r="V316" s="160"/>
      <c r="W316" s="165" cm="1">
        <f t="array" ref="W316">IFERROR(INDEX($A$3:$F$345,MATCH(U316&amp;R316,$A$3:$A$345&amp;$E$3:$E$345,0),2),"")</f>
        <v>0</v>
      </c>
      <c r="X316" s="165" cm="1">
        <f t="array" ref="X316">IFERROR(INDEX($A$3:$F$345,MATCH(V316&amp;R316,$A$3:$A$345&amp;$E$3:$E$345,0),2),"")</f>
        <v>0</v>
      </c>
      <c r="Y316" s="165" cm="1">
        <f t="array" ref="Y316">IFERROR(INDEX($A$3:$F$345,MATCH(U316&amp;R316,$A$3:$A$345&amp;$E$3:$E$345,0),4),"")</f>
        <v>0</v>
      </c>
      <c r="Z316" s="165" cm="1">
        <f t="array" ref="Z316">IFERROR(INDEX($A$3:$F$345,MATCH(V316&amp;R316,$A$3:$A$345&amp;$E$3:$E$345,0),4),"")</f>
        <v>0</v>
      </c>
      <c r="AA316" s="165" t="str">
        <f t="shared" si="16"/>
        <v/>
      </c>
    </row>
    <row r="317" spans="1:27" x14ac:dyDescent="0.25">
      <c r="A317" s="160"/>
      <c r="B317" s="160"/>
      <c r="C317" s="160"/>
      <c r="D317" s="160"/>
      <c r="E317" s="160"/>
      <c r="F317" s="167" t="str">
        <f t="shared" si="13"/>
        <v/>
      </c>
      <c r="L317" s="164"/>
      <c r="M317" s="164"/>
      <c r="N317" s="169"/>
      <c r="O317" s="164"/>
      <c r="P317" s="164"/>
      <c r="Q317" s="164"/>
      <c r="R317" s="164"/>
      <c r="S317" s="515"/>
      <c r="T317" s="165" t="str">
        <f t="shared" si="12"/>
        <v/>
      </c>
      <c r="U317" s="160"/>
      <c r="V317" s="160"/>
      <c r="W317" s="165" cm="1">
        <f t="array" ref="W317">IFERROR(INDEX($A$3:$F$345,MATCH(U317&amp;R317,$A$3:$A$345&amp;$E$3:$E$345,0),2),"")</f>
        <v>0</v>
      </c>
      <c r="X317" s="165" cm="1">
        <f t="array" ref="X317">IFERROR(INDEX($A$3:$F$345,MATCH(V317&amp;R317,$A$3:$A$345&amp;$E$3:$E$345,0),2),"")</f>
        <v>0</v>
      </c>
      <c r="Y317" s="165" cm="1">
        <f t="array" ref="Y317">IFERROR(INDEX($A$3:$F$345,MATCH(U317&amp;R317,$A$3:$A$345&amp;$E$3:$E$345,0),4),"")</f>
        <v>0</v>
      </c>
      <c r="Z317" s="165" cm="1">
        <f t="array" ref="Z317">IFERROR(INDEX($A$3:$F$345,MATCH(V317&amp;R317,$A$3:$A$345&amp;$E$3:$E$345,0),4),"")</f>
        <v>0</v>
      </c>
      <c r="AA317" s="165" t="str">
        <f t="shared" si="16"/>
        <v/>
      </c>
    </row>
    <row r="318" spans="1:27" x14ac:dyDescent="0.25">
      <c r="A318" s="160"/>
      <c r="B318" s="160"/>
      <c r="C318" s="160"/>
      <c r="D318" s="160"/>
      <c r="E318" s="160"/>
      <c r="F318" s="167" t="str">
        <f t="shared" ref="F318:F345" si="17">IF(AND(LEFT(A318,4)&lt;&gt;"PV",LEFT(A318,4)&lt;&gt;"CX"),IF(LEFT(A318,1)="R",RIGHT(LEFT(A318,3),4),IF(LEFT(A318,1)="I",RIGHT(LEFT(A318,4),3),LEFT(A318,3))))</f>
        <v/>
      </c>
      <c r="L318" s="540"/>
      <c r="M318" s="540"/>
      <c r="N318" s="541"/>
      <c r="O318" s="540"/>
      <c r="P318" s="540"/>
      <c r="Q318" s="540"/>
      <c r="R318" s="164"/>
      <c r="S318" s="515"/>
      <c r="T318" s="165" t="str">
        <f t="shared" si="12"/>
        <v/>
      </c>
      <c r="U318" s="515"/>
      <c r="V318" s="515"/>
      <c r="W318" s="165" cm="1">
        <f t="array" ref="W318">IFERROR(INDEX($A$3:$F$345,MATCH(U318&amp;R318,$A$3:$A$345&amp;$E$3:$E$345,0),2),"")</f>
        <v>0</v>
      </c>
      <c r="X318" s="165" cm="1">
        <f t="array" ref="X318">IFERROR(INDEX($A$3:$F$345,MATCH(V318&amp;R318,$A$3:$A$345&amp;$E$3:$E$345,0),2),"")</f>
        <v>0</v>
      </c>
      <c r="Y318" s="165" cm="1">
        <f t="array" ref="Y318">IFERROR(INDEX($A$3:$F$345,MATCH(U318&amp;R318,$A$3:$A$345&amp;$E$3:$E$345,0),4),"")</f>
        <v>0</v>
      </c>
      <c r="Z318" s="165" cm="1">
        <f t="array" ref="Z318">IFERROR(INDEX($A$3:$F$345,MATCH(V318&amp;R318,$A$3:$A$345&amp;$E$3:$E$345,0),4),"")</f>
        <v>0</v>
      </c>
      <c r="AA318" s="165" t="str">
        <f t="shared" si="16"/>
        <v/>
      </c>
    </row>
    <row r="319" spans="1:27" x14ac:dyDescent="0.25">
      <c r="A319" s="515"/>
      <c r="B319" s="515"/>
      <c r="C319" s="515"/>
      <c r="D319" s="515"/>
      <c r="E319" s="515"/>
      <c r="F319" s="167" t="str">
        <f t="shared" si="17"/>
        <v/>
      </c>
      <c r="L319" s="540"/>
      <c r="M319" s="540"/>
      <c r="N319" s="541"/>
      <c r="O319" s="540"/>
      <c r="P319" s="540"/>
      <c r="Q319" s="540"/>
      <c r="R319" s="164"/>
      <c r="S319" s="515"/>
      <c r="T319" s="165" t="str">
        <f t="shared" si="12"/>
        <v/>
      </c>
      <c r="U319" s="515"/>
      <c r="V319" s="515"/>
      <c r="W319" s="165" cm="1">
        <f t="array" ref="W319">IFERROR(INDEX($A$3:$F$345,MATCH(U319&amp;R319,$A$3:$A$345&amp;$E$3:$E$345,0),2),"")</f>
        <v>0</v>
      </c>
      <c r="X319" s="165" cm="1">
        <f t="array" ref="X319">IFERROR(INDEX($A$3:$F$345,MATCH(V319&amp;R319,$A$3:$A$345&amp;$E$3:$E$345,0),2),"")</f>
        <v>0</v>
      </c>
      <c r="Y319" s="165" cm="1">
        <f t="array" ref="Y319">IFERROR(INDEX($A$3:$F$345,MATCH(U319&amp;R319,$A$3:$A$345&amp;$E$3:$E$345,0),4),"")</f>
        <v>0</v>
      </c>
      <c r="Z319" s="165" cm="1">
        <f t="array" ref="Z319">IFERROR(INDEX($A$3:$F$345,MATCH(V319&amp;R319,$A$3:$A$345&amp;$E$3:$E$345,0),4),"")</f>
        <v>0</v>
      </c>
      <c r="AA319" s="165" t="str">
        <f t="shared" si="16"/>
        <v/>
      </c>
    </row>
    <row r="320" spans="1:27" x14ac:dyDescent="0.25">
      <c r="A320" s="515"/>
      <c r="B320" s="515"/>
      <c r="C320" s="515"/>
      <c r="D320" s="515"/>
      <c r="E320" s="515"/>
      <c r="F320" s="167" t="str">
        <f t="shared" si="17"/>
        <v/>
      </c>
      <c r="L320" s="540"/>
      <c r="M320" s="540"/>
      <c r="N320" s="541"/>
      <c r="O320" s="540"/>
      <c r="P320" s="540"/>
      <c r="Q320" s="540"/>
      <c r="R320" s="164"/>
      <c r="S320" s="515"/>
      <c r="T320" s="165" t="str">
        <f t="shared" ref="T320:T340" si="18">IF(S320="E","EXISTENTE",IF(AND(S320="R",LEFT(L320,7)="RBIGODE",M320=400),"RBIGODE 40",IF(AND(LEFT(L320,7)="RBIGODE",M320=600),"RBIGODE 60",IF(AND(S320="I",LEFT(L320,6)="BIGODE",M320=400),"BIGODE 40",IF(AND(LEFT(L320,6)="BIGODE",M320=600),"BIGODE 60",LEFT(L320,7))))))</f>
        <v/>
      </c>
      <c r="U320" s="515"/>
      <c r="V320" s="515"/>
      <c r="W320" s="165" cm="1">
        <f t="array" ref="W320">IFERROR(INDEX($A$3:$F$345,MATCH(U320&amp;R320,$A$3:$A$345&amp;$E$3:$E$345,0),2),"")</f>
        <v>0</v>
      </c>
      <c r="X320" s="165" cm="1">
        <f t="array" ref="X320">IFERROR(INDEX($A$3:$F$345,MATCH(V320&amp;R320,$A$3:$A$345&amp;$E$3:$E$345,0),2),"")</f>
        <v>0</v>
      </c>
      <c r="Y320" s="165" cm="1">
        <f t="array" ref="Y320">IFERROR(INDEX($A$3:$F$345,MATCH(U320&amp;R320,$A$3:$A$345&amp;$E$3:$E$345,0),4),"")</f>
        <v>0</v>
      </c>
      <c r="Z320" s="165" cm="1">
        <f t="array" ref="Z320">IFERROR(INDEX($A$3:$F$345,MATCH(V320&amp;R320,$A$3:$A$345&amp;$E$3:$E$345,0),4),"")</f>
        <v>0</v>
      </c>
      <c r="AA320" s="165" t="str">
        <f t="shared" si="16"/>
        <v/>
      </c>
    </row>
    <row r="321" spans="1:27" x14ac:dyDescent="0.25">
      <c r="A321" s="515"/>
      <c r="B321" s="515"/>
      <c r="C321" s="515"/>
      <c r="D321" s="515"/>
      <c r="E321" s="515"/>
      <c r="F321" s="167" t="str">
        <f t="shared" si="17"/>
        <v/>
      </c>
      <c r="L321" s="540"/>
      <c r="M321" s="540"/>
      <c r="N321" s="541"/>
      <c r="O321" s="540"/>
      <c r="P321" s="540"/>
      <c r="Q321" s="540"/>
      <c r="R321" s="164"/>
      <c r="S321" s="515"/>
      <c r="T321" s="165" t="str">
        <f t="shared" si="18"/>
        <v/>
      </c>
      <c r="U321" s="515"/>
      <c r="V321" s="515"/>
      <c r="W321" s="165" cm="1">
        <f t="array" ref="W321">IFERROR(INDEX($A$3:$F$345,MATCH(U321&amp;R321,$A$3:$A$345&amp;$E$3:$E$345,0),2),"")</f>
        <v>0</v>
      </c>
      <c r="X321" s="165" cm="1">
        <f t="array" ref="X321">IFERROR(INDEX($A$3:$F$345,MATCH(V321&amp;R321,$A$3:$A$345&amp;$E$3:$E$345,0),2),"")</f>
        <v>0</v>
      </c>
      <c r="Y321" s="165" cm="1">
        <f t="array" ref="Y321">IFERROR(INDEX($A$3:$F$345,MATCH(U321&amp;R321,$A$3:$A$345&amp;$E$3:$E$345,0),4),"")</f>
        <v>0</v>
      </c>
      <c r="Z321" s="165" cm="1">
        <f t="array" ref="Z321">IFERROR(INDEX($A$3:$F$345,MATCH(V321&amp;R321,$A$3:$A$345&amp;$E$3:$E$345,0),4),"")</f>
        <v>0</v>
      </c>
      <c r="AA321" s="165" t="str">
        <f t="shared" si="16"/>
        <v/>
      </c>
    </row>
    <row r="322" spans="1:27" x14ac:dyDescent="0.25">
      <c r="A322" s="515"/>
      <c r="B322" s="515"/>
      <c r="C322" s="515"/>
      <c r="D322" s="515"/>
      <c r="E322" s="515"/>
      <c r="F322" s="167" t="str">
        <f t="shared" si="17"/>
        <v/>
      </c>
      <c r="L322" s="540"/>
      <c r="M322" s="540"/>
      <c r="N322" s="541"/>
      <c r="O322" s="540"/>
      <c r="P322" s="540"/>
      <c r="Q322" s="540"/>
      <c r="R322" s="164"/>
      <c r="S322" s="515"/>
      <c r="T322" s="165" t="str">
        <f t="shared" si="18"/>
        <v/>
      </c>
      <c r="U322" s="515"/>
      <c r="V322" s="515"/>
      <c r="W322" s="165" cm="1">
        <f t="array" ref="W322">IFERROR(INDEX($A$3:$F$345,MATCH(U322&amp;R322,$A$3:$A$345&amp;$E$3:$E$345,0),2),"")</f>
        <v>0</v>
      </c>
      <c r="X322" s="165" cm="1">
        <f t="array" ref="X322">IFERROR(INDEX($A$3:$F$345,MATCH(V322&amp;R322,$A$3:$A$345&amp;$E$3:$E$345,0),2),"")</f>
        <v>0</v>
      </c>
      <c r="Y322" s="165" cm="1">
        <f t="array" ref="Y322">IFERROR(INDEX($A$3:$F$345,MATCH(U322&amp;R322,$A$3:$A$345&amp;$E$3:$E$345,0),4),"")</f>
        <v>0</v>
      </c>
      <c r="Z322" s="165" cm="1">
        <f t="array" ref="Z322">IFERROR(INDEX($A$3:$F$345,MATCH(V322&amp;R322,$A$3:$A$345&amp;$E$3:$E$345,0),4),"")</f>
        <v>0</v>
      </c>
      <c r="AA322" s="165" t="str">
        <f t="shared" si="16"/>
        <v/>
      </c>
    </row>
    <row r="323" spans="1:27" x14ac:dyDescent="0.25">
      <c r="A323" s="515"/>
      <c r="B323" s="515"/>
      <c r="C323" s="515"/>
      <c r="D323" s="515"/>
      <c r="E323" s="515"/>
      <c r="F323" s="167" t="str">
        <f t="shared" si="17"/>
        <v/>
      </c>
      <c r="L323" s="540"/>
      <c r="M323" s="540"/>
      <c r="N323" s="541"/>
      <c r="O323" s="540"/>
      <c r="P323" s="540"/>
      <c r="Q323" s="540"/>
      <c r="R323" s="164"/>
      <c r="S323" s="515"/>
      <c r="T323" s="165" t="str">
        <f t="shared" si="18"/>
        <v/>
      </c>
      <c r="U323" s="515"/>
      <c r="V323" s="515"/>
      <c r="W323" s="165" cm="1">
        <f t="array" ref="W323">IFERROR(INDEX($A$3:$F$345,MATCH(U323&amp;R323,$A$3:$A$345&amp;$E$3:$E$345,0),2),"")</f>
        <v>0</v>
      </c>
      <c r="X323" s="165" cm="1">
        <f t="array" ref="X323">IFERROR(INDEX($A$3:$F$345,MATCH(V323&amp;R323,$A$3:$A$345&amp;$E$3:$E$345,0),2),"")</f>
        <v>0</v>
      </c>
      <c r="Y323" s="165" cm="1">
        <f t="array" ref="Y323">IFERROR(INDEX($A$3:$F$345,MATCH(U323&amp;R323,$A$3:$A$345&amp;$E$3:$E$345,0),4),"")</f>
        <v>0</v>
      </c>
      <c r="Z323" s="165" cm="1">
        <f t="array" ref="Z323">IFERROR(INDEX($A$3:$F$345,MATCH(V323&amp;R323,$A$3:$A$345&amp;$E$3:$E$345,0),4),"")</f>
        <v>0</v>
      </c>
      <c r="AA323" s="165" t="str">
        <f t="shared" si="16"/>
        <v/>
      </c>
    </row>
    <row r="324" spans="1:27" x14ac:dyDescent="0.25">
      <c r="A324" s="515"/>
      <c r="B324" s="515"/>
      <c r="C324" s="515"/>
      <c r="D324" s="515"/>
      <c r="E324" s="515"/>
      <c r="F324" s="167" t="str">
        <f t="shared" si="17"/>
        <v/>
      </c>
      <c r="L324" s="540"/>
      <c r="M324" s="540"/>
      <c r="N324" s="541"/>
      <c r="O324" s="540"/>
      <c r="P324" s="540"/>
      <c r="Q324" s="540"/>
      <c r="R324" s="164"/>
      <c r="S324" s="515"/>
      <c r="T324" s="165" t="str">
        <f t="shared" si="18"/>
        <v/>
      </c>
      <c r="U324" s="515"/>
      <c r="V324" s="515"/>
      <c r="W324" s="165" cm="1">
        <f t="array" ref="W324">IFERROR(INDEX($A$3:$F$345,MATCH(U324&amp;R324,$A$3:$A$345&amp;$E$3:$E$345,0),2),"")</f>
        <v>0</v>
      </c>
      <c r="X324" s="165" cm="1">
        <f t="array" ref="X324">IFERROR(INDEX($A$3:$F$345,MATCH(V324&amp;R324,$A$3:$A$345&amp;$E$3:$E$345,0),2),"")</f>
        <v>0</v>
      </c>
      <c r="Y324" s="165" cm="1">
        <f t="array" ref="Y324">IFERROR(INDEX($A$3:$F$345,MATCH(U324&amp;R324,$A$3:$A$345&amp;$E$3:$E$345,0),4),"")</f>
        <v>0</v>
      </c>
      <c r="Z324" s="165" cm="1">
        <f t="array" ref="Z324">IFERROR(INDEX($A$3:$F$345,MATCH(V324&amp;R324,$A$3:$A$345&amp;$E$3:$E$345,0),4),"")</f>
        <v>0</v>
      </c>
      <c r="AA324" s="165" t="str">
        <f t="shared" si="16"/>
        <v/>
      </c>
    </row>
    <row r="325" spans="1:27" x14ac:dyDescent="0.25">
      <c r="A325" s="515"/>
      <c r="B325" s="515"/>
      <c r="C325" s="515"/>
      <c r="D325" s="515"/>
      <c r="E325" s="515"/>
      <c r="F325" s="167" t="str">
        <f t="shared" si="17"/>
        <v/>
      </c>
      <c r="L325" s="540"/>
      <c r="M325" s="540"/>
      <c r="N325" s="541"/>
      <c r="O325" s="540"/>
      <c r="P325" s="540"/>
      <c r="Q325" s="540"/>
      <c r="R325" s="164"/>
      <c r="S325" s="515"/>
      <c r="T325" s="165" t="str">
        <f t="shared" si="18"/>
        <v/>
      </c>
      <c r="U325" s="515"/>
      <c r="V325" s="515"/>
      <c r="W325" s="165" cm="1">
        <f t="array" ref="W325">IFERROR(INDEX($A$3:$F$345,MATCH(U325&amp;R325,$A$3:$A$345&amp;$E$3:$E$345,0),2),"")</f>
        <v>0</v>
      </c>
      <c r="X325" s="165" cm="1">
        <f t="array" ref="X325">IFERROR(INDEX($A$3:$F$345,MATCH(V325&amp;R325,$A$3:$A$345&amp;$E$3:$E$345,0),2),"")</f>
        <v>0</v>
      </c>
      <c r="Y325" s="165" cm="1">
        <f t="array" ref="Y325">IFERROR(INDEX($A$3:$F$345,MATCH(U325&amp;R325,$A$3:$A$345&amp;$E$3:$E$345,0),4),"")</f>
        <v>0</v>
      </c>
      <c r="Z325" s="165" cm="1">
        <f t="array" ref="Z325">IFERROR(INDEX($A$3:$F$345,MATCH(V325&amp;R325,$A$3:$A$345&amp;$E$3:$E$345,0),4),"")</f>
        <v>0</v>
      </c>
      <c r="AA325" s="165" t="str">
        <f t="shared" si="16"/>
        <v/>
      </c>
    </row>
    <row r="326" spans="1:27" x14ac:dyDescent="0.25">
      <c r="A326" s="515"/>
      <c r="B326" s="515"/>
      <c r="C326" s="515"/>
      <c r="D326" s="515"/>
      <c r="E326" s="515"/>
      <c r="F326" s="167" t="str">
        <f t="shared" si="17"/>
        <v/>
      </c>
      <c r="L326" s="540"/>
      <c r="M326" s="540"/>
      <c r="N326" s="541"/>
      <c r="O326" s="540"/>
      <c r="P326" s="540"/>
      <c r="Q326" s="540"/>
      <c r="R326" s="164"/>
      <c r="S326" s="515"/>
      <c r="T326" s="165" t="str">
        <f t="shared" si="18"/>
        <v/>
      </c>
      <c r="U326" s="515"/>
      <c r="V326" s="515"/>
      <c r="W326" s="165" cm="1">
        <f t="array" ref="W326">IFERROR(INDEX($A$3:$F$345,MATCH(U326&amp;R326,$A$3:$A$345&amp;$E$3:$E$345,0),2),"")</f>
        <v>0</v>
      </c>
      <c r="X326" s="165" cm="1">
        <f t="array" ref="X326">IFERROR(INDEX($A$3:$F$345,MATCH(V326&amp;R326,$A$3:$A$345&amp;$E$3:$E$345,0),2),"")</f>
        <v>0</v>
      </c>
      <c r="Y326" s="165" cm="1">
        <f t="array" ref="Y326">IFERROR(INDEX($A$3:$F$345,MATCH(U326&amp;R326,$A$3:$A$345&amp;$E$3:$E$345,0),4),"")</f>
        <v>0</v>
      </c>
      <c r="Z326" s="165" cm="1">
        <f t="array" ref="Z326">IFERROR(INDEX($A$3:$F$345,MATCH(V326&amp;R326,$A$3:$A$345&amp;$E$3:$E$345,0),4),"")</f>
        <v>0</v>
      </c>
      <c r="AA326" s="165" t="str">
        <f t="shared" si="16"/>
        <v/>
      </c>
    </row>
    <row r="327" spans="1:27" x14ac:dyDescent="0.25">
      <c r="A327" s="515"/>
      <c r="B327" s="515"/>
      <c r="C327" s="515"/>
      <c r="D327" s="515"/>
      <c r="E327" s="515"/>
      <c r="F327" s="167" t="str">
        <f t="shared" si="17"/>
        <v/>
      </c>
      <c r="L327" s="540"/>
      <c r="M327" s="540"/>
      <c r="N327" s="541"/>
      <c r="O327" s="540"/>
      <c r="P327" s="540"/>
      <c r="Q327" s="540"/>
      <c r="R327" s="164"/>
      <c r="S327" s="515"/>
      <c r="T327" s="165" t="str">
        <f t="shared" si="18"/>
        <v/>
      </c>
      <c r="U327" s="515"/>
      <c r="V327" s="515"/>
      <c r="W327" s="165" cm="1">
        <f t="array" ref="W327">IFERROR(INDEX($A$3:$F$345,MATCH(U327&amp;R327,$A$3:$A$345&amp;$E$3:$E$345,0),2),"")</f>
        <v>0</v>
      </c>
      <c r="X327" s="165" cm="1">
        <f t="array" ref="X327">IFERROR(INDEX($A$3:$F$345,MATCH(V327&amp;R327,$A$3:$A$345&amp;$E$3:$E$345,0),2),"")</f>
        <v>0</v>
      </c>
      <c r="Y327" s="165" cm="1">
        <f t="array" ref="Y327">IFERROR(INDEX($A$3:$F$345,MATCH(U327&amp;R327,$A$3:$A$345&amp;$E$3:$E$345,0),4),"")</f>
        <v>0</v>
      </c>
      <c r="Z327" s="165" cm="1">
        <f t="array" ref="Z327">IFERROR(INDEX($A$3:$F$345,MATCH(V327&amp;R327,$A$3:$A$345&amp;$E$3:$E$345,0),4),"")</f>
        <v>0</v>
      </c>
      <c r="AA327" s="165" t="str">
        <f t="shared" si="16"/>
        <v/>
      </c>
    </row>
    <row r="328" spans="1:27" x14ac:dyDescent="0.25">
      <c r="A328" s="515"/>
      <c r="B328" s="515"/>
      <c r="C328" s="515"/>
      <c r="D328" s="515"/>
      <c r="E328" s="515"/>
      <c r="F328" s="167" t="str">
        <f t="shared" si="17"/>
        <v/>
      </c>
      <c r="L328" s="540"/>
      <c r="M328" s="540"/>
      <c r="N328" s="541"/>
      <c r="O328" s="540"/>
      <c r="P328" s="540"/>
      <c r="Q328" s="540"/>
      <c r="R328" s="164"/>
      <c r="S328" s="515"/>
      <c r="T328" s="165" t="str">
        <f t="shared" si="18"/>
        <v/>
      </c>
      <c r="U328" s="515"/>
      <c r="V328" s="515"/>
      <c r="W328" s="165" cm="1">
        <f t="array" ref="W328">IFERROR(INDEX($A$3:$F$345,MATCH(U328&amp;R328,$A$3:$A$345&amp;$E$3:$E$345,0),2),"")</f>
        <v>0</v>
      </c>
      <c r="X328" s="165" cm="1">
        <f t="array" ref="X328">IFERROR(INDEX($A$3:$F$345,MATCH(V328&amp;R328,$A$3:$A$345&amp;$E$3:$E$345,0),2),"")</f>
        <v>0</v>
      </c>
      <c r="Y328" s="165" cm="1">
        <f t="array" ref="Y328">IFERROR(INDEX($A$3:$F$345,MATCH(U328&amp;R328,$A$3:$A$345&amp;$E$3:$E$345,0),4),"")</f>
        <v>0</v>
      </c>
      <c r="Z328" s="165" cm="1">
        <f t="array" ref="Z328">IFERROR(INDEX($A$3:$F$345,MATCH(V328&amp;R328,$A$3:$A$345&amp;$E$3:$E$345,0),4),"")</f>
        <v>0</v>
      </c>
      <c r="AA328" s="165" t="str">
        <f t="shared" si="16"/>
        <v/>
      </c>
    </row>
    <row r="329" spans="1:27" x14ac:dyDescent="0.25">
      <c r="A329" s="515"/>
      <c r="B329" s="515"/>
      <c r="C329" s="515"/>
      <c r="D329" s="515"/>
      <c r="E329" s="515"/>
      <c r="F329" s="167" t="str">
        <f t="shared" si="17"/>
        <v/>
      </c>
      <c r="L329" s="540"/>
      <c r="M329" s="540"/>
      <c r="N329" s="541"/>
      <c r="O329" s="540"/>
      <c r="P329" s="540"/>
      <c r="Q329" s="540"/>
      <c r="R329" s="164"/>
      <c r="S329" s="515"/>
      <c r="T329" s="165" t="str">
        <f t="shared" si="18"/>
        <v/>
      </c>
      <c r="U329" s="515"/>
      <c r="V329" s="515"/>
      <c r="W329" s="165" cm="1">
        <f t="array" ref="W329">IFERROR(INDEX($A$3:$F$345,MATCH(U329&amp;R329,$A$3:$A$345&amp;$E$3:$E$345,0),2),"")</f>
        <v>0</v>
      </c>
      <c r="X329" s="165" cm="1">
        <f t="array" ref="X329">IFERROR(INDEX($A$3:$F$345,MATCH(V329&amp;R329,$A$3:$A$345&amp;$E$3:$E$345,0),2),"")</f>
        <v>0</v>
      </c>
      <c r="Y329" s="165" cm="1">
        <f t="array" ref="Y329">IFERROR(INDEX($A$3:$F$345,MATCH(U329&amp;R329,$A$3:$A$345&amp;$E$3:$E$345,0),4),"")</f>
        <v>0</v>
      </c>
      <c r="Z329" s="165" cm="1">
        <f t="array" ref="Z329">IFERROR(INDEX($A$3:$F$345,MATCH(V329&amp;R329,$A$3:$A$345&amp;$E$3:$E$345,0),4),"")</f>
        <v>0</v>
      </c>
      <c r="AA329" s="165" t="str">
        <f t="shared" si="16"/>
        <v/>
      </c>
    </row>
    <row r="330" spans="1:27" x14ac:dyDescent="0.25">
      <c r="A330" s="515"/>
      <c r="B330" s="515"/>
      <c r="C330" s="515"/>
      <c r="D330" s="515"/>
      <c r="E330" s="515"/>
      <c r="F330" s="167" t="str">
        <f t="shared" si="17"/>
        <v/>
      </c>
      <c r="L330" s="540"/>
      <c r="M330" s="540"/>
      <c r="N330" s="541"/>
      <c r="O330" s="540"/>
      <c r="P330" s="540"/>
      <c r="Q330" s="540"/>
      <c r="R330" s="164"/>
      <c r="S330" s="515"/>
      <c r="T330" s="165" t="str">
        <f t="shared" si="18"/>
        <v/>
      </c>
      <c r="U330" s="515"/>
      <c r="V330" s="160"/>
      <c r="W330" s="165" cm="1">
        <f t="array" ref="W330">IFERROR(INDEX($A$3:$F$345,MATCH(U330&amp;R330,$A$3:$A$345&amp;$E$3:$E$345,0),2),"")</f>
        <v>0</v>
      </c>
      <c r="X330" s="165" cm="1">
        <f t="array" ref="X330">IFERROR(INDEX($A$3:$F$345,MATCH(V330&amp;R330,$A$3:$A$345&amp;$E$3:$E$345,0),2),"")</f>
        <v>0</v>
      </c>
      <c r="Y330" s="165" cm="1">
        <f t="array" ref="Y330">IFERROR(INDEX($A$3:$F$345,MATCH(U330&amp;R330,$A$3:$A$345&amp;$E$3:$E$345,0),4),"")</f>
        <v>0</v>
      </c>
      <c r="Z330" s="165" cm="1">
        <f t="array" ref="Z330">IFERROR(INDEX($A$3:$F$345,MATCH(V330&amp;R330,$A$3:$A$345&amp;$E$3:$E$345,0),4),"")</f>
        <v>0</v>
      </c>
      <c r="AA330" s="165" t="str">
        <f t="shared" si="16"/>
        <v/>
      </c>
    </row>
    <row r="331" spans="1:27" x14ac:dyDescent="0.25">
      <c r="A331" s="515"/>
      <c r="B331" s="515"/>
      <c r="C331" s="515"/>
      <c r="D331" s="515"/>
      <c r="E331" s="515"/>
      <c r="F331" s="167" t="str">
        <f t="shared" si="17"/>
        <v/>
      </c>
      <c r="L331" s="540"/>
      <c r="M331" s="540"/>
      <c r="N331" s="541"/>
      <c r="O331" s="540"/>
      <c r="P331" s="540"/>
      <c r="Q331" s="540"/>
      <c r="R331" s="164"/>
      <c r="S331" s="515"/>
      <c r="T331" s="165" t="str">
        <f t="shared" si="18"/>
        <v/>
      </c>
      <c r="U331" s="515"/>
      <c r="V331" s="515"/>
      <c r="W331" s="165" cm="1">
        <f t="array" ref="W331">IFERROR(INDEX($A$3:$F$345,MATCH(U331&amp;R331,$A$3:$A$345&amp;$E$3:$E$345,0),2),"")</f>
        <v>0</v>
      </c>
      <c r="X331" s="165" cm="1">
        <f t="array" ref="X331">IFERROR(INDEX($A$3:$F$345,MATCH(V331&amp;R331,$A$3:$A$345&amp;$E$3:$E$345,0),2),"")</f>
        <v>0</v>
      </c>
      <c r="Y331" s="165" cm="1">
        <f t="array" ref="Y331">IFERROR(INDEX($A$3:$F$345,MATCH(U331&amp;R331,$A$3:$A$345&amp;$E$3:$E$345,0),4),"")</f>
        <v>0</v>
      </c>
      <c r="Z331" s="165" cm="1">
        <f t="array" ref="Z331">IFERROR(INDEX($A$3:$F$345,MATCH(V331&amp;R331,$A$3:$A$345&amp;$E$3:$E$345,0),4),"")</f>
        <v>0</v>
      </c>
      <c r="AA331" s="165" t="str">
        <f t="shared" si="16"/>
        <v/>
      </c>
    </row>
    <row r="332" spans="1:27" x14ac:dyDescent="0.25">
      <c r="A332" s="515"/>
      <c r="B332" s="515"/>
      <c r="C332" s="515"/>
      <c r="D332" s="515"/>
      <c r="E332" s="515"/>
      <c r="F332" s="167" t="str">
        <f t="shared" si="17"/>
        <v/>
      </c>
      <c r="L332" s="540"/>
      <c r="M332" s="540"/>
      <c r="N332" s="541"/>
      <c r="O332" s="540"/>
      <c r="P332" s="540"/>
      <c r="Q332" s="540"/>
      <c r="R332" s="164"/>
      <c r="S332" s="515"/>
      <c r="T332" s="165" t="str">
        <f t="shared" si="18"/>
        <v/>
      </c>
      <c r="U332" s="515"/>
      <c r="V332" s="515"/>
      <c r="W332" s="165" cm="1">
        <f t="array" ref="W332">IFERROR(INDEX($A$3:$F$345,MATCH(U332&amp;R332,$A$3:$A$345&amp;$E$3:$E$345,0),2),"")</f>
        <v>0</v>
      </c>
      <c r="X332" s="165" cm="1">
        <f t="array" ref="X332">IFERROR(INDEX($A$3:$F$345,MATCH(V332&amp;R332,$A$3:$A$345&amp;$E$3:$E$345,0),2),"")</f>
        <v>0</v>
      </c>
      <c r="Y332" s="165" cm="1">
        <f t="array" ref="Y332">IFERROR(INDEX($A$3:$F$345,MATCH(U332&amp;R332,$A$3:$A$345&amp;$E$3:$E$345,0),4),"")</f>
        <v>0</v>
      </c>
      <c r="Z332" s="165" cm="1">
        <f t="array" ref="Z332">IFERROR(INDEX($A$3:$F$345,MATCH(V332&amp;R332,$A$3:$A$345&amp;$E$3:$E$345,0),4),"")</f>
        <v>0</v>
      </c>
      <c r="AA332" s="165" t="str">
        <f t="shared" si="16"/>
        <v/>
      </c>
    </row>
    <row r="333" spans="1:27" x14ac:dyDescent="0.25">
      <c r="A333" s="515"/>
      <c r="B333" s="515"/>
      <c r="C333" s="515"/>
      <c r="D333" s="515"/>
      <c r="E333" s="515"/>
      <c r="F333" s="167" t="str">
        <f t="shared" si="17"/>
        <v/>
      </c>
      <c r="L333" s="540"/>
      <c r="M333" s="540"/>
      <c r="N333" s="541"/>
      <c r="O333" s="540"/>
      <c r="P333" s="540"/>
      <c r="Q333" s="540"/>
      <c r="R333" s="164"/>
      <c r="S333" s="515"/>
      <c r="T333" s="165" t="str">
        <f t="shared" si="18"/>
        <v/>
      </c>
      <c r="U333" s="515"/>
      <c r="V333" s="515"/>
      <c r="W333" s="165" cm="1">
        <f t="array" ref="W333">IFERROR(INDEX($A$3:$F$345,MATCH(U333&amp;R333,$A$3:$A$345&amp;$E$3:$E$345,0),2),"")</f>
        <v>0</v>
      </c>
      <c r="X333" s="165" cm="1">
        <f t="array" ref="X333">IFERROR(INDEX($A$3:$F$345,MATCH(V333&amp;R333,$A$3:$A$345&amp;$E$3:$E$345,0),2),"")</f>
        <v>0</v>
      </c>
      <c r="Y333" s="165" cm="1">
        <f t="array" ref="Y333">IFERROR(INDEX($A$3:$F$345,MATCH(U333&amp;R333,$A$3:$A$345&amp;$E$3:$E$345,0),4),"")</f>
        <v>0</v>
      </c>
      <c r="Z333" s="165" cm="1">
        <f t="array" ref="Z333">IFERROR(INDEX($A$3:$F$345,MATCH(V333&amp;R333,$A$3:$A$345&amp;$E$3:$E$345,0),4),"")</f>
        <v>0</v>
      </c>
      <c r="AA333" s="165" t="str">
        <f t="shared" si="16"/>
        <v/>
      </c>
    </row>
    <row r="334" spans="1:27" x14ac:dyDescent="0.25">
      <c r="A334" s="515"/>
      <c r="B334" s="515"/>
      <c r="C334" s="515"/>
      <c r="D334" s="515"/>
      <c r="E334" s="515"/>
      <c r="F334" s="167" t="str">
        <f t="shared" si="17"/>
        <v/>
      </c>
      <c r="L334" s="540"/>
      <c r="M334" s="540"/>
      <c r="N334" s="541"/>
      <c r="O334" s="540"/>
      <c r="P334" s="540"/>
      <c r="Q334" s="540"/>
      <c r="R334" s="164"/>
      <c r="S334" s="515"/>
      <c r="T334" s="165" t="str">
        <f t="shared" si="18"/>
        <v/>
      </c>
      <c r="U334" s="515"/>
      <c r="V334" s="515"/>
      <c r="W334" s="165" cm="1">
        <f t="array" ref="W334">IFERROR(INDEX($A$3:$F$345,MATCH(U334&amp;R334,$A$3:$A$345&amp;$E$3:$E$345,0),2),"")</f>
        <v>0</v>
      </c>
      <c r="X334" s="165" cm="1">
        <f t="array" ref="X334">IFERROR(INDEX($A$3:$F$345,MATCH(V334&amp;R334,$A$3:$A$345&amp;$E$3:$E$345,0),2),"")</f>
        <v>0</v>
      </c>
      <c r="Y334" s="165" cm="1">
        <f t="array" ref="Y334">IFERROR(INDEX($A$3:$F$345,MATCH(U334&amp;R334,$A$3:$A$345&amp;$E$3:$E$345,0),4),"")</f>
        <v>0</v>
      </c>
      <c r="Z334" s="165" cm="1">
        <f t="array" ref="Z334">IFERROR(INDEX($A$3:$F$345,MATCH(V334&amp;R334,$A$3:$A$345&amp;$E$3:$E$345,0),4),"")</f>
        <v>0</v>
      </c>
      <c r="AA334" s="165" t="str">
        <f t="shared" si="16"/>
        <v/>
      </c>
    </row>
    <row r="335" spans="1:27" x14ac:dyDescent="0.25">
      <c r="A335" s="515"/>
      <c r="B335" s="515"/>
      <c r="C335" s="515"/>
      <c r="D335" s="515"/>
      <c r="E335" s="515"/>
      <c r="F335" s="167" t="str">
        <f t="shared" si="17"/>
        <v/>
      </c>
      <c r="L335" s="540"/>
      <c r="M335" s="540"/>
      <c r="N335" s="541"/>
      <c r="O335" s="540"/>
      <c r="P335" s="540"/>
      <c r="Q335" s="540"/>
      <c r="R335" s="164"/>
      <c r="S335" s="515"/>
      <c r="T335" s="165" t="str">
        <f t="shared" si="18"/>
        <v/>
      </c>
      <c r="U335" s="515"/>
      <c r="V335" s="515"/>
      <c r="W335" s="165" cm="1">
        <f t="array" ref="W335">IFERROR(INDEX($A$3:$F$345,MATCH(U335&amp;R335,$A$3:$A$345&amp;$E$3:$E$345,0),2),"")</f>
        <v>0</v>
      </c>
      <c r="X335" s="165" cm="1">
        <f t="array" ref="X335">IFERROR(INDEX($A$3:$F$345,MATCH(V335&amp;R335,$A$3:$A$345&amp;$E$3:$E$345,0),2),"")</f>
        <v>0</v>
      </c>
      <c r="Y335" s="165" cm="1">
        <f t="array" ref="Y335">IFERROR(INDEX($A$3:$F$345,MATCH(U335&amp;R335,$A$3:$A$345&amp;$E$3:$E$345,0),4),"")</f>
        <v>0</v>
      </c>
      <c r="Z335" s="165" cm="1">
        <f t="array" ref="Z335">IFERROR(INDEX($A$3:$F$345,MATCH(V335&amp;R335,$A$3:$A$345&amp;$E$3:$E$345,0),4),"")</f>
        <v>0</v>
      </c>
      <c r="AA335" s="165" t="str">
        <f t="shared" si="16"/>
        <v/>
      </c>
    </row>
    <row r="336" spans="1:27" x14ac:dyDescent="0.25">
      <c r="A336" s="515"/>
      <c r="B336" s="515"/>
      <c r="C336" s="515"/>
      <c r="D336" s="515"/>
      <c r="E336" s="515"/>
      <c r="F336" s="167" t="str">
        <f t="shared" si="17"/>
        <v/>
      </c>
      <c r="L336" s="540"/>
      <c r="M336" s="540"/>
      <c r="N336" s="541"/>
      <c r="O336" s="540"/>
      <c r="P336" s="540"/>
      <c r="Q336" s="540"/>
      <c r="R336" s="164"/>
      <c r="S336" s="515"/>
      <c r="T336" s="165" t="str">
        <f t="shared" si="18"/>
        <v/>
      </c>
      <c r="U336" s="515"/>
      <c r="V336" s="515"/>
      <c r="W336" s="165" cm="1">
        <f t="array" ref="W336">IFERROR(INDEX($A$3:$F$345,MATCH(U336&amp;R336,$A$3:$A$345&amp;$E$3:$E$345,0),2),"")</f>
        <v>0</v>
      </c>
      <c r="X336" s="165" cm="1">
        <f t="array" ref="X336">IFERROR(INDEX($A$3:$F$345,MATCH(V336&amp;R336,$A$3:$A$345&amp;$E$3:$E$345,0),2),"")</f>
        <v>0</v>
      </c>
      <c r="Y336" s="165" cm="1">
        <f t="array" ref="Y336">IFERROR(INDEX($A$3:$F$345,MATCH(U336&amp;R336,$A$3:$A$345&amp;$E$3:$E$345,0),4),"")</f>
        <v>0</v>
      </c>
      <c r="Z336" s="165" cm="1">
        <f t="array" ref="Z336">IFERROR(INDEX($A$3:$F$345,MATCH(V336&amp;R336,$A$3:$A$345&amp;$E$3:$E$345,0),4),"")</f>
        <v>0</v>
      </c>
      <c r="AA336" s="165" t="str">
        <f t="shared" si="16"/>
        <v/>
      </c>
    </row>
    <row r="337" spans="1:27" x14ac:dyDescent="0.25">
      <c r="A337" s="515"/>
      <c r="B337" s="515"/>
      <c r="C337" s="515"/>
      <c r="D337" s="515"/>
      <c r="E337" s="515"/>
      <c r="F337" s="167" t="str">
        <f t="shared" si="17"/>
        <v/>
      </c>
      <c r="L337" s="540"/>
      <c r="M337" s="540"/>
      <c r="N337" s="541"/>
      <c r="O337" s="540"/>
      <c r="P337" s="540"/>
      <c r="Q337" s="540"/>
      <c r="R337" s="164"/>
      <c r="S337" s="515"/>
      <c r="T337" s="165" t="str">
        <f t="shared" si="18"/>
        <v/>
      </c>
      <c r="U337" s="515"/>
      <c r="V337" s="515"/>
      <c r="W337" s="165" cm="1">
        <f t="array" ref="W337">IFERROR(INDEX($A$3:$F$345,MATCH(U337&amp;R337,$A$3:$A$345&amp;$E$3:$E$345,0),2),"")</f>
        <v>0</v>
      </c>
      <c r="X337" s="165" cm="1">
        <f t="array" ref="X337">IFERROR(INDEX($A$3:$F$345,MATCH(V337&amp;R337,$A$3:$A$345&amp;$E$3:$E$345,0),2),"")</f>
        <v>0</v>
      </c>
      <c r="Y337" s="165" cm="1">
        <f t="array" ref="Y337">IFERROR(INDEX($A$3:$F$345,MATCH(U337&amp;R337,$A$3:$A$345&amp;$E$3:$E$345,0),4),"")</f>
        <v>0</v>
      </c>
      <c r="Z337" s="165" cm="1">
        <f t="array" ref="Z337">IFERROR(INDEX($A$3:$F$345,MATCH(V337&amp;R337,$A$3:$A$345&amp;$E$3:$E$345,0),4),"")</f>
        <v>0</v>
      </c>
      <c r="AA337" s="165" t="str">
        <f t="shared" si="16"/>
        <v/>
      </c>
    </row>
    <row r="338" spans="1:27" x14ac:dyDescent="0.25">
      <c r="A338" s="515"/>
      <c r="B338" s="515"/>
      <c r="C338" s="515"/>
      <c r="D338" s="515"/>
      <c r="E338" s="515"/>
      <c r="F338" s="167" t="str">
        <f t="shared" si="17"/>
        <v/>
      </c>
      <c r="L338" s="540"/>
      <c r="M338" s="540"/>
      <c r="N338" s="541"/>
      <c r="O338" s="540"/>
      <c r="P338" s="540"/>
      <c r="Q338" s="540"/>
      <c r="R338" s="164"/>
      <c r="S338" s="515"/>
      <c r="T338" s="165" t="str">
        <f t="shared" si="18"/>
        <v/>
      </c>
      <c r="U338" s="515"/>
      <c r="V338" s="515"/>
      <c r="W338" s="165" cm="1">
        <f t="array" ref="W338">IFERROR(INDEX($A$3:$F$345,MATCH(U338&amp;R338,$A$3:$A$345&amp;$E$3:$E$345,0),2),"")</f>
        <v>0</v>
      </c>
      <c r="X338" s="165" cm="1">
        <f t="array" ref="X338">IFERROR(INDEX($A$3:$F$345,MATCH(V338&amp;R338,$A$3:$A$345&amp;$E$3:$E$345,0),2),"")</f>
        <v>0</v>
      </c>
      <c r="Y338" s="165" cm="1">
        <f t="array" ref="Y338">IFERROR(INDEX($A$3:$F$345,MATCH(U338&amp;R338,$A$3:$A$345&amp;$E$3:$E$345,0),4),"")</f>
        <v>0</v>
      </c>
      <c r="Z338" s="165" cm="1">
        <f t="array" ref="Z338">IFERROR(INDEX($A$3:$F$345,MATCH(V338&amp;R338,$A$3:$A$345&amp;$E$3:$E$345,0),4),"")</f>
        <v>0</v>
      </c>
      <c r="AA338" s="165" t="str">
        <f t="shared" si="16"/>
        <v/>
      </c>
    </row>
    <row r="339" spans="1:27" x14ac:dyDescent="0.25">
      <c r="A339" s="515"/>
      <c r="B339" s="515"/>
      <c r="C339" s="515"/>
      <c r="D339" s="515"/>
      <c r="E339" s="515"/>
      <c r="F339" s="167" t="str">
        <f t="shared" si="17"/>
        <v/>
      </c>
      <c r="L339" s="540"/>
      <c r="M339" s="540"/>
      <c r="N339" s="541"/>
      <c r="O339" s="540"/>
      <c r="P339" s="540"/>
      <c r="Q339" s="540"/>
      <c r="R339" s="164"/>
      <c r="S339" s="515"/>
      <c r="T339" s="165" t="str">
        <f t="shared" si="18"/>
        <v/>
      </c>
      <c r="U339" s="515"/>
      <c r="V339" s="515"/>
      <c r="W339" s="165" cm="1">
        <f t="array" ref="W339">IFERROR(INDEX($A$3:$F$345,MATCH(U339&amp;R339,$A$3:$A$345&amp;$E$3:$E$345,0),2),"")</f>
        <v>0</v>
      </c>
      <c r="X339" s="165" cm="1">
        <f t="array" ref="X339">IFERROR(INDEX($A$3:$F$345,MATCH(V339&amp;R339,$A$3:$A$345&amp;$E$3:$E$345,0),2),"")</f>
        <v>0</v>
      </c>
      <c r="Y339" s="165" cm="1">
        <f t="array" ref="Y339">IFERROR(INDEX($A$3:$F$345,MATCH(U339&amp;R339,$A$3:$A$345&amp;$E$3:$E$345,0),4),"")</f>
        <v>0</v>
      </c>
      <c r="Z339" s="165" cm="1">
        <f t="array" ref="Z339">IFERROR(INDEX($A$3:$F$345,MATCH(V339&amp;R339,$A$3:$A$345&amp;$E$3:$E$345,0),4),"")</f>
        <v>0</v>
      </c>
      <c r="AA339" s="165" t="str">
        <f t="shared" si="16"/>
        <v/>
      </c>
    </row>
    <row r="340" spans="1:27" x14ac:dyDescent="0.25">
      <c r="A340" s="515"/>
      <c r="B340" s="515"/>
      <c r="C340" s="515"/>
      <c r="D340" s="515"/>
      <c r="E340" s="515"/>
      <c r="F340" s="167" t="str">
        <f t="shared" si="17"/>
        <v/>
      </c>
      <c r="L340" s="540"/>
      <c r="M340" s="540"/>
      <c r="N340" s="541"/>
      <c r="O340" s="540"/>
      <c r="P340" s="540"/>
      <c r="Q340" s="540"/>
      <c r="R340" s="164"/>
      <c r="S340" s="515"/>
      <c r="T340" s="165" t="str">
        <f t="shared" si="18"/>
        <v/>
      </c>
      <c r="U340" s="515"/>
      <c r="V340" s="515"/>
      <c r="W340" s="165" cm="1">
        <f t="array" ref="W340">IFERROR(INDEX($A$3:$F$345,MATCH(U340&amp;R340,$A$3:$A$345&amp;$E$3:$E$345,0),2),"")</f>
        <v>0</v>
      </c>
      <c r="X340" s="165" cm="1">
        <f t="array" ref="X340">IFERROR(INDEX($A$3:$F$345,MATCH(V340&amp;R340,$A$3:$A$345&amp;$E$3:$E$345,0),2),"")</f>
        <v>0</v>
      </c>
      <c r="Y340" s="165" cm="1">
        <f t="array" ref="Y340">IFERROR(INDEX($A$3:$F$345,MATCH(U340&amp;R340,$A$3:$A$345&amp;$E$3:$E$345,0),4),"")</f>
        <v>0</v>
      </c>
      <c r="Z340" s="165" cm="1">
        <f t="array" ref="Z340">IFERROR(INDEX($A$3:$F$345,MATCH(V340&amp;R340,$A$3:$A$345&amp;$E$3:$E$345,0),4),"")</f>
        <v>0</v>
      </c>
      <c r="AA340" s="165" t="str">
        <f t="shared" si="16"/>
        <v/>
      </c>
    </row>
    <row r="341" spans="1:27" x14ac:dyDescent="0.25">
      <c r="A341" s="515"/>
      <c r="B341" s="515"/>
      <c r="C341" s="515"/>
      <c r="D341" s="515"/>
      <c r="E341" s="515"/>
      <c r="F341" s="167" t="str">
        <f t="shared" si="17"/>
        <v/>
      </c>
      <c r="L341" s="540"/>
      <c r="M341" s="540"/>
      <c r="N341" s="541"/>
      <c r="O341" s="540"/>
      <c r="P341" s="540"/>
      <c r="Q341" s="540"/>
      <c r="R341" s="540"/>
      <c r="S341" s="518"/>
      <c r="T341" s="542"/>
      <c r="U341" s="515"/>
      <c r="V341" s="515"/>
      <c r="W341" s="165" cm="1">
        <f t="array" ref="W341">IFERROR(INDEX($A$3:$F$345,MATCH(U341&amp;R341,$A$3:$A$345&amp;$E$3:$E$345,0),2),"")</f>
        <v>0</v>
      </c>
      <c r="X341" s="165" cm="1">
        <f t="array" ref="X341">IFERROR(INDEX($A$3:$F$345,MATCH(V341&amp;R341,$A$3:$A$345&amp;$E$3:$E$345,0),2),"")</f>
        <v>0</v>
      </c>
      <c r="Y341" s="165" cm="1">
        <f t="array" ref="Y341">IFERROR(INDEX($A$3:$F$345,MATCH(U341&amp;R341,$A$3:$A$345&amp;$E$3:$E$345,0),4),"")</f>
        <v>0</v>
      </c>
      <c r="Z341" s="165" cm="1">
        <f t="array" ref="Z341">IFERROR(INDEX($A$3:$F$345,MATCH(V341&amp;R341,$A$3:$A$345&amp;$E$3:$E$345,0),4),"")</f>
        <v>0</v>
      </c>
      <c r="AA341" s="165" t="str">
        <f t="shared" si="16"/>
        <v/>
      </c>
    </row>
    <row r="342" spans="1:27" x14ac:dyDescent="0.25">
      <c r="A342" s="515"/>
      <c r="B342" s="515"/>
      <c r="C342" s="515"/>
      <c r="D342" s="515"/>
      <c r="E342" s="515"/>
      <c r="F342" s="167" t="str">
        <f t="shared" si="17"/>
        <v/>
      </c>
      <c r="L342" s="540"/>
      <c r="M342" s="540"/>
      <c r="N342" s="541"/>
      <c r="O342" s="540"/>
      <c r="P342" s="540"/>
      <c r="Q342" s="540"/>
      <c r="R342" s="540"/>
      <c r="S342" s="518"/>
      <c r="T342" s="542"/>
      <c r="U342" s="515"/>
      <c r="V342" s="515"/>
      <c r="W342" s="165" cm="1">
        <f t="array" ref="W342">IFERROR(INDEX($A$3:$F$345,MATCH(U342&amp;R342,$A$3:$A$345&amp;$E$3:$E$345,0),2),"")</f>
        <v>0</v>
      </c>
      <c r="X342" s="165" cm="1">
        <f t="array" ref="X342">IFERROR(INDEX($A$3:$F$345,MATCH(V342&amp;R342,$A$3:$A$345&amp;$E$3:$E$345,0),2),"")</f>
        <v>0</v>
      </c>
      <c r="Y342" s="165" cm="1">
        <f t="array" ref="Y342">IFERROR(INDEX($A$3:$F$345,MATCH(U342&amp;R342,$A$3:$A$345&amp;$E$3:$E$345,0),4),"")</f>
        <v>0</v>
      </c>
      <c r="Z342" s="165" cm="1">
        <f t="array" ref="Z342">IFERROR(INDEX($A$3:$F$345,MATCH(V342&amp;R342,$A$3:$A$345&amp;$E$3:$E$345,0),4),"")</f>
        <v>0</v>
      </c>
      <c r="AA342" s="165" t="str">
        <f t="shared" si="16"/>
        <v/>
      </c>
    </row>
    <row r="343" spans="1:27" x14ac:dyDescent="0.25">
      <c r="A343" s="160"/>
      <c r="B343" s="160"/>
      <c r="C343" s="160"/>
      <c r="D343" s="160"/>
      <c r="E343" s="515"/>
      <c r="F343" s="167" t="str">
        <f t="shared" si="17"/>
        <v/>
      </c>
      <c r="L343" s="164"/>
      <c r="M343" s="164"/>
      <c r="N343" s="169"/>
      <c r="O343" s="164"/>
      <c r="P343" s="164"/>
      <c r="Q343" s="164"/>
      <c r="R343" s="164"/>
      <c r="S343" s="518"/>
      <c r="T343" s="165"/>
      <c r="U343" s="160"/>
      <c r="V343" s="160"/>
      <c r="W343" s="165" cm="1">
        <f t="array" ref="W343">IFERROR(INDEX($A$3:$F$345,MATCH(U343&amp;R343,$A$3:$A$345&amp;$E$3:$E$345,0),2),"")</f>
        <v>0</v>
      </c>
      <c r="X343" s="165" cm="1">
        <f t="array" ref="X343">IFERROR(INDEX($A$3:$F$345,MATCH(V343&amp;R343,$A$3:$A$345&amp;$E$3:$E$345,0),2),"")</f>
        <v>0</v>
      </c>
      <c r="Y343" s="165" cm="1">
        <f t="array" ref="Y343">IFERROR(INDEX($A$3:$F$345,MATCH(U343&amp;R343,$A$3:$A$345&amp;$E$3:$E$345,0),4),"")</f>
        <v>0</v>
      </c>
      <c r="Z343" s="165" cm="1">
        <f t="array" ref="Z343">IFERROR(INDEX($A$3:$F$345,MATCH(V343&amp;R343,$A$3:$A$345&amp;$E$3:$E$345,0),4),"")</f>
        <v>0</v>
      </c>
      <c r="AA343" s="165" t="str">
        <f t="shared" si="16"/>
        <v/>
      </c>
    </row>
    <row r="344" spans="1:27" x14ac:dyDescent="0.25">
      <c r="A344" s="160"/>
      <c r="B344" s="160"/>
      <c r="C344" s="160"/>
      <c r="D344" s="160"/>
      <c r="E344" s="515"/>
      <c r="F344" s="167" t="str">
        <f t="shared" si="17"/>
        <v/>
      </c>
    </row>
    <row r="345" spans="1:27" x14ac:dyDescent="0.25">
      <c r="A345" s="160"/>
      <c r="B345" s="160"/>
      <c r="C345" s="160"/>
      <c r="D345" s="160"/>
      <c r="E345" s="515"/>
      <c r="F345" s="167" t="str">
        <f t="shared" si="17"/>
        <v/>
      </c>
    </row>
  </sheetData>
  <autoFilter ref="L2:AA343"/>
  <sortState ref="J4:J77">
    <sortCondition ref="J4:J77"/>
  </sortState>
  <mergeCells count="2">
    <mergeCell ref="L1:AA1"/>
    <mergeCell ref="A1:F1"/>
  </mergeCells>
  <phoneticPr fontId="3" type="noConversion"/>
  <pageMargins left="0.511811024" right="0.511811024" top="0.78740157499999996" bottom="0.78740157499999996" header="0.31496062000000002" footer="0.31496062000000002"/>
  <pageSetup paperSize="9" scale="45" fitToWidth="2" fitToHeight="0" orientation="portrait" horizontalDpi="1200" verticalDpi="1200" r:id="rId1"/>
  <colBreaks count="1" manualBreakCount="1">
    <brk id="11" max="76" man="1"/>
  </colBreaks>
  <drawing r:id="rId2"/>
  <legacyDrawing r:id="rId3"/>
  <controls>
    <mc:AlternateContent xmlns:mc="http://schemas.openxmlformats.org/markup-compatibility/2006">
      <mc:Choice Requires="x14">
        <control shapeId="28677" r:id="rId4" name="CommandButton1">
          <controlPr defaultSize="0" autoLine="0" autoPict="0" r:id="rId5">
            <anchor moveWithCells="1">
              <from>
                <xdr:col>6</xdr:col>
                <xdr:colOff>600075</xdr:colOff>
                <xdr:row>8</xdr:row>
                <xdr:rowOff>0</xdr:rowOff>
              </from>
              <to>
                <xdr:col>8</xdr:col>
                <xdr:colOff>409575</xdr:colOff>
                <xdr:row>10</xdr:row>
                <xdr:rowOff>9525</xdr:rowOff>
              </to>
            </anchor>
          </controlPr>
        </control>
      </mc:Choice>
      <mc:Fallback>
        <control shapeId="28677" r:id="rId4" name="CommandButton1"/>
      </mc:Fallback>
    </mc:AlternateContent>
    <mc:AlternateContent xmlns:mc="http://schemas.openxmlformats.org/markup-compatibility/2006">
      <mc:Choice Requires="x14">
        <control shapeId="28673" r:id="rId6" name="Button 1">
          <controlPr defaultSize="0" print="0" autoFill="0" autoPict="0" macro="[0]!LIMPAR">
            <anchor moveWithCells="1" sizeWithCells="1">
              <from>
                <xdr:col>7</xdr:col>
                <xdr:colOff>9525</xdr:colOff>
                <xdr:row>5</xdr:row>
                <xdr:rowOff>19050</xdr:rowOff>
              </from>
              <to>
                <xdr:col>8</xdr:col>
                <xdr:colOff>247650</xdr:colOff>
                <xdr:row>7</xdr:row>
                <xdr:rowOff>9525</xdr:rowOff>
              </to>
            </anchor>
          </controlPr>
        </control>
      </mc:Choice>
    </mc:AlternateContent>
    <mc:AlternateContent xmlns:mc="http://schemas.openxmlformats.org/markup-compatibility/2006">
      <mc:Choice Requires="x14">
        <control shapeId="28674" r:id="rId7" name="Button 2">
          <controlPr defaultSize="0" print="0" autoFill="0" autoPict="0" macro="[0]!ORGANIZADOR">
            <anchor moveWithCells="1" sizeWithCells="1">
              <from>
                <xdr:col>6</xdr:col>
                <xdr:colOff>600075</xdr:colOff>
                <xdr:row>10</xdr:row>
                <xdr:rowOff>171450</xdr:rowOff>
              </from>
              <to>
                <xdr:col>8</xdr:col>
                <xdr:colOff>400050</xdr:colOff>
                <xdr:row>12</xdr:row>
                <xdr:rowOff>161925</xdr:rowOff>
              </to>
            </anchor>
          </controlPr>
        </control>
      </mc:Choice>
    </mc:AlternateContent>
    <mc:AlternateContent xmlns:mc="http://schemas.openxmlformats.org/markup-compatibility/2006">
      <mc:Choice Requires="x14">
        <control shapeId="28679" r:id="rId8" name="Button 7">
          <controlPr defaultSize="0" print="0" autoFill="0" autoPict="0" macro="[0]!ORGANIZADOR">
            <anchor moveWithCells="1" sizeWithCells="1">
              <from>
                <xdr:col>7</xdr:col>
                <xdr:colOff>9525</xdr:colOff>
                <xdr:row>14</xdr:row>
                <xdr:rowOff>19050</xdr:rowOff>
              </from>
              <to>
                <xdr:col>8</xdr:col>
                <xdr:colOff>247650</xdr:colOff>
                <xdr:row>16</xdr:row>
                <xdr:rowOff>9525</xdr:rowOff>
              </to>
            </anchor>
          </controlPr>
        </control>
      </mc:Choice>
    </mc:AlternateContent>
  </control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3">
    <tabColor rgb="FF006F71"/>
    <pageSetUpPr fitToPage="1"/>
  </sheetPr>
  <dimension ref="A1:O53"/>
  <sheetViews>
    <sheetView showGridLines="0" topLeftCell="A31" workbookViewId="0">
      <selection activeCell="B8" sqref="B8"/>
    </sheetView>
  </sheetViews>
  <sheetFormatPr defaultColWidth="9.140625" defaultRowHeight="16.5" x14ac:dyDescent="0.3"/>
  <cols>
    <col min="1" max="1" width="17.42578125" style="192" customWidth="1"/>
    <col min="2" max="2" width="14.7109375" style="192" customWidth="1"/>
    <col min="3" max="3" width="23.5703125" style="192" customWidth="1"/>
    <col min="4" max="4" width="25.42578125" style="192" customWidth="1"/>
    <col min="5" max="5" width="27.42578125" style="192" customWidth="1"/>
    <col min="6" max="6" width="17.7109375" style="192" bestFit="1" customWidth="1"/>
    <col min="7" max="8" width="17.7109375" style="192" customWidth="1"/>
    <col min="9" max="9" width="23" style="192" customWidth="1"/>
    <col min="10" max="10" width="23.42578125" style="665" customWidth="1"/>
    <col min="11" max="12" width="12.7109375" style="192" hidden="1" customWidth="1"/>
    <col min="13" max="14" width="9.140625" style="192" hidden="1" customWidth="1"/>
    <col min="15" max="15" width="12.7109375" style="192" hidden="1" customWidth="1"/>
    <col min="16" max="16384" width="9.140625" style="192"/>
  </cols>
  <sheetData>
    <row r="1" spans="1:14" ht="18" customHeight="1" x14ac:dyDescent="0.3">
      <c r="A1" s="443"/>
      <c r="B1" s="444" t="str">
        <f>N.GOV</f>
        <v>GOVERNO DO ESTADO DE MATO GROSSO DO SUL</v>
      </c>
      <c r="C1" s="444"/>
      <c r="D1" s="444"/>
      <c r="E1" s="444"/>
      <c r="F1" s="444"/>
      <c r="G1" s="444"/>
      <c r="H1" s="444"/>
      <c r="I1" s="445"/>
      <c r="J1" s="209"/>
    </row>
    <row r="2" spans="1:14" ht="15" customHeight="1" x14ac:dyDescent="0.3">
      <c r="A2" s="446"/>
      <c r="B2" s="222" t="str" cm="1">
        <f t="array" aca="1" ref="B2" ca="1">N.PREFEITURA</f>
        <v>PREFEITURA MUNICIPAL DE NAVIRAÍ</v>
      </c>
      <c r="C2" s="222"/>
      <c r="D2" s="222"/>
      <c r="E2" s="222"/>
      <c r="F2" s="206"/>
      <c r="G2" s="206"/>
      <c r="H2" s="206"/>
      <c r="I2" s="447"/>
      <c r="J2" s="206"/>
    </row>
    <row r="3" spans="1:14" x14ac:dyDescent="0.3">
      <c r="A3" s="448"/>
      <c r="B3" s="449" t="str" cm="1">
        <f t="array" aca="1" ref="B3" ca="1">N.SECRETARIA</f>
        <v>SECRETARIA DE PLANEJAMENTO</v>
      </c>
      <c r="C3" s="449"/>
      <c r="D3" s="449"/>
      <c r="E3" s="449"/>
      <c r="F3" s="450"/>
      <c r="G3" s="450"/>
      <c r="H3" s="450"/>
      <c r="I3" s="451"/>
      <c r="J3" s="192"/>
    </row>
    <row r="4" spans="1:14" ht="16.5" customHeight="1" x14ac:dyDescent="0.3">
      <c r="A4" s="1168" t="s">
        <v>119</v>
      </c>
      <c r="B4" s="1169"/>
      <c r="C4" s="1169"/>
      <c r="D4" s="1169"/>
      <c r="E4" s="1169"/>
      <c r="F4" s="1169"/>
      <c r="G4" s="1169"/>
      <c r="H4" s="1169"/>
      <c r="I4" s="1170"/>
      <c r="J4" s="192"/>
    </row>
    <row r="5" spans="1:14" ht="15" customHeight="1" x14ac:dyDescent="0.3">
      <c r="A5" s="419" t="s">
        <v>811</v>
      </c>
      <c r="B5" s="554" t="str">
        <f>N.DESCRICAO</f>
        <v>INFRAESTRUTURA URBANA – PAVIMENTAÇÃO ASFÁLTICA, DRENAGEM, E SINALIZAÇÃO VIÁRIA NO ACESSO AO CEMITERIO MUNICIPAL DE NAVIRAÍ/ MS</v>
      </c>
      <c r="C5" s="255"/>
      <c r="D5" s="254"/>
      <c r="E5" s="254"/>
      <c r="F5" s="260"/>
      <c r="G5" s="260"/>
      <c r="H5" s="260"/>
      <c r="I5" s="420" t="s">
        <v>305</v>
      </c>
      <c r="J5" s="192"/>
    </row>
    <row r="6" spans="1:14" ht="14.45" customHeight="1" x14ac:dyDescent="0.3">
      <c r="A6" s="419" t="s">
        <v>799</v>
      </c>
      <c r="B6" s="554" t="str">
        <f ca="1">N.MUNICIPIO</f>
        <v>NAVIRAÍ</v>
      </c>
      <c r="C6" s="255"/>
      <c r="D6" s="254"/>
      <c r="E6" s="254"/>
      <c r="F6" s="261"/>
      <c r="G6" s="261"/>
      <c r="H6" s="261"/>
      <c r="I6" s="1166" t="str">
        <f>"  ___________________________                  "&amp;N.Engenheiro&amp;"                                 "&amp;N.CREA</f>
        <v xml:space="preserve">  ___________________________                  FÁBIO MARQUES RIBEIRO                                 ENGENHEIRO CIVIL - 15.276 D/MS</v>
      </c>
      <c r="J6" s="192"/>
    </row>
    <row r="7" spans="1:14" ht="14.45" customHeight="1" x14ac:dyDescent="0.3">
      <c r="A7" s="419" t="s">
        <v>798</v>
      </c>
      <c r="B7" s="554" t="str" cm="1">
        <f t="array" ref="B7">N.LOCAL</f>
        <v>AVENIDA JOÃO RIGONATO</v>
      </c>
      <c r="C7" s="255"/>
      <c r="D7" s="254"/>
      <c r="E7" s="254"/>
      <c r="F7" s="261"/>
      <c r="G7" s="261"/>
      <c r="H7" s="261"/>
      <c r="I7" s="1166"/>
      <c r="J7" s="192"/>
    </row>
    <row r="8" spans="1:14" ht="14.45" customHeight="1" x14ac:dyDescent="0.3">
      <c r="A8" s="421"/>
      <c r="B8" s="341"/>
      <c r="C8" s="341"/>
      <c r="D8" s="341"/>
      <c r="E8" s="341"/>
      <c r="F8" s="342"/>
      <c r="G8" s="342"/>
      <c r="H8" s="342"/>
      <c r="I8" s="1167"/>
      <c r="J8" s="192"/>
      <c r="L8" s="1151" t="s">
        <v>12</v>
      </c>
      <c r="M8" s="1152"/>
      <c r="N8" s="1153"/>
    </row>
    <row r="9" spans="1:14" ht="14.45" customHeight="1" x14ac:dyDescent="0.3">
      <c r="A9" s="422"/>
      <c r="B9" s="207"/>
      <c r="C9" s="207"/>
      <c r="D9" s="207"/>
      <c r="E9" s="207"/>
      <c r="F9" s="207"/>
      <c r="G9" s="207"/>
      <c r="H9" s="207"/>
      <c r="I9" s="423"/>
      <c r="J9" s="192"/>
      <c r="L9" s="259"/>
      <c r="M9" s="661" t="s">
        <v>72</v>
      </c>
      <c r="N9" s="662" t="s">
        <v>921</v>
      </c>
    </row>
    <row r="10" spans="1:14" ht="14.45" customHeight="1" x14ac:dyDescent="0.3">
      <c r="A10" s="1173" t="s">
        <v>266</v>
      </c>
      <c r="B10" s="1174"/>
      <c r="C10" s="207"/>
      <c r="I10" s="424"/>
      <c r="J10" s="192"/>
      <c r="L10" s="259"/>
      <c r="M10" s="661" t="s">
        <v>74</v>
      </c>
      <c r="N10" s="662" t="s">
        <v>108</v>
      </c>
    </row>
    <row r="11" spans="1:14" ht="14.45" customHeight="1" x14ac:dyDescent="0.3">
      <c r="A11" s="425" t="s">
        <v>284</v>
      </c>
      <c r="B11" s="256">
        <f>VALUE('16-DMT'!H18)</f>
        <v>148</v>
      </c>
      <c r="C11" s="225"/>
      <c r="F11" s="182"/>
      <c r="G11" s="182"/>
      <c r="H11" s="182"/>
      <c r="I11" s="426"/>
      <c r="J11" s="192"/>
      <c r="L11" s="259"/>
      <c r="M11" s="661" t="s">
        <v>73</v>
      </c>
      <c r="N11" s="662" t="s">
        <v>922</v>
      </c>
    </row>
    <row r="12" spans="1:14" ht="14.45" customHeight="1" x14ac:dyDescent="0.3">
      <c r="A12" s="427" t="s">
        <v>285</v>
      </c>
      <c r="B12" s="257">
        <f>VALUE('16-DMT'!H11)</f>
        <v>5.8</v>
      </c>
      <c r="C12" s="225"/>
      <c r="F12" s="182"/>
      <c r="G12" s="182"/>
      <c r="H12" s="182"/>
      <c r="I12" s="426"/>
      <c r="J12" s="192"/>
      <c r="L12" s="259"/>
      <c r="M12" s="663" t="s">
        <v>107</v>
      </c>
      <c r="N12" s="664">
        <f>(0.585*1.213)</f>
        <v>0.70960500000000004</v>
      </c>
    </row>
    <row r="13" spans="1:14" ht="14.45" customHeight="1" x14ac:dyDescent="0.3">
      <c r="A13" s="428" t="s">
        <v>286</v>
      </c>
      <c r="B13" s="258">
        <f>VALUE('16-DMT'!H16)</f>
        <v>22.5</v>
      </c>
      <c r="C13" s="225"/>
      <c r="F13" s="182"/>
      <c r="G13" s="182"/>
      <c r="H13" s="182"/>
      <c r="I13" s="426"/>
      <c r="J13" s="192"/>
    </row>
    <row r="14" spans="1:14" ht="14.45" customHeight="1" x14ac:dyDescent="0.3">
      <c r="A14" s="422"/>
      <c r="B14" s="207"/>
      <c r="C14" s="207"/>
      <c r="F14" s="429"/>
      <c r="G14" s="429"/>
      <c r="H14" s="429"/>
      <c r="I14" s="430"/>
      <c r="J14" s="192"/>
    </row>
    <row r="15" spans="1:14" ht="14.45" hidden="1" customHeight="1" x14ac:dyDescent="0.3">
      <c r="A15" s="422"/>
      <c r="B15" s="207"/>
      <c r="C15" s="207"/>
      <c r="D15" s="207"/>
      <c r="E15" s="207"/>
      <c r="F15" s="429"/>
      <c r="G15" s="429"/>
      <c r="H15" s="429"/>
      <c r="I15" s="430"/>
      <c r="J15" s="207"/>
    </row>
    <row r="16" spans="1:14" ht="14.45" hidden="1" customHeight="1" x14ac:dyDescent="0.3">
      <c r="A16" s="422"/>
      <c r="B16" s="207"/>
      <c r="C16" s="207"/>
      <c r="D16" s="207"/>
      <c r="E16" s="207"/>
      <c r="F16" s="429"/>
      <c r="G16" s="429"/>
      <c r="H16" s="429"/>
      <c r="I16" s="430"/>
      <c r="J16" s="207"/>
    </row>
    <row r="17" spans="1:10" ht="14.45" hidden="1" customHeight="1" x14ac:dyDescent="0.3">
      <c r="A17" s="422"/>
      <c r="B17" s="207"/>
      <c r="C17" s="207"/>
      <c r="D17" s="207"/>
      <c r="E17" s="207"/>
      <c r="F17" s="429"/>
      <c r="G17" s="429"/>
      <c r="H17" s="429"/>
      <c r="I17" s="430"/>
      <c r="J17" s="207"/>
    </row>
    <row r="18" spans="1:10" ht="14.45" customHeight="1" x14ac:dyDescent="0.3">
      <c r="A18" s="422"/>
      <c r="B18" s="207"/>
      <c r="C18" s="207"/>
      <c r="D18" s="207"/>
      <c r="E18" s="207"/>
      <c r="F18" s="429"/>
      <c r="G18" s="429"/>
      <c r="H18" s="429"/>
      <c r="I18" s="430"/>
      <c r="J18" s="207"/>
    </row>
    <row r="19" spans="1:10" ht="38.25" x14ac:dyDescent="0.3">
      <c r="A19" s="1171" t="s">
        <v>8</v>
      </c>
      <c r="B19" s="1172"/>
      <c r="C19" s="1172"/>
      <c r="D19" s="1172"/>
      <c r="E19" s="1172"/>
      <c r="F19" s="604" t="s">
        <v>1397</v>
      </c>
      <c r="G19" s="748" t="s">
        <v>1398</v>
      </c>
      <c r="H19" s="748" t="s">
        <v>1399</v>
      </c>
      <c r="I19" s="646" t="s">
        <v>3</v>
      </c>
      <c r="J19" s="192"/>
    </row>
    <row r="20" spans="1:10" x14ac:dyDescent="0.3">
      <c r="A20" s="1158" t="s">
        <v>253</v>
      </c>
      <c r="B20" s="1159"/>
      <c r="C20" s="1160"/>
      <c r="D20" s="1133" t="s">
        <v>20</v>
      </c>
      <c r="E20" s="1134"/>
      <c r="F20" s="417">
        <v>88.78</v>
      </c>
      <c r="G20" s="749">
        <v>31.29</v>
      </c>
      <c r="H20" s="749">
        <v>21.48</v>
      </c>
      <c r="I20" s="431">
        <f>SUM(F20:H20)</f>
        <v>141.54999999999998</v>
      </c>
      <c r="J20" s="192"/>
    </row>
    <row r="21" spans="1:10" x14ac:dyDescent="0.3">
      <c r="A21" s="1161"/>
      <c r="B21" s="1054"/>
      <c r="C21" s="1162"/>
      <c r="D21" s="1133" t="s">
        <v>21</v>
      </c>
      <c r="E21" s="1134"/>
      <c r="F21" s="418">
        <v>1.5</v>
      </c>
      <c r="G21" s="418">
        <v>1.5</v>
      </c>
      <c r="H21" s="418">
        <v>1.5</v>
      </c>
      <c r="I21" s="431"/>
      <c r="J21" s="192"/>
    </row>
    <row r="22" spans="1:10" x14ac:dyDescent="0.3">
      <c r="A22" s="1161"/>
      <c r="B22" s="1054"/>
      <c r="C22" s="1162"/>
      <c r="D22" s="1133" t="s">
        <v>22</v>
      </c>
      <c r="E22" s="1134"/>
      <c r="F22" s="418">
        <f>F20*F21</f>
        <v>133.17000000000002</v>
      </c>
      <c r="G22" s="418">
        <f>G20*G21</f>
        <v>46.935000000000002</v>
      </c>
      <c r="H22" s="418">
        <f>H20*H21</f>
        <v>32.22</v>
      </c>
      <c r="I22" s="431">
        <f>SUM(F22:H22)</f>
        <v>212.32500000000002</v>
      </c>
      <c r="J22" s="192"/>
    </row>
    <row r="23" spans="1:10" x14ac:dyDescent="0.3">
      <c r="A23" s="1161"/>
      <c r="B23" s="1054"/>
      <c r="C23" s="1162"/>
      <c r="D23" s="1133" t="s">
        <v>249</v>
      </c>
      <c r="E23" s="1134"/>
      <c r="F23" s="417">
        <v>7.0000000000000007E-2</v>
      </c>
      <c r="G23" s="417">
        <v>7.0000000000000007E-2</v>
      </c>
      <c r="H23" s="417">
        <v>7.0000000000000007E-2</v>
      </c>
      <c r="I23" s="431"/>
      <c r="J23" s="192"/>
    </row>
    <row r="24" spans="1:10" x14ac:dyDescent="0.3">
      <c r="A24" s="1161"/>
      <c r="B24" s="1054"/>
      <c r="C24" s="1162"/>
      <c r="D24" s="1133" t="s">
        <v>923</v>
      </c>
      <c r="E24" s="1134"/>
      <c r="F24" s="418">
        <f>F22*F23</f>
        <v>9.3219000000000012</v>
      </c>
      <c r="G24" s="418">
        <f>G22*G23</f>
        <v>3.2854500000000004</v>
      </c>
      <c r="H24" s="418">
        <f>H22*H23</f>
        <v>2.2554000000000003</v>
      </c>
      <c r="I24" s="431">
        <f>SUM(F24:H24)</f>
        <v>14.862750000000002</v>
      </c>
      <c r="J24" s="192"/>
    </row>
    <row r="25" spans="1:10" x14ac:dyDescent="0.3">
      <c r="A25" s="1161"/>
      <c r="B25" s="1054"/>
      <c r="C25" s="1162"/>
      <c r="D25" s="1133" t="s">
        <v>924</v>
      </c>
      <c r="E25" s="1134"/>
      <c r="F25" s="418">
        <f>F24*$N$12</f>
        <v>6.6148668495000011</v>
      </c>
      <c r="G25" s="418">
        <f>G24*$N$12</f>
        <v>2.3313717472500004</v>
      </c>
      <c r="H25" s="418">
        <f>H24*$N$12</f>
        <v>1.6004431170000002</v>
      </c>
      <c r="I25" s="431">
        <f>SUM(F25:H25)</f>
        <v>10.546681713750001</v>
      </c>
      <c r="J25" s="192"/>
    </row>
    <row r="26" spans="1:10" ht="3.95" customHeight="1" x14ac:dyDescent="0.3">
      <c r="A26" s="1161"/>
      <c r="B26" s="1054"/>
      <c r="C26" s="1162"/>
      <c r="D26" s="647"/>
      <c r="E26" s="647"/>
      <c r="F26" s="648"/>
      <c r="G26" s="648"/>
      <c r="H26" s="648"/>
      <c r="I26" s="649"/>
      <c r="J26" s="192"/>
    </row>
    <row r="27" spans="1:10" x14ac:dyDescent="0.3">
      <c r="A27" s="1161"/>
      <c r="B27" s="1054"/>
      <c r="C27" s="1162"/>
      <c r="D27" s="1133" t="s">
        <v>297</v>
      </c>
      <c r="E27" s="1134"/>
      <c r="F27" s="418">
        <f>IF($B$13&gt;=30,30,$B$13)</f>
        <v>22.5</v>
      </c>
      <c r="G27" s="418">
        <f>IF($B$13&gt;=30,30,$B$13)</f>
        <v>22.5</v>
      </c>
      <c r="H27" s="418">
        <f>IF($B$13&gt;=30,30,$B$13)</f>
        <v>22.5</v>
      </c>
      <c r="I27" s="431"/>
      <c r="J27" s="192"/>
    </row>
    <row r="28" spans="1:10" x14ac:dyDescent="0.3">
      <c r="A28" s="1161"/>
      <c r="B28" s="1054"/>
      <c r="C28" s="1162"/>
      <c r="D28" s="1133" t="s">
        <v>372</v>
      </c>
      <c r="E28" s="1134"/>
      <c r="F28" s="418">
        <f>IF($B$13&gt;=30,$B$13-F27,0)</f>
        <v>0</v>
      </c>
      <c r="G28" s="418">
        <f>IF($B$13&gt;=30,$B$13-G27,0)</f>
        <v>0</v>
      </c>
      <c r="H28" s="418">
        <f>IF($B$13&gt;=30,$B$13-H27,0)</f>
        <v>0</v>
      </c>
      <c r="I28" s="431"/>
      <c r="J28" s="192"/>
    </row>
    <row r="29" spans="1:10" x14ac:dyDescent="0.3">
      <c r="A29" s="1161"/>
      <c r="B29" s="1054"/>
      <c r="C29" s="1162"/>
      <c r="D29" s="1133" t="s">
        <v>983</v>
      </c>
      <c r="E29" s="1134"/>
      <c r="F29" s="418">
        <f>F24*F27</f>
        <v>209.74275000000003</v>
      </c>
      <c r="G29" s="418">
        <f>G24*G27</f>
        <v>73.922625000000011</v>
      </c>
      <c r="H29" s="418">
        <f>H24*H27</f>
        <v>50.746500000000005</v>
      </c>
      <c r="I29" s="432">
        <f t="shared" ref="I29:I36" si="0">SUM(F29:H29)</f>
        <v>334.41187500000007</v>
      </c>
      <c r="J29" s="192"/>
    </row>
    <row r="30" spans="1:10" x14ac:dyDescent="0.3">
      <c r="A30" s="1163"/>
      <c r="B30" s="1164"/>
      <c r="C30" s="1165"/>
      <c r="D30" s="1133" t="s">
        <v>982</v>
      </c>
      <c r="E30" s="1134"/>
      <c r="F30" s="418">
        <f>F28*F24</f>
        <v>0</v>
      </c>
      <c r="G30" s="418">
        <f>G28*G24</f>
        <v>0</v>
      </c>
      <c r="H30" s="418">
        <f>H28*H24</f>
        <v>0</v>
      </c>
      <c r="I30" s="432">
        <f t="shared" si="0"/>
        <v>0</v>
      </c>
      <c r="J30" s="192"/>
    </row>
    <row r="31" spans="1:10" ht="3.95" customHeight="1" x14ac:dyDescent="0.3">
      <c r="A31" s="650"/>
      <c r="B31" s="651"/>
      <c r="C31" s="651"/>
      <c r="D31" s="647"/>
      <c r="E31" s="647"/>
      <c r="F31" s="648"/>
      <c r="G31" s="648"/>
      <c r="H31" s="648"/>
      <c r="I31" s="649"/>
      <c r="J31" s="192"/>
    </row>
    <row r="32" spans="1:10" x14ac:dyDescent="0.3">
      <c r="A32" s="1138" t="s">
        <v>925</v>
      </c>
      <c r="B32" s="1139"/>
      <c r="C32" s="1140"/>
      <c r="D32" s="1133" t="s">
        <v>125</v>
      </c>
      <c r="E32" s="1134"/>
      <c r="F32" s="417">
        <v>4</v>
      </c>
      <c r="G32" s="417">
        <v>4</v>
      </c>
      <c r="H32" s="417">
        <v>2</v>
      </c>
      <c r="I32" s="431">
        <f t="shared" si="0"/>
        <v>10</v>
      </c>
      <c r="J32" s="192"/>
    </row>
    <row r="33" spans="1:9" x14ac:dyDescent="0.3">
      <c r="A33" s="1141"/>
      <c r="B33" s="1142"/>
      <c r="C33" s="1143"/>
      <c r="D33" s="1133" t="s">
        <v>926</v>
      </c>
      <c r="E33" s="1134"/>
      <c r="F33" s="418">
        <f>(0.2+1.8+1.5+1.8+0.2)*1.5</f>
        <v>8.25</v>
      </c>
      <c r="G33" s="418">
        <f>(0.2+1.8+1.5+1.8+0.2)*1.5</f>
        <v>8.25</v>
      </c>
      <c r="H33" s="418">
        <f>(0.2+1.8+1.5+1.8+0.2)*1.5</f>
        <v>8.25</v>
      </c>
      <c r="I33" s="431">
        <f t="shared" si="0"/>
        <v>24.75</v>
      </c>
    </row>
    <row r="34" spans="1:9" x14ac:dyDescent="0.3">
      <c r="A34" s="1141"/>
      <c r="B34" s="1142"/>
      <c r="C34" s="1143"/>
      <c r="D34" s="1133" t="s">
        <v>249</v>
      </c>
      <c r="E34" s="1134"/>
      <c r="F34" s="418">
        <v>7.0000000000000007E-2</v>
      </c>
      <c r="G34" s="418">
        <v>7.0000000000000007E-2</v>
      </c>
      <c r="H34" s="418">
        <v>7.0000000000000007E-2</v>
      </c>
      <c r="I34" s="431"/>
    </row>
    <row r="35" spans="1:9" x14ac:dyDescent="0.3">
      <c r="A35" s="1141"/>
      <c r="B35" s="1142"/>
      <c r="C35" s="1143"/>
      <c r="D35" s="1133" t="s">
        <v>23</v>
      </c>
      <c r="E35" s="1134"/>
      <c r="F35" s="418">
        <f>F32*F33*F34</f>
        <v>2.31</v>
      </c>
      <c r="G35" s="418">
        <f>G32*G33*G34</f>
        <v>2.31</v>
      </c>
      <c r="H35" s="418">
        <f>H32*H33*H34</f>
        <v>1.155</v>
      </c>
      <c r="I35" s="431">
        <f t="shared" si="0"/>
        <v>5.7750000000000004</v>
      </c>
    </row>
    <row r="36" spans="1:9" x14ac:dyDescent="0.3">
      <c r="A36" s="1141"/>
      <c r="B36" s="1142"/>
      <c r="C36" s="1143"/>
      <c r="D36" s="1133" t="s">
        <v>924</v>
      </c>
      <c r="E36" s="1134"/>
      <c r="F36" s="418">
        <f>F35*$N$12</f>
        <v>1.6391875500000002</v>
      </c>
      <c r="G36" s="418">
        <f>G35*$N$12</f>
        <v>1.6391875500000002</v>
      </c>
      <c r="H36" s="418">
        <f>H35*$N$12</f>
        <v>0.81959377500000008</v>
      </c>
      <c r="I36" s="431">
        <f t="shared" si="0"/>
        <v>4.0979688750000003</v>
      </c>
    </row>
    <row r="37" spans="1:9" ht="3.95" customHeight="1" x14ac:dyDescent="0.3">
      <c r="A37" s="1141"/>
      <c r="B37" s="1142"/>
      <c r="C37" s="1143"/>
      <c r="D37" s="647"/>
      <c r="E37" s="647"/>
      <c r="F37" s="647"/>
      <c r="G37" s="647"/>
      <c r="H37" s="647"/>
      <c r="I37" s="652"/>
    </row>
    <row r="38" spans="1:9" x14ac:dyDescent="0.3">
      <c r="A38" s="1141"/>
      <c r="B38" s="1142"/>
      <c r="C38" s="1143"/>
      <c r="D38" s="1133" t="s">
        <v>297</v>
      </c>
      <c r="E38" s="1134"/>
      <c r="F38" s="418">
        <f>IF($B$13&gt;=30,30,$B$13)</f>
        <v>22.5</v>
      </c>
      <c r="G38" s="418">
        <f>IF($B$13&gt;=30,30,$B$13)</f>
        <v>22.5</v>
      </c>
      <c r="H38" s="418">
        <f>IF($B$13&gt;=30,30,$B$13)</f>
        <v>22.5</v>
      </c>
      <c r="I38" s="431"/>
    </row>
    <row r="39" spans="1:9" x14ac:dyDescent="0.3">
      <c r="A39" s="1141"/>
      <c r="B39" s="1142"/>
      <c r="C39" s="1143"/>
      <c r="D39" s="1133" t="s">
        <v>372</v>
      </c>
      <c r="E39" s="1134"/>
      <c r="F39" s="418">
        <f>IF($B$13&gt;=30,$B$13-F27,0)</f>
        <v>0</v>
      </c>
      <c r="G39" s="418">
        <f>IF($B$13&gt;=30,$B$13-G27,0)</f>
        <v>0</v>
      </c>
      <c r="H39" s="418">
        <f>IF($B$13&gt;=30,$B$13-H27,0)</f>
        <v>0</v>
      </c>
      <c r="I39" s="431"/>
    </row>
    <row r="40" spans="1:9" x14ac:dyDescent="0.3">
      <c r="A40" s="1141"/>
      <c r="B40" s="1142"/>
      <c r="C40" s="1143"/>
      <c r="D40" s="1133" t="s">
        <v>981</v>
      </c>
      <c r="E40" s="1134"/>
      <c r="F40" s="418">
        <f>F35*F38</f>
        <v>51.975000000000001</v>
      </c>
      <c r="G40" s="418">
        <f>G35*G38</f>
        <v>51.975000000000001</v>
      </c>
      <c r="H40" s="418">
        <f>H35*H38</f>
        <v>25.987500000000001</v>
      </c>
      <c r="I40" s="432">
        <f t="shared" ref="I40:I45" si="1">SUM(F40:H40)</f>
        <v>129.9375</v>
      </c>
    </row>
    <row r="41" spans="1:9" x14ac:dyDescent="0.3">
      <c r="A41" s="1144"/>
      <c r="B41" s="1145"/>
      <c r="C41" s="1146"/>
      <c r="D41" s="1133" t="s">
        <v>982</v>
      </c>
      <c r="E41" s="1134"/>
      <c r="F41" s="418">
        <f>F39*F35</f>
        <v>0</v>
      </c>
      <c r="G41" s="418">
        <f>G39*G35</f>
        <v>0</v>
      </c>
      <c r="H41" s="418">
        <f>H39*H35</f>
        <v>0</v>
      </c>
      <c r="I41" s="432">
        <f t="shared" si="1"/>
        <v>0</v>
      </c>
    </row>
    <row r="42" spans="1:9" ht="3.95" customHeight="1" x14ac:dyDescent="0.3">
      <c r="A42" s="650"/>
      <c r="B42" s="651"/>
      <c r="C42" s="651"/>
      <c r="D42" s="647"/>
      <c r="E42" s="647"/>
      <c r="F42" s="648"/>
      <c r="G42" s="648"/>
      <c r="H42" s="648"/>
      <c r="I42" s="649"/>
    </row>
    <row r="43" spans="1:9" x14ac:dyDescent="0.3">
      <c r="A43" s="1154" t="s">
        <v>50</v>
      </c>
      <c r="B43" s="1155"/>
      <c r="C43" s="1155"/>
      <c r="D43" s="1134" t="s">
        <v>20</v>
      </c>
      <c r="E43" s="1134"/>
      <c r="F43" s="418">
        <f>4.5*F32</f>
        <v>18</v>
      </c>
      <c r="G43" s="418">
        <f>4.5*G32</f>
        <v>18</v>
      </c>
      <c r="H43" s="418">
        <f>4.5*H32</f>
        <v>9</v>
      </c>
      <c r="I43" s="432">
        <f t="shared" si="1"/>
        <v>45</v>
      </c>
    </row>
    <row r="44" spans="1:9" x14ac:dyDescent="0.3">
      <c r="A44" s="1154"/>
      <c r="B44" s="1155"/>
      <c r="C44" s="1155"/>
      <c r="D44" s="1134" t="s">
        <v>21</v>
      </c>
      <c r="E44" s="1134"/>
      <c r="F44" s="417">
        <v>0.4</v>
      </c>
      <c r="G44" s="417">
        <v>0.4</v>
      </c>
      <c r="H44" s="417">
        <v>0.4</v>
      </c>
      <c r="I44" s="431"/>
    </row>
    <row r="45" spans="1:9" x14ac:dyDescent="0.3">
      <c r="A45" s="1154"/>
      <c r="B45" s="1155"/>
      <c r="C45" s="1155"/>
      <c r="D45" s="1134" t="s">
        <v>22</v>
      </c>
      <c r="E45" s="1134"/>
      <c r="F45" s="418">
        <f>F43*F44</f>
        <v>7.2</v>
      </c>
      <c r="G45" s="418">
        <f>G43*G44</f>
        <v>7.2</v>
      </c>
      <c r="H45" s="418">
        <f>H43*H44</f>
        <v>3.6</v>
      </c>
      <c r="I45" s="432">
        <f t="shared" si="1"/>
        <v>18</v>
      </c>
    </row>
    <row r="46" spans="1:9" x14ac:dyDescent="0.3">
      <c r="A46" s="1154"/>
      <c r="B46" s="1155"/>
      <c r="C46" s="1155"/>
      <c r="D46" s="1134" t="s">
        <v>766</v>
      </c>
      <c r="E46" s="1134"/>
      <c r="F46" s="418">
        <v>2.4E-2</v>
      </c>
      <c r="G46" s="418">
        <v>2.4E-2</v>
      </c>
      <c r="H46" s="418">
        <v>2.4E-2</v>
      </c>
      <c r="I46" s="431"/>
    </row>
    <row r="47" spans="1:9" x14ac:dyDescent="0.3">
      <c r="A47" s="1154"/>
      <c r="B47" s="1155"/>
      <c r="C47" s="1155"/>
      <c r="D47" s="1134" t="s">
        <v>767</v>
      </c>
      <c r="E47" s="1134"/>
      <c r="F47" s="418">
        <f>F46*F43</f>
        <v>0.432</v>
      </c>
      <c r="G47" s="418">
        <f>G46*G43</f>
        <v>0.432</v>
      </c>
      <c r="H47" s="418">
        <f>H46*H43</f>
        <v>0.216</v>
      </c>
      <c r="I47" s="431"/>
    </row>
    <row r="48" spans="1:9" x14ac:dyDescent="0.3">
      <c r="A48" s="1154"/>
      <c r="B48" s="1155"/>
      <c r="C48" s="1155"/>
      <c r="D48" s="1134" t="s">
        <v>297</v>
      </c>
      <c r="E48" s="1134"/>
      <c r="F48" s="418">
        <f>IF($B$11&gt;30,30,$B$11)</f>
        <v>30</v>
      </c>
      <c r="G48" s="418">
        <f>IF($B$11&gt;30,30,$B$11)</f>
        <v>30</v>
      </c>
      <c r="H48" s="418">
        <f>IF($B$11&gt;30,30,$B$11)</f>
        <v>30</v>
      </c>
      <c r="I48" s="431"/>
    </row>
    <row r="49" spans="1:10" x14ac:dyDescent="0.3">
      <c r="A49" s="1154"/>
      <c r="B49" s="1155"/>
      <c r="C49" s="1155"/>
      <c r="D49" s="1134" t="s">
        <v>372</v>
      </c>
      <c r="E49" s="1134"/>
      <c r="F49" s="418">
        <f>IF($B$11&gt;30,$B$11-30,0)</f>
        <v>118</v>
      </c>
      <c r="G49" s="418">
        <f>IF($B$11&gt;30,$B$11-30,0)</f>
        <v>118</v>
      </c>
      <c r="H49" s="418">
        <f>IF($B$11&gt;30,$B$11-30,0)</f>
        <v>118</v>
      </c>
      <c r="I49" s="431"/>
    </row>
    <row r="50" spans="1:10" x14ac:dyDescent="0.3">
      <c r="A50" s="1154"/>
      <c r="B50" s="1155"/>
      <c r="C50" s="1155"/>
      <c r="D50" s="1147" t="s">
        <v>768</v>
      </c>
      <c r="E50" s="1148"/>
      <c r="F50" s="418">
        <f>F48*F47</f>
        <v>12.959999999999999</v>
      </c>
      <c r="G50" s="418">
        <f>G48*G47</f>
        <v>12.959999999999999</v>
      </c>
      <c r="H50" s="418">
        <f>H48*H47</f>
        <v>6.4799999999999995</v>
      </c>
      <c r="I50" s="432">
        <f>SUM(F50:H50)</f>
        <v>32.4</v>
      </c>
    </row>
    <row r="51" spans="1:10" x14ac:dyDescent="0.3">
      <c r="A51" s="1156"/>
      <c r="B51" s="1157"/>
      <c r="C51" s="1157"/>
      <c r="D51" s="1149" t="s">
        <v>769</v>
      </c>
      <c r="E51" s="1150"/>
      <c r="F51" s="433">
        <f>F47*F49</f>
        <v>50.975999999999999</v>
      </c>
      <c r="G51" s="433">
        <f>G47*G49</f>
        <v>50.975999999999999</v>
      </c>
      <c r="H51" s="433">
        <f>H47*H49</f>
        <v>25.488</v>
      </c>
      <c r="I51" s="432">
        <f>SUM(F51:H51)</f>
        <v>127.44</v>
      </c>
    </row>
    <row r="52" spans="1:10" ht="3.95" customHeight="1" x14ac:dyDescent="0.3">
      <c r="A52" s="650"/>
      <c r="B52" s="651"/>
      <c r="C52" s="651"/>
      <c r="D52" s="647"/>
      <c r="E52" s="647"/>
      <c r="F52" s="648"/>
      <c r="G52" s="648"/>
      <c r="H52" s="648"/>
      <c r="I52" s="649"/>
      <c r="J52" s="192"/>
    </row>
    <row r="53" spans="1:10" x14ac:dyDescent="0.3">
      <c r="A53" s="1135" t="s">
        <v>1160</v>
      </c>
      <c r="B53" s="1136"/>
      <c r="C53" s="1137"/>
      <c r="D53" s="1133" t="s">
        <v>20</v>
      </c>
      <c r="E53" s="1134"/>
      <c r="F53" s="418">
        <f>F20/1.5</f>
        <v>59.186666666666667</v>
      </c>
      <c r="G53" s="418">
        <f>G20/1.5</f>
        <v>20.86</v>
      </c>
      <c r="H53" s="418">
        <f>H20/1.5</f>
        <v>14.32</v>
      </c>
      <c r="I53" s="432">
        <f>SUM(F53:H53)</f>
        <v>94.366666666666674</v>
      </c>
    </row>
  </sheetData>
  <mergeCells count="38">
    <mergeCell ref="I6:I8"/>
    <mergeCell ref="A4:I4"/>
    <mergeCell ref="A19:E19"/>
    <mergeCell ref="D23:E23"/>
    <mergeCell ref="D22:E22"/>
    <mergeCell ref="D20:E20"/>
    <mergeCell ref="D21:E21"/>
    <mergeCell ref="A10:B10"/>
    <mergeCell ref="L8:N8"/>
    <mergeCell ref="A43:C51"/>
    <mergeCell ref="D25:E25"/>
    <mergeCell ref="A20:C30"/>
    <mergeCell ref="D36:E36"/>
    <mergeCell ref="D40:E40"/>
    <mergeCell ref="D33:E33"/>
    <mergeCell ref="D35:E35"/>
    <mergeCell ref="D38:E38"/>
    <mergeCell ref="D39:E39"/>
    <mergeCell ref="D45:E45"/>
    <mergeCell ref="D43:E43"/>
    <mergeCell ref="D44:E44"/>
    <mergeCell ref="D28:E28"/>
    <mergeCell ref="D30:E30"/>
    <mergeCell ref="D41:E41"/>
    <mergeCell ref="D53:E53"/>
    <mergeCell ref="A53:C53"/>
    <mergeCell ref="D24:E24"/>
    <mergeCell ref="D34:E34"/>
    <mergeCell ref="D29:E29"/>
    <mergeCell ref="D32:E32"/>
    <mergeCell ref="D27:E27"/>
    <mergeCell ref="A32:C41"/>
    <mergeCell ref="D48:E48"/>
    <mergeCell ref="D49:E49"/>
    <mergeCell ref="D50:E50"/>
    <mergeCell ref="D51:E51"/>
    <mergeCell ref="D46:E46"/>
    <mergeCell ref="D47:E47"/>
  </mergeCells>
  <phoneticPr fontId="3" type="noConversion"/>
  <conditionalFormatting sqref="F21:H31 F33:H52 I20:I53">
    <cfRule type="cellIs" dxfId="10" priority="6" operator="lessThan">
      <formula>0</formula>
    </cfRule>
  </conditionalFormatting>
  <conditionalFormatting sqref="F20:H20">
    <cfRule type="cellIs" dxfId="9" priority="5" operator="lessThan">
      <formula>0</formula>
    </cfRule>
  </conditionalFormatting>
  <conditionalFormatting sqref="F32:H32">
    <cfRule type="cellIs" dxfId="8" priority="4" operator="lessThan">
      <formula>0</formula>
    </cfRule>
  </conditionalFormatting>
  <conditionalFormatting sqref="F53:H53">
    <cfRule type="cellIs" dxfId="7" priority="1" operator="lessThan">
      <formula>0</formula>
    </cfRule>
  </conditionalFormatting>
  <printOptions horizontalCentered="1"/>
  <pageMargins left="0.23622047244094491" right="0.23622047244094491" top="0.74803149606299213" bottom="0.74803149606299213" header="0.31496062992125984" footer="0.31496062992125984"/>
  <pageSetup paperSize="9" scale="77" fitToHeight="2" orientation="landscape" r:id="rId1"/>
  <headerFooter>
    <oddFooter>Página &amp;P de &amp;N</oddFooter>
  </headerFooter>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4">
    <tabColor rgb="FF008080"/>
  </sheetPr>
  <dimension ref="A1:O19"/>
  <sheetViews>
    <sheetView workbookViewId="0"/>
  </sheetViews>
  <sheetFormatPr defaultColWidth="12.28515625" defaultRowHeight="13.5" x14ac:dyDescent="0.25"/>
  <cols>
    <col min="1" max="1" width="20" style="43" customWidth="1"/>
    <col min="2" max="2" width="20.140625" style="250" customWidth="1"/>
    <col min="3" max="4" width="19" style="43" customWidth="1"/>
    <col min="5" max="5" width="21" style="43" customWidth="1"/>
    <col min="6" max="6" width="25.42578125" style="43" customWidth="1"/>
    <col min="7" max="7" width="18.140625" style="45" customWidth="1"/>
    <col min="8" max="8" width="15.140625" style="45" bestFit="1" customWidth="1"/>
    <col min="9" max="9" width="26.7109375" style="43" bestFit="1" customWidth="1"/>
    <col min="10" max="10" width="12.85546875" style="43" bestFit="1" customWidth="1"/>
    <col min="11" max="11" width="7.5703125" style="43" bestFit="1" customWidth="1"/>
    <col min="12" max="12" width="26.7109375" style="43" bestFit="1" customWidth="1"/>
    <col min="13" max="13" width="12.85546875" style="43" bestFit="1" customWidth="1"/>
    <col min="14" max="14" width="7.5703125" style="43" bestFit="1" customWidth="1"/>
    <col min="15" max="15" width="26.7109375" style="43" bestFit="1" customWidth="1"/>
    <col min="16" max="247" width="12.28515625" style="43"/>
    <col min="248" max="248" width="17.7109375" style="43" customWidth="1"/>
    <col min="249" max="249" width="8.140625" style="43" bestFit="1" customWidth="1"/>
    <col min="250" max="250" width="6.140625" style="43" customWidth="1"/>
    <col min="251" max="251" width="7.85546875" style="43" customWidth="1"/>
    <col min="252" max="254" width="9" style="43" bestFit="1" customWidth="1"/>
    <col min="255" max="255" width="14.42578125" style="43" customWidth="1"/>
    <col min="256" max="256" width="11.7109375" style="43" customWidth="1"/>
    <col min="257" max="257" width="9" style="43" bestFit="1" customWidth="1"/>
    <col min="258" max="259" width="8.140625" style="43" bestFit="1" customWidth="1"/>
    <col min="260" max="260" width="8.7109375" style="43" bestFit="1" customWidth="1"/>
    <col min="261" max="261" width="9" style="43" bestFit="1" customWidth="1"/>
    <col min="262" max="262" width="7.85546875" style="43" bestFit="1" customWidth="1"/>
    <col min="263" max="503" width="12.28515625" style="43"/>
    <col min="504" max="504" width="17.7109375" style="43" customWidth="1"/>
    <col min="505" max="505" width="8.140625" style="43" bestFit="1" customWidth="1"/>
    <col min="506" max="506" width="6.140625" style="43" customWidth="1"/>
    <col min="507" max="507" width="7.85546875" style="43" customWidth="1"/>
    <col min="508" max="510" width="9" style="43" bestFit="1" customWidth="1"/>
    <col min="511" max="511" width="14.42578125" style="43" customWidth="1"/>
    <col min="512" max="512" width="11.7109375" style="43" customWidth="1"/>
    <col min="513" max="513" width="9" style="43" bestFit="1" customWidth="1"/>
    <col min="514" max="515" width="8.140625" style="43" bestFit="1" customWidth="1"/>
    <col min="516" max="516" width="8.7109375" style="43" bestFit="1" customWidth="1"/>
    <col min="517" max="517" width="9" style="43" bestFit="1" customWidth="1"/>
    <col min="518" max="518" width="7.85546875" style="43" bestFit="1" customWidth="1"/>
    <col min="519" max="759" width="12.28515625" style="43"/>
    <col min="760" max="760" width="17.7109375" style="43" customWidth="1"/>
    <col min="761" max="761" width="8.140625" style="43" bestFit="1" customWidth="1"/>
    <col min="762" max="762" width="6.140625" style="43" customWidth="1"/>
    <col min="763" max="763" width="7.85546875" style="43" customWidth="1"/>
    <col min="764" max="766" width="9" style="43" bestFit="1" customWidth="1"/>
    <col min="767" max="767" width="14.42578125" style="43" customWidth="1"/>
    <col min="768" max="768" width="11.7109375" style="43" customWidth="1"/>
    <col min="769" max="769" width="9" style="43" bestFit="1" customWidth="1"/>
    <col min="770" max="771" width="8.140625" style="43" bestFit="1" customWidth="1"/>
    <col min="772" max="772" width="8.7109375" style="43" bestFit="1" customWidth="1"/>
    <col min="773" max="773" width="9" style="43" bestFit="1" customWidth="1"/>
    <col min="774" max="774" width="7.85546875" style="43" bestFit="1" customWidth="1"/>
    <col min="775" max="1015" width="12.28515625" style="43"/>
    <col min="1016" max="1016" width="17.7109375" style="43" customWidth="1"/>
    <col min="1017" max="1017" width="8.140625" style="43" bestFit="1" customWidth="1"/>
    <col min="1018" max="1018" width="6.140625" style="43" customWidth="1"/>
    <col min="1019" max="1019" width="7.85546875" style="43" customWidth="1"/>
    <col min="1020" max="1022" width="9" style="43" bestFit="1" customWidth="1"/>
    <col min="1023" max="1023" width="14.42578125" style="43" customWidth="1"/>
    <col min="1024" max="1024" width="11.7109375" style="43" customWidth="1"/>
    <col min="1025" max="1025" width="9" style="43" bestFit="1" customWidth="1"/>
    <col min="1026" max="1027" width="8.140625" style="43" bestFit="1" customWidth="1"/>
    <col min="1028" max="1028" width="8.7109375" style="43" bestFit="1" customWidth="1"/>
    <col min="1029" max="1029" width="9" style="43" bestFit="1" customWidth="1"/>
    <col min="1030" max="1030" width="7.85546875" style="43" bestFit="1" customWidth="1"/>
    <col min="1031" max="1271" width="12.28515625" style="43"/>
    <col min="1272" max="1272" width="17.7109375" style="43" customWidth="1"/>
    <col min="1273" max="1273" width="8.140625" style="43" bestFit="1" customWidth="1"/>
    <col min="1274" max="1274" width="6.140625" style="43" customWidth="1"/>
    <col min="1275" max="1275" width="7.85546875" style="43" customWidth="1"/>
    <col min="1276" max="1278" width="9" style="43" bestFit="1" customWidth="1"/>
    <col min="1279" max="1279" width="14.42578125" style="43" customWidth="1"/>
    <col min="1280" max="1280" width="11.7109375" style="43" customWidth="1"/>
    <col min="1281" max="1281" width="9" style="43" bestFit="1" customWidth="1"/>
    <col min="1282" max="1283" width="8.140625" style="43" bestFit="1" customWidth="1"/>
    <col min="1284" max="1284" width="8.7109375" style="43" bestFit="1" customWidth="1"/>
    <col min="1285" max="1285" width="9" style="43" bestFit="1" customWidth="1"/>
    <col min="1286" max="1286" width="7.85546875" style="43" bestFit="1" customWidth="1"/>
    <col min="1287" max="1527" width="12.28515625" style="43"/>
    <col min="1528" max="1528" width="17.7109375" style="43" customWidth="1"/>
    <col min="1529" max="1529" width="8.140625" style="43" bestFit="1" customWidth="1"/>
    <col min="1530" max="1530" width="6.140625" style="43" customWidth="1"/>
    <col min="1531" max="1531" width="7.85546875" style="43" customWidth="1"/>
    <col min="1532" max="1534" width="9" style="43" bestFit="1" customWidth="1"/>
    <col min="1535" max="1535" width="14.42578125" style="43" customWidth="1"/>
    <col min="1536" max="1536" width="11.7109375" style="43" customWidth="1"/>
    <col min="1537" max="1537" width="9" style="43" bestFit="1" customWidth="1"/>
    <col min="1538" max="1539" width="8.140625" style="43" bestFit="1" customWidth="1"/>
    <col min="1540" max="1540" width="8.7109375" style="43" bestFit="1" customWidth="1"/>
    <col min="1541" max="1541" width="9" style="43" bestFit="1" customWidth="1"/>
    <col min="1542" max="1542" width="7.85546875" style="43" bestFit="1" customWidth="1"/>
    <col min="1543" max="1783" width="12.28515625" style="43"/>
    <col min="1784" max="1784" width="17.7109375" style="43" customWidth="1"/>
    <col min="1785" max="1785" width="8.140625" style="43" bestFit="1" customWidth="1"/>
    <col min="1786" max="1786" width="6.140625" style="43" customWidth="1"/>
    <col min="1787" max="1787" width="7.85546875" style="43" customWidth="1"/>
    <col min="1788" max="1790" width="9" style="43" bestFit="1" customWidth="1"/>
    <col min="1791" max="1791" width="14.42578125" style="43" customWidth="1"/>
    <col min="1792" max="1792" width="11.7109375" style="43" customWidth="1"/>
    <col min="1793" max="1793" width="9" style="43" bestFit="1" customWidth="1"/>
    <col min="1794" max="1795" width="8.140625" style="43" bestFit="1" customWidth="1"/>
    <col min="1796" max="1796" width="8.7109375" style="43" bestFit="1" customWidth="1"/>
    <col min="1797" max="1797" width="9" style="43" bestFit="1" customWidth="1"/>
    <col min="1798" max="1798" width="7.85546875" style="43" bestFit="1" customWidth="1"/>
    <col min="1799" max="2039" width="12.28515625" style="43"/>
    <col min="2040" max="2040" width="17.7109375" style="43" customWidth="1"/>
    <col min="2041" max="2041" width="8.140625" style="43" bestFit="1" customWidth="1"/>
    <col min="2042" max="2042" width="6.140625" style="43" customWidth="1"/>
    <col min="2043" max="2043" width="7.85546875" style="43" customWidth="1"/>
    <col min="2044" max="2046" width="9" style="43" bestFit="1" customWidth="1"/>
    <col min="2047" max="2047" width="14.42578125" style="43" customWidth="1"/>
    <col min="2048" max="2048" width="11.7109375" style="43" customWidth="1"/>
    <col min="2049" max="2049" width="9" style="43" bestFit="1" customWidth="1"/>
    <col min="2050" max="2051" width="8.140625" style="43" bestFit="1" customWidth="1"/>
    <col min="2052" max="2052" width="8.7109375" style="43" bestFit="1" customWidth="1"/>
    <col min="2053" max="2053" width="9" style="43" bestFit="1" customWidth="1"/>
    <col min="2054" max="2054" width="7.85546875" style="43" bestFit="1" customWidth="1"/>
    <col min="2055" max="2295" width="12.28515625" style="43"/>
    <col min="2296" max="2296" width="17.7109375" style="43" customWidth="1"/>
    <col min="2297" max="2297" width="8.140625" style="43" bestFit="1" customWidth="1"/>
    <col min="2298" max="2298" width="6.140625" style="43" customWidth="1"/>
    <col min="2299" max="2299" width="7.85546875" style="43" customWidth="1"/>
    <col min="2300" max="2302" width="9" style="43" bestFit="1" customWidth="1"/>
    <col min="2303" max="2303" width="14.42578125" style="43" customWidth="1"/>
    <col min="2304" max="2304" width="11.7109375" style="43" customWidth="1"/>
    <col min="2305" max="2305" width="9" style="43" bestFit="1" customWidth="1"/>
    <col min="2306" max="2307" width="8.140625" style="43" bestFit="1" customWidth="1"/>
    <col min="2308" max="2308" width="8.7109375" style="43" bestFit="1" customWidth="1"/>
    <col min="2309" max="2309" width="9" style="43" bestFit="1" customWidth="1"/>
    <col min="2310" max="2310" width="7.85546875" style="43" bestFit="1" customWidth="1"/>
    <col min="2311" max="2551" width="12.28515625" style="43"/>
    <col min="2552" max="2552" width="17.7109375" style="43" customWidth="1"/>
    <col min="2553" max="2553" width="8.140625" style="43" bestFit="1" customWidth="1"/>
    <col min="2554" max="2554" width="6.140625" style="43" customWidth="1"/>
    <col min="2555" max="2555" width="7.85546875" style="43" customWidth="1"/>
    <col min="2556" max="2558" width="9" style="43" bestFit="1" customWidth="1"/>
    <col min="2559" max="2559" width="14.42578125" style="43" customWidth="1"/>
    <col min="2560" max="2560" width="11.7109375" style="43" customWidth="1"/>
    <col min="2561" max="2561" width="9" style="43" bestFit="1" customWidth="1"/>
    <col min="2562" max="2563" width="8.140625" style="43" bestFit="1" customWidth="1"/>
    <col min="2564" max="2564" width="8.7109375" style="43" bestFit="1" customWidth="1"/>
    <col min="2565" max="2565" width="9" style="43" bestFit="1" customWidth="1"/>
    <col min="2566" max="2566" width="7.85546875" style="43" bestFit="1" customWidth="1"/>
    <col min="2567" max="2807" width="12.28515625" style="43"/>
    <col min="2808" max="2808" width="17.7109375" style="43" customWidth="1"/>
    <col min="2809" max="2809" width="8.140625" style="43" bestFit="1" customWidth="1"/>
    <col min="2810" max="2810" width="6.140625" style="43" customWidth="1"/>
    <col min="2811" max="2811" width="7.85546875" style="43" customWidth="1"/>
    <col min="2812" max="2814" width="9" style="43" bestFit="1" customWidth="1"/>
    <col min="2815" max="2815" width="14.42578125" style="43" customWidth="1"/>
    <col min="2816" max="2816" width="11.7109375" style="43" customWidth="1"/>
    <col min="2817" max="2817" width="9" style="43" bestFit="1" customWidth="1"/>
    <col min="2818" max="2819" width="8.140625" style="43" bestFit="1" customWidth="1"/>
    <col min="2820" max="2820" width="8.7109375" style="43" bestFit="1" customWidth="1"/>
    <col min="2821" max="2821" width="9" style="43" bestFit="1" customWidth="1"/>
    <col min="2822" max="2822" width="7.85546875" style="43" bestFit="1" customWidth="1"/>
    <col min="2823" max="3063" width="12.28515625" style="43"/>
    <col min="3064" max="3064" width="17.7109375" style="43" customWidth="1"/>
    <col min="3065" max="3065" width="8.140625" style="43" bestFit="1" customWidth="1"/>
    <col min="3066" max="3066" width="6.140625" style="43" customWidth="1"/>
    <col min="3067" max="3067" width="7.85546875" style="43" customWidth="1"/>
    <col min="3068" max="3070" width="9" style="43" bestFit="1" customWidth="1"/>
    <col min="3071" max="3071" width="14.42578125" style="43" customWidth="1"/>
    <col min="3072" max="3072" width="11.7109375" style="43" customWidth="1"/>
    <col min="3073" max="3073" width="9" style="43" bestFit="1" customWidth="1"/>
    <col min="3074" max="3075" width="8.140625" style="43" bestFit="1" customWidth="1"/>
    <col min="3076" max="3076" width="8.7109375" style="43" bestFit="1" customWidth="1"/>
    <col min="3077" max="3077" width="9" style="43" bestFit="1" customWidth="1"/>
    <col min="3078" max="3078" width="7.85546875" style="43" bestFit="1" customWidth="1"/>
    <col min="3079" max="3319" width="12.28515625" style="43"/>
    <col min="3320" max="3320" width="17.7109375" style="43" customWidth="1"/>
    <col min="3321" max="3321" width="8.140625" style="43" bestFit="1" customWidth="1"/>
    <col min="3322" max="3322" width="6.140625" style="43" customWidth="1"/>
    <col min="3323" max="3323" width="7.85546875" style="43" customWidth="1"/>
    <col min="3324" max="3326" width="9" style="43" bestFit="1" customWidth="1"/>
    <col min="3327" max="3327" width="14.42578125" style="43" customWidth="1"/>
    <col min="3328" max="3328" width="11.7109375" style="43" customWidth="1"/>
    <col min="3329" max="3329" width="9" style="43" bestFit="1" customWidth="1"/>
    <col min="3330" max="3331" width="8.140625" style="43" bestFit="1" customWidth="1"/>
    <col min="3332" max="3332" width="8.7109375" style="43" bestFit="1" customWidth="1"/>
    <col min="3333" max="3333" width="9" style="43" bestFit="1" customWidth="1"/>
    <col min="3334" max="3334" width="7.85546875" style="43" bestFit="1" customWidth="1"/>
    <col min="3335" max="3575" width="12.28515625" style="43"/>
    <col min="3576" max="3576" width="17.7109375" style="43" customWidth="1"/>
    <col min="3577" max="3577" width="8.140625" style="43" bestFit="1" customWidth="1"/>
    <col min="3578" max="3578" width="6.140625" style="43" customWidth="1"/>
    <col min="3579" max="3579" width="7.85546875" style="43" customWidth="1"/>
    <col min="3580" max="3582" width="9" style="43" bestFit="1" customWidth="1"/>
    <col min="3583" max="3583" width="14.42578125" style="43" customWidth="1"/>
    <col min="3584" max="3584" width="11.7109375" style="43" customWidth="1"/>
    <col min="3585" max="3585" width="9" style="43" bestFit="1" customWidth="1"/>
    <col min="3586" max="3587" width="8.140625" style="43" bestFit="1" customWidth="1"/>
    <col min="3588" max="3588" width="8.7109375" style="43" bestFit="1" customWidth="1"/>
    <col min="3589" max="3589" width="9" style="43" bestFit="1" customWidth="1"/>
    <col min="3590" max="3590" width="7.85546875" style="43" bestFit="1" customWidth="1"/>
    <col min="3591" max="3831" width="12.28515625" style="43"/>
    <col min="3832" max="3832" width="17.7109375" style="43" customWidth="1"/>
    <col min="3833" max="3833" width="8.140625" style="43" bestFit="1" customWidth="1"/>
    <col min="3834" max="3834" width="6.140625" style="43" customWidth="1"/>
    <col min="3835" max="3835" width="7.85546875" style="43" customWidth="1"/>
    <col min="3836" max="3838" width="9" style="43" bestFit="1" customWidth="1"/>
    <col min="3839" max="3839" width="14.42578125" style="43" customWidth="1"/>
    <col min="3840" max="3840" width="11.7109375" style="43" customWidth="1"/>
    <col min="3841" max="3841" width="9" style="43" bestFit="1" customWidth="1"/>
    <col min="3842" max="3843" width="8.140625" style="43" bestFit="1" customWidth="1"/>
    <col min="3844" max="3844" width="8.7109375" style="43" bestFit="1" customWidth="1"/>
    <col min="3845" max="3845" width="9" style="43" bestFit="1" customWidth="1"/>
    <col min="3846" max="3846" width="7.85546875" style="43" bestFit="1" customWidth="1"/>
    <col min="3847" max="4087" width="12.28515625" style="43"/>
    <col min="4088" max="4088" width="17.7109375" style="43" customWidth="1"/>
    <col min="4089" max="4089" width="8.140625" style="43" bestFit="1" customWidth="1"/>
    <col min="4090" max="4090" width="6.140625" style="43" customWidth="1"/>
    <col min="4091" max="4091" width="7.85546875" style="43" customWidth="1"/>
    <col min="4092" max="4094" width="9" style="43" bestFit="1" customWidth="1"/>
    <col min="4095" max="4095" width="14.42578125" style="43" customWidth="1"/>
    <col min="4096" max="4096" width="11.7109375" style="43" customWidth="1"/>
    <col min="4097" max="4097" width="9" style="43" bestFit="1" customWidth="1"/>
    <col min="4098" max="4099" width="8.140625" style="43" bestFit="1" customWidth="1"/>
    <col min="4100" max="4100" width="8.7109375" style="43" bestFit="1" customWidth="1"/>
    <col min="4101" max="4101" width="9" style="43" bestFit="1" customWidth="1"/>
    <col min="4102" max="4102" width="7.85546875" style="43" bestFit="1" customWidth="1"/>
    <col min="4103" max="4343" width="12.28515625" style="43"/>
    <col min="4344" max="4344" width="17.7109375" style="43" customWidth="1"/>
    <col min="4345" max="4345" width="8.140625" style="43" bestFit="1" customWidth="1"/>
    <col min="4346" max="4346" width="6.140625" style="43" customWidth="1"/>
    <col min="4347" max="4347" width="7.85546875" style="43" customWidth="1"/>
    <col min="4348" max="4350" width="9" style="43" bestFit="1" customWidth="1"/>
    <col min="4351" max="4351" width="14.42578125" style="43" customWidth="1"/>
    <col min="4352" max="4352" width="11.7109375" style="43" customWidth="1"/>
    <col min="4353" max="4353" width="9" style="43" bestFit="1" customWidth="1"/>
    <col min="4354" max="4355" width="8.140625" style="43" bestFit="1" customWidth="1"/>
    <col min="4356" max="4356" width="8.7109375" style="43" bestFit="1" customWidth="1"/>
    <col min="4357" max="4357" width="9" style="43" bestFit="1" customWidth="1"/>
    <col min="4358" max="4358" width="7.85546875" style="43" bestFit="1" customWidth="1"/>
    <col min="4359" max="4599" width="12.28515625" style="43"/>
    <col min="4600" max="4600" width="17.7109375" style="43" customWidth="1"/>
    <col min="4601" max="4601" width="8.140625" style="43" bestFit="1" customWidth="1"/>
    <col min="4602" max="4602" width="6.140625" style="43" customWidth="1"/>
    <col min="4603" max="4603" width="7.85546875" style="43" customWidth="1"/>
    <col min="4604" max="4606" width="9" style="43" bestFit="1" customWidth="1"/>
    <col min="4607" max="4607" width="14.42578125" style="43" customWidth="1"/>
    <col min="4608" max="4608" width="11.7109375" style="43" customWidth="1"/>
    <col min="4609" max="4609" width="9" style="43" bestFit="1" customWidth="1"/>
    <col min="4610" max="4611" width="8.140625" style="43" bestFit="1" customWidth="1"/>
    <col min="4612" max="4612" width="8.7109375" style="43" bestFit="1" customWidth="1"/>
    <col min="4613" max="4613" width="9" style="43" bestFit="1" customWidth="1"/>
    <col min="4614" max="4614" width="7.85546875" style="43" bestFit="1" customWidth="1"/>
    <col min="4615" max="4855" width="12.28515625" style="43"/>
    <col min="4856" max="4856" width="17.7109375" style="43" customWidth="1"/>
    <col min="4857" max="4857" width="8.140625" style="43" bestFit="1" customWidth="1"/>
    <col min="4858" max="4858" width="6.140625" style="43" customWidth="1"/>
    <col min="4859" max="4859" width="7.85546875" style="43" customWidth="1"/>
    <col min="4860" max="4862" width="9" style="43" bestFit="1" customWidth="1"/>
    <col min="4863" max="4863" width="14.42578125" style="43" customWidth="1"/>
    <col min="4864" max="4864" width="11.7109375" style="43" customWidth="1"/>
    <col min="4865" max="4865" width="9" style="43" bestFit="1" customWidth="1"/>
    <col min="4866" max="4867" width="8.140625" style="43" bestFit="1" customWidth="1"/>
    <col min="4868" max="4868" width="8.7109375" style="43" bestFit="1" customWidth="1"/>
    <col min="4869" max="4869" width="9" style="43" bestFit="1" customWidth="1"/>
    <col min="4870" max="4870" width="7.85546875" style="43" bestFit="1" customWidth="1"/>
    <col min="4871" max="5111" width="12.28515625" style="43"/>
    <col min="5112" max="5112" width="17.7109375" style="43" customWidth="1"/>
    <col min="5113" max="5113" width="8.140625" style="43" bestFit="1" customWidth="1"/>
    <col min="5114" max="5114" width="6.140625" style="43" customWidth="1"/>
    <col min="5115" max="5115" width="7.85546875" style="43" customWidth="1"/>
    <col min="5116" max="5118" width="9" style="43" bestFit="1" customWidth="1"/>
    <col min="5119" max="5119" width="14.42578125" style="43" customWidth="1"/>
    <col min="5120" max="5120" width="11.7109375" style="43" customWidth="1"/>
    <col min="5121" max="5121" width="9" style="43" bestFit="1" customWidth="1"/>
    <col min="5122" max="5123" width="8.140625" style="43" bestFit="1" customWidth="1"/>
    <col min="5124" max="5124" width="8.7109375" style="43" bestFit="1" customWidth="1"/>
    <col min="5125" max="5125" width="9" style="43" bestFit="1" customWidth="1"/>
    <col min="5126" max="5126" width="7.85546875" style="43" bestFit="1" customWidth="1"/>
    <col min="5127" max="5367" width="12.28515625" style="43"/>
    <col min="5368" max="5368" width="17.7109375" style="43" customWidth="1"/>
    <col min="5369" max="5369" width="8.140625" style="43" bestFit="1" customWidth="1"/>
    <col min="5370" max="5370" width="6.140625" style="43" customWidth="1"/>
    <col min="5371" max="5371" width="7.85546875" style="43" customWidth="1"/>
    <col min="5372" max="5374" width="9" style="43" bestFit="1" customWidth="1"/>
    <col min="5375" max="5375" width="14.42578125" style="43" customWidth="1"/>
    <col min="5376" max="5376" width="11.7109375" style="43" customWidth="1"/>
    <col min="5377" max="5377" width="9" style="43" bestFit="1" customWidth="1"/>
    <col min="5378" max="5379" width="8.140625" style="43" bestFit="1" customWidth="1"/>
    <col min="5380" max="5380" width="8.7109375" style="43" bestFit="1" customWidth="1"/>
    <col min="5381" max="5381" width="9" style="43" bestFit="1" customWidth="1"/>
    <col min="5382" max="5382" width="7.85546875" style="43" bestFit="1" customWidth="1"/>
    <col min="5383" max="5623" width="12.28515625" style="43"/>
    <col min="5624" max="5624" width="17.7109375" style="43" customWidth="1"/>
    <col min="5625" max="5625" width="8.140625" style="43" bestFit="1" customWidth="1"/>
    <col min="5626" max="5626" width="6.140625" style="43" customWidth="1"/>
    <col min="5627" max="5627" width="7.85546875" style="43" customWidth="1"/>
    <col min="5628" max="5630" width="9" style="43" bestFit="1" customWidth="1"/>
    <col min="5631" max="5631" width="14.42578125" style="43" customWidth="1"/>
    <col min="5632" max="5632" width="11.7109375" style="43" customWidth="1"/>
    <col min="5633" max="5633" width="9" style="43" bestFit="1" customWidth="1"/>
    <col min="5634" max="5635" width="8.140625" style="43" bestFit="1" customWidth="1"/>
    <col min="5636" max="5636" width="8.7109375" style="43" bestFit="1" customWidth="1"/>
    <col min="5637" max="5637" width="9" style="43" bestFit="1" customWidth="1"/>
    <col min="5638" max="5638" width="7.85546875" style="43" bestFit="1" customWidth="1"/>
    <col min="5639" max="5879" width="12.28515625" style="43"/>
    <col min="5880" max="5880" width="17.7109375" style="43" customWidth="1"/>
    <col min="5881" max="5881" width="8.140625" style="43" bestFit="1" customWidth="1"/>
    <col min="5882" max="5882" width="6.140625" style="43" customWidth="1"/>
    <col min="5883" max="5883" width="7.85546875" style="43" customWidth="1"/>
    <col min="5884" max="5886" width="9" style="43" bestFit="1" customWidth="1"/>
    <col min="5887" max="5887" width="14.42578125" style="43" customWidth="1"/>
    <col min="5888" max="5888" width="11.7109375" style="43" customWidth="1"/>
    <col min="5889" max="5889" width="9" style="43" bestFit="1" customWidth="1"/>
    <col min="5890" max="5891" width="8.140625" style="43" bestFit="1" customWidth="1"/>
    <col min="5892" max="5892" width="8.7109375" style="43" bestFit="1" customWidth="1"/>
    <col min="5893" max="5893" width="9" style="43" bestFit="1" customWidth="1"/>
    <col min="5894" max="5894" width="7.85546875" style="43" bestFit="1" customWidth="1"/>
    <col min="5895" max="6135" width="12.28515625" style="43"/>
    <col min="6136" max="6136" width="17.7109375" style="43" customWidth="1"/>
    <col min="6137" max="6137" width="8.140625" style="43" bestFit="1" customWidth="1"/>
    <col min="6138" max="6138" width="6.140625" style="43" customWidth="1"/>
    <col min="6139" max="6139" width="7.85546875" style="43" customWidth="1"/>
    <col min="6140" max="6142" width="9" style="43" bestFit="1" customWidth="1"/>
    <col min="6143" max="6143" width="14.42578125" style="43" customWidth="1"/>
    <col min="6144" max="6144" width="11.7109375" style="43" customWidth="1"/>
    <col min="6145" max="6145" width="9" style="43" bestFit="1" customWidth="1"/>
    <col min="6146" max="6147" width="8.140625" style="43" bestFit="1" customWidth="1"/>
    <col min="6148" max="6148" width="8.7109375" style="43" bestFit="1" customWidth="1"/>
    <col min="6149" max="6149" width="9" style="43" bestFit="1" customWidth="1"/>
    <col min="6150" max="6150" width="7.85546875" style="43" bestFit="1" customWidth="1"/>
    <col min="6151" max="6391" width="12.28515625" style="43"/>
    <col min="6392" max="6392" width="17.7109375" style="43" customWidth="1"/>
    <col min="6393" max="6393" width="8.140625" style="43" bestFit="1" customWidth="1"/>
    <col min="6394" max="6394" width="6.140625" style="43" customWidth="1"/>
    <col min="6395" max="6395" width="7.85546875" style="43" customWidth="1"/>
    <col min="6396" max="6398" width="9" style="43" bestFit="1" customWidth="1"/>
    <col min="6399" max="6399" width="14.42578125" style="43" customWidth="1"/>
    <col min="6400" max="6400" width="11.7109375" style="43" customWidth="1"/>
    <col min="6401" max="6401" width="9" style="43" bestFit="1" customWidth="1"/>
    <col min="6402" max="6403" width="8.140625" style="43" bestFit="1" customWidth="1"/>
    <col min="6404" max="6404" width="8.7109375" style="43" bestFit="1" customWidth="1"/>
    <col min="6405" max="6405" width="9" style="43" bestFit="1" customWidth="1"/>
    <col min="6406" max="6406" width="7.85546875" style="43" bestFit="1" customWidth="1"/>
    <col min="6407" max="6647" width="12.28515625" style="43"/>
    <col min="6648" max="6648" width="17.7109375" style="43" customWidth="1"/>
    <col min="6649" max="6649" width="8.140625" style="43" bestFit="1" customWidth="1"/>
    <col min="6650" max="6650" width="6.140625" style="43" customWidth="1"/>
    <col min="6651" max="6651" width="7.85546875" style="43" customWidth="1"/>
    <col min="6652" max="6654" width="9" style="43" bestFit="1" customWidth="1"/>
    <col min="6655" max="6655" width="14.42578125" style="43" customWidth="1"/>
    <col min="6656" max="6656" width="11.7109375" style="43" customWidth="1"/>
    <col min="6657" max="6657" width="9" style="43" bestFit="1" customWidth="1"/>
    <col min="6658" max="6659" width="8.140625" style="43" bestFit="1" customWidth="1"/>
    <col min="6660" max="6660" width="8.7109375" style="43" bestFit="1" customWidth="1"/>
    <col min="6661" max="6661" width="9" style="43" bestFit="1" customWidth="1"/>
    <col min="6662" max="6662" width="7.85546875" style="43" bestFit="1" customWidth="1"/>
    <col min="6663" max="6903" width="12.28515625" style="43"/>
    <col min="6904" max="6904" width="17.7109375" style="43" customWidth="1"/>
    <col min="6905" max="6905" width="8.140625" style="43" bestFit="1" customWidth="1"/>
    <col min="6906" max="6906" width="6.140625" style="43" customWidth="1"/>
    <col min="6907" max="6907" width="7.85546875" style="43" customWidth="1"/>
    <col min="6908" max="6910" width="9" style="43" bestFit="1" customWidth="1"/>
    <col min="6911" max="6911" width="14.42578125" style="43" customWidth="1"/>
    <col min="6912" max="6912" width="11.7109375" style="43" customWidth="1"/>
    <col min="6913" max="6913" width="9" style="43" bestFit="1" customWidth="1"/>
    <col min="6914" max="6915" width="8.140625" style="43" bestFit="1" customWidth="1"/>
    <col min="6916" max="6916" width="8.7109375" style="43" bestFit="1" customWidth="1"/>
    <col min="6917" max="6917" width="9" style="43" bestFit="1" customWidth="1"/>
    <col min="6918" max="6918" width="7.85546875" style="43" bestFit="1" customWidth="1"/>
    <col min="6919" max="7159" width="12.28515625" style="43"/>
    <col min="7160" max="7160" width="17.7109375" style="43" customWidth="1"/>
    <col min="7161" max="7161" width="8.140625" style="43" bestFit="1" customWidth="1"/>
    <col min="7162" max="7162" width="6.140625" style="43" customWidth="1"/>
    <col min="7163" max="7163" width="7.85546875" style="43" customWidth="1"/>
    <col min="7164" max="7166" width="9" style="43" bestFit="1" customWidth="1"/>
    <col min="7167" max="7167" width="14.42578125" style="43" customWidth="1"/>
    <col min="7168" max="7168" width="11.7109375" style="43" customWidth="1"/>
    <col min="7169" max="7169" width="9" style="43" bestFit="1" customWidth="1"/>
    <col min="7170" max="7171" width="8.140625" style="43" bestFit="1" customWidth="1"/>
    <col min="7172" max="7172" width="8.7109375" style="43" bestFit="1" customWidth="1"/>
    <col min="7173" max="7173" width="9" style="43" bestFit="1" customWidth="1"/>
    <col min="7174" max="7174" width="7.85546875" style="43" bestFit="1" customWidth="1"/>
    <col min="7175" max="7415" width="12.28515625" style="43"/>
    <col min="7416" max="7416" width="17.7109375" style="43" customWidth="1"/>
    <col min="7417" max="7417" width="8.140625" style="43" bestFit="1" customWidth="1"/>
    <col min="7418" max="7418" width="6.140625" style="43" customWidth="1"/>
    <col min="7419" max="7419" width="7.85546875" style="43" customWidth="1"/>
    <col min="7420" max="7422" width="9" style="43" bestFit="1" customWidth="1"/>
    <col min="7423" max="7423" width="14.42578125" style="43" customWidth="1"/>
    <col min="7424" max="7424" width="11.7109375" style="43" customWidth="1"/>
    <col min="7425" max="7425" width="9" style="43" bestFit="1" customWidth="1"/>
    <col min="7426" max="7427" width="8.140625" style="43" bestFit="1" customWidth="1"/>
    <col min="7428" max="7428" width="8.7109375" style="43" bestFit="1" customWidth="1"/>
    <col min="7429" max="7429" width="9" style="43" bestFit="1" customWidth="1"/>
    <col min="7430" max="7430" width="7.85546875" style="43" bestFit="1" customWidth="1"/>
    <col min="7431" max="7671" width="12.28515625" style="43"/>
    <col min="7672" max="7672" width="17.7109375" style="43" customWidth="1"/>
    <col min="7673" max="7673" width="8.140625" style="43" bestFit="1" customWidth="1"/>
    <col min="7674" max="7674" width="6.140625" style="43" customWidth="1"/>
    <col min="7675" max="7675" width="7.85546875" style="43" customWidth="1"/>
    <col min="7676" max="7678" width="9" style="43" bestFit="1" customWidth="1"/>
    <col min="7679" max="7679" width="14.42578125" style="43" customWidth="1"/>
    <col min="7680" max="7680" width="11.7109375" style="43" customWidth="1"/>
    <col min="7681" max="7681" width="9" style="43" bestFit="1" customWidth="1"/>
    <col min="7682" max="7683" width="8.140625" style="43" bestFit="1" customWidth="1"/>
    <col min="7684" max="7684" width="8.7109375" style="43" bestFit="1" customWidth="1"/>
    <col min="7685" max="7685" width="9" style="43" bestFit="1" customWidth="1"/>
    <col min="7686" max="7686" width="7.85546875" style="43" bestFit="1" customWidth="1"/>
    <col min="7687" max="7927" width="12.28515625" style="43"/>
    <col min="7928" max="7928" width="17.7109375" style="43" customWidth="1"/>
    <col min="7929" max="7929" width="8.140625" style="43" bestFit="1" customWidth="1"/>
    <col min="7930" max="7930" width="6.140625" style="43" customWidth="1"/>
    <col min="7931" max="7931" width="7.85546875" style="43" customWidth="1"/>
    <col min="7932" max="7934" width="9" style="43" bestFit="1" customWidth="1"/>
    <col min="7935" max="7935" width="14.42578125" style="43" customWidth="1"/>
    <col min="7936" max="7936" width="11.7109375" style="43" customWidth="1"/>
    <col min="7937" max="7937" width="9" style="43" bestFit="1" customWidth="1"/>
    <col min="7938" max="7939" width="8.140625" style="43" bestFit="1" customWidth="1"/>
    <col min="7940" max="7940" width="8.7109375" style="43" bestFit="1" customWidth="1"/>
    <col min="7941" max="7941" width="9" style="43" bestFit="1" customWidth="1"/>
    <col min="7942" max="7942" width="7.85546875" style="43" bestFit="1" customWidth="1"/>
    <col min="7943" max="8183" width="12.28515625" style="43"/>
    <col min="8184" max="8184" width="17.7109375" style="43" customWidth="1"/>
    <col min="8185" max="8185" width="8.140625" style="43" bestFit="1" customWidth="1"/>
    <col min="8186" max="8186" width="6.140625" style="43" customWidth="1"/>
    <col min="8187" max="8187" width="7.85546875" style="43" customWidth="1"/>
    <col min="8188" max="8190" width="9" style="43" bestFit="1" customWidth="1"/>
    <col min="8191" max="8191" width="14.42578125" style="43" customWidth="1"/>
    <col min="8192" max="8192" width="11.7109375" style="43" customWidth="1"/>
    <col min="8193" max="8193" width="9" style="43" bestFit="1" customWidth="1"/>
    <col min="8194" max="8195" width="8.140625" style="43" bestFit="1" customWidth="1"/>
    <col min="8196" max="8196" width="8.7109375" style="43" bestFit="1" customWidth="1"/>
    <col min="8197" max="8197" width="9" style="43" bestFit="1" customWidth="1"/>
    <col min="8198" max="8198" width="7.85546875" style="43" bestFit="1" customWidth="1"/>
    <col min="8199" max="8439" width="12.28515625" style="43"/>
    <col min="8440" max="8440" width="17.7109375" style="43" customWidth="1"/>
    <col min="8441" max="8441" width="8.140625" style="43" bestFit="1" customWidth="1"/>
    <col min="8442" max="8442" width="6.140625" style="43" customWidth="1"/>
    <col min="8443" max="8443" width="7.85546875" style="43" customWidth="1"/>
    <col min="8444" max="8446" width="9" style="43" bestFit="1" customWidth="1"/>
    <col min="8447" max="8447" width="14.42578125" style="43" customWidth="1"/>
    <col min="8448" max="8448" width="11.7109375" style="43" customWidth="1"/>
    <col min="8449" max="8449" width="9" style="43" bestFit="1" customWidth="1"/>
    <col min="8450" max="8451" width="8.140625" style="43" bestFit="1" customWidth="1"/>
    <col min="8452" max="8452" width="8.7109375" style="43" bestFit="1" customWidth="1"/>
    <col min="8453" max="8453" width="9" style="43" bestFit="1" customWidth="1"/>
    <col min="8454" max="8454" width="7.85546875" style="43" bestFit="1" customWidth="1"/>
    <col min="8455" max="8695" width="12.28515625" style="43"/>
    <col min="8696" max="8696" width="17.7109375" style="43" customWidth="1"/>
    <col min="8697" max="8697" width="8.140625" style="43" bestFit="1" customWidth="1"/>
    <col min="8698" max="8698" width="6.140625" style="43" customWidth="1"/>
    <col min="8699" max="8699" width="7.85546875" style="43" customWidth="1"/>
    <col min="8700" max="8702" width="9" style="43" bestFit="1" customWidth="1"/>
    <col min="8703" max="8703" width="14.42578125" style="43" customWidth="1"/>
    <col min="8704" max="8704" width="11.7109375" style="43" customWidth="1"/>
    <col min="8705" max="8705" width="9" style="43" bestFit="1" customWidth="1"/>
    <col min="8706" max="8707" width="8.140625" style="43" bestFit="1" customWidth="1"/>
    <col min="8708" max="8708" width="8.7109375" style="43" bestFit="1" customWidth="1"/>
    <col min="8709" max="8709" width="9" style="43" bestFit="1" customWidth="1"/>
    <col min="8710" max="8710" width="7.85546875" style="43" bestFit="1" customWidth="1"/>
    <col min="8711" max="8951" width="12.28515625" style="43"/>
    <col min="8952" max="8952" width="17.7109375" style="43" customWidth="1"/>
    <col min="8953" max="8953" width="8.140625" style="43" bestFit="1" customWidth="1"/>
    <col min="8954" max="8954" width="6.140625" style="43" customWidth="1"/>
    <col min="8955" max="8955" width="7.85546875" style="43" customWidth="1"/>
    <col min="8956" max="8958" width="9" style="43" bestFit="1" customWidth="1"/>
    <col min="8959" max="8959" width="14.42578125" style="43" customWidth="1"/>
    <col min="8960" max="8960" width="11.7109375" style="43" customWidth="1"/>
    <col min="8961" max="8961" width="9" style="43" bestFit="1" customWidth="1"/>
    <col min="8962" max="8963" width="8.140625" style="43" bestFit="1" customWidth="1"/>
    <col min="8964" max="8964" width="8.7109375" style="43" bestFit="1" customWidth="1"/>
    <col min="8965" max="8965" width="9" style="43" bestFit="1" customWidth="1"/>
    <col min="8966" max="8966" width="7.85546875" style="43" bestFit="1" customWidth="1"/>
    <col min="8967" max="9207" width="12.28515625" style="43"/>
    <col min="9208" max="9208" width="17.7109375" style="43" customWidth="1"/>
    <col min="9209" max="9209" width="8.140625" style="43" bestFit="1" customWidth="1"/>
    <col min="9210" max="9210" width="6.140625" style="43" customWidth="1"/>
    <col min="9211" max="9211" width="7.85546875" style="43" customWidth="1"/>
    <col min="9212" max="9214" width="9" style="43" bestFit="1" customWidth="1"/>
    <col min="9215" max="9215" width="14.42578125" style="43" customWidth="1"/>
    <col min="9216" max="9216" width="11.7109375" style="43" customWidth="1"/>
    <col min="9217" max="9217" width="9" style="43" bestFit="1" customWidth="1"/>
    <col min="9218" max="9219" width="8.140625" style="43" bestFit="1" customWidth="1"/>
    <col min="9220" max="9220" width="8.7109375" style="43" bestFit="1" customWidth="1"/>
    <col min="9221" max="9221" width="9" style="43" bestFit="1" customWidth="1"/>
    <col min="9222" max="9222" width="7.85546875" style="43" bestFit="1" customWidth="1"/>
    <col min="9223" max="9463" width="12.28515625" style="43"/>
    <col min="9464" max="9464" width="17.7109375" style="43" customWidth="1"/>
    <col min="9465" max="9465" width="8.140625" style="43" bestFit="1" customWidth="1"/>
    <col min="9466" max="9466" width="6.140625" style="43" customWidth="1"/>
    <col min="9467" max="9467" width="7.85546875" style="43" customWidth="1"/>
    <col min="9468" max="9470" width="9" style="43" bestFit="1" customWidth="1"/>
    <col min="9471" max="9471" width="14.42578125" style="43" customWidth="1"/>
    <col min="9472" max="9472" width="11.7109375" style="43" customWidth="1"/>
    <col min="9473" max="9473" width="9" style="43" bestFit="1" customWidth="1"/>
    <col min="9474" max="9475" width="8.140625" style="43" bestFit="1" customWidth="1"/>
    <col min="9476" max="9476" width="8.7109375" style="43" bestFit="1" customWidth="1"/>
    <col min="9477" max="9477" width="9" style="43" bestFit="1" customWidth="1"/>
    <col min="9478" max="9478" width="7.85546875" style="43" bestFit="1" customWidth="1"/>
    <col min="9479" max="9719" width="12.28515625" style="43"/>
    <col min="9720" max="9720" width="17.7109375" style="43" customWidth="1"/>
    <col min="9721" max="9721" width="8.140625" style="43" bestFit="1" customWidth="1"/>
    <col min="9722" max="9722" width="6.140625" style="43" customWidth="1"/>
    <col min="9723" max="9723" width="7.85546875" style="43" customWidth="1"/>
    <col min="9724" max="9726" width="9" style="43" bestFit="1" customWidth="1"/>
    <col min="9727" max="9727" width="14.42578125" style="43" customWidth="1"/>
    <col min="9728" max="9728" width="11.7109375" style="43" customWidth="1"/>
    <col min="9729" max="9729" width="9" style="43" bestFit="1" customWidth="1"/>
    <col min="9730" max="9731" width="8.140625" style="43" bestFit="1" customWidth="1"/>
    <col min="9732" max="9732" width="8.7109375" style="43" bestFit="1" customWidth="1"/>
    <col min="9733" max="9733" width="9" style="43" bestFit="1" customWidth="1"/>
    <col min="9734" max="9734" width="7.85546875" style="43" bestFit="1" customWidth="1"/>
    <col min="9735" max="9975" width="12.28515625" style="43"/>
    <col min="9976" max="9976" width="17.7109375" style="43" customWidth="1"/>
    <col min="9977" max="9977" width="8.140625" style="43" bestFit="1" customWidth="1"/>
    <col min="9978" max="9978" width="6.140625" style="43" customWidth="1"/>
    <col min="9979" max="9979" width="7.85546875" style="43" customWidth="1"/>
    <col min="9980" max="9982" width="9" style="43" bestFit="1" customWidth="1"/>
    <col min="9983" max="9983" width="14.42578125" style="43" customWidth="1"/>
    <col min="9984" max="9984" width="11.7109375" style="43" customWidth="1"/>
    <col min="9985" max="9985" width="9" style="43" bestFit="1" customWidth="1"/>
    <col min="9986" max="9987" width="8.140625" style="43" bestFit="1" customWidth="1"/>
    <col min="9988" max="9988" width="8.7109375" style="43" bestFit="1" customWidth="1"/>
    <col min="9989" max="9989" width="9" style="43" bestFit="1" customWidth="1"/>
    <col min="9990" max="9990" width="7.85546875" style="43" bestFit="1" customWidth="1"/>
    <col min="9991" max="10231" width="12.28515625" style="43"/>
    <col min="10232" max="10232" width="17.7109375" style="43" customWidth="1"/>
    <col min="10233" max="10233" width="8.140625" style="43" bestFit="1" customWidth="1"/>
    <col min="10234" max="10234" width="6.140625" style="43" customWidth="1"/>
    <col min="10235" max="10235" width="7.85546875" style="43" customWidth="1"/>
    <col min="10236" max="10238" width="9" style="43" bestFit="1" customWidth="1"/>
    <col min="10239" max="10239" width="14.42578125" style="43" customWidth="1"/>
    <col min="10240" max="10240" width="11.7109375" style="43" customWidth="1"/>
    <col min="10241" max="10241" width="9" style="43" bestFit="1" customWidth="1"/>
    <col min="10242" max="10243" width="8.140625" style="43" bestFit="1" customWidth="1"/>
    <col min="10244" max="10244" width="8.7109375" style="43" bestFit="1" customWidth="1"/>
    <col min="10245" max="10245" width="9" style="43" bestFit="1" customWidth="1"/>
    <col min="10246" max="10246" width="7.85546875" style="43" bestFit="1" customWidth="1"/>
    <col min="10247" max="10487" width="12.28515625" style="43"/>
    <col min="10488" max="10488" width="17.7109375" style="43" customWidth="1"/>
    <col min="10489" max="10489" width="8.140625" style="43" bestFit="1" customWidth="1"/>
    <col min="10490" max="10490" width="6.140625" style="43" customWidth="1"/>
    <col min="10491" max="10491" width="7.85546875" style="43" customWidth="1"/>
    <col min="10492" max="10494" width="9" style="43" bestFit="1" customWidth="1"/>
    <col min="10495" max="10495" width="14.42578125" style="43" customWidth="1"/>
    <col min="10496" max="10496" width="11.7109375" style="43" customWidth="1"/>
    <col min="10497" max="10497" width="9" style="43" bestFit="1" customWidth="1"/>
    <col min="10498" max="10499" width="8.140625" style="43" bestFit="1" customWidth="1"/>
    <col min="10500" max="10500" width="8.7109375" style="43" bestFit="1" customWidth="1"/>
    <col min="10501" max="10501" width="9" style="43" bestFit="1" customWidth="1"/>
    <col min="10502" max="10502" width="7.85546875" style="43" bestFit="1" customWidth="1"/>
    <col min="10503" max="10743" width="12.28515625" style="43"/>
    <col min="10744" max="10744" width="17.7109375" style="43" customWidth="1"/>
    <col min="10745" max="10745" width="8.140625" style="43" bestFit="1" customWidth="1"/>
    <col min="10746" max="10746" width="6.140625" style="43" customWidth="1"/>
    <col min="10747" max="10747" width="7.85546875" style="43" customWidth="1"/>
    <col min="10748" max="10750" width="9" style="43" bestFit="1" customWidth="1"/>
    <col min="10751" max="10751" width="14.42578125" style="43" customWidth="1"/>
    <col min="10752" max="10752" width="11.7109375" style="43" customWidth="1"/>
    <col min="10753" max="10753" width="9" style="43" bestFit="1" customWidth="1"/>
    <col min="10754" max="10755" width="8.140625" style="43" bestFit="1" customWidth="1"/>
    <col min="10756" max="10756" width="8.7109375" style="43" bestFit="1" customWidth="1"/>
    <col min="10757" max="10757" width="9" style="43" bestFit="1" customWidth="1"/>
    <col min="10758" max="10758" width="7.85546875" style="43" bestFit="1" customWidth="1"/>
    <col min="10759" max="10999" width="12.28515625" style="43"/>
    <col min="11000" max="11000" width="17.7109375" style="43" customWidth="1"/>
    <col min="11001" max="11001" width="8.140625" style="43" bestFit="1" customWidth="1"/>
    <col min="11002" max="11002" width="6.140625" style="43" customWidth="1"/>
    <col min="11003" max="11003" width="7.85546875" style="43" customWidth="1"/>
    <col min="11004" max="11006" width="9" style="43" bestFit="1" customWidth="1"/>
    <col min="11007" max="11007" width="14.42578125" style="43" customWidth="1"/>
    <col min="11008" max="11008" width="11.7109375" style="43" customWidth="1"/>
    <col min="11009" max="11009" width="9" style="43" bestFit="1" customWidth="1"/>
    <col min="11010" max="11011" width="8.140625" style="43" bestFit="1" customWidth="1"/>
    <col min="11012" max="11012" width="8.7109375" style="43" bestFit="1" customWidth="1"/>
    <col min="11013" max="11013" width="9" style="43" bestFit="1" customWidth="1"/>
    <col min="11014" max="11014" width="7.85546875" style="43" bestFit="1" customWidth="1"/>
    <col min="11015" max="11255" width="12.28515625" style="43"/>
    <col min="11256" max="11256" width="17.7109375" style="43" customWidth="1"/>
    <col min="11257" max="11257" width="8.140625" style="43" bestFit="1" customWidth="1"/>
    <col min="11258" max="11258" width="6.140625" style="43" customWidth="1"/>
    <col min="11259" max="11259" width="7.85546875" style="43" customWidth="1"/>
    <col min="11260" max="11262" width="9" style="43" bestFit="1" customWidth="1"/>
    <col min="11263" max="11263" width="14.42578125" style="43" customWidth="1"/>
    <col min="11264" max="11264" width="11.7109375" style="43" customWidth="1"/>
    <col min="11265" max="11265" width="9" style="43" bestFit="1" customWidth="1"/>
    <col min="11266" max="11267" width="8.140625" style="43" bestFit="1" customWidth="1"/>
    <col min="11268" max="11268" width="8.7109375" style="43" bestFit="1" customWidth="1"/>
    <col min="11269" max="11269" width="9" style="43" bestFit="1" customWidth="1"/>
    <col min="11270" max="11270" width="7.85546875" style="43" bestFit="1" customWidth="1"/>
    <col min="11271" max="11511" width="12.28515625" style="43"/>
    <col min="11512" max="11512" width="17.7109375" style="43" customWidth="1"/>
    <col min="11513" max="11513" width="8.140625" style="43" bestFit="1" customWidth="1"/>
    <col min="11514" max="11514" width="6.140625" style="43" customWidth="1"/>
    <col min="11515" max="11515" width="7.85546875" style="43" customWidth="1"/>
    <col min="11516" max="11518" width="9" style="43" bestFit="1" customWidth="1"/>
    <col min="11519" max="11519" width="14.42578125" style="43" customWidth="1"/>
    <col min="11520" max="11520" width="11.7109375" style="43" customWidth="1"/>
    <col min="11521" max="11521" width="9" style="43" bestFit="1" customWidth="1"/>
    <col min="11522" max="11523" width="8.140625" style="43" bestFit="1" customWidth="1"/>
    <col min="11524" max="11524" width="8.7109375" style="43" bestFit="1" customWidth="1"/>
    <col min="11525" max="11525" width="9" style="43" bestFit="1" customWidth="1"/>
    <col min="11526" max="11526" width="7.85546875" style="43" bestFit="1" customWidth="1"/>
    <col min="11527" max="11767" width="12.28515625" style="43"/>
    <col min="11768" max="11768" width="17.7109375" style="43" customWidth="1"/>
    <col min="11769" max="11769" width="8.140625" style="43" bestFit="1" customWidth="1"/>
    <col min="11770" max="11770" width="6.140625" style="43" customWidth="1"/>
    <col min="11771" max="11771" width="7.85546875" style="43" customWidth="1"/>
    <col min="11772" max="11774" width="9" style="43" bestFit="1" customWidth="1"/>
    <col min="11775" max="11775" width="14.42578125" style="43" customWidth="1"/>
    <col min="11776" max="11776" width="11.7109375" style="43" customWidth="1"/>
    <col min="11777" max="11777" width="9" style="43" bestFit="1" customWidth="1"/>
    <col min="11778" max="11779" width="8.140625" style="43" bestFit="1" customWidth="1"/>
    <col min="11780" max="11780" width="8.7109375" style="43" bestFit="1" customWidth="1"/>
    <col min="11781" max="11781" width="9" style="43" bestFit="1" customWidth="1"/>
    <col min="11782" max="11782" width="7.85546875" style="43" bestFit="1" customWidth="1"/>
    <col min="11783" max="12023" width="12.28515625" style="43"/>
    <col min="12024" max="12024" width="17.7109375" style="43" customWidth="1"/>
    <col min="12025" max="12025" width="8.140625" style="43" bestFit="1" customWidth="1"/>
    <col min="12026" max="12026" width="6.140625" style="43" customWidth="1"/>
    <col min="12027" max="12027" width="7.85546875" style="43" customWidth="1"/>
    <col min="12028" max="12030" width="9" style="43" bestFit="1" customWidth="1"/>
    <col min="12031" max="12031" width="14.42578125" style="43" customWidth="1"/>
    <col min="12032" max="12032" width="11.7109375" style="43" customWidth="1"/>
    <col min="12033" max="12033" width="9" style="43" bestFit="1" customWidth="1"/>
    <col min="12034" max="12035" width="8.140625" style="43" bestFit="1" customWidth="1"/>
    <col min="12036" max="12036" width="8.7109375" style="43" bestFit="1" customWidth="1"/>
    <col min="12037" max="12037" width="9" style="43" bestFit="1" customWidth="1"/>
    <col min="12038" max="12038" width="7.85546875" style="43" bestFit="1" customWidth="1"/>
    <col min="12039" max="12279" width="12.28515625" style="43"/>
    <col min="12280" max="12280" width="17.7109375" style="43" customWidth="1"/>
    <col min="12281" max="12281" width="8.140625" style="43" bestFit="1" customWidth="1"/>
    <col min="12282" max="12282" width="6.140625" style="43" customWidth="1"/>
    <col min="12283" max="12283" width="7.85546875" style="43" customWidth="1"/>
    <col min="12284" max="12286" width="9" style="43" bestFit="1" customWidth="1"/>
    <col min="12287" max="12287" width="14.42578125" style="43" customWidth="1"/>
    <col min="12288" max="12288" width="11.7109375" style="43" customWidth="1"/>
    <col min="12289" max="12289" width="9" style="43" bestFit="1" customWidth="1"/>
    <col min="12290" max="12291" width="8.140625" style="43" bestFit="1" customWidth="1"/>
    <col min="12292" max="12292" width="8.7109375" style="43" bestFit="1" customWidth="1"/>
    <col min="12293" max="12293" width="9" style="43" bestFit="1" customWidth="1"/>
    <col min="12294" max="12294" width="7.85546875" style="43" bestFit="1" customWidth="1"/>
    <col min="12295" max="12535" width="12.28515625" style="43"/>
    <col min="12536" max="12536" width="17.7109375" style="43" customWidth="1"/>
    <col min="12537" max="12537" width="8.140625" style="43" bestFit="1" customWidth="1"/>
    <col min="12538" max="12538" width="6.140625" style="43" customWidth="1"/>
    <col min="12539" max="12539" width="7.85546875" style="43" customWidth="1"/>
    <col min="12540" max="12542" width="9" style="43" bestFit="1" customWidth="1"/>
    <col min="12543" max="12543" width="14.42578125" style="43" customWidth="1"/>
    <col min="12544" max="12544" width="11.7109375" style="43" customWidth="1"/>
    <col min="12545" max="12545" width="9" style="43" bestFit="1" customWidth="1"/>
    <col min="12546" max="12547" width="8.140625" style="43" bestFit="1" customWidth="1"/>
    <col min="12548" max="12548" width="8.7109375" style="43" bestFit="1" customWidth="1"/>
    <col min="12549" max="12549" width="9" style="43" bestFit="1" customWidth="1"/>
    <col min="12550" max="12550" width="7.85546875" style="43" bestFit="1" customWidth="1"/>
    <col min="12551" max="12791" width="12.28515625" style="43"/>
    <col min="12792" max="12792" width="17.7109375" style="43" customWidth="1"/>
    <col min="12793" max="12793" width="8.140625" style="43" bestFit="1" customWidth="1"/>
    <col min="12794" max="12794" width="6.140625" style="43" customWidth="1"/>
    <col min="12795" max="12795" width="7.85546875" style="43" customWidth="1"/>
    <col min="12796" max="12798" width="9" style="43" bestFit="1" customWidth="1"/>
    <col min="12799" max="12799" width="14.42578125" style="43" customWidth="1"/>
    <col min="12800" max="12800" width="11.7109375" style="43" customWidth="1"/>
    <col min="12801" max="12801" width="9" style="43" bestFit="1" customWidth="1"/>
    <col min="12802" max="12803" width="8.140625" style="43" bestFit="1" customWidth="1"/>
    <col min="12804" max="12804" width="8.7109375" style="43" bestFit="1" customWidth="1"/>
    <col min="12805" max="12805" width="9" style="43" bestFit="1" customWidth="1"/>
    <col min="12806" max="12806" width="7.85546875" style="43" bestFit="1" customWidth="1"/>
    <col min="12807" max="13047" width="12.28515625" style="43"/>
    <col min="13048" max="13048" width="17.7109375" style="43" customWidth="1"/>
    <col min="13049" max="13049" width="8.140625" style="43" bestFit="1" customWidth="1"/>
    <col min="13050" max="13050" width="6.140625" style="43" customWidth="1"/>
    <col min="13051" max="13051" width="7.85546875" style="43" customWidth="1"/>
    <col min="13052" max="13054" width="9" style="43" bestFit="1" customWidth="1"/>
    <col min="13055" max="13055" width="14.42578125" style="43" customWidth="1"/>
    <col min="13056" max="13056" width="11.7109375" style="43" customWidth="1"/>
    <col min="13057" max="13057" width="9" style="43" bestFit="1" customWidth="1"/>
    <col min="13058" max="13059" width="8.140625" style="43" bestFit="1" customWidth="1"/>
    <col min="13060" max="13060" width="8.7109375" style="43" bestFit="1" customWidth="1"/>
    <col min="13061" max="13061" width="9" style="43" bestFit="1" customWidth="1"/>
    <col min="13062" max="13062" width="7.85546875" style="43" bestFit="1" customWidth="1"/>
    <col min="13063" max="13303" width="12.28515625" style="43"/>
    <col min="13304" max="13304" width="17.7109375" style="43" customWidth="1"/>
    <col min="13305" max="13305" width="8.140625" style="43" bestFit="1" customWidth="1"/>
    <col min="13306" max="13306" width="6.140625" style="43" customWidth="1"/>
    <col min="13307" max="13307" width="7.85546875" style="43" customWidth="1"/>
    <col min="13308" max="13310" width="9" style="43" bestFit="1" customWidth="1"/>
    <col min="13311" max="13311" width="14.42578125" style="43" customWidth="1"/>
    <col min="13312" max="13312" width="11.7109375" style="43" customWidth="1"/>
    <col min="13313" max="13313" width="9" style="43" bestFit="1" customWidth="1"/>
    <col min="13314" max="13315" width="8.140625" style="43" bestFit="1" customWidth="1"/>
    <col min="13316" max="13316" width="8.7109375" style="43" bestFit="1" customWidth="1"/>
    <col min="13317" max="13317" width="9" style="43" bestFit="1" customWidth="1"/>
    <col min="13318" max="13318" width="7.85546875" style="43" bestFit="1" customWidth="1"/>
    <col min="13319" max="13559" width="12.28515625" style="43"/>
    <col min="13560" max="13560" width="17.7109375" style="43" customWidth="1"/>
    <col min="13561" max="13561" width="8.140625" style="43" bestFit="1" customWidth="1"/>
    <col min="13562" max="13562" width="6.140625" style="43" customWidth="1"/>
    <col min="13563" max="13563" width="7.85546875" style="43" customWidth="1"/>
    <col min="13564" max="13566" width="9" style="43" bestFit="1" customWidth="1"/>
    <col min="13567" max="13567" width="14.42578125" style="43" customWidth="1"/>
    <col min="13568" max="13568" width="11.7109375" style="43" customWidth="1"/>
    <col min="13569" max="13569" width="9" style="43" bestFit="1" customWidth="1"/>
    <col min="13570" max="13571" width="8.140625" style="43" bestFit="1" customWidth="1"/>
    <col min="13572" max="13572" width="8.7109375" style="43" bestFit="1" customWidth="1"/>
    <col min="13573" max="13573" width="9" style="43" bestFit="1" customWidth="1"/>
    <col min="13574" max="13574" width="7.85546875" style="43" bestFit="1" customWidth="1"/>
    <col min="13575" max="13815" width="12.28515625" style="43"/>
    <col min="13816" max="13816" width="17.7109375" style="43" customWidth="1"/>
    <col min="13817" max="13817" width="8.140625" style="43" bestFit="1" customWidth="1"/>
    <col min="13818" max="13818" width="6.140625" style="43" customWidth="1"/>
    <col min="13819" max="13819" width="7.85546875" style="43" customWidth="1"/>
    <col min="13820" max="13822" width="9" style="43" bestFit="1" customWidth="1"/>
    <col min="13823" max="13823" width="14.42578125" style="43" customWidth="1"/>
    <col min="13824" max="13824" width="11.7109375" style="43" customWidth="1"/>
    <col min="13825" max="13825" width="9" style="43" bestFit="1" customWidth="1"/>
    <col min="13826" max="13827" width="8.140625" style="43" bestFit="1" customWidth="1"/>
    <col min="13828" max="13828" width="8.7109375" style="43" bestFit="1" customWidth="1"/>
    <col min="13829" max="13829" width="9" style="43" bestFit="1" customWidth="1"/>
    <col min="13830" max="13830" width="7.85546875" style="43" bestFit="1" customWidth="1"/>
    <col min="13831" max="14071" width="12.28515625" style="43"/>
    <col min="14072" max="14072" width="17.7109375" style="43" customWidth="1"/>
    <col min="14073" max="14073" width="8.140625" style="43" bestFit="1" customWidth="1"/>
    <col min="14074" max="14074" width="6.140625" style="43" customWidth="1"/>
    <col min="14075" max="14075" width="7.85546875" style="43" customWidth="1"/>
    <col min="14076" max="14078" width="9" style="43" bestFit="1" customWidth="1"/>
    <col min="14079" max="14079" width="14.42578125" style="43" customWidth="1"/>
    <col min="14080" max="14080" width="11.7109375" style="43" customWidth="1"/>
    <col min="14081" max="14081" width="9" style="43" bestFit="1" customWidth="1"/>
    <col min="14082" max="14083" width="8.140625" style="43" bestFit="1" customWidth="1"/>
    <col min="14084" max="14084" width="8.7109375" style="43" bestFit="1" customWidth="1"/>
    <col min="14085" max="14085" width="9" style="43" bestFit="1" customWidth="1"/>
    <col min="14086" max="14086" width="7.85546875" style="43" bestFit="1" customWidth="1"/>
    <col min="14087" max="14327" width="12.28515625" style="43"/>
    <col min="14328" max="14328" width="17.7109375" style="43" customWidth="1"/>
    <col min="14329" max="14329" width="8.140625" style="43" bestFit="1" customWidth="1"/>
    <col min="14330" max="14330" width="6.140625" style="43" customWidth="1"/>
    <col min="14331" max="14331" width="7.85546875" style="43" customWidth="1"/>
    <col min="14332" max="14334" width="9" style="43" bestFit="1" customWidth="1"/>
    <col min="14335" max="14335" width="14.42578125" style="43" customWidth="1"/>
    <col min="14336" max="14336" width="11.7109375" style="43" customWidth="1"/>
    <col min="14337" max="14337" width="9" style="43" bestFit="1" customWidth="1"/>
    <col min="14338" max="14339" width="8.140625" style="43" bestFit="1" customWidth="1"/>
    <col min="14340" max="14340" width="8.7109375" style="43" bestFit="1" customWidth="1"/>
    <col min="14341" max="14341" width="9" style="43" bestFit="1" customWidth="1"/>
    <col min="14342" max="14342" width="7.85546875" style="43" bestFit="1" customWidth="1"/>
    <col min="14343" max="14583" width="12.28515625" style="43"/>
    <col min="14584" max="14584" width="17.7109375" style="43" customWidth="1"/>
    <col min="14585" max="14585" width="8.140625" style="43" bestFit="1" customWidth="1"/>
    <col min="14586" max="14586" width="6.140625" style="43" customWidth="1"/>
    <col min="14587" max="14587" width="7.85546875" style="43" customWidth="1"/>
    <col min="14588" max="14590" width="9" style="43" bestFit="1" customWidth="1"/>
    <col min="14591" max="14591" width="14.42578125" style="43" customWidth="1"/>
    <col min="14592" max="14592" width="11.7109375" style="43" customWidth="1"/>
    <col min="14593" max="14593" width="9" style="43" bestFit="1" customWidth="1"/>
    <col min="14594" max="14595" width="8.140625" style="43" bestFit="1" customWidth="1"/>
    <col min="14596" max="14596" width="8.7109375" style="43" bestFit="1" customWidth="1"/>
    <col min="14597" max="14597" width="9" style="43" bestFit="1" customWidth="1"/>
    <col min="14598" max="14598" width="7.85546875" style="43" bestFit="1" customWidth="1"/>
    <col min="14599" max="14839" width="12.28515625" style="43"/>
    <col min="14840" max="14840" width="17.7109375" style="43" customWidth="1"/>
    <col min="14841" max="14841" width="8.140625" style="43" bestFit="1" customWidth="1"/>
    <col min="14842" max="14842" width="6.140625" style="43" customWidth="1"/>
    <col min="14843" max="14843" width="7.85546875" style="43" customWidth="1"/>
    <col min="14844" max="14846" width="9" style="43" bestFit="1" customWidth="1"/>
    <col min="14847" max="14847" width="14.42578125" style="43" customWidth="1"/>
    <col min="14848" max="14848" width="11.7109375" style="43" customWidth="1"/>
    <col min="14849" max="14849" width="9" style="43" bestFit="1" customWidth="1"/>
    <col min="14850" max="14851" width="8.140625" style="43" bestFit="1" customWidth="1"/>
    <col min="14852" max="14852" width="8.7109375" style="43" bestFit="1" customWidth="1"/>
    <col min="14853" max="14853" width="9" style="43" bestFit="1" customWidth="1"/>
    <col min="14854" max="14854" width="7.85546875" style="43" bestFit="1" customWidth="1"/>
    <col min="14855" max="15095" width="12.28515625" style="43"/>
    <col min="15096" max="15096" width="17.7109375" style="43" customWidth="1"/>
    <col min="15097" max="15097" width="8.140625" style="43" bestFit="1" customWidth="1"/>
    <col min="15098" max="15098" width="6.140625" style="43" customWidth="1"/>
    <col min="15099" max="15099" width="7.85546875" style="43" customWidth="1"/>
    <col min="15100" max="15102" width="9" style="43" bestFit="1" customWidth="1"/>
    <col min="15103" max="15103" width="14.42578125" style="43" customWidth="1"/>
    <col min="15104" max="15104" width="11.7109375" style="43" customWidth="1"/>
    <col min="15105" max="15105" width="9" style="43" bestFit="1" customWidth="1"/>
    <col min="15106" max="15107" width="8.140625" style="43" bestFit="1" customWidth="1"/>
    <col min="15108" max="15108" width="8.7109375" style="43" bestFit="1" customWidth="1"/>
    <col min="15109" max="15109" width="9" style="43" bestFit="1" customWidth="1"/>
    <col min="15110" max="15110" width="7.85546875" style="43" bestFit="1" customWidth="1"/>
    <col min="15111" max="15351" width="12.28515625" style="43"/>
    <col min="15352" max="15352" width="17.7109375" style="43" customWidth="1"/>
    <col min="15353" max="15353" width="8.140625" style="43" bestFit="1" customWidth="1"/>
    <col min="15354" max="15354" width="6.140625" style="43" customWidth="1"/>
    <col min="15355" max="15355" width="7.85546875" style="43" customWidth="1"/>
    <col min="15356" max="15358" width="9" style="43" bestFit="1" customWidth="1"/>
    <col min="15359" max="15359" width="14.42578125" style="43" customWidth="1"/>
    <col min="15360" max="15360" width="11.7109375" style="43" customWidth="1"/>
    <col min="15361" max="15361" width="9" style="43" bestFit="1" customWidth="1"/>
    <col min="15362" max="15363" width="8.140625" style="43" bestFit="1" customWidth="1"/>
    <col min="15364" max="15364" width="8.7109375" style="43" bestFit="1" customWidth="1"/>
    <col min="15365" max="15365" width="9" style="43" bestFit="1" customWidth="1"/>
    <col min="15366" max="15366" width="7.85546875" style="43" bestFit="1" customWidth="1"/>
    <col min="15367" max="15607" width="12.28515625" style="43"/>
    <col min="15608" max="15608" width="17.7109375" style="43" customWidth="1"/>
    <col min="15609" max="15609" width="8.140625" style="43" bestFit="1" customWidth="1"/>
    <col min="15610" max="15610" width="6.140625" style="43" customWidth="1"/>
    <col min="15611" max="15611" width="7.85546875" style="43" customWidth="1"/>
    <col min="15612" max="15614" width="9" style="43" bestFit="1" customWidth="1"/>
    <col min="15615" max="15615" width="14.42578125" style="43" customWidth="1"/>
    <col min="15616" max="15616" width="11.7109375" style="43" customWidth="1"/>
    <col min="15617" max="15617" width="9" style="43" bestFit="1" customWidth="1"/>
    <col min="15618" max="15619" width="8.140625" style="43" bestFit="1" customWidth="1"/>
    <col min="15620" max="15620" width="8.7109375" style="43" bestFit="1" customWidth="1"/>
    <col min="15621" max="15621" width="9" style="43" bestFit="1" customWidth="1"/>
    <col min="15622" max="15622" width="7.85546875" style="43" bestFit="1" customWidth="1"/>
    <col min="15623" max="15863" width="12.28515625" style="43"/>
    <col min="15864" max="15864" width="17.7109375" style="43" customWidth="1"/>
    <col min="15865" max="15865" width="8.140625" style="43" bestFit="1" customWidth="1"/>
    <col min="15866" max="15866" width="6.140625" style="43" customWidth="1"/>
    <col min="15867" max="15867" width="7.85546875" style="43" customWidth="1"/>
    <col min="15868" max="15870" width="9" style="43" bestFit="1" customWidth="1"/>
    <col min="15871" max="15871" width="14.42578125" style="43" customWidth="1"/>
    <col min="15872" max="15872" width="11.7109375" style="43" customWidth="1"/>
    <col min="15873" max="15873" width="9" style="43" bestFit="1" customWidth="1"/>
    <col min="15874" max="15875" width="8.140625" style="43" bestFit="1" customWidth="1"/>
    <col min="15876" max="15876" width="8.7109375" style="43" bestFit="1" customWidth="1"/>
    <col min="15877" max="15877" width="9" style="43" bestFit="1" customWidth="1"/>
    <col min="15878" max="15878" width="7.85546875" style="43" bestFit="1" customWidth="1"/>
    <col min="15879" max="16119" width="12.28515625" style="43"/>
    <col min="16120" max="16120" width="17.7109375" style="43" customWidth="1"/>
    <col min="16121" max="16121" width="8.140625" style="43" bestFit="1" customWidth="1"/>
    <col min="16122" max="16122" width="6.140625" style="43" customWidth="1"/>
    <col min="16123" max="16123" width="7.85546875" style="43" customWidth="1"/>
    <col min="16124" max="16126" width="9" style="43" bestFit="1" customWidth="1"/>
    <col min="16127" max="16127" width="14.42578125" style="43" customWidth="1"/>
    <col min="16128" max="16128" width="11.7109375" style="43" customWidth="1"/>
    <col min="16129" max="16129" width="9" style="43" bestFit="1" customWidth="1"/>
    <col min="16130" max="16131" width="8.140625" style="43" bestFit="1" customWidth="1"/>
    <col min="16132" max="16132" width="8.7109375" style="43" bestFit="1" customWidth="1"/>
    <col min="16133" max="16133" width="9" style="43" bestFit="1" customWidth="1"/>
    <col min="16134" max="16134" width="7.85546875" style="43" bestFit="1" customWidth="1"/>
    <col min="16135" max="16384" width="12.28515625" style="43"/>
  </cols>
  <sheetData>
    <row r="1" spans="1:15" ht="18" customHeight="1" x14ac:dyDescent="0.2">
      <c r="A1" s="208"/>
      <c r="B1" s="1179" t="str">
        <f>N.GOV</f>
        <v>GOVERNO DO ESTADO DE MATO GROSSO DO SUL</v>
      </c>
      <c r="C1" s="1179"/>
      <c r="D1" s="1179"/>
      <c r="E1" s="1179"/>
      <c r="F1" s="209"/>
      <c r="G1" s="209"/>
      <c r="H1" s="209"/>
      <c r="I1" s="237"/>
      <c r="J1" s="1180"/>
      <c r="K1" s="1180"/>
      <c r="L1" s="1180"/>
    </row>
    <row r="2" spans="1:15" ht="17.45" customHeight="1" x14ac:dyDescent="0.2">
      <c r="A2" s="208"/>
      <c r="B2" s="1176" t="str" cm="1">
        <f t="array" aca="1" ref="B2" ca="1">N.PREFEITURA</f>
        <v>PREFEITURA MUNICIPAL DE NAVIRAÍ</v>
      </c>
      <c r="C2" s="1176"/>
      <c r="D2" s="1176"/>
      <c r="E2" s="242"/>
      <c r="F2" s="1181"/>
      <c r="G2" s="1181"/>
      <c r="H2" s="1181"/>
      <c r="I2" s="237"/>
      <c r="J2" s="1181"/>
      <c r="K2" s="1181"/>
      <c r="L2" s="1181"/>
    </row>
    <row r="3" spans="1:15" ht="12.75" x14ac:dyDescent="0.2">
      <c r="A3" s="208"/>
      <c r="B3" s="1182" t="str" cm="1">
        <f t="array" aca="1" ref="B3" ca="1">N.SECRETARIA</f>
        <v>SECRETARIA DE PLANEJAMENTO</v>
      </c>
      <c r="C3" s="1182"/>
      <c r="D3" s="1182"/>
      <c r="E3" s="1182"/>
      <c r="F3" s="1016"/>
      <c r="G3" s="1016"/>
      <c r="H3" s="1016"/>
      <c r="I3" s="237"/>
      <c r="J3" s="208"/>
      <c r="K3" s="208"/>
      <c r="L3" s="208"/>
    </row>
    <row r="4" spans="1:15" ht="23.45" customHeight="1" x14ac:dyDescent="0.2">
      <c r="A4" s="1177" t="s">
        <v>129</v>
      </c>
      <c r="B4" s="1178"/>
      <c r="C4" s="1178"/>
      <c r="D4" s="1178"/>
      <c r="E4" s="1178"/>
      <c r="F4" s="1178"/>
      <c r="G4" s="1178"/>
      <c r="H4" s="1178"/>
      <c r="I4" s="1178"/>
      <c r="J4" s="1178"/>
      <c r="K4" s="1178"/>
      <c r="L4" s="1178"/>
      <c r="M4" s="1178"/>
      <c r="N4" s="1178"/>
      <c r="O4" s="1178"/>
    </row>
    <row r="5" spans="1:15" ht="17.45" customHeight="1" x14ac:dyDescent="0.2">
      <c r="A5" s="193" t="s">
        <v>811</v>
      </c>
      <c r="B5" s="227" t="str">
        <f>N.DESCRICAO</f>
        <v>INFRAESTRUTURA URBANA – PAVIMENTAÇÃO ASFÁLTICA, DRENAGEM, E SINALIZAÇÃO VIÁRIA NO ACESSO AO CEMITERIO MUNICIPAL DE NAVIRAÍ/ MS</v>
      </c>
      <c r="C5" s="243"/>
      <c r="D5" s="243"/>
      <c r="E5" s="243"/>
      <c r="F5" s="244"/>
      <c r="G5" s="348"/>
      <c r="H5" s="243"/>
      <c r="I5" s="243"/>
      <c r="J5" s="243"/>
      <c r="K5" s="243"/>
      <c r="L5" s="243"/>
      <c r="M5" s="244"/>
      <c r="N5" s="247" t="s">
        <v>305</v>
      </c>
      <c r="O5" s="248"/>
    </row>
    <row r="6" spans="1:15" ht="15.75" customHeight="1" x14ac:dyDescent="0.2">
      <c r="A6" s="193" t="s">
        <v>799</v>
      </c>
      <c r="B6" s="227" t="str">
        <f ca="1">N.MUNICIPIO</f>
        <v>NAVIRAÍ</v>
      </c>
      <c r="C6" s="243"/>
      <c r="D6" s="243"/>
      <c r="E6" s="243"/>
      <c r="F6" s="244"/>
      <c r="G6" s="348"/>
      <c r="H6" s="243"/>
      <c r="I6" s="243"/>
      <c r="J6" s="243"/>
      <c r="K6" s="243"/>
      <c r="L6" s="243"/>
      <c r="M6" s="244"/>
      <c r="N6" s="959" t="str">
        <f>"  _________________________________              "&amp;N.Engenheiro&amp;"                                 "&amp;N.CREA</f>
        <v xml:space="preserve">  _________________________________              FÁBIO MARQUES RIBEIRO                                 ENGENHEIRO CIVIL - 15.276 D/MS</v>
      </c>
      <c r="O6" s="961"/>
    </row>
    <row r="7" spans="1:15" ht="27" customHeight="1" x14ac:dyDescent="0.2">
      <c r="A7" s="193" t="s">
        <v>798</v>
      </c>
      <c r="B7" s="227" t="str" cm="1">
        <f t="array" ref="B7">N.LOCAL</f>
        <v>AVENIDA JOÃO RIGONATO</v>
      </c>
      <c r="C7" s="243"/>
      <c r="D7" s="243"/>
      <c r="E7" s="243"/>
      <c r="F7" s="244"/>
      <c r="G7" s="348"/>
      <c r="H7" s="243"/>
      <c r="I7" s="243"/>
      <c r="J7" s="243"/>
      <c r="K7" s="243"/>
      <c r="L7" s="243"/>
      <c r="M7" s="244"/>
      <c r="N7" s="962"/>
      <c r="O7" s="964"/>
    </row>
    <row r="8" spans="1:15" ht="17.45" customHeight="1" x14ac:dyDescent="0.2">
      <c r="A8" s="206"/>
      <c r="B8" s="249"/>
      <c r="C8" s="216"/>
      <c r="D8" s="216"/>
      <c r="E8" s="216"/>
      <c r="F8" s="216"/>
      <c r="G8" s="208"/>
      <c r="H8" s="208"/>
      <c r="I8" s="239"/>
      <c r="J8" s="239"/>
      <c r="K8" s="239"/>
      <c r="L8" s="239"/>
    </row>
    <row r="10" spans="1:15" ht="12.75" x14ac:dyDescent="0.2">
      <c r="B10" s="1175"/>
      <c r="C10" s="1175"/>
      <c r="D10" s="1175"/>
      <c r="E10" s="1175"/>
      <c r="F10" s="1175"/>
      <c r="G10" s="1175"/>
      <c r="H10" s="1175"/>
    </row>
    <row r="11" spans="1:15" x14ac:dyDescent="0.2">
      <c r="B11" s="251"/>
      <c r="C11" s="241"/>
      <c r="D11" s="240"/>
      <c r="E11" s="240"/>
      <c r="F11" s="240"/>
      <c r="G11" s="238"/>
      <c r="H11" s="238"/>
    </row>
    <row r="12" spans="1:15" x14ac:dyDescent="0.2">
      <c r="B12" s="251"/>
      <c r="C12" s="241"/>
      <c r="D12" s="240"/>
      <c r="E12" s="240"/>
      <c r="F12" s="240"/>
      <c r="G12" s="238"/>
      <c r="H12" s="238"/>
    </row>
    <row r="13" spans="1:15" x14ac:dyDescent="0.2">
      <c r="B13" s="251"/>
      <c r="C13" s="241"/>
      <c r="D13" s="240"/>
      <c r="E13" s="240"/>
      <c r="F13" s="240"/>
      <c r="G13" s="238"/>
      <c r="H13" s="238"/>
    </row>
    <row r="15" spans="1:15" s="345" customFormat="1" ht="15.75" x14ac:dyDescent="0.25">
      <c r="A15" s="344" t="s">
        <v>950</v>
      </c>
      <c r="B15" s="344" t="s">
        <v>951</v>
      </c>
      <c r="C15" s="344" t="s">
        <v>952</v>
      </c>
      <c r="D15" s="344" t="s">
        <v>950</v>
      </c>
      <c r="E15" s="344" t="s">
        <v>953</v>
      </c>
      <c r="F15" s="344" t="s">
        <v>952</v>
      </c>
      <c r="G15" s="344" t="s">
        <v>950</v>
      </c>
      <c r="H15" s="344" t="s">
        <v>953</v>
      </c>
      <c r="I15" s="344" t="s">
        <v>954</v>
      </c>
      <c r="J15" s="344" t="s">
        <v>950</v>
      </c>
      <c r="K15" s="344" t="s">
        <v>953</v>
      </c>
      <c r="L15" s="344" t="s">
        <v>954</v>
      </c>
      <c r="M15" s="344" t="s">
        <v>950</v>
      </c>
      <c r="N15" s="344" t="s">
        <v>953</v>
      </c>
      <c r="O15" s="344" t="s">
        <v>954</v>
      </c>
    </row>
    <row r="16" spans="1:15" s="345" customFormat="1" ht="75.2" customHeight="1" x14ac:dyDescent="0.25">
      <c r="A16" s="346"/>
      <c r="B16" s="347" t="s">
        <v>955</v>
      </c>
      <c r="C16" s="347">
        <v>44</v>
      </c>
      <c r="D16" s="346"/>
      <c r="E16" s="347" t="s">
        <v>956</v>
      </c>
      <c r="F16" s="347" t="s">
        <v>957</v>
      </c>
      <c r="G16" s="346"/>
      <c r="H16" s="347" t="s">
        <v>958</v>
      </c>
      <c r="I16" s="347">
        <v>1.8804303929524875</v>
      </c>
      <c r="J16" s="346"/>
      <c r="K16" s="347" t="s">
        <v>959</v>
      </c>
      <c r="L16" s="347">
        <v>617.41865080225136</v>
      </c>
      <c r="M16" s="349"/>
      <c r="N16" s="347" t="s">
        <v>127</v>
      </c>
      <c r="O16" s="347">
        <v>12.94407205657722</v>
      </c>
    </row>
    <row r="17" spans="1:15" s="345" customFormat="1" ht="75.2" customHeight="1" x14ac:dyDescent="0.25">
      <c r="A17" s="346"/>
      <c r="B17" s="347" t="s">
        <v>126</v>
      </c>
      <c r="C17" s="347">
        <v>6</v>
      </c>
      <c r="D17" s="347"/>
      <c r="E17" s="347"/>
      <c r="F17" s="347" t="s">
        <v>814</v>
      </c>
      <c r="G17" s="346"/>
      <c r="H17" s="347" t="s">
        <v>960</v>
      </c>
      <c r="I17" s="347">
        <v>4.2</v>
      </c>
      <c r="J17" s="346"/>
      <c r="K17" s="347" t="s">
        <v>961</v>
      </c>
      <c r="L17" s="347">
        <v>27.01212917907062</v>
      </c>
      <c r="M17" s="349"/>
      <c r="N17" s="347" t="s">
        <v>962</v>
      </c>
      <c r="O17" s="347">
        <v>30.449999999747202</v>
      </c>
    </row>
    <row r="18" spans="1:15" s="345" customFormat="1" ht="75.2" customHeight="1" x14ac:dyDescent="0.25">
      <c r="A18" s="346"/>
      <c r="B18" s="347" t="s">
        <v>128</v>
      </c>
      <c r="C18" s="347">
        <v>34</v>
      </c>
      <c r="D18" s="347"/>
      <c r="E18" s="347"/>
      <c r="F18" s="347" t="s">
        <v>814</v>
      </c>
      <c r="G18" s="346"/>
      <c r="H18" s="347" t="s">
        <v>963</v>
      </c>
      <c r="I18" s="347">
        <v>35.200000000000003</v>
      </c>
      <c r="J18" s="347"/>
      <c r="K18" s="347" t="s">
        <v>964</v>
      </c>
      <c r="L18" s="347">
        <v>34.663810948349834</v>
      </c>
      <c r="M18" s="347"/>
      <c r="N18" s="347" t="s">
        <v>814</v>
      </c>
      <c r="O18" s="347">
        <v>0</v>
      </c>
    </row>
    <row r="19" spans="1:15" s="345" customFormat="1" ht="75.2" customHeight="1" x14ac:dyDescent="0.25">
      <c r="A19" s="346"/>
      <c r="B19" s="347" t="s">
        <v>965</v>
      </c>
      <c r="C19" s="347">
        <v>4</v>
      </c>
      <c r="D19" s="347"/>
      <c r="E19" s="347"/>
      <c r="F19" s="347" t="s">
        <v>814</v>
      </c>
      <c r="G19" s="346"/>
      <c r="H19" s="347" t="s">
        <v>966</v>
      </c>
      <c r="I19" s="347">
        <v>231.66704211606196</v>
      </c>
      <c r="J19" s="347"/>
      <c r="K19" s="347"/>
      <c r="L19" s="347">
        <v>0</v>
      </c>
      <c r="M19" s="347"/>
      <c r="N19" s="347" t="s">
        <v>814</v>
      </c>
      <c r="O19" s="347">
        <v>0</v>
      </c>
    </row>
  </sheetData>
  <mergeCells count="10">
    <mergeCell ref="B10:H10"/>
    <mergeCell ref="B2:D2"/>
    <mergeCell ref="A4:O4"/>
    <mergeCell ref="N6:O7"/>
    <mergeCell ref="B1:E1"/>
    <mergeCell ref="J1:L1"/>
    <mergeCell ref="F2:H2"/>
    <mergeCell ref="J2:L2"/>
    <mergeCell ref="B3:E3"/>
    <mergeCell ref="F3:H3"/>
  </mergeCells>
  <printOptions horizontalCentered="1"/>
  <pageMargins left="0.25" right="0.25" top="0.75" bottom="0.75" header="0.3" footer="0.3"/>
  <pageSetup paperSize="9" scale="50" fitToHeight="0" orientation="portrait" r:id="rId1"/>
  <headerFooter alignWithMargins="0"/>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4">
    <pageSetUpPr fitToPage="1"/>
  </sheetPr>
  <dimension ref="A1:X45"/>
  <sheetViews>
    <sheetView workbookViewId="0"/>
  </sheetViews>
  <sheetFormatPr defaultColWidth="9.140625" defaultRowHeight="15" x14ac:dyDescent="0.25"/>
  <cols>
    <col min="1" max="1" width="37.28515625" style="49" customWidth="1"/>
    <col min="2" max="2" width="15.5703125" style="49" customWidth="1"/>
    <col min="3" max="3" width="17.42578125" style="49" customWidth="1"/>
    <col min="4" max="4" width="29" style="49" customWidth="1"/>
    <col min="5" max="5" width="10.7109375" style="49" customWidth="1"/>
    <col min="6" max="6" width="10.5703125" style="49" customWidth="1"/>
    <col min="7" max="7" width="10.42578125" style="49" customWidth="1"/>
    <col min="8" max="8" width="10.28515625" style="49" customWidth="1"/>
    <col min="9" max="9" width="10.42578125" style="49" customWidth="1"/>
    <col min="10" max="10" width="11" style="49" customWidth="1"/>
    <col min="11" max="12" width="13.28515625" style="49" customWidth="1"/>
    <col min="13" max="13" width="10.7109375" style="49" customWidth="1"/>
    <col min="14" max="14" width="10.28515625" style="49" customWidth="1"/>
    <col min="15" max="15" width="10.85546875" style="49" customWidth="1"/>
    <col min="16" max="16" width="10.28515625" style="49" customWidth="1"/>
    <col min="17" max="17" width="11.28515625" style="49" customWidth="1"/>
    <col min="18" max="18" width="13.42578125" style="49" customWidth="1"/>
    <col min="19" max="19" width="20.7109375" style="47" customWidth="1"/>
    <col min="20" max="20" width="8.7109375" style="47" customWidth="1"/>
    <col min="21" max="23" width="12.7109375" style="47" customWidth="1"/>
    <col min="24" max="24" width="12.7109375" style="48" customWidth="1"/>
    <col min="25" max="41" width="12.7109375" style="47" customWidth="1"/>
    <col min="42" max="16384" width="9.140625" style="47"/>
  </cols>
  <sheetData>
    <row r="1" spans="1:18" ht="14.45" customHeight="1" x14ac:dyDescent="0.25">
      <c r="A1" s="96"/>
      <c r="B1" s="123" t="s">
        <v>254</v>
      </c>
      <c r="C1" s="124"/>
      <c r="D1" s="124"/>
      <c r="E1" s="124"/>
      <c r="F1" s="124"/>
      <c r="G1" s="124"/>
      <c r="H1" s="124"/>
      <c r="I1" s="124"/>
      <c r="J1" s="124"/>
      <c r="K1" s="124"/>
      <c r="L1" s="124"/>
      <c r="M1" s="124"/>
      <c r="N1" s="124"/>
      <c r="O1" s="125"/>
      <c r="P1" s="117"/>
      <c r="Q1" s="118"/>
      <c r="R1" s="119"/>
    </row>
    <row r="2" spans="1:18" ht="14.45" customHeight="1" x14ac:dyDescent="0.25">
      <c r="A2" s="98"/>
      <c r="B2" s="126" t="str">
        <f ca="1">'13-CALÇADAS E RAMPAS'!B2</f>
        <v>PREFEITURA MUNICIPAL DE NAVIRAÍ</v>
      </c>
      <c r="C2" s="127"/>
      <c r="D2" s="127"/>
      <c r="E2" s="127"/>
      <c r="F2" s="127"/>
      <c r="G2" s="127"/>
      <c r="H2" s="127"/>
      <c r="I2" s="127"/>
      <c r="J2" s="127"/>
      <c r="K2" s="127"/>
      <c r="L2" s="127"/>
      <c r="M2" s="127"/>
      <c r="N2" s="127"/>
      <c r="O2" s="128"/>
      <c r="P2" s="1196" t="s">
        <v>120</v>
      </c>
      <c r="Q2" s="1197"/>
      <c r="R2" s="1198"/>
    </row>
    <row r="3" spans="1:18" ht="33.75" customHeight="1" x14ac:dyDescent="0.25">
      <c r="A3" s="97"/>
      <c r="B3" s="123" t="s">
        <v>255</v>
      </c>
      <c r="C3" s="124"/>
      <c r="D3" s="124"/>
      <c r="E3" s="124"/>
      <c r="F3" s="124"/>
      <c r="G3" s="124"/>
      <c r="H3" s="124"/>
      <c r="I3" s="124"/>
      <c r="J3" s="124"/>
      <c r="K3" s="124"/>
      <c r="L3" s="124"/>
      <c r="M3" s="124"/>
      <c r="N3" s="124"/>
      <c r="O3" s="125"/>
      <c r="P3" s="1199" t="s">
        <v>368</v>
      </c>
      <c r="Q3" s="1200"/>
      <c r="R3" s="1201"/>
    </row>
    <row r="4" spans="1:18" ht="20.45" customHeight="1" x14ac:dyDescent="0.25">
      <c r="A4" s="1204" t="s">
        <v>165</v>
      </c>
      <c r="B4" s="1205"/>
      <c r="C4" s="1205"/>
      <c r="D4" s="1205"/>
      <c r="E4" s="1205"/>
      <c r="F4" s="1205"/>
      <c r="G4" s="1205"/>
      <c r="H4" s="1205"/>
      <c r="I4" s="1205"/>
      <c r="J4" s="1205"/>
      <c r="K4" s="1205"/>
      <c r="L4" s="1205"/>
      <c r="M4" s="1205"/>
      <c r="N4" s="1205"/>
      <c r="O4" s="1205"/>
      <c r="P4" s="1205"/>
      <c r="Q4" s="1205"/>
      <c r="R4" s="1206"/>
    </row>
    <row r="5" spans="1:18" ht="14.45" customHeight="1" x14ac:dyDescent="0.25">
      <c r="A5" s="281" t="s">
        <v>811</v>
      </c>
      <c r="B5" s="670" t="str">
        <f>[1]ORÇAMENTO_DES!C6</f>
        <v>INFRAESTRUTURA URBANA – PAVIMENTAÇÃO ASFÁLTICA, DRENAGEM,  E SINALIZAÇÃO VIÁRIA NO ACESSO AO CEMITERIO MUNICIPAL DE NAVIRAÍ/ MS</v>
      </c>
      <c r="C5" s="671"/>
      <c r="D5" s="671"/>
      <c r="E5" s="671"/>
      <c r="F5" s="671"/>
      <c r="G5" s="671"/>
      <c r="H5" s="671"/>
      <c r="I5" s="671"/>
      <c r="J5" s="671"/>
      <c r="K5" s="671"/>
      <c r="L5" s="671"/>
      <c r="M5" s="671"/>
      <c r="N5" s="671"/>
      <c r="O5" s="671"/>
      <c r="P5" s="672"/>
      <c r="Q5" s="1211"/>
      <c r="R5" s="1212"/>
    </row>
    <row r="6" spans="1:18" ht="14.45" customHeight="1" x14ac:dyDescent="0.25">
      <c r="A6" s="259" t="s">
        <v>799</v>
      </c>
      <c r="B6" s="673" t="str">
        <f>[1]ORÇAMENTO_DES!C7</f>
        <v>NAVIRAÍ</v>
      </c>
      <c r="C6" s="673"/>
      <c r="D6" s="673"/>
      <c r="E6" s="673"/>
      <c r="F6" s="673"/>
      <c r="G6" s="673"/>
      <c r="H6" s="673"/>
      <c r="I6" s="673"/>
      <c r="J6" s="673"/>
      <c r="K6" s="673"/>
      <c r="L6" s="673"/>
      <c r="M6" s="673"/>
      <c r="N6" s="673"/>
      <c r="O6" s="673"/>
      <c r="P6" s="674"/>
      <c r="Q6" s="1213"/>
      <c r="R6" s="1214"/>
    </row>
    <row r="7" spans="1:18" ht="13.5" customHeight="1" x14ac:dyDescent="0.25">
      <c r="A7" s="259" t="s">
        <v>798</v>
      </c>
      <c r="B7" s="675" t="str">
        <f>[1]ORÇAMENTO_DES!C8</f>
        <v>AVENIDA JOÃO RIGONATO</v>
      </c>
      <c r="C7" s="676"/>
      <c r="D7" s="676"/>
      <c r="E7" s="676"/>
      <c r="F7" s="676"/>
      <c r="G7" s="676"/>
      <c r="H7" s="676"/>
      <c r="I7" s="676"/>
      <c r="J7" s="676"/>
      <c r="K7" s="711"/>
      <c r="L7" s="711"/>
      <c r="M7" s="676"/>
      <c r="N7" s="676"/>
      <c r="O7" s="676"/>
      <c r="P7" s="677"/>
      <c r="Q7" s="1215"/>
      <c r="R7" s="1216"/>
    </row>
    <row r="8" spans="1:18" ht="39.75" customHeight="1" x14ac:dyDescent="0.25">
      <c r="A8" s="50"/>
      <c r="B8" s="51"/>
      <c r="C8" s="51"/>
      <c r="H8" s="709"/>
      <c r="I8" s="709"/>
      <c r="J8" s="710"/>
      <c r="P8" s="1202"/>
      <c r="Q8" s="1202"/>
      <c r="R8" s="1203"/>
    </row>
    <row r="9" spans="1:18" ht="20.45" customHeight="1" x14ac:dyDescent="0.25">
      <c r="A9" s="1207" t="s">
        <v>130</v>
      </c>
      <c r="B9" s="1208"/>
      <c r="C9" s="1208"/>
      <c r="D9" s="1208"/>
      <c r="E9" s="1208"/>
      <c r="F9" s="1208"/>
      <c r="G9" s="1208"/>
      <c r="H9" s="709"/>
      <c r="I9" s="709"/>
      <c r="J9" s="710"/>
      <c r="P9" s="1202"/>
      <c r="Q9" s="1202"/>
      <c r="R9" s="1203"/>
    </row>
    <row r="10" spans="1:18" ht="24" customHeight="1" x14ac:dyDescent="0.25">
      <c r="A10" s="1209"/>
      <c r="B10" s="1210"/>
      <c r="C10" s="1210"/>
      <c r="D10" s="1210"/>
      <c r="E10" s="1210"/>
      <c r="F10" s="1210"/>
      <c r="G10" s="1210"/>
      <c r="H10" s="707" t="s">
        <v>288</v>
      </c>
      <c r="I10" s="708">
        <v>1.5720000000000001</v>
      </c>
      <c r="J10" s="710" t="s">
        <v>289</v>
      </c>
      <c r="O10" s="55"/>
      <c r="P10" s="712" t="s">
        <v>1319</v>
      </c>
      <c r="Q10" s="713">
        <f>1146.93*I13^0.18/(I14+12)^0.79</f>
        <v>75.121221658482753</v>
      </c>
      <c r="R10" s="714" t="s">
        <v>292</v>
      </c>
    </row>
    <row r="11" spans="1:18" ht="27.6" customHeight="1" x14ac:dyDescent="0.25">
      <c r="A11" s="1209"/>
      <c r="B11" s="1210"/>
      <c r="C11" s="1210"/>
      <c r="D11" s="1210"/>
      <c r="E11" s="1210"/>
      <c r="F11" s="1210"/>
      <c r="G11" s="1210"/>
      <c r="H11" s="707" t="s">
        <v>290</v>
      </c>
      <c r="I11" s="708">
        <f>J15-I15</f>
        <v>9</v>
      </c>
      <c r="J11" s="709" t="s">
        <v>80</v>
      </c>
      <c r="O11" s="53"/>
      <c r="P11" s="693"/>
      <c r="Q11" s="693"/>
      <c r="R11" s="715"/>
    </row>
    <row r="12" spans="1:18" ht="15" customHeight="1" x14ac:dyDescent="0.25">
      <c r="A12" s="52"/>
      <c r="B12" s="53"/>
      <c r="D12" s="53"/>
      <c r="E12" s="53"/>
      <c r="F12" s="53"/>
      <c r="G12" s="53"/>
      <c r="J12" s="54"/>
      <c r="K12" s="54"/>
      <c r="L12" s="53"/>
      <c r="M12" s="53"/>
      <c r="N12" s="55"/>
      <c r="O12" s="56"/>
      <c r="P12" s="1217" t="s">
        <v>293</v>
      </c>
      <c r="Q12" s="1217"/>
      <c r="R12" s="1218"/>
    </row>
    <row r="13" spans="1:18" ht="15" customHeight="1" x14ac:dyDescent="0.25">
      <c r="A13" s="696" t="s">
        <v>132</v>
      </c>
      <c r="B13" s="697"/>
      <c r="C13" s="698">
        <v>1.4999999999999999E-2</v>
      </c>
      <c r="E13" s="1219" t="s">
        <v>302</v>
      </c>
      <c r="F13" s="1220"/>
      <c r="G13" s="1220"/>
      <c r="H13" s="678" t="s">
        <v>131</v>
      </c>
      <c r="I13" s="679">
        <v>10</v>
      </c>
      <c r="J13" s="679" t="s">
        <v>287</v>
      </c>
      <c r="M13" s="103"/>
      <c r="P13" s="693"/>
      <c r="Q13" s="693"/>
      <c r="R13" s="716"/>
    </row>
    <row r="14" spans="1:18" ht="15" customHeight="1" x14ac:dyDescent="0.25">
      <c r="A14" s="699" t="s">
        <v>134</v>
      </c>
      <c r="B14" s="700"/>
      <c r="C14" s="701">
        <v>1.1200000000000001</v>
      </c>
      <c r="E14" s="680" t="s">
        <v>138</v>
      </c>
      <c r="F14" s="681">
        <v>3</v>
      </c>
      <c r="G14" s="682" t="s">
        <v>63</v>
      </c>
      <c r="H14" s="683" t="s">
        <v>133</v>
      </c>
      <c r="I14" s="684">
        <f>57*(I10^3/I11)^0.385</f>
        <v>41.247171764208623</v>
      </c>
      <c r="J14" s="682" t="s">
        <v>291</v>
      </c>
      <c r="M14" s="103"/>
      <c r="P14" s="693"/>
      <c r="Q14" s="693"/>
      <c r="R14" s="715"/>
    </row>
    <row r="15" spans="1:18" ht="15" customHeight="1" x14ac:dyDescent="0.25">
      <c r="A15" s="702" t="s">
        <v>135</v>
      </c>
      <c r="B15" s="703"/>
      <c r="C15" s="701">
        <v>0.06</v>
      </c>
      <c r="E15" s="685" t="s">
        <v>139</v>
      </c>
      <c r="F15" s="686">
        <v>14.5</v>
      </c>
      <c r="G15" s="687" t="s">
        <v>80</v>
      </c>
      <c r="H15" s="688" t="s">
        <v>290</v>
      </c>
      <c r="I15" s="689">
        <v>189</v>
      </c>
      <c r="J15" s="690">
        <v>198</v>
      </c>
      <c r="M15" s="103"/>
      <c r="P15" s="1221" t="s">
        <v>304</v>
      </c>
      <c r="Q15" s="1217"/>
      <c r="R15" s="1218"/>
    </row>
    <row r="16" spans="1:18" ht="15" customHeight="1" x14ac:dyDescent="0.25">
      <c r="A16" s="702" t="s">
        <v>136</v>
      </c>
      <c r="B16" s="703"/>
      <c r="C16" s="701">
        <v>0.14000000000000001</v>
      </c>
      <c r="E16" s="691" t="s">
        <v>140</v>
      </c>
      <c r="F16" s="692">
        <f>(F14/100)*F15</f>
        <v>0.435</v>
      </c>
      <c r="G16" s="691" t="s">
        <v>80</v>
      </c>
      <c r="H16" s="693"/>
      <c r="I16" s="693"/>
      <c r="J16" s="693"/>
      <c r="M16" s="103"/>
      <c r="P16" s="693"/>
      <c r="Q16" s="693"/>
      <c r="R16" s="715"/>
    </row>
    <row r="17" spans="1:18" ht="15" customHeight="1" x14ac:dyDescent="0.25">
      <c r="A17" s="704" t="s">
        <v>137</v>
      </c>
      <c r="B17" s="705"/>
      <c r="C17" s="706">
        <v>0.21</v>
      </c>
      <c r="E17" s="694" t="s">
        <v>141</v>
      </c>
      <c r="F17" s="695">
        <f>0.375*((1/(F14/100))/C13)*(((F14/100)*F15)^2.667)</f>
        <v>90.504380971251663</v>
      </c>
      <c r="G17" s="694"/>
      <c r="H17" s="693"/>
      <c r="I17" s="693"/>
      <c r="J17" s="693"/>
      <c r="M17" s="103"/>
      <c r="P17" s="693"/>
      <c r="Q17" s="693"/>
      <c r="R17" s="717"/>
    </row>
    <row r="18" spans="1:18" ht="39" customHeight="1" x14ac:dyDescent="0.25">
      <c r="A18" s="57"/>
      <c r="R18" s="58"/>
    </row>
    <row r="19" spans="1:18" ht="15.75" customHeight="1" x14ac:dyDescent="0.25">
      <c r="A19" s="1183" t="s">
        <v>142</v>
      </c>
      <c r="B19" s="1184" t="s">
        <v>299</v>
      </c>
      <c r="C19" s="1184" t="s">
        <v>300</v>
      </c>
      <c r="D19" s="1186" t="s">
        <v>301</v>
      </c>
      <c r="E19" s="1187" t="s">
        <v>164</v>
      </c>
      <c r="F19" s="1187" t="s">
        <v>143</v>
      </c>
      <c r="G19" s="1187" t="s">
        <v>144</v>
      </c>
      <c r="H19" s="1186" t="s">
        <v>145</v>
      </c>
      <c r="I19" s="1222" t="s">
        <v>146</v>
      </c>
      <c r="J19" s="1186" t="s">
        <v>147</v>
      </c>
      <c r="K19" s="1189" t="s">
        <v>148</v>
      </c>
      <c r="L19" s="1189" t="s">
        <v>149</v>
      </c>
      <c r="M19" s="1189" t="s">
        <v>150</v>
      </c>
      <c r="N19" s="1189" t="s">
        <v>151</v>
      </c>
      <c r="O19" s="1189" t="s">
        <v>211</v>
      </c>
      <c r="P19" s="1189" t="s">
        <v>298</v>
      </c>
      <c r="Q19" s="1189" t="s">
        <v>295</v>
      </c>
      <c r="R19" s="1193" t="s">
        <v>294</v>
      </c>
    </row>
    <row r="20" spans="1:18" ht="15.75" customHeight="1" x14ac:dyDescent="0.25">
      <c r="A20" s="1183"/>
      <c r="B20" s="1184"/>
      <c r="C20" s="1184"/>
      <c r="D20" s="1187"/>
      <c r="E20" s="1187"/>
      <c r="F20" s="1187"/>
      <c r="G20" s="1187"/>
      <c r="H20" s="1187"/>
      <c r="I20" s="1223"/>
      <c r="J20" s="1187"/>
      <c r="K20" s="1190"/>
      <c r="L20" s="1190"/>
      <c r="M20" s="1190"/>
      <c r="N20" s="1190"/>
      <c r="O20" s="1190"/>
      <c r="P20" s="1190"/>
      <c r="Q20" s="1190"/>
      <c r="R20" s="1194"/>
    </row>
    <row r="21" spans="1:18" ht="21.75" customHeight="1" x14ac:dyDescent="0.25">
      <c r="A21" s="1183"/>
      <c r="B21" s="1184"/>
      <c r="C21" s="1184"/>
      <c r="D21" s="1188"/>
      <c r="E21" s="1188"/>
      <c r="F21" s="1188"/>
      <c r="G21" s="1188"/>
      <c r="H21" s="1188"/>
      <c r="I21" s="1224"/>
      <c r="J21" s="1188"/>
      <c r="K21" s="1191"/>
      <c r="L21" s="1191"/>
      <c r="M21" s="1191"/>
      <c r="N21" s="1191"/>
      <c r="O21" s="1191"/>
      <c r="P21" s="1191"/>
      <c r="Q21" s="1191"/>
      <c r="R21" s="1195"/>
    </row>
    <row r="22" spans="1:18" s="133" customFormat="1" x14ac:dyDescent="0.25">
      <c r="A22" s="718" t="s">
        <v>1320</v>
      </c>
      <c r="B22" s="719" t="s">
        <v>1020</v>
      </c>
      <c r="C22" s="719" t="s">
        <v>1021</v>
      </c>
      <c r="D22" s="719" t="s">
        <v>1321</v>
      </c>
      <c r="E22" s="720">
        <f>0.584+0.637</f>
        <v>1.2210000000000001</v>
      </c>
      <c r="F22" s="721">
        <v>104.07695134604538</v>
      </c>
      <c r="G22" s="721">
        <f>VLOOKUP(B22,[1]BANCO_DRENAGEM!$L$2:$W$30,11,0)</f>
        <v>360.41508420480528</v>
      </c>
      <c r="H22" s="721">
        <f>VLOOKUP(B22,[1]BANCO_DRENAGEM!$L$2:$W$30,12,0)</f>
        <v>355.78425925974682</v>
      </c>
      <c r="I22" s="722">
        <f t="shared" ref="I22:I31" si="0">(G22-H22)/G22</f>
        <v>1.2848588053065518E-2</v>
      </c>
      <c r="J22" s="723">
        <f t="shared" ref="J22:J31" si="1">$Q$10</f>
        <v>75.121221658482753</v>
      </c>
      <c r="K22" s="724">
        <v>1</v>
      </c>
      <c r="L22" s="725">
        <v>0</v>
      </c>
      <c r="M22" s="726">
        <f t="shared" ref="M22:M28" si="2">($C$14*$Q$10*E22)/360</f>
        <v>0.28536048067335651</v>
      </c>
      <c r="N22" s="726">
        <f t="shared" ref="N22:N31" si="3">IF(F22&gt;0,((L22+(M22))),"")</f>
        <v>0.28536048067335651</v>
      </c>
      <c r="O22" s="727">
        <v>1.4999999999999999E-2</v>
      </c>
      <c r="P22" s="728">
        <f t="shared" ref="P22:P31" si="4">1.511*(O22*M22/I22^0.5)^(3/8)</f>
        <v>0.44224301631877339</v>
      </c>
      <c r="Q22" s="729">
        <f>VLOOKUP(B22,[1]BANCO_DRENAGEM!$L$2:$W$30,2,0)/1000</f>
        <v>0.8</v>
      </c>
      <c r="R22" s="730">
        <f>M22/(0.7445*Q22^2)</f>
        <v>0.59889288254146333</v>
      </c>
    </row>
    <row r="23" spans="1:18" s="133" customFormat="1" x14ac:dyDescent="0.25">
      <c r="A23" s="718" t="s">
        <v>1320</v>
      </c>
      <c r="B23" s="719" t="str">
        <f>C22</f>
        <v>TRECHO - 02</v>
      </c>
      <c r="C23" s="719" t="s">
        <v>1022</v>
      </c>
      <c r="D23" s="719" t="s">
        <v>1322</v>
      </c>
      <c r="E23" s="720">
        <f>E22+0.205+0.173</f>
        <v>1.5990000000000002</v>
      </c>
      <c r="F23" s="721">
        <v>100.00124998988291</v>
      </c>
      <c r="G23" s="721">
        <f>VLOOKUP(B23,[1]BANCO_DRENAGEM!$L$2:$W$30,11,0)</f>
        <v>357.87705318797634</v>
      </c>
      <c r="H23" s="721">
        <f>VLOOKUP(B23,[1]BANCO_DRENAGEM!$L$2:$W$30,12,0)</f>
        <v>352.06774388065639</v>
      </c>
      <c r="I23" s="722">
        <f t="shared" si="0"/>
        <v>1.6232695713710894E-2</v>
      </c>
      <c r="J23" s="723">
        <f t="shared" si="1"/>
        <v>75.121221658482753</v>
      </c>
      <c r="K23" s="724">
        <v>1</v>
      </c>
      <c r="L23" s="726">
        <f t="shared" ref="L23:L28" si="5">N22</f>
        <v>0.28536048067335651</v>
      </c>
      <c r="M23" s="726">
        <f t="shared" si="2"/>
        <v>0.37370303734373223</v>
      </c>
      <c r="N23" s="726">
        <f t="shared" si="3"/>
        <v>0.65906351801708873</v>
      </c>
      <c r="O23" s="727">
        <v>1.4999999999999999E-2</v>
      </c>
      <c r="P23" s="728">
        <f t="shared" si="4"/>
        <v>0.46832562934705846</v>
      </c>
      <c r="Q23" s="729">
        <f>VLOOKUP(B23,[1]BANCO_DRENAGEM!$L$2:$W$30,2,0)/1000</f>
        <v>0.8</v>
      </c>
      <c r="R23" s="730">
        <f t="shared" ref="R23:R28" si="6">M23/(0.7445*Q23^2)</f>
        <v>0.78429952431105632</v>
      </c>
    </row>
    <row r="24" spans="1:18" s="133" customFormat="1" x14ac:dyDescent="0.25">
      <c r="A24" s="718" t="s">
        <v>1320</v>
      </c>
      <c r="B24" s="719" t="str">
        <f t="shared" ref="B24:B31" si="7">C23</f>
        <v>TRECHO - 03</v>
      </c>
      <c r="C24" s="719" t="s">
        <v>1023</v>
      </c>
      <c r="D24" s="719" t="s">
        <v>1323</v>
      </c>
      <c r="E24" s="720">
        <f>E23+0.18+0.151</f>
        <v>1.9300000000000002</v>
      </c>
      <c r="F24" s="721">
        <v>75.682252456145349</v>
      </c>
      <c r="G24" s="721">
        <f>VLOOKUP(B24,[1]BANCO_DRENAGEM!$L$2:$W$30,11,0)</f>
        <v>354.5700949706906</v>
      </c>
      <c r="H24" s="721">
        <f>VLOOKUP(B24,[1]BANCO_DRENAGEM!$L$2:$W$30,12,0)</f>
        <v>349.4606896573145</v>
      </c>
      <c r="I24" s="722">
        <f t="shared" si="0"/>
        <v>1.4410141706390815E-2</v>
      </c>
      <c r="J24" s="723">
        <f t="shared" si="1"/>
        <v>75.121221658482753</v>
      </c>
      <c r="K24" s="724">
        <v>1</v>
      </c>
      <c r="L24" s="726">
        <f t="shared" si="5"/>
        <v>0.65906351801708873</v>
      </c>
      <c r="M24" s="726">
        <f t="shared" si="2"/>
        <v>0.45106120204715644</v>
      </c>
      <c r="N24" s="726">
        <f t="shared" si="3"/>
        <v>1.1101247200642452</v>
      </c>
      <c r="O24" s="727">
        <v>1.4999999999999999E-2</v>
      </c>
      <c r="P24" s="728">
        <f t="shared" si="4"/>
        <v>0.51390955401326865</v>
      </c>
      <c r="Q24" s="729">
        <f>VLOOKUP(B24,[1]BANCO_DRENAGEM!$L$2:$W$30,2,0)/1000</f>
        <v>0.8</v>
      </c>
      <c r="R24" s="730">
        <f t="shared" si="6"/>
        <v>0.946652959299774</v>
      </c>
    </row>
    <row r="25" spans="1:18" s="133" customFormat="1" x14ac:dyDescent="0.25">
      <c r="A25" s="718" t="s">
        <v>1320</v>
      </c>
      <c r="B25" s="719" t="str">
        <f t="shared" si="7"/>
        <v>TRECHO - 04</v>
      </c>
      <c r="C25" s="719" t="s">
        <v>1024</v>
      </c>
      <c r="D25" s="719" t="s">
        <v>1324</v>
      </c>
      <c r="E25" s="720">
        <f>E24+0.135+0.103</f>
        <v>2.1680000000000006</v>
      </c>
      <c r="F25" s="721">
        <v>74.186027241059335</v>
      </c>
      <c r="G25" s="721">
        <f>VLOOKUP(B25,[1]BANCO_DRENAGEM!$L$2:$W$30,11,0)</f>
        <v>350.9606896573145</v>
      </c>
      <c r="H25" s="721">
        <f>VLOOKUP(B25,[1]BANCO_DRENAGEM!$L$2:$W$30,12,0)</f>
        <v>345.76432759015228</v>
      </c>
      <c r="I25" s="722">
        <f t="shared" si="0"/>
        <v>1.4806108548042988E-2</v>
      </c>
      <c r="J25" s="723">
        <f t="shared" si="1"/>
        <v>75.121221658482753</v>
      </c>
      <c r="K25" s="724">
        <v>1</v>
      </c>
      <c r="L25" s="726">
        <f t="shared" si="5"/>
        <v>1.1101247200642452</v>
      </c>
      <c r="M25" s="726">
        <f t="shared" si="2"/>
        <v>0.50668429328405984</v>
      </c>
      <c r="N25" s="726">
        <f t="shared" si="3"/>
        <v>1.6168090133483051</v>
      </c>
      <c r="O25" s="727">
        <v>1.4999999999999999E-2</v>
      </c>
      <c r="P25" s="728">
        <f t="shared" si="4"/>
        <v>0.53409382023904717</v>
      </c>
      <c r="Q25" s="729">
        <f>VLOOKUP(B25,[1]BANCO_DRENAGEM!$L$2:$W$30,2,0)/1000</f>
        <v>0.8</v>
      </c>
      <c r="R25" s="730">
        <f t="shared" si="6"/>
        <v>1.0633904744880367</v>
      </c>
    </row>
    <row r="26" spans="1:18" s="133" customFormat="1" x14ac:dyDescent="0.25">
      <c r="A26" s="718" t="s">
        <v>1320</v>
      </c>
      <c r="B26" s="719" t="str">
        <f t="shared" si="7"/>
        <v>TRECHO - 05</v>
      </c>
      <c r="C26" s="719" t="s">
        <v>1025</v>
      </c>
      <c r="D26" s="719" t="s">
        <v>1325</v>
      </c>
      <c r="E26" s="720">
        <f>E25+0.178+0.211</f>
        <v>2.5570000000000004</v>
      </c>
      <c r="F26" s="721">
        <v>105.59711317333395</v>
      </c>
      <c r="G26" s="721">
        <f>VLOOKUP(B26,[1]BANCO_DRENAGEM!$L$2:$W$30,11,0)</f>
        <v>347.26432759015228</v>
      </c>
      <c r="H26" s="721">
        <f>VLOOKUP(B26,[1]BANCO_DRENAGEM!$L$2:$W$30,12,0)</f>
        <v>340.50281301412633</v>
      </c>
      <c r="I26" s="722">
        <f t="shared" si="0"/>
        <v>1.9470800882277803E-2</v>
      </c>
      <c r="J26" s="723">
        <f t="shared" si="1"/>
        <v>75.121221658482753</v>
      </c>
      <c r="K26" s="724">
        <v>1</v>
      </c>
      <c r="L26" s="726">
        <f t="shared" si="5"/>
        <v>1.6168090133483051</v>
      </c>
      <c r="M26" s="726">
        <f t="shared" si="2"/>
        <v>0.59759766509563694</v>
      </c>
      <c r="N26" s="726">
        <f t="shared" si="3"/>
        <v>2.2144066784439422</v>
      </c>
      <c r="O26" s="727">
        <v>1.4999999999999999E-2</v>
      </c>
      <c r="P26" s="728">
        <f t="shared" si="4"/>
        <v>0.53974988138143754</v>
      </c>
      <c r="Q26" s="729">
        <f>VLOOKUP(B26,[1]BANCO_DRENAGEM!$L$2:$W$30,2,0)/1000</f>
        <v>0.8</v>
      </c>
      <c r="R26" s="730">
        <f t="shared" si="6"/>
        <v>1.2541925476318772</v>
      </c>
    </row>
    <row r="27" spans="1:18" s="133" customFormat="1" x14ac:dyDescent="0.25">
      <c r="A27" s="718" t="s">
        <v>1320</v>
      </c>
      <c r="B27" s="719" t="str">
        <f t="shared" si="7"/>
        <v>TRECHO - 06</v>
      </c>
      <c r="C27" s="719" t="s">
        <v>1026</v>
      </c>
      <c r="D27" s="719" t="str">
        <f t="shared" ref="D27:E31" si="8">D26</f>
        <v>01;02;03;04;05;06;07;08;09;10</v>
      </c>
      <c r="E27" s="720">
        <f t="shared" si="8"/>
        <v>2.5570000000000004</v>
      </c>
      <c r="F27" s="721">
        <v>65.823679939801892</v>
      </c>
      <c r="G27" s="721">
        <f>VLOOKUP(B27,[1]BANCO_DRENAGEM!$L$2:$W$30,11,0)</f>
        <v>342.00281301412633</v>
      </c>
      <c r="H27" s="721">
        <f>VLOOKUP(B27,[1]BANCO_DRENAGEM!$L$2:$W$30,12,0)</f>
        <v>337.09284970802827</v>
      </c>
      <c r="I27" s="722">
        <f t="shared" si="0"/>
        <v>1.4356499769185405E-2</v>
      </c>
      <c r="J27" s="723">
        <f t="shared" si="1"/>
        <v>75.121221658482753</v>
      </c>
      <c r="K27" s="724">
        <v>1</v>
      </c>
      <c r="L27" s="726">
        <f t="shared" si="5"/>
        <v>2.2144066784439422</v>
      </c>
      <c r="M27" s="726">
        <f t="shared" si="2"/>
        <v>0.59759766509563694</v>
      </c>
      <c r="N27" s="726">
        <f t="shared" si="3"/>
        <v>2.812004343539579</v>
      </c>
      <c r="O27" s="727">
        <v>1.4999999999999999E-2</v>
      </c>
      <c r="P27" s="728">
        <f t="shared" si="4"/>
        <v>0.57148576142265539</v>
      </c>
      <c r="Q27" s="729">
        <f>VLOOKUP(B27,[1]BANCO_DRENAGEM!$L$2:$W$30,2,0)/1000</f>
        <v>0.8</v>
      </c>
      <c r="R27" s="730">
        <f t="shared" si="6"/>
        <v>1.2541925476318772</v>
      </c>
    </row>
    <row r="28" spans="1:18" s="133" customFormat="1" x14ac:dyDescent="0.25">
      <c r="A28" s="718" t="s">
        <v>1320</v>
      </c>
      <c r="B28" s="719" t="str">
        <f t="shared" si="7"/>
        <v>TRECHO - 07</v>
      </c>
      <c r="C28" s="719" t="s">
        <v>1027</v>
      </c>
      <c r="D28" s="719" t="str">
        <f t="shared" si="8"/>
        <v>01;02;03;04;05;06;07;08;09;10</v>
      </c>
      <c r="E28" s="720">
        <f t="shared" si="8"/>
        <v>2.5570000000000004</v>
      </c>
      <c r="F28" s="721">
        <v>69.094754483909654</v>
      </c>
      <c r="G28" s="721">
        <f>VLOOKUP(B28,[1]BANCO_DRENAGEM!$L$2:$W$30,11,0)</f>
        <v>338.59284970802827</v>
      </c>
      <c r="H28" s="721">
        <f>VLOOKUP(B28,[1]BANCO_DRENAGEM!$L$2:$W$30,12,0)</f>
        <v>331.52580575248851</v>
      </c>
      <c r="I28" s="722">
        <f t="shared" si="0"/>
        <v>2.0871805065091412E-2</v>
      </c>
      <c r="J28" s="723">
        <f t="shared" si="1"/>
        <v>75.121221658482753</v>
      </c>
      <c r="K28" s="724">
        <v>1</v>
      </c>
      <c r="L28" s="726">
        <f t="shared" si="5"/>
        <v>2.812004343539579</v>
      </c>
      <c r="M28" s="726">
        <f t="shared" si="2"/>
        <v>0.59759766509563694</v>
      </c>
      <c r="N28" s="726">
        <f t="shared" si="3"/>
        <v>3.4096020086352157</v>
      </c>
      <c r="O28" s="727">
        <v>1.4999999999999999E-2</v>
      </c>
      <c r="P28" s="728">
        <f t="shared" si="4"/>
        <v>0.53276356837567684</v>
      </c>
      <c r="Q28" s="729">
        <f>VLOOKUP(B28,[1]BANCO_DRENAGEM!$L$2:$W$30,2,0)/1000</f>
        <v>0.8</v>
      </c>
      <c r="R28" s="730">
        <f t="shared" si="6"/>
        <v>1.2541925476318772</v>
      </c>
    </row>
    <row r="29" spans="1:18" s="133" customFormat="1" x14ac:dyDescent="0.25">
      <c r="A29" s="718" t="s">
        <v>1320</v>
      </c>
      <c r="B29" s="719" t="str">
        <f t="shared" si="7"/>
        <v>TRECHO - 08</v>
      </c>
      <c r="C29" s="719" t="s">
        <v>1028</v>
      </c>
      <c r="D29" s="719" t="str">
        <f t="shared" si="8"/>
        <v>01;02;03;04;05;06;07;08;09;10</v>
      </c>
      <c r="E29" s="720">
        <f t="shared" si="8"/>
        <v>2.5570000000000004</v>
      </c>
      <c r="F29" s="721">
        <v>101.55218172683614</v>
      </c>
      <c r="G29" s="721">
        <f>VLOOKUP(B29,[1]BANCO_DRENAGEM!$L$2:$W$30,11,0)</f>
        <v>333.21667490120694</v>
      </c>
      <c r="H29" s="721">
        <f>VLOOKUP(B29,[1]BANCO_DRENAGEM!$L$2:$W$30,12,0)</f>
        <v>323.79441987840198</v>
      </c>
      <c r="I29" s="722">
        <f t="shared" si="0"/>
        <v>2.8276661201299423E-2</v>
      </c>
      <c r="J29" s="723">
        <f t="shared" si="1"/>
        <v>75.121221658482753</v>
      </c>
      <c r="K29" s="724">
        <v>1</v>
      </c>
      <c r="L29" s="726">
        <f>N28</f>
        <v>3.4096020086352157</v>
      </c>
      <c r="M29" s="726">
        <f>($C$14*$Q$10*E29)/360</f>
        <v>0.59759766509563694</v>
      </c>
      <c r="N29" s="726">
        <f t="shared" si="3"/>
        <v>4.0071996737308524</v>
      </c>
      <c r="O29" s="727">
        <v>1.4999999999999999E-2</v>
      </c>
      <c r="P29" s="728">
        <f t="shared" si="4"/>
        <v>0.50327950717561665</v>
      </c>
      <c r="Q29" s="729">
        <f>VLOOKUP(B29,[1]BANCO_DRENAGEM!$L$2:$W$30,2,0)/1000</f>
        <v>0.8</v>
      </c>
      <c r="R29" s="730">
        <f>M29/(0.7445*Q29^2)</f>
        <v>1.2541925476318772</v>
      </c>
    </row>
    <row r="30" spans="1:18" s="133" customFormat="1" x14ac:dyDescent="0.25">
      <c r="A30" s="718" t="s">
        <v>1320</v>
      </c>
      <c r="B30" s="719" t="str">
        <f t="shared" si="7"/>
        <v>TRECHO - 09</v>
      </c>
      <c r="C30" s="719" t="s">
        <v>1029</v>
      </c>
      <c r="D30" s="719" t="str">
        <f t="shared" si="8"/>
        <v>01;02;03;04;05;06;07;08;09;10</v>
      </c>
      <c r="E30" s="720">
        <f t="shared" si="8"/>
        <v>2.5570000000000004</v>
      </c>
      <c r="F30" s="721">
        <v>64.574764671973711</v>
      </c>
      <c r="G30" s="721">
        <f>VLOOKUP(B30,[1]BANCO_DRENAGEM!$L$2:$W$30,11,0)</f>
        <v>325.6481648595111</v>
      </c>
      <c r="H30" s="721">
        <f>VLOOKUP(B30,[1]BANCO_DRENAGEM!$L$2:$W$30,12,0)</f>
        <v>321.06692291760834</v>
      </c>
      <c r="I30" s="722">
        <f t="shared" si="0"/>
        <v>1.4068072343902716E-2</v>
      </c>
      <c r="J30" s="723">
        <f t="shared" si="1"/>
        <v>75.121221658482753</v>
      </c>
      <c r="K30" s="724">
        <v>1</v>
      </c>
      <c r="L30" s="726">
        <f>N29</f>
        <v>4.0071996737308524</v>
      </c>
      <c r="M30" s="726">
        <f>($C$14*$Q$10*E30)/360</f>
        <v>0.59759766509563694</v>
      </c>
      <c r="N30" s="726">
        <f t="shared" si="3"/>
        <v>4.6047973388264891</v>
      </c>
      <c r="O30" s="727">
        <v>1.4999999999999999E-2</v>
      </c>
      <c r="P30" s="728">
        <f t="shared" si="4"/>
        <v>0.57366457853693331</v>
      </c>
      <c r="Q30" s="729">
        <f>VLOOKUP(B30,[1]BANCO_DRENAGEM!$L$2:$W$30,2,0)/1000</f>
        <v>0.8</v>
      </c>
      <c r="R30" s="730">
        <f>M30/(0.7445*Q30^2)</f>
        <v>1.2541925476318772</v>
      </c>
    </row>
    <row r="31" spans="1:18" s="133" customFormat="1" x14ac:dyDescent="0.25">
      <c r="A31" s="718" t="s">
        <v>1320</v>
      </c>
      <c r="B31" s="719" t="str">
        <f t="shared" si="7"/>
        <v>TRECHO - 10</v>
      </c>
      <c r="C31" s="719" t="s">
        <v>314</v>
      </c>
      <c r="D31" s="719" t="str">
        <f t="shared" si="8"/>
        <v>01;02;03;04;05;06;07;08;09;10</v>
      </c>
      <c r="E31" s="720">
        <f t="shared" si="8"/>
        <v>2.5570000000000004</v>
      </c>
      <c r="F31" s="721">
        <v>42.088755600265827</v>
      </c>
      <c r="G31" s="721">
        <f>VLOOKUP(B31,[1]BANCO_DRENAGEM!$L$2:$W$30,11,0)</f>
        <v>322.72979874999902</v>
      </c>
      <c r="H31" s="721">
        <f>VLOOKUP(B31,[1]BANCO_DRENAGEM!$L$2:$W$30,12,0)</f>
        <v>315.97000000000003</v>
      </c>
      <c r="I31" s="722">
        <f t="shared" si="0"/>
        <v>2.0945691337400908E-2</v>
      </c>
      <c r="J31" s="723">
        <f t="shared" si="1"/>
        <v>75.121221658482753</v>
      </c>
      <c r="K31" s="724">
        <v>1</v>
      </c>
      <c r="L31" s="726">
        <f>N30</f>
        <v>4.6047973388264891</v>
      </c>
      <c r="M31" s="726">
        <f>($C$14*$Q$10*E31)/360</f>
        <v>0.59759766509563694</v>
      </c>
      <c r="N31" s="726">
        <f t="shared" si="3"/>
        <v>5.2023950039221258</v>
      </c>
      <c r="O31" s="727">
        <v>1.4999999999999999E-2</v>
      </c>
      <c r="P31" s="728">
        <f t="shared" si="4"/>
        <v>0.53241068752024268</v>
      </c>
      <c r="Q31" s="729">
        <f>VLOOKUP(B31,[1]BANCO_DRENAGEM!$L$2:$W$30,2,0)/1000</f>
        <v>0.8</v>
      </c>
      <c r="R31" s="730">
        <f>M31/(0.7445*Q31^2)</f>
        <v>1.2541925476318772</v>
      </c>
    </row>
    <row r="32" spans="1:18" ht="53.45" customHeight="1" x14ac:dyDescent="0.25">
      <c r="A32" s="110"/>
      <c r="B32" s="104"/>
      <c r="C32" s="99"/>
      <c r="D32" s="99"/>
      <c r="E32" s="105"/>
      <c r="F32" s="105"/>
      <c r="G32" s="105"/>
      <c r="H32" s="106"/>
      <c r="I32" s="107"/>
      <c r="J32" s="108"/>
      <c r="K32" s="109"/>
      <c r="L32" s="109"/>
      <c r="M32" s="109"/>
      <c r="N32" s="731"/>
      <c r="O32" s="731"/>
      <c r="P32" s="731"/>
      <c r="Q32" s="732"/>
      <c r="R32" s="99"/>
    </row>
    <row r="33" spans="1:17" ht="19.149999999999999" customHeight="1" x14ac:dyDescent="0.25">
      <c r="A33" s="1183" t="s">
        <v>142</v>
      </c>
      <c r="B33" s="1183" t="s">
        <v>157</v>
      </c>
      <c r="C33" s="1183" t="s">
        <v>158</v>
      </c>
      <c r="D33" s="1183" t="s">
        <v>159</v>
      </c>
      <c r="E33" s="1183" t="s">
        <v>160</v>
      </c>
      <c r="F33" s="1183" t="s">
        <v>161</v>
      </c>
      <c r="G33" s="1183" t="s">
        <v>162</v>
      </c>
      <c r="H33" s="1183" t="s">
        <v>163</v>
      </c>
      <c r="I33" s="1183" t="s">
        <v>152</v>
      </c>
      <c r="J33" s="1183" t="s">
        <v>153</v>
      </c>
      <c r="K33" s="1183" t="s">
        <v>154</v>
      </c>
      <c r="L33" s="1183" t="s">
        <v>155</v>
      </c>
      <c r="M33" s="1192" t="s">
        <v>156</v>
      </c>
      <c r="O33" s="1185" t="s">
        <v>303</v>
      </c>
      <c r="P33" s="1185"/>
      <c r="Q33" s="1185"/>
    </row>
    <row r="34" spans="1:17" ht="15" customHeight="1" x14ac:dyDescent="0.25">
      <c r="A34" s="1183"/>
      <c r="B34" s="1183"/>
      <c r="C34" s="1183"/>
      <c r="D34" s="1183"/>
      <c r="E34" s="1183"/>
      <c r="F34" s="1183"/>
      <c r="G34" s="1183"/>
      <c r="H34" s="1183"/>
      <c r="I34" s="1183"/>
      <c r="J34" s="1183"/>
      <c r="K34" s="1183"/>
      <c r="L34" s="1183"/>
      <c r="M34" s="1192"/>
    </row>
    <row r="35" spans="1:17" ht="24" customHeight="1" x14ac:dyDescent="0.25">
      <c r="A35" s="1183"/>
      <c r="B35" s="1183"/>
      <c r="C35" s="1183"/>
      <c r="D35" s="1183"/>
      <c r="E35" s="1183"/>
      <c r="F35" s="1183"/>
      <c r="G35" s="1183"/>
      <c r="H35" s="1183"/>
      <c r="I35" s="1183"/>
      <c r="J35" s="1183"/>
      <c r="K35" s="1183"/>
      <c r="L35" s="1183"/>
      <c r="M35" s="1192"/>
    </row>
    <row r="36" spans="1:17" x14ac:dyDescent="0.25">
      <c r="A36" s="718" t="s">
        <v>1320</v>
      </c>
      <c r="B36" s="111">
        <f>(I36*J36)/2</f>
        <v>0.21476290910227191</v>
      </c>
      <c r="C36" s="111">
        <f>SQRT(I36^2+J36^2)+I36</f>
        <v>3.8990687279506475</v>
      </c>
      <c r="D36" s="111">
        <f>B36/C36</f>
        <v>5.5080565152066815E-2</v>
      </c>
      <c r="E36" s="112">
        <f>(1/$C$13)*D36^(1/6)</f>
        <v>41.122086178742251</v>
      </c>
      <c r="F36" s="111">
        <f>IF(K22=1,($F$16/$F$15),0)</f>
        <v>0.03</v>
      </c>
      <c r="G36" s="111">
        <f>IF(K22=1,$F$16,IF(K22=2,$F$16,IF(K22=3,$F$16,0)))</f>
        <v>0.435</v>
      </c>
      <c r="H36" s="111">
        <f>IF(K22=1,$F$15/G36,IF(K22=2,#REF!/G36,IF(K22=3,$R$13/G36,0)))</f>
        <v>33.333333333333336</v>
      </c>
      <c r="I36" s="101">
        <f>IF(K22=1,($C$13*N22/(0.375*($F$15/$F$16)*I22^(1/2)))^0.375,IF(K22=2,($C$13*N22/(0.375*($F$15/$F$16)*I22^(1/2)))^0.375,IF(K22=3,($C$13*N22/(0.375*($C$14/$C$15)*I22^(1/2)))^0.375,0)))</f>
        <v>0.11351552557309645</v>
      </c>
      <c r="J36" s="101">
        <f>I36/F36</f>
        <v>3.7838508524365486</v>
      </c>
      <c r="K36" s="101">
        <f>E36*(D36*I22)^(1/2)</f>
        <v>1.0939614930452564</v>
      </c>
      <c r="L36" s="102">
        <f>IF(K22&gt;0,IF(K22=1,($F$17*(I22^0.5)),IF(K22=2,($F$17*(I22^0.5)),IF(K22=3,($R$17*(I22^0.5)))))*1,"")</f>
        <v>10.2588175200944</v>
      </c>
      <c r="M36" s="734" t="str">
        <f>IF(M22/2=0,"-",IF(M22/2&lt;$C$15,"Simples",IF(AND(M22/2&gt;$C$15,M22/2&lt;=$C$16),"Dupla","Tripla")))</f>
        <v>Tripla</v>
      </c>
    </row>
    <row r="37" spans="1:17" x14ac:dyDescent="0.25">
      <c r="A37" s="718" t="s">
        <v>1320</v>
      </c>
      <c r="B37" s="111">
        <f t="shared" ref="B37:B45" si="9">(I37*J37)/2</f>
        <v>0.368581595301959</v>
      </c>
      <c r="C37" s="111">
        <f t="shared" ref="C37:C45" si="10">SQRT(I37^2+J37^2)+I37</f>
        <v>5.1079668972861541</v>
      </c>
      <c r="D37" s="111">
        <f t="shared" ref="D37:D45" si="11">B37/C37</f>
        <v>7.215818009662224E-2</v>
      </c>
      <c r="E37" s="112">
        <f t="shared" ref="E37:E45" si="12">(1/$C$13)*D37^(1/6)</f>
        <v>43.015304625446909</v>
      </c>
      <c r="F37" s="111">
        <f t="shared" ref="F37:F45" si="13">IF(K23=1,($F$16/$F$15),0)</f>
        <v>0.03</v>
      </c>
      <c r="G37" s="111">
        <f t="shared" ref="G37:G45" si="14">IF(K23=1,$F$16,IF(K23=2,$F$16,IF(K23=3,$F$16,0)))</f>
        <v>0.435</v>
      </c>
      <c r="H37" s="111">
        <f>IF(K23=1,$F$15/G37,IF(K23=2,#REF!/G37,IF(K23=3,$R$13/G37,0)))</f>
        <v>33.333333333333336</v>
      </c>
      <c r="I37" s="101">
        <f t="shared" ref="I37:I45" si="15">IF(K23=1,($C$13*N23/(0.375*($F$15/$F$16)*I23^(1/2)))^0.375,IF(K23=2,($C$13*N23/(0.375*($F$15/$F$16)*I23^(1/2)))^0.375,IF(K23=3,($C$13*N23/(0.375*($C$14/$C$15)*I23^(1/2)))^0.375,0)))</f>
        <v>0.14871077875566902</v>
      </c>
      <c r="J37" s="101">
        <f t="shared" ref="J37:J45" si="16">I37/F37</f>
        <v>4.9570259585223004</v>
      </c>
      <c r="K37" s="101">
        <f t="shared" ref="K37:K45" si="17">E37*(D37*I23)^(1/2)</f>
        <v>1.4721806744180024</v>
      </c>
      <c r="L37" s="102">
        <f t="shared" ref="L37:L45" si="18">IF(K23&gt;0,IF(K23=1,($F$17*(I23^0.5)),IF(K23=2,($F$17*(I23^0.5)),IF(K23=3,($R$17*(I23^0.5)))))*1,"")</f>
        <v>11.53094567634993</v>
      </c>
      <c r="M37" s="734" t="str">
        <f t="shared" ref="M37:M45" si="19">IF(M23/2=0,"-",IF(M23/2&lt;$C$15,"Simples",IF(AND(M23/2&gt;$C$15,M23/2&lt;=$C$16),"Dupla","Tripla")))</f>
        <v>Tripla</v>
      </c>
      <c r="P37" s="733"/>
    </row>
    <row r="38" spans="1:17" x14ac:dyDescent="0.25">
      <c r="A38" s="718" t="s">
        <v>1320</v>
      </c>
      <c r="B38" s="111">
        <f t="shared" si="9"/>
        <v>0.56985310628625796</v>
      </c>
      <c r="C38" s="111">
        <f t="shared" si="10"/>
        <v>6.3513012358535255</v>
      </c>
      <c r="D38" s="111">
        <f t="shared" si="11"/>
        <v>8.972226086040426E-2</v>
      </c>
      <c r="E38" s="112">
        <f t="shared" si="12"/>
        <v>44.605879727113084</v>
      </c>
      <c r="F38" s="111">
        <f t="shared" si="13"/>
        <v>0.03</v>
      </c>
      <c r="G38" s="111">
        <f t="shared" si="14"/>
        <v>0.435</v>
      </c>
      <c r="H38" s="111">
        <f>IF(K24=1,$F$15/G38,IF(K24=2,#REF!/G38,IF(K24=3,$R$13/G38,0)))</f>
        <v>33.333333333333336</v>
      </c>
      <c r="I38" s="101">
        <f t="shared" si="15"/>
        <v>0.18490858924662065</v>
      </c>
      <c r="J38" s="101">
        <f t="shared" si="16"/>
        <v>6.1636196415540221</v>
      </c>
      <c r="K38" s="101">
        <f t="shared" si="17"/>
        <v>1.6038964979991757</v>
      </c>
      <c r="L38" s="102">
        <f t="shared" si="18"/>
        <v>10.864349496989458</v>
      </c>
      <c r="M38" s="734" t="str">
        <f t="shared" si="19"/>
        <v>Tripla</v>
      </c>
      <c r="P38" s="733"/>
    </row>
    <row r="39" spans="1:17" ht="15" customHeight="1" x14ac:dyDescent="0.25">
      <c r="A39" s="718" t="s">
        <v>1320</v>
      </c>
      <c r="B39" s="111">
        <f t="shared" si="9"/>
        <v>0.74784806963883843</v>
      </c>
      <c r="C39" s="111">
        <f t="shared" si="10"/>
        <v>7.2759204123339387</v>
      </c>
      <c r="D39" s="111">
        <f t="shared" si="11"/>
        <v>0.10278398157999462</v>
      </c>
      <c r="E39" s="112">
        <f t="shared" si="12"/>
        <v>45.627812385478855</v>
      </c>
      <c r="F39" s="111">
        <f t="shared" si="13"/>
        <v>0.03</v>
      </c>
      <c r="G39" s="111">
        <f t="shared" si="14"/>
        <v>0.435</v>
      </c>
      <c r="H39" s="111">
        <f>IF(K25=1,$F$15/G39,IF(K25=2,#REF!/G39,IF(K25=3,$R$13/G39,0)))</f>
        <v>33.333333333333336</v>
      </c>
      <c r="I39" s="101">
        <f t="shared" si="15"/>
        <v>0.21182748683381555</v>
      </c>
      <c r="J39" s="101">
        <f t="shared" si="16"/>
        <v>7.060916227793852</v>
      </c>
      <c r="K39" s="101">
        <f t="shared" si="17"/>
        <v>1.7799706045281087</v>
      </c>
      <c r="L39" s="102">
        <f t="shared" si="18"/>
        <v>11.012605114566622</v>
      </c>
      <c r="M39" s="734" t="str">
        <f t="shared" si="19"/>
        <v>Tripla</v>
      </c>
      <c r="P39" s="733"/>
    </row>
    <row r="40" spans="1:17" x14ac:dyDescent="0.25">
      <c r="A40" s="718" t="s">
        <v>1320</v>
      </c>
      <c r="B40" s="111">
        <f t="shared" si="9"/>
        <v>0.85439518120821967</v>
      </c>
      <c r="C40" s="111">
        <f t="shared" si="10"/>
        <v>7.7769739911641889</v>
      </c>
      <c r="D40" s="111">
        <f t="shared" si="11"/>
        <v>0.10986216260706812</v>
      </c>
      <c r="E40" s="112">
        <f t="shared" si="12"/>
        <v>46.137079312499452</v>
      </c>
      <c r="F40" s="111">
        <f t="shared" si="13"/>
        <v>0.03</v>
      </c>
      <c r="G40" s="111">
        <f t="shared" si="14"/>
        <v>0.435</v>
      </c>
      <c r="H40" s="111">
        <f>IF(K26=1,$F$15/G40,IF(K26=2,#REF!/G40,IF(K26=3,$R$13/G40,0)))</f>
        <v>33.333333333333336</v>
      </c>
      <c r="I40" s="101">
        <f t="shared" si="15"/>
        <v>0.22641490867982431</v>
      </c>
      <c r="J40" s="101">
        <f t="shared" si="16"/>
        <v>7.5471636226608103</v>
      </c>
      <c r="K40" s="101">
        <f t="shared" si="17"/>
        <v>2.1338607633916755</v>
      </c>
      <c r="L40" s="102">
        <f t="shared" si="18"/>
        <v>12.628783266182067</v>
      </c>
      <c r="M40" s="100" t="str">
        <f t="shared" si="19"/>
        <v>Tripla</v>
      </c>
    </row>
    <row r="41" spans="1:17" x14ac:dyDescent="0.25">
      <c r="A41" s="718" t="s">
        <v>1320</v>
      </c>
      <c r="B41" s="111">
        <f t="shared" si="9"/>
        <v>1.1457858680440172</v>
      </c>
      <c r="C41" s="111">
        <f t="shared" si="10"/>
        <v>9.0060215557890508</v>
      </c>
      <c r="D41" s="111">
        <f t="shared" si="11"/>
        <v>0.1272244199002065</v>
      </c>
      <c r="E41" s="112">
        <f t="shared" si="12"/>
        <v>47.27924007890698</v>
      </c>
      <c r="F41" s="111">
        <f t="shared" si="13"/>
        <v>0.03</v>
      </c>
      <c r="G41" s="111">
        <f t="shared" si="14"/>
        <v>0.435</v>
      </c>
      <c r="H41" s="111">
        <f>IF(K27=1,$F$15/G41,IF(K27=2,#REF!/G41,IF(K27=3,$R$13/G41,0)))</f>
        <v>33.333333333333336</v>
      </c>
      <c r="I41" s="101">
        <f t="shared" si="15"/>
        <v>0.26219678122097728</v>
      </c>
      <c r="J41" s="101">
        <f t="shared" si="16"/>
        <v>8.7398927073659092</v>
      </c>
      <c r="K41" s="101">
        <f t="shared" si="17"/>
        <v>2.0205984304591857</v>
      </c>
      <c r="L41" s="102">
        <f t="shared" si="18"/>
        <v>10.844109303203464</v>
      </c>
      <c r="M41" s="100" t="str">
        <f t="shared" si="19"/>
        <v>Tripla</v>
      </c>
    </row>
    <row r="42" spans="1:17" x14ac:dyDescent="0.25">
      <c r="A42" s="718" t="s">
        <v>1320</v>
      </c>
      <c r="B42" s="111">
        <f t="shared" si="9"/>
        <v>1.1506081518019688</v>
      </c>
      <c r="C42" s="111">
        <f t="shared" si="10"/>
        <v>9.0249535364145732</v>
      </c>
      <c r="D42" s="111">
        <f t="shared" si="11"/>
        <v>0.12749186432477541</v>
      </c>
      <c r="E42" s="112">
        <f t="shared" si="12"/>
        <v>47.295790240246895</v>
      </c>
      <c r="F42" s="111">
        <f t="shared" si="13"/>
        <v>0.03</v>
      </c>
      <c r="G42" s="111">
        <f t="shared" si="14"/>
        <v>0.435</v>
      </c>
      <c r="H42" s="111">
        <f>IF(K28=1,$F$15/G42,IF(K28=2,#REF!/G42,IF(K28=3,$R$13/G42,0)))</f>
        <v>33.333333333333336</v>
      </c>
      <c r="I42" s="101">
        <f t="shared" si="15"/>
        <v>0.2627479573814383</v>
      </c>
      <c r="J42" s="101">
        <f t="shared" si="16"/>
        <v>8.7582652460479444</v>
      </c>
      <c r="K42" s="101">
        <f t="shared" si="17"/>
        <v>2.4397410145379528</v>
      </c>
      <c r="L42" s="102">
        <f t="shared" si="18"/>
        <v>13.075238133730737</v>
      </c>
      <c r="M42" s="100" t="str">
        <f t="shared" si="19"/>
        <v>Tripla</v>
      </c>
    </row>
    <row r="43" spans="1:17" x14ac:dyDescent="0.25">
      <c r="A43" s="718" t="s">
        <v>1320</v>
      </c>
      <c r="B43" s="111">
        <f t="shared" si="9"/>
        <v>1.1589904929461288</v>
      </c>
      <c r="C43" s="111">
        <f t="shared" si="10"/>
        <v>9.0577679042753427</v>
      </c>
      <c r="D43" s="111">
        <f t="shared" si="11"/>
        <v>0.12795541961271445</v>
      </c>
      <c r="E43" s="112">
        <f t="shared" si="12"/>
        <v>47.324407847307484</v>
      </c>
      <c r="F43" s="111">
        <f t="shared" si="13"/>
        <v>0.03</v>
      </c>
      <c r="G43" s="111">
        <f t="shared" si="14"/>
        <v>0.435</v>
      </c>
      <c r="H43" s="111">
        <f>IF(K29=1,$F$15/G43,IF(K29=2,#REF!/G43,IF(K29=3,$R$13/G43,0)))</f>
        <v>33.333333333333336</v>
      </c>
      <c r="I43" s="101">
        <f t="shared" si="15"/>
        <v>0.26370329838052409</v>
      </c>
      <c r="J43" s="101">
        <f t="shared" si="16"/>
        <v>8.7901099460174699</v>
      </c>
      <c r="K43" s="101">
        <f t="shared" si="17"/>
        <v>2.8466140945016711</v>
      </c>
      <c r="L43" s="102">
        <f t="shared" si="18"/>
        <v>15.21891412319094</v>
      </c>
      <c r="M43" s="100" t="str">
        <f t="shared" si="19"/>
        <v>Tripla</v>
      </c>
    </row>
    <row r="44" spans="1:17" x14ac:dyDescent="0.25">
      <c r="A44" s="718" t="s">
        <v>1320</v>
      </c>
      <c r="B44" s="111">
        <f t="shared" si="9"/>
        <v>1.6713007294922833</v>
      </c>
      <c r="C44" s="111">
        <f t="shared" si="10"/>
        <v>10.876985579794974</v>
      </c>
      <c r="D44" s="111">
        <f t="shared" si="11"/>
        <v>0.15365477109732331</v>
      </c>
      <c r="E44" s="112">
        <f t="shared" si="12"/>
        <v>48.790254401065702</v>
      </c>
      <c r="F44" s="111">
        <f t="shared" si="13"/>
        <v>0.03</v>
      </c>
      <c r="G44" s="111">
        <f t="shared" si="14"/>
        <v>0.435</v>
      </c>
      <c r="H44" s="111">
        <f>IF(K30=1,$F$15/G44,IF(K30=2,#REF!/G44,IF(K30=3,$R$13/G44,0)))</f>
        <v>33.333333333333336</v>
      </c>
      <c r="I44" s="101">
        <f t="shared" si="15"/>
        <v>0.3166670866533764</v>
      </c>
      <c r="J44" s="101">
        <f t="shared" si="16"/>
        <v>10.555569555112546</v>
      </c>
      <c r="K44" s="101">
        <f t="shared" si="17"/>
        <v>2.2684196678155715</v>
      </c>
      <c r="L44" s="102">
        <f t="shared" si="18"/>
        <v>10.734625524170269</v>
      </c>
      <c r="M44" s="100" t="str">
        <f t="shared" si="19"/>
        <v>Tripla</v>
      </c>
    </row>
    <row r="45" spans="1:17" x14ac:dyDescent="0.25">
      <c r="A45" s="718" t="s">
        <v>1320</v>
      </c>
      <c r="B45" s="111">
        <f t="shared" si="9"/>
        <v>1.5775265050677758</v>
      </c>
      <c r="C45" s="111">
        <f t="shared" si="10"/>
        <v>10.567434966971055</v>
      </c>
      <c r="D45" s="111">
        <f t="shared" si="11"/>
        <v>0.14928187492976286</v>
      </c>
      <c r="E45" s="112">
        <f t="shared" si="12"/>
        <v>48.556039321661132</v>
      </c>
      <c r="F45" s="111">
        <f t="shared" si="13"/>
        <v>0.03</v>
      </c>
      <c r="G45" s="111">
        <f t="shared" si="14"/>
        <v>0.435</v>
      </c>
      <c r="H45" s="111">
        <f>IF(K31=1,$F$15/G45,IF(K31=2,#REF!/G45,IF(K31=3,$R$13/G45,0)))</f>
        <v>33.333333333333336</v>
      </c>
      <c r="I45" s="101">
        <f t="shared" si="15"/>
        <v>0.30765498582676432</v>
      </c>
      <c r="J45" s="101">
        <f t="shared" si="16"/>
        <v>10.255166194225477</v>
      </c>
      <c r="K45" s="101">
        <f t="shared" si="17"/>
        <v>2.7151519830924817</v>
      </c>
      <c r="L45" s="102">
        <f t="shared" si="18"/>
        <v>13.098360885451099</v>
      </c>
      <c r="M45" s="100" t="str">
        <f t="shared" si="19"/>
        <v>Tripla</v>
      </c>
    </row>
  </sheetData>
  <mergeCells count="42">
    <mergeCell ref="R19:R21"/>
    <mergeCell ref="L19:L21"/>
    <mergeCell ref="M19:M21"/>
    <mergeCell ref="P2:R2"/>
    <mergeCell ref="P3:R3"/>
    <mergeCell ref="P8:R9"/>
    <mergeCell ref="A4:R4"/>
    <mergeCell ref="A9:G11"/>
    <mergeCell ref="Q5:R5"/>
    <mergeCell ref="Q6:R7"/>
    <mergeCell ref="P12:R12"/>
    <mergeCell ref="N19:N21"/>
    <mergeCell ref="O19:O21"/>
    <mergeCell ref="E13:G13"/>
    <mergeCell ref="P15:R15"/>
    <mergeCell ref="I19:I21"/>
    <mergeCell ref="I33:I35"/>
    <mergeCell ref="D19:D21"/>
    <mergeCell ref="E19:E21"/>
    <mergeCell ref="F19:F21"/>
    <mergeCell ref="G19:G21"/>
    <mergeCell ref="H19:H21"/>
    <mergeCell ref="D33:D35"/>
    <mergeCell ref="E33:E35"/>
    <mergeCell ref="F33:F35"/>
    <mergeCell ref="G33:G35"/>
    <mergeCell ref="H33:H35"/>
    <mergeCell ref="O33:Q33"/>
    <mergeCell ref="J19:J21"/>
    <mergeCell ref="L33:L35"/>
    <mergeCell ref="P19:P21"/>
    <mergeCell ref="Q19:Q21"/>
    <mergeCell ref="K19:K21"/>
    <mergeCell ref="M33:M35"/>
    <mergeCell ref="J33:J35"/>
    <mergeCell ref="K33:K35"/>
    <mergeCell ref="A33:A35"/>
    <mergeCell ref="A19:A21"/>
    <mergeCell ref="C19:C21"/>
    <mergeCell ref="B19:B21"/>
    <mergeCell ref="B33:B35"/>
    <mergeCell ref="C33:C35"/>
  </mergeCells>
  <phoneticPr fontId="3" type="noConversion"/>
  <conditionalFormatting sqref="N32:O32 I36:J45">
    <cfRule type="cellIs" dxfId="6" priority="1" stopIfTrue="1" operator="greaterThan">
      <formula>#REF!</formula>
    </cfRule>
  </conditionalFormatting>
  <printOptions horizontalCentered="1"/>
  <pageMargins left="0.23622047244094491" right="0.23622047244094491" top="0.55118110236220474" bottom="0.55118110236220474" header="0.31496062992125984" footer="0.31496062992125984"/>
  <pageSetup paperSize="9" scale="55" fitToHeight="0" orientation="landscape" horizontalDpi="720" verticalDpi="720" r:id="rId1"/>
  <headerFooter>
    <oddFooter>Página &amp;P de &amp;N</oddFooter>
  </headerFooter>
  <colBreaks count="1" manualBreakCount="1">
    <brk id="18" max="1048575" man="1"/>
  </colBreaks>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6"/>
  <dimension ref="A1:L26"/>
  <sheetViews>
    <sheetView workbookViewId="0"/>
  </sheetViews>
  <sheetFormatPr defaultRowHeight="16.5" x14ac:dyDescent="0.3"/>
  <cols>
    <col min="1" max="1" width="37.28515625" style="192" customWidth="1"/>
    <col min="2" max="2" width="23.5703125" style="192" customWidth="1"/>
    <col min="3" max="3" width="9.140625" style="192" customWidth="1"/>
    <col min="4" max="4" width="20.28515625" style="192" customWidth="1"/>
    <col min="5" max="5" width="9.140625" style="192" customWidth="1"/>
    <col min="6" max="6" width="27" style="192" customWidth="1"/>
    <col min="7" max="7" width="23" style="192" customWidth="1"/>
    <col min="8" max="8" width="9.140625" style="192"/>
    <col min="9" max="9" width="48.85546875" style="224" bestFit="1" customWidth="1"/>
    <col min="10" max="10" width="20.7109375" style="224" customWidth="1"/>
    <col min="11" max="11" width="22.42578125" style="224" bestFit="1" customWidth="1"/>
    <col min="12" max="16384" width="9.140625" style="192"/>
  </cols>
  <sheetData>
    <row r="1" spans="1:12" x14ac:dyDescent="0.3">
      <c r="I1" s="224" t="s">
        <v>382</v>
      </c>
      <c r="J1" s="224" t="s">
        <v>383</v>
      </c>
      <c r="K1" s="224" t="s">
        <v>384</v>
      </c>
    </row>
    <row r="2" spans="1:12" ht="12.75" customHeight="1" x14ac:dyDescent="0.3"/>
    <row r="3" spans="1:12" ht="39.950000000000003" customHeight="1" x14ac:dyDescent="0.3">
      <c r="A3" s="1225" t="s">
        <v>373</v>
      </c>
      <c r="B3" s="1225"/>
      <c r="F3" s="192" t="str">
        <f>RIGHT(I3,LEN(I3)-24)</f>
        <v>ÁGUA CLARA</v>
      </c>
      <c r="G3" s="192">
        <f>LEN(I3)</f>
        <v>34</v>
      </c>
      <c r="I3" s="224" t="s">
        <v>374</v>
      </c>
      <c r="K3" s="262" t="s">
        <v>385</v>
      </c>
      <c r="L3" s="192" t="s">
        <v>735</v>
      </c>
    </row>
    <row r="4" spans="1:12" ht="39.950000000000003" customHeight="1" x14ac:dyDescent="0.3">
      <c r="A4" s="192" t="s">
        <v>378</v>
      </c>
      <c r="I4" s="224" t="s">
        <v>375</v>
      </c>
      <c r="K4" s="262" t="s">
        <v>386</v>
      </c>
      <c r="L4" s="192" t="s">
        <v>735</v>
      </c>
    </row>
    <row r="5" spans="1:12" ht="39.950000000000003" customHeight="1" x14ac:dyDescent="0.3">
      <c r="I5" s="224" t="s">
        <v>1156</v>
      </c>
      <c r="K5" s="262"/>
      <c r="L5" s="192" t="s">
        <v>735</v>
      </c>
    </row>
    <row r="6" spans="1:12" ht="39.950000000000003" customHeight="1" x14ac:dyDescent="0.3">
      <c r="I6" s="224" t="s">
        <v>376</v>
      </c>
      <c r="K6" s="262" t="s">
        <v>387</v>
      </c>
      <c r="L6" s="192" t="s">
        <v>735</v>
      </c>
    </row>
    <row r="7" spans="1:12" ht="39.950000000000003" customHeight="1" x14ac:dyDescent="0.3">
      <c r="A7" s="192">
        <v>18</v>
      </c>
      <c r="I7" s="224" t="s">
        <v>377</v>
      </c>
      <c r="K7" s="262" t="s">
        <v>388</v>
      </c>
      <c r="L7" s="192" t="s">
        <v>735</v>
      </c>
    </row>
    <row r="8" spans="1:12" ht="39.950000000000003" customHeight="1" x14ac:dyDescent="0.3">
      <c r="I8" s="224" t="s">
        <v>419</v>
      </c>
      <c r="K8" s="262" t="s">
        <v>424</v>
      </c>
      <c r="L8" s="192" t="s">
        <v>735</v>
      </c>
    </row>
    <row r="9" spans="1:12" ht="39.950000000000003" customHeight="1" x14ac:dyDescent="0.3">
      <c r="I9" s="224" t="s">
        <v>420</v>
      </c>
      <c r="K9" s="262" t="s">
        <v>425</v>
      </c>
      <c r="L9" s="192" t="s">
        <v>735</v>
      </c>
    </row>
    <row r="10" spans="1:12" ht="39.950000000000003" customHeight="1" x14ac:dyDescent="0.3">
      <c r="I10" s="224" t="s">
        <v>421</v>
      </c>
      <c r="K10" s="262" t="s">
        <v>426</v>
      </c>
      <c r="L10" s="192" t="s">
        <v>735</v>
      </c>
    </row>
    <row r="11" spans="1:12" ht="39.950000000000003" customHeight="1" x14ac:dyDescent="0.3">
      <c r="I11" s="224" t="s">
        <v>371</v>
      </c>
      <c r="K11" s="262" t="s">
        <v>389</v>
      </c>
      <c r="L11" s="192" t="s">
        <v>735</v>
      </c>
    </row>
    <row r="12" spans="1:12" ht="39.950000000000003" customHeight="1" x14ac:dyDescent="0.3">
      <c r="I12" s="224" t="s">
        <v>1157</v>
      </c>
      <c r="K12" s="262"/>
      <c r="L12" s="192" t="s">
        <v>735</v>
      </c>
    </row>
    <row r="13" spans="1:12" ht="39.950000000000003" customHeight="1" x14ac:dyDescent="0.3">
      <c r="I13" s="224" t="s">
        <v>414</v>
      </c>
      <c r="K13" s="262" t="s">
        <v>415</v>
      </c>
      <c r="L13" s="192" t="s">
        <v>735</v>
      </c>
    </row>
    <row r="14" spans="1:12" ht="39.950000000000003" customHeight="1" x14ac:dyDescent="0.3">
      <c r="I14" s="224" t="s">
        <v>423</v>
      </c>
      <c r="K14" s="262" t="s">
        <v>428</v>
      </c>
      <c r="L14" s="192" t="s">
        <v>735</v>
      </c>
    </row>
    <row r="15" spans="1:12" ht="39.950000000000003" customHeight="1" x14ac:dyDescent="0.3">
      <c r="I15" s="224" t="s">
        <v>422</v>
      </c>
      <c r="K15" s="262" t="s">
        <v>429</v>
      </c>
      <c r="L15" s="192" t="s">
        <v>735</v>
      </c>
    </row>
    <row r="16" spans="1:12" ht="39.950000000000003" customHeight="1" x14ac:dyDescent="0.3">
      <c r="I16" s="224" t="s">
        <v>378</v>
      </c>
      <c r="K16" s="262" t="s">
        <v>391</v>
      </c>
      <c r="L16" s="192" t="s">
        <v>735</v>
      </c>
    </row>
    <row r="17" spans="9:12" ht="39.950000000000003" customHeight="1" x14ac:dyDescent="0.3">
      <c r="I17" s="224" t="s">
        <v>427</v>
      </c>
      <c r="K17" s="262" t="s">
        <v>390</v>
      </c>
      <c r="L17" s="192" t="s">
        <v>735</v>
      </c>
    </row>
    <row r="18" spans="9:12" ht="39.950000000000003" customHeight="1" x14ac:dyDescent="0.3">
      <c r="I18" s="224" t="s">
        <v>417</v>
      </c>
      <c r="K18" s="262" t="s">
        <v>430</v>
      </c>
      <c r="L18" s="192" t="s">
        <v>735</v>
      </c>
    </row>
    <row r="19" spans="9:12" ht="39.950000000000003" customHeight="1" x14ac:dyDescent="0.3">
      <c r="I19" s="224" t="s">
        <v>418</v>
      </c>
      <c r="K19" s="262" t="s">
        <v>431</v>
      </c>
      <c r="L19" s="192" t="s">
        <v>735</v>
      </c>
    </row>
    <row r="20" spans="9:12" ht="39.950000000000003" customHeight="1" x14ac:dyDescent="0.3">
      <c r="I20" s="224" t="s">
        <v>379</v>
      </c>
      <c r="K20" s="262" t="s">
        <v>392</v>
      </c>
      <c r="L20" s="192" t="s">
        <v>735</v>
      </c>
    </row>
    <row r="21" spans="9:12" ht="39.950000000000003" customHeight="1" x14ac:dyDescent="0.3">
      <c r="I21" s="224" t="s">
        <v>380</v>
      </c>
      <c r="K21" s="262" t="s">
        <v>393</v>
      </c>
      <c r="L21" s="192" t="s">
        <v>735</v>
      </c>
    </row>
    <row r="22" spans="9:12" ht="39.950000000000003" customHeight="1" x14ac:dyDescent="0.3">
      <c r="I22" s="224" t="s">
        <v>432</v>
      </c>
      <c r="K22" s="262" t="s">
        <v>433</v>
      </c>
      <c r="L22" s="192" t="s">
        <v>735</v>
      </c>
    </row>
    <row r="23" spans="9:12" ht="39.950000000000003" customHeight="1" x14ac:dyDescent="0.3">
      <c r="I23" s="224" t="s">
        <v>760</v>
      </c>
      <c r="K23" s="262" t="s">
        <v>761</v>
      </c>
      <c r="L23" s="192" t="s">
        <v>735</v>
      </c>
    </row>
    <row r="24" spans="9:12" ht="39.950000000000003" customHeight="1" x14ac:dyDescent="0.3">
      <c r="I24" s="224" t="s">
        <v>381</v>
      </c>
      <c r="K24" s="262" t="s">
        <v>394</v>
      </c>
      <c r="L24" s="192" t="s">
        <v>735</v>
      </c>
    </row>
    <row r="25" spans="9:12" ht="39.950000000000003" customHeight="1" x14ac:dyDescent="0.3">
      <c r="I25" s="224" t="s">
        <v>413</v>
      </c>
      <c r="K25" s="262" t="s">
        <v>412</v>
      </c>
    </row>
    <row r="26" spans="9:12" ht="39.950000000000003" customHeight="1" x14ac:dyDescent="0.3">
      <c r="I26" s="224" t="s">
        <v>929</v>
      </c>
      <c r="K26" s="262" t="s">
        <v>930</v>
      </c>
    </row>
  </sheetData>
  <mergeCells count="1">
    <mergeCell ref="A3:B3"/>
  </mergeCells>
  <dataValidations count="1">
    <dataValidation type="list" allowBlank="1" showInputMessage="1" showErrorMessage="1" sqref="A4 A9">
      <formula1>$I$3:$I$26</formula1>
    </dataValidation>
  </dataValidations>
  <pageMargins left="0.511811024" right="0.511811024" top="0.78740157499999996" bottom="0.78740157499999996" header="0.31496062000000002" footer="0.31496062000000002"/>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683" r:id="rId4" name="Drop Down 299">
              <controlPr defaultSize="0" autoLine="0" autoPict="0">
                <anchor moveWithCells="1">
                  <from>
                    <xdr:col>26</xdr:col>
                    <xdr:colOff>276225</xdr:colOff>
                    <xdr:row>5</xdr:row>
                    <xdr:rowOff>361950</xdr:rowOff>
                  </from>
                  <to>
                    <xdr:col>30</xdr:col>
                    <xdr:colOff>361950</xdr:colOff>
                    <xdr:row>6</xdr:row>
                    <xdr:rowOff>180975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2">
    <tabColor rgb="FF006F71"/>
    <pageSetUpPr fitToPage="1"/>
  </sheetPr>
  <dimension ref="A1:O19"/>
  <sheetViews>
    <sheetView view="pageBreakPreview" zoomScale="60" zoomScaleNormal="115" workbookViewId="0">
      <selection activeCell="C14" sqref="C14:C18"/>
    </sheetView>
  </sheetViews>
  <sheetFormatPr defaultRowHeight="15" x14ac:dyDescent="0.25"/>
  <cols>
    <col min="1" max="1" width="14.28515625" style="351" customWidth="1"/>
    <col min="2" max="2" width="15.140625" style="351" customWidth="1"/>
    <col min="3" max="3" width="16" style="351" customWidth="1"/>
    <col min="4" max="4" width="14.28515625" style="351" customWidth="1"/>
    <col min="5" max="5" width="14" style="351" customWidth="1"/>
    <col min="6" max="6" width="17" style="351" customWidth="1"/>
    <col min="7" max="7" width="14.28515625" style="351" customWidth="1"/>
    <col min="8" max="8" width="9.140625" style="351" customWidth="1"/>
    <col min="9" max="9" width="13.7109375" style="351" bestFit="1" customWidth="1"/>
    <col min="10" max="10" width="18.140625" style="351" customWidth="1"/>
    <col min="11" max="11" width="14.28515625" style="351" customWidth="1"/>
    <col min="12" max="12" width="13.7109375" style="351" bestFit="1" customWidth="1"/>
    <col min="13" max="13" width="14.28515625" style="351" customWidth="1"/>
    <col min="14" max="14" width="13.140625" style="351" customWidth="1"/>
    <col min="15" max="15" width="19.85546875" style="351" customWidth="1"/>
    <col min="16" max="16" width="9.140625" style="351" customWidth="1"/>
    <col min="17" max="16384" width="9.140625" style="351"/>
  </cols>
  <sheetData>
    <row r="1" spans="1:15" s="666" customFormat="1" ht="18" customHeight="1" x14ac:dyDescent="0.2">
      <c r="A1" s="276"/>
      <c r="B1" s="1042" t="str">
        <f>N.GOV</f>
        <v>GOVERNO DO ESTADO DE MATO GROSSO DO SUL</v>
      </c>
      <c r="C1" s="1042"/>
      <c r="D1" s="1042"/>
      <c r="E1" s="1042"/>
      <c r="F1" s="289"/>
      <c r="G1" s="289"/>
      <c r="H1" s="289"/>
      <c r="I1" s="452"/>
      <c r="J1" s="1229"/>
      <c r="K1" s="1229"/>
      <c r="L1" s="1229"/>
      <c r="M1" s="453"/>
      <c r="N1" s="453"/>
      <c r="O1" s="454"/>
    </row>
    <row r="2" spans="1:15" s="666" customFormat="1" ht="17.45" customHeight="1" x14ac:dyDescent="0.2">
      <c r="A2" s="279"/>
      <c r="B2" s="455" t="str" cm="1">
        <f t="array" aca="1" ref="B2" ca="1">N.PREFEITURA</f>
        <v>PREFEITURA MUNICIPAL DE NAVIRAÍ</v>
      </c>
      <c r="C2" s="455"/>
      <c r="D2" s="455"/>
      <c r="E2" s="455"/>
      <c r="F2" s="1181"/>
      <c r="G2" s="1181"/>
      <c r="H2" s="1181"/>
      <c r="I2" s="237"/>
      <c r="J2" s="1181"/>
      <c r="K2" s="1181"/>
      <c r="L2" s="1181"/>
      <c r="M2" s="43"/>
      <c r="N2" s="43"/>
      <c r="O2" s="456"/>
    </row>
    <row r="3" spans="1:15" s="666" customFormat="1" ht="12.75" x14ac:dyDescent="0.2">
      <c r="A3" s="293"/>
      <c r="B3" s="1044" t="str" cm="1">
        <f t="array" aca="1" ref="B3" ca="1">N.SECRETARIA</f>
        <v>SECRETARIA DE PLANEJAMENTO</v>
      </c>
      <c r="C3" s="1044"/>
      <c r="D3" s="1044"/>
      <c r="E3" s="1044"/>
      <c r="F3" s="1018"/>
      <c r="G3" s="1018"/>
      <c r="H3" s="1018"/>
      <c r="I3" s="457"/>
      <c r="J3" s="294"/>
      <c r="K3" s="294"/>
      <c r="L3" s="294"/>
      <c r="M3" s="458"/>
      <c r="N3" s="458"/>
      <c r="O3" s="459"/>
    </row>
    <row r="4" spans="1:15" s="666" customFormat="1" ht="23.45" customHeight="1" x14ac:dyDescent="0.2">
      <c r="A4" s="1004" t="s">
        <v>129</v>
      </c>
      <c r="B4" s="1005"/>
      <c r="C4" s="1005"/>
      <c r="D4" s="1005"/>
      <c r="E4" s="1005"/>
      <c r="F4" s="1005"/>
      <c r="G4" s="1005"/>
      <c r="H4" s="1005"/>
      <c r="I4" s="1005"/>
      <c r="J4" s="1005"/>
      <c r="K4" s="1005"/>
      <c r="L4" s="1005"/>
      <c r="M4" s="1005"/>
      <c r="N4" s="1005"/>
      <c r="O4" s="1006"/>
    </row>
    <row r="5" spans="1:15" s="666" customFormat="1" ht="17.45" customHeight="1" x14ac:dyDescent="0.2">
      <c r="A5" s="193" t="s">
        <v>811</v>
      </c>
      <c r="B5" s="553" t="str">
        <f>N.DESCRICAO</f>
        <v>INFRAESTRUTURA URBANA – PAVIMENTAÇÃO ASFÁLTICA, DRENAGEM, E SINALIZAÇÃO VIÁRIA NO ACESSO AO CEMITERIO MUNICIPAL DE NAVIRAÍ/ MS</v>
      </c>
      <c r="C5" s="243"/>
      <c r="D5" s="243"/>
      <c r="E5" s="243"/>
      <c r="F5" s="243"/>
      <c r="G5" s="243"/>
      <c r="H5" s="243"/>
      <c r="I5" s="243"/>
      <c r="J5" s="243"/>
      <c r="K5" s="243"/>
      <c r="L5" s="243"/>
      <c r="M5" s="244"/>
      <c r="N5" s="247" t="s">
        <v>305</v>
      </c>
      <c r="O5" s="248"/>
    </row>
    <row r="6" spans="1:15" s="666" customFormat="1" ht="12.75" customHeight="1" x14ac:dyDescent="0.2">
      <c r="A6" s="193" t="s">
        <v>799</v>
      </c>
      <c r="B6" s="555" t="str">
        <f ca="1">N.MUNICIPIO</f>
        <v>NAVIRAÍ</v>
      </c>
      <c r="C6" s="245"/>
      <c r="D6" s="245"/>
      <c r="E6" s="245"/>
      <c r="F6" s="245"/>
      <c r="G6" s="245"/>
      <c r="H6" s="245"/>
      <c r="I6" s="245"/>
      <c r="J6" s="245"/>
      <c r="K6" s="245"/>
      <c r="L6" s="245"/>
      <c r="M6" s="246"/>
      <c r="N6" s="1049" t="str">
        <f>N.Engenheiro&amp;"                                 "&amp;N.CREA</f>
        <v>FÁBIO MARQUES RIBEIRO                                 ENGENHEIRO CIVIL - 15.276 D/MS</v>
      </c>
      <c r="O6" s="1050"/>
    </row>
    <row r="7" spans="1:15" s="666" customFormat="1" ht="27" customHeight="1" x14ac:dyDescent="0.2">
      <c r="A7" s="193" t="s">
        <v>798</v>
      </c>
      <c r="B7" s="553" t="str" cm="1">
        <f t="array" ref="B7">N.LOCAL</f>
        <v>AVENIDA JOÃO RIGONATO</v>
      </c>
      <c r="C7" s="243"/>
      <c r="D7" s="243"/>
      <c r="E7" s="243"/>
      <c r="F7" s="243"/>
      <c r="G7" s="243"/>
      <c r="H7" s="243"/>
      <c r="I7" s="243"/>
      <c r="J7" s="243"/>
      <c r="K7" s="243"/>
      <c r="L7" s="243"/>
      <c r="M7" s="244"/>
      <c r="N7" s="1051"/>
      <c r="O7" s="1052"/>
    </row>
    <row r="8" spans="1:15" x14ac:dyDescent="0.25">
      <c r="A8" s="557"/>
      <c r="O8" s="558"/>
    </row>
    <row r="9" spans="1:15" x14ac:dyDescent="0.25">
      <c r="A9" s="557"/>
      <c r="O9" s="558"/>
    </row>
    <row r="10" spans="1:15" x14ac:dyDescent="0.25">
      <c r="A10" s="557"/>
      <c r="O10" s="558"/>
    </row>
    <row r="11" spans="1:15" x14ac:dyDescent="0.25">
      <c r="A11" s="557"/>
      <c r="O11" s="558"/>
    </row>
    <row r="12" spans="1:15" x14ac:dyDescent="0.25">
      <c r="A12" s="1226" t="s">
        <v>1163</v>
      </c>
      <c r="B12" s="1227"/>
      <c r="C12" s="1227"/>
      <c r="D12" s="1227"/>
      <c r="E12" s="1227"/>
      <c r="F12" s="1227"/>
      <c r="G12" s="1227"/>
      <c r="H12" s="1227"/>
      <c r="I12" s="1227"/>
      <c r="J12" s="1227"/>
      <c r="K12" s="1227"/>
      <c r="L12" s="1227"/>
      <c r="M12" s="1227"/>
      <c r="N12" s="1227"/>
      <c r="O12" s="1228"/>
    </row>
    <row r="13" spans="1:15" s="667" customFormat="1" ht="24" customHeight="1" x14ac:dyDescent="0.25">
      <c r="A13" s="467" t="s">
        <v>950</v>
      </c>
      <c r="B13" s="467" t="s">
        <v>951</v>
      </c>
      <c r="C13" s="467" t="s">
        <v>952</v>
      </c>
      <c r="D13" s="467" t="s">
        <v>950</v>
      </c>
      <c r="E13" s="467" t="s">
        <v>953</v>
      </c>
      <c r="F13" s="467" t="s">
        <v>952</v>
      </c>
      <c r="G13" s="467" t="s">
        <v>950</v>
      </c>
      <c r="H13" s="467" t="s">
        <v>953</v>
      </c>
      <c r="I13" s="467" t="s">
        <v>954</v>
      </c>
      <c r="J13" s="467" t="s">
        <v>950</v>
      </c>
      <c r="K13" s="467" t="s">
        <v>953</v>
      </c>
      <c r="L13" s="467" t="s">
        <v>954</v>
      </c>
      <c r="M13" s="467" t="s">
        <v>950</v>
      </c>
      <c r="N13" s="467" t="s">
        <v>953</v>
      </c>
      <c r="O13" s="467" t="s">
        <v>954</v>
      </c>
    </row>
    <row r="14" spans="1:15" ht="75.2" customHeight="1" x14ac:dyDescent="0.25">
      <c r="A14" s="465"/>
      <c r="B14" s="466" t="s">
        <v>1339</v>
      </c>
      <c r="C14" s="466">
        <v>2</v>
      </c>
      <c r="D14" s="465"/>
      <c r="E14" s="466" t="s">
        <v>956</v>
      </c>
      <c r="F14" s="466">
        <v>30</v>
      </c>
      <c r="G14" s="465"/>
      <c r="H14" s="466" t="s">
        <v>960</v>
      </c>
      <c r="I14" s="466">
        <v>1.08</v>
      </c>
      <c r="J14" s="465"/>
      <c r="K14" s="466" t="s">
        <v>961</v>
      </c>
      <c r="L14" s="466">
        <v>16.501571309337809</v>
      </c>
      <c r="M14" s="465"/>
      <c r="N14" s="466" t="s">
        <v>127</v>
      </c>
      <c r="O14" s="466">
        <f>3*2.92+5.752920914</f>
        <v>14.512920913999999</v>
      </c>
    </row>
    <row r="15" spans="1:15" ht="75.2" customHeight="1" x14ac:dyDescent="0.25">
      <c r="A15" s="465"/>
      <c r="B15" s="466" t="s">
        <v>1340</v>
      </c>
      <c r="C15" s="466">
        <v>2</v>
      </c>
      <c r="D15" s="465"/>
      <c r="E15" s="466" t="s">
        <v>1341</v>
      </c>
      <c r="F15" s="466">
        <v>53</v>
      </c>
      <c r="G15" s="465"/>
      <c r="H15" s="466" t="s">
        <v>1343</v>
      </c>
      <c r="I15" s="466">
        <v>1.0524128540269579</v>
      </c>
      <c r="J15" s="465"/>
      <c r="K15" s="466" t="s">
        <v>1344</v>
      </c>
      <c r="L15" s="466">
        <v>11.5305</v>
      </c>
      <c r="M15" s="465"/>
      <c r="N15" s="466" t="s">
        <v>962</v>
      </c>
      <c r="O15" s="466">
        <f>1.087*7+6.525000003</f>
        <v>14.134000003000001</v>
      </c>
    </row>
    <row r="16" spans="1:15" ht="75.2" customHeight="1" x14ac:dyDescent="0.25">
      <c r="A16" s="465"/>
      <c r="B16" s="466" t="s">
        <v>126</v>
      </c>
      <c r="C16" s="466">
        <f>3+4</f>
        <v>7</v>
      </c>
      <c r="D16" s="465"/>
      <c r="E16" s="466" t="s">
        <v>1342</v>
      </c>
      <c r="F16" s="466">
        <v>14</v>
      </c>
      <c r="G16" s="465"/>
      <c r="H16" s="466" t="s">
        <v>966</v>
      </c>
      <c r="I16" s="466">
        <f>7.09701515125258+18</f>
        <v>25.097015151252581</v>
      </c>
      <c r="J16" s="465"/>
      <c r="K16" s="466" t="s">
        <v>1345</v>
      </c>
      <c r="L16" s="466">
        <v>4.5282</v>
      </c>
      <c r="M16" s="465"/>
      <c r="N16" s="466" t="s">
        <v>1348</v>
      </c>
      <c r="O16" s="466">
        <f>1.38*5</f>
        <v>6.8999999999999995</v>
      </c>
    </row>
    <row r="17" spans="1:15" ht="75.2" customHeight="1" x14ac:dyDescent="0.25">
      <c r="A17" s="465"/>
      <c r="B17" s="466" t="s">
        <v>128</v>
      </c>
      <c r="C17" s="466">
        <f>6+6</f>
        <v>12</v>
      </c>
      <c r="D17" s="4"/>
      <c r="E17" s="4"/>
      <c r="F17" s="4"/>
      <c r="G17" s="465"/>
      <c r="H17" s="466" t="s">
        <v>977</v>
      </c>
      <c r="I17" s="466">
        <v>4.1192851305645055</v>
      </c>
      <c r="J17" s="465"/>
      <c r="K17" s="466" t="s">
        <v>1346</v>
      </c>
      <c r="L17" s="466">
        <f>2.498+2.188+8.209</f>
        <v>12.895</v>
      </c>
      <c r="O17" s="558"/>
    </row>
    <row r="18" spans="1:15" ht="81" customHeight="1" x14ac:dyDescent="0.25">
      <c r="A18" s="465"/>
      <c r="B18" s="466" t="s">
        <v>1405</v>
      </c>
      <c r="C18" s="466">
        <v>2</v>
      </c>
      <c r="D18" s="4"/>
      <c r="E18" s="4"/>
      <c r="F18" s="4"/>
      <c r="G18" s="465"/>
      <c r="H18" s="466" t="s">
        <v>978</v>
      </c>
      <c r="I18" s="466">
        <v>12.959999999999999</v>
      </c>
      <c r="J18" s="465"/>
      <c r="K18" s="466" t="s">
        <v>1347</v>
      </c>
      <c r="L18" s="466">
        <f>3.96+2.033</f>
        <v>5.9930000000000003</v>
      </c>
      <c r="O18" s="559"/>
    </row>
    <row r="19" spans="1:15" ht="61.5" customHeight="1" x14ac:dyDescent="0.25">
      <c r="A19" s="465"/>
      <c r="B19" s="466" t="s">
        <v>1404</v>
      </c>
      <c r="C19" s="466">
        <v>5</v>
      </c>
      <c r="G19" s="465"/>
      <c r="H19" s="466" t="s">
        <v>963</v>
      </c>
      <c r="I19" s="466">
        <v>17.04</v>
      </c>
      <c r="J19" s="465"/>
      <c r="K19" s="466" t="s">
        <v>959</v>
      </c>
      <c r="L19" s="466">
        <v>65.600000001207121</v>
      </c>
      <c r="O19" s="558"/>
    </row>
  </sheetData>
  <mergeCells count="9">
    <mergeCell ref="N6:O7"/>
    <mergeCell ref="A4:O4"/>
    <mergeCell ref="A12:O12"/>
    <mergeCell ref="B1:E1"/>
    <mergeCell ref="J1:L1"/>
    <mergeCell ref="F2:H2"/>
    <mergeCell ref="J2:L2"/>
    <mergeCell ref="B3:E3"/>
    <mergeCell ref="F3:H3"/>
  </mergeCells>
  <phoneticPr fontId="3" type="noConversion"/>
  <pageMargins left="0.511811024" right="0.511811024" top="0.78740157499999996" bottom="0.78740157499999996" header="0.31496062000000002" footer="0.31496062000000002"/>
  <pageSetup paperSize="9" scale="61" fitToHeight="0" orientation="landscape" r:id="rId1"/>
  <colBreaks count="1" manualBreakCount="1">
    <brk id="16" max="1048575" man="1"/>
  </colBreaks>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5">
    <tabColor rgb="FF006F71"/>
  </sheetPr>
  <dimension ref="A1:J20"/>
  <sheetViews>
    <sheetView workbookViewId="0">
      <selection activeCell="B25" sqref="B25"/>
    </sheetView>
  </sheetViews>
  <sheetFormatPr defaultColWidth="12.28515625" defaultRowHeight="12.75" x14ac:dyDescent="0.2"/>
  <cols>
    <col min="1" max="1" width="22.5703125" style="666" customWidth="1"/>
    <col min="2" max="2" width="30.140625" style="666" customWidth="1"/>
    <col min="3" max="3" width="19.5703125" style="666" customWidth="1"/>
    <col min="4" max="4" width="30.28515625" style="666" customWidth="1"/>
    <col min="5" max="5" width="10.85546875" style="666" customWidth="1"/>
    <col min="6" max="6" width="9.28515625" style="666" customWidth="1"/>
    <col min="7" max="7" width="15" style="666" customWidth="1"/>
    <col min="8" max="8" width="27.140625" style="666" customWidth="1"/>
    <col min="9" max="9" width="21.28515625" style="668" customWidth="1"/>
    <col min="10" max="10" width="19.85546875" style="668" customWidth="1"/>
    <col min="11" max="249" width="12.28515625" style="666"/>
    <col min="250" max="250" width="17.7109375" style="666" customWidth="1"/>
    <col min="251" max="251" width="8.140625" style="666" bestFit="1" customWidth="1"/>
    <col min="252" max="252" width="6.140625" style="666" customWidth="1"/>
    <col min="253" max="253" width="7.85546875" style="666" customWidth="1"/>
    <col min="254" max="256" width="9" style="666" bestFit="1" customWidth="1"/>
    <col min="257" max="257" width="14.42578125" style="666" customWidth="1"/>
    <col min="258" max="258" width="11.7109375" style="666" customWidth="1"/>
    <col min="259" max="259" width="9" style="666" bestFit="1" customWidth="1"/>
    <col min="260" max="261" width="8.140625" style="666" bestFit="1" customWidth="1"/>
    <col min="262" max="262" width="8.7109375" style="666" bestFit="1" customWidth="1"/>
    <col min="263" max="263" width="9" style="666" bestFit="1" customWidth="1"/>
    <col min="264" max="264" width="7.85546875" style="666" bestFit="1" customWidth="1"/>
    <col min="265" max="505" width="12.28515625" style="666"/>
    <col min="506" max="506" width="17.7109375" style="666" customWidth="1"/>
    <col min="507" max="507" width="8.140625" style="666" bestFit="1" customWidth="1"/>
    <col min="508" max="508" width="6.140625" style="666" customWidth="1"/>
    <col min="509" max="509" width="7.85546875" style="666" customWidth="1"/>
    <col min="510" max="512" width="9" style="666" bestFit="1" customWidth="1"/>
    <col min="513" max="513" width="14.42578125" style="666" customWidth="1"/>
    <col min="514" max="514" width="11.7109375" style="666" customWidth="1"/>
    <col min="515" max="515" width="9" style="666" bestFit="1" customWidth="1"/>
    <col min="516" max="517" width="8.140625" style="666" bestFit="1" customWidth="1"/>
    <col min="518" max="518" width="8.7109375" style="666" bestFit="1" customWidth="1"/>
    <col min="519" max="519" width="9" style="666" bestFit="1" customWidth="1"/>
    <col min="520" max="520" width="7.85546875" style="666" bestFit="1" customWidth="1"/>
    <col min="521" max="761" width="12.28515625" style="666"/>
    <col min="762" max="762" width="17.7109375" style="666" customWidth="1"/>
    <col min="763" max="763" width="8.140625" style="666" bestFit="1" customWidth="1"/>
    <col min="764" max="764" width="6.140625" style="666" customWidth="1"/>
    <col min="765" max="765" width="7.85546875" style="666" customWidth="1"/>
    <col min="766" max="768" width="9" style="666" bestFit="1" customWidth="1"/>
    <col min="769" max="769" width="14.42578125" style="666" customWidth="1"/>
    <col min="770" max="770" width="11.7109375" style="666" customWidth="1"/>
    <col min="771" max="771" width="9" style="666" bestFit="1" customWidth="1"/>
    <col min="772" max="773" width="8.140625" style="666" bestFit="1" customWidth="1"/>
    <col min="774" max="774" width="8.7109375" style="666" bestFit="1" customWidth="1"/>
    <col min="775" max="775" width="9" style="666" bestFit="1" customWidth="1"/>
    <col min="776" max="776" width="7.85546875" style="666" bestFit="1" customWidth="1"/>
    <col min="777" max="1017" width="12.28515625" style="666"/>
    <col min="1018" max="1018" width="17.7109375" style="666" customWidth="1"/>
    <col min="1019" max="1019" width="8.140625" style="666" bestFit="1" customWidth="1"/>
    <col min="1020" max="1020" width="6.140625" style="666" customWidth="1"/>
    <col min="1021" max="1021" width="7.85546875" style="666" customWidth="1"/>
    <col min="1022" max="1024" width="9" style="666" bestFit="1" customWidth="1"/>
    <col min="1025" max="1025" width="14.42578125" style="666" customWidth="1"/>
    <col min="1026" max="1026" width="11.7109375" style="666" customWidth="1"/>
    <col min="1027" max="1027" width="9" style="666" bestFit="1" customWidth="1"/>
    <col min="1028" max="1029" width="8.140625" style="666" bestFit="1" customWidth="1"/>
    <col min="1030" max="1030" width="8.7109375" style="666" bestFit="1" customWidth="1"/>
    <col min="1031" max="1031" width="9" style="666" bestFit="1" customWidth="1"/>
    <col min="1032" max="1032" width="7.85546875" style="666" bestFit="1" customWidth="1"/>
    <col min="1033" max="1273" width="12.28515625" style="666"/>
    <col min="1274" max="1274" width="17.7109375" style="666" customWidth="1"/>
    <col min="1275" max="1275" width="8.140625" style="666" bestFit="1" customWidth="1"/>
    <col min="1276" max="1276" width="6.140625" style="666" customWidth="1"/>
    <col min="1277" max="1277" width="7.85546875" style="666" customWidth="1"/>
    <col min="1278" max="1280" width="9" style="666" bestFit="1" customWidth="1"/>
    <col min="1281" max="1281" width="14.42578125" style="666" customWidth="1"/>
    <col min="1282" max="1282" width="11.7109375" style="666" customWidth="1"/>
    <col min="1283" max="1283" width="9" style="666" bestFit="1" customWidth="1"/>
    <col min="1284" max="1285" width="8.140625" style="666" bestFit="1" customWidth="1"/>
    <col min="1286" max="1286" width="8.7109375" style="666" bestFit="1" customWidth="1"/>
    <col min="1287" max="1287" width="9" style="666" bestFit="1" customWidth="1"/>
    <col min="1288" max="1288" width="7.85546875" style="666" bestFit="1" customWidth="1"/>
    <col min="1289" max="1529" width="12.28515625" style="666"/>
    <col min="1530" max="1530" width="17.7109375" style="666" customWidth="1"/>
    <col min="1531" max="1531" width="8.140625" style="666" bestFit="1" customWidth="1"/>
    <col min="1532" max="1532" width="6.140625" style="666" customWidth="1"/>
    <col min="1533" max="1533" width="7.85546875" style="666" customWidth="1"/>
    <col min="1534" max="1536" width="9" style="666" bestFit="1" customWidth="1"/>
    <col min="1537" max="1537" width="14.42578125" style="666" customWidth="1"/>
    <col min="1538" max="1538" width="11.7109375" style="666" customWidth="1"/>
    <col min="1539" max="1539" width="9" style="666" bestFit="1" customWidth="1"/>
    <col min="1540" max="1541" width="8.140625" style="666" bestFit="1" customWidth="1"/>
    <col min="1542" max="1542" width="8.7109375" style="666" bestFit="1" customWidth="1"/>
    <col min="1543" max="1543" width="9" style="666" bestFit="1" customWidth="1"/>
    <col min="1544" max="1544" width="7.85546875" style="666" bestFit="1" customWidth="1"/>
    <col min="1545" max="1785" width="12.28515625" style="666"/>
    <col min="1786" max="1786" width="17.7109375" style="666" customWidth="1"/>
    <col min="1787" max="1787" width="8.140625" style="666" bestFit="1" customWidth="1"/>
    <col min="1788" max="1788" width="6.140625" style="666" customWidth="1"/>
    <col min="1789" max="1789" width="7.85546875" style="666" customWidth="1"/>
    <col min="1790" max="1792" width="9" style="666" bestFit="1" customWidth="1"/>
    <col min="1793" max="1793" width="14.42578125" style="666" customWidth="1"/>
    <col min="1794" max="1794" width="11.7109375" style="666" customWidth="1"/>
    <col min="1795" max="1795" width="9" style="666" bestFit="1" customWidth="1"/>
    <col min="1796" max="1797" width="8.140625" style="666" bestFit="1" customWidth="1"/>
    <col min="1798" max="1798" width="8.7109375" style="666" bestFit="1" customWidth="1"/>
    <col min="1799" max="1799" width="9" style="666" bestFit="1" customWidth="1"/>
    <col min="1800" max="1800" width="7.85546875" style="666" bestFit="1" customWidth="1"/>
    <col min="1801" max="2041" width="12.28515625" style="666"/>
    <col min="2042" max="2042" width="17.7109375" style="666" customWidth="1"/>
    <col min="2043" max="2043" width="8.140625" style="666" bestFit="1" customWidth="1"/>
    <col min="2044" max="2044" width="6.140625" style="666" customWidth="1"/>
    <col min="2045" max="2045" width="7.85546875" style="666" customWidth="1"/>
    <col min="2046" max="2048" width="9" style="666" bestFit="1" customWidth="1"/>
    <col min="2049" max="2049" width="14.42578125" style="666" customWidth="1"/>
    <col min="2050" max="2050" width="11.7109375" style="666" customWidth="1"/>
    <col min="2051" max="2051" width="9" style="666" bestFit="1" customWidth="1"/>
    <col min="2052" max="2053" width="8.140625" style="666" bestFit="1" customWidth="1"/>
    <col min="2054" max="2054" width="8.7109375" style="666" bestFit="1" customWidth="1"/>
    <col min="2055" max="2055" width="9" style="666" bestFit="1" customWidth="1"/>
    <col min="2056" max="2056" width="7.85546875" style="666" bestFit="1" customWidth="1"/>
    <col min="2057" max="2297" width="12.28515625" style="666"/>
    <col min="2298" max="2298" width="17.7109375" style="666" customWidth="1"/>
    <col min="2299" max="2299" width="8.140625" style="666" bestFit="1" customWidth="1"/>
    <col min="2300" max="2300" width="6.140625" style="666" customWidth="1"/>
    <col min="2301" max="2301" width="7.85546875" style="666" customWidth="1"/>
    <col min="2302" max="2304" width="9" style="666" bestFit="1" customWidth="1"/>
    <col min="2305" max="2305" width="14.42578125" style="666" customWidth="1"/>
    <col min="2306" max="2306" width="11.7109375" style="666" customWidth="1"/>
    <col min="2307" max="2307" width="9" style="666" bestFit="1" customWidth="1"/>
    <col min="2308" max="2309" width="8.140625" style="666" bestFit="1" customWidth="1"/>
    <col min="2310" max="2310" width="8.7109375" style="666" bestFit="1" customWidth="1"/>
    <col min="2311" max="2311" width="9" style="666" bestFit="1" customWidth="1"/>
    <col min="2312" max="2312" width="7.85546875" style="666" bestFit="1" customWidth="1"/>
    <col min="2313" max="2553" width="12.28515625" style="666"/>
    <col min="2554" max="2554" width="17.7109375" style="666" customWidth="1"/>
    <col min="2555" max="2555" width="8.140625" style="666" bestFit="1" customWidth="1"/>
    <col min="2556" max="2556" width="6.140625" style="666" customWidth="1"/>
    <col min="2557" max="2557" width="7.85546875" style="666" customWidth="1"/>
    <col min="2558" max="2560" width="9" style="666" bestFit="1" customWidth="1"/>
    <col min="2561" max="2561" width="14.42578125" style="666" customWidth="1"/>
    <col min="2562" max="2562" width="11.7109375" style="666" customWidth="1"/>
    <col min="2563" max="2563" width="9" style="666" bestFit="1" customWidth="1"/>
    <col min="2564" max="2565" width="8.140625" style="666" bestFit="1" customWidth="1"/>
    <col min="2566" max="2566" width="8.7109375" style="666" bestFit="1" customWidth="1"/>
    <col min="2567" max="2567" width="9" style="666" bestFit="1" customWidth="1"/>
    <col min="2568" max="2568" width="7.85546875" style="666" bestFit="1" customWidth="1"/>
    <col min="2569" max="2809" width="12.28515625" style="666"/>
    <col min="2810" max="2810" width="17.7109375" style="666" customWidth="1"/>
    <col min="2811" max="2811" width="8.140625" style="666" bestFit="1" customWidth="1"/>
    <col min="2812" max="2812" width="6.140625" style="666" customWidth="1"/>
    <col min="2813" max="2813" width="7.85546875" style="666" customWidth="1"/>
    <col min="2814" max="2816" width="9" style="666" bestFit="1" customWidth="1"/>
    <col min="2817" max="2817" width="14.42578125" style="666" customWidth="1"/>
    <col min="2818" max="2818" width="11.7109375" style="666" customWidth="1"/>
    <col min="2819" max="2819" width="9" style="666" bestFit="1" customWidth="1"/>
    <col min="2820" max="2821" width="8.140625" style="666" bestFit="1" customWidth="1"/>
    <col min="2822" max="2822" width="8.7109375" style="666" bestFit="1" customWidth="1"/>
    <col min="2823" max="2823" width="9" style="666" bestFit="1" customWidth="1"/>
    <col min="2824" max="2824" width="7.85546875" style="666" bestFit="1" customWidth="1"/>
    <col min="2825" max="3065" width="12.28515625" style="666"/>
    <col min="3066" max="3066" width="17.7109375" style="666" customWidth="1"/>
    <col min="3067" max="3067" width="8.140625" style="666" bestFit="1" customWidth="1"/>
    <col min="3068" max="3068" width="6.140625" style="666" customWidth="1"/>
    <col min="3069" max="3069" width="7.85546875" style="666" customWidth="1"/>
    <col min="3070" max="3072" width="9" style="666" bestFit="1" customWidth="1"/>
    <col min="3073" max="3073" width="14.42578125" style="666" customWidth="1"/>
    <col min="3074" max="3074" width="11.7109375" style="666" customWidth="1"/>
    <col min="3075" max="3075" width="9" style="666" bestFit="1" customWidth="1"/>
    <col min="3076" max="3077" width="8.140625" style="666" bestFit="1" customWidth="1"/>
    <col min="3078" max="3078" width="8.7109375" style="666" bestFit="1" customWidth="1"/>
    <col min="3079" max="3079" width="9" style="666" bestFit="1" customWidth="1"/>
    <col min="3080" max="3080" width="7.85546875" style="666" bestFit="1" customWidth="1"/>
    <col min="3081" max="3321" width="12.28515625" style="666"/>
    <col min="3322" max="3322" width="17.7109375" style="666" customWidth="1"/>
    <col min="3323" max="3323" width="8.140625" style="666" bestFit="1" customWidth="1"/>
    <col min="3324" max="3324" width="6.140625" style="666" customWidth="1"/>
    <col min="3325" max="3325" width="7.85546875" style="666" customWidth="1"/>
    <col min="3326" max="3328" width="9" style="666" bestFit="1" customWidth="1"/>
    <col min="3329" max="3329" width="14.42578125" style="666" customWidth="1"/>
    <col min="3330" max="3330" width="11.7109375" style="666" customWidth="1"/>
    <col min="3331" max="3331" width="9" style="666" bestFit="1" customWidth="1"/>
    <col min="3332" max="3333" width="8.140625" style="666" bestFit="1" customWidth="1"/>
    <col min="3334" max="3334" width="8.7109375" style="666" bestFit="1" customWidth="1"/>
    <col min="3335" max="3335" width="9" style="666" bestFit="1" customWidth="1"/>
    <col min="3336" max="3336" width="7.85546875" style="666" bestFit="1" customWidth="1"/>
    <col min="3337" max="3577" width="12.28515625" style="666"/>
    <col min="3578" max="3578" width="17.7109375" style="666" customWidth="1"/>
    <col min="3579" max="3579" width="8.140625" style="666" bestFit="1" customWidth="1"/>
    <col min="3580" max="3580" width="6.140625" style="666" customWidth="1"/>
    <col min="3581" max="3581" width="7.85546875" style="666" customWidth="1"/>
    <col min="3582" max="3584" width="9" style="666" bestFit="1" customWidth="1"/>
    <col min="3585" max="3585" width="14.42578125" style="666" customWidth="1"/>
    <col min="3586" max="3586" width="11.7109375" style="666" customWidth="1"/>
    <col min="3587" max="3587" width="9" style="666" bestFit="1" customWidth="1"/>
    <col min="3588" max="3589" width="8.140625" style="666" bestFit="1" customWidth="1"/>
    <col min="3590" max="3590" width="8.7109375" style="666" bestFit="1" customWidth="1"/>
    <col min="3591" max="3591" width="9" style="666" bestFit="1" customWidth="1"/>
    <col min="3592" max="3592" width="7.85546875" style="666" bestFit="1" customWidth="1"/>
    <col min="3593" max="3833" width="12.28515625" style="666"/>
    <col min="3834" max="3834" width="17.7109375" style="666" customWidth="1"/>
    <col min="3835" max="3835" width="8.140625" style="666" bestFit="1" customWidth="1"/>
    <col min="3836" max="3836" width="6.140625" style="666" customWidth="1"/>
    <col min="3837" max="3837" width="7.85546875" style="666" customWidth="1"/>
    <col min="3838" max="3840" width="9" style="666" bestFit="1" customWidth="1"/>
    <col min="3841" max="3841" width="14.42578125" style="666" customWidth="1"/>
    <col min="3842" max="3842" width="11.7109375" style="666" customWidth="1"/>
    <col min="3843" max="3843" width="9" style="666" bestFit="1" customWidth="1"/>
    <col min="3844" max="3845" width="8.140625" style="666" bestFit="1" customWidth="1"/>
    <col min="3846" max="3846" width="8.7109375" style="666" bestFit="1" customWidth="1"/>
    <col min="3847" max="3847" width="9" style="666" bestFit="1" customWidth="1"/>
    <col min="3848" max="3848" width="7.85546875" style="666" bestFit="1" customWidth="1"/>
    <col min="3849" max="4089" width="12.28515625" style="666"/>
    <col min="4090" max="4090" width="17.7109375" style="666" customWidth="1"/>
    <col min="4091" max="4091" width="8.140625" style="666" bestFit="1" customWidth="1"/>
    <col min="4092" max="4092" width="6.140625" style="666" customWidth="1"/>
    <col min="4093" max="4093" width="7.85546875" style="666" customWidth="1"/>
    <col min="4094" max="4096" width="9" style="666" bestFit="1" customWidth="1"/>
    <col min="4097" max="4097" width="14.42578125" style="666" customWidth="1"/>
    <col min="4098" max="4098" width="11.7109375" style="666" customWidth="1"/>
    <col min="4099" max="4099" width="9" style="666" bestFit="1" customWidth="1"/>
    <col min="4100" max="4101" width="8.140625" style="666" bestFit="1" customWidth="1"/>
    <col min="4102" max="4102" width="8.7109375" style="666" bestFit="1" customWidth="1"/>
    <col min="4103" max="4103" width="9" style="666" bestFit="1" customWidth="1"/>
    <col min="4104" max="4104" width="7.85546875" style="666" bestFit="1" customWidth="1"/>
    <col min="4105" max="4345" width="12.28515625" style="666"/>
    <col min="4346" max="4346" width="17.7109375" style="666" customWidth="1"/>
    <col min="4347" max="4347" width="8.140625" style="666" bestFit="1" customWidth="1"/>
    <col min="4348" max="4348" width="6.140625" style="666" customWidth="1"/>
    <col min="4349" max="4349" width="7.85546875" style="666" customWidth="1"/>
    <col min="4350" max="4352" width="9" style="666" bestFit="1" customWidth="1"/>
    <col min="4353" max="4353" width="14.42578125" style="666" customWidth="1"/>
    <col min="4354" max="4354" width="11.7109375" style="666" customWidth="1"/>
    <col min="4355" max="4355" width="9" style="666" bestFit="1" customWidth="1"/>
    <col min="4356" max="4357" width="8.140625" style="666" bestFit="1" customWidth="1"/>
    <col min="4358" max="4358" width="8.7109375" style="666" bestFit="1" customWidth="1"/>
    <col min="4359" max="4359" width="9" style="666" bestFit="1" customWidth="1"/>
    <col min="4360" max="4360" width="7.85546875" style="666" bestFit="1" customWidth="1"/>
    <col min="4361" max="4601" width="12.28515625" style="666"/>
    <col min="4602" max="4602" width="17.7109375" style="666" customWidth="1"/>
    <col min="4603" max="4603" width="8.140625" style="666" bestFit="1" customWidth="1"/>
    <col min="4604" max="4604" width="6.140625" style="666" customWidth="1"/>
    <col min="4605" max="4605" width="7.85546875" style="666" customWidth="1"/>
    <col min="4606" max="4608" width="9" style="666" bestFit="1" customWidth="1"/>
    <col min="4609" max="4609" width="14.42578125" style="666" customWidth="1"/>
    <col min="4610" max="4610" width="11.7109375" style="666" customWidth="1"/>
    <col min="4611" max="4611" width="9" style="666" bestFit="1" customWidth="1"/>
    <col min="4612" max="4613" width="8.140625" style="666" bestFit="1" customWidth="1"/>
    <col min="4614" max="4614" width="8.7109375" style="666" bestFit="1" customWidth="1"/>
    <col min="4615" max="4615" width="9" style="666" bestFit="1" customWidth="1"/>
    <col min="4616" max="4616" width="7.85546875" style="666" bestFit="1" customWidth="1"/>
    <col min="4617" max="4857" width="12.28515625" style="666"/>
    <col min="4858" max="4858" width="17.7109375" style="666" customWidth="1"/>
    <col min="4859" max="4859" width="8.140625" style="666" bestFit="1" customWidth="1"/>
    <col min="4860" max="4860" width="6.140625" style="666" customWidth="1"/>
    <col min="4861" max="4861" width="7.85546875" style="666" customWidth="1"/>
    <col min="4862" max="4864" width="9" style="666" bestFit="1" customWidth="1"/>
    <col min="4865" max="4865" width="14.42578125" style="666" customWidth="1"/>
    <col min="4866" max="4866" width="11.7109375" style="666" customWidth="1"/>
    <col min="4867" max="4867" width="9" style="666" bestFit="1" customWidth="1"/>
    <col min="4868" max="4869" width="8.140625" style="666" bestFit="1" customWidth="1"/>
    <col min="4870" max="4870" width="8.7109375" style="666" bestFit="1" customWidth="1"/>
    <col min="4871" max="4871" width="9" style="666" bestFit="1" customWidth="1"/>
    <col min="4872" max="4872" width="7.85546875" style="666" bestFit="1" customWidth="1"/>
    <col min="4873" max="5113" width="12.28515625" style="666"/>
    <col min="5114" max="5114" width="17.7109375" style="666" customWidth="1"/>
    <col min="5115" max="5115" width="8.140625" style="666" bestFit="1" customWidth="1"/>
    <col min="5116" max="5116" width="6.140625" style="666" customWidth="1"/>
    <col min="5117" max="5117" width="7.85546875" style="666" customWidth="1"/>
    <col min="5118" max="5120" width="9" style="666" bestFit="1" customWidth="1"/>
    <col min="5121" max="5121" width="14.42578125" style="666" customWidth="1"/>
    <col min="5122" max="5122" width="11.7109375" style="666" customWidth="1"/>
    <col min="5123" max="5123" width="9" style="666" bestFit="1" customWidth="1"/>
    <col min="5124" max="5125" width="8.140625" style="666" bestFit="1" customWidth="1"/>
    <col min="5126" max="5126" width="8.7109375" style="666" bestFit="1" customWidth="1"/>
    <col min="5127" max="5127" width="9" style="666" bestFit="1" customWidth="1"/>
    <col min="5128" max="5128" width="7.85546875" style="666" bestFit="1" customWidth="1"/>
    <col min="5129" max="5369" width="12.28515625" style="666"/>
    <col min="5370" max="5370" width="17.7109375" style="666" customWidth="1"/>
    <col min="5371" max="5371" width="8.140625" style="666" bestFit="1" customWidth="1"/>
    <col min="5372" max="5372" width="6.140625" style="666" customWidth="1"/>
    <col min="5373" max="5373" width="7.85546875" style="666" customWidth="1"/>
    <col min="5374" max="5376" width="9" style="666" bestFit="1" customWidth="1"/>
    <col min="5377" max="5377" width="14.42578125" style="666" customWidth="1"/>
    <col min="5378" max="5378" width="11.7109375" style="666" customWidth="1"/>
    <col min="5379" max="5379" width="9" style="666" bestFit="1" customWidth="1"/>
    <col min="5380" max="5381" width="8.140625" style="666" bestFit="1" customWidth="1"/>
    <col min="5382" max="5382" width="8.7109375" style="666" bestFit="1" customWidth="1"/>
    <col min="5383" max="5383" width="9" style="666" bestFit="1" customWidth="1"/>
    <col min="5384" max="5384" width="7.85546875" style="666" bestFit="1" customWidth="1"/>
    <col min="5385" max="5625" width="12.28515625" style="666"/>
    <col min="5626" max="5626" width="17.7109375" style="666" customWidth="1"/>
    <col min="5627" max="5627" width="8.140625" style="666" bestFit="1" customWidth="1"/>
    <col min="5628" max="5628" width="6.140625" style="666" customWidth="1"/>
    <col min="5629" max="5629" width="7.85546875" style="666" customWidth="1"/>
    <col min="5630" max="5632" width="9" style="666" bestFit="1" customWidth="1"/>
    <col min="5633" max="5633" width="14.42578125" style="666" customWidth="1"/>
    <col min="5634" max="5634" width="11.7109375" style="666" customWidth="1"/>
    <col min="5635" max="5635" width="9" style="666" bestFit="1" customWidth="1"/>
    <col min="5636" max="5637" width="8.140625" style="666" bestFit="1" customWidth="1"/>
    <col min="5638" max="5638" width="8.7109375" style="666" bestFit="1" customWidth="1"/>
    <col min="5639" max="5639" width="9" style="666" bestFit="1" customWidth="1"/>
    <col min="5640" max="5640" width="7.85546875" style="666" bestFit="1" customWidth="1"/>
    <col min="5641" max="5881" width="12.28515625" style="666"/>
    <col min="5882" max="5882" width="17.7109375" style="666" customWidth="1"/>
    <col min="5883" max="5883" width="8.140625" style="666" bestFit="1" customWidth="1"/>
    <col min="5884" max="5884" width="6.140625" style="666" customWidth="1"/>
    <col min="5885" max="5885" width="7.85546875" style="666" customWidth="1"/>
    <col min="5886" max="5888" width="9" style="666" bestFit="1" customWidth="1"/>
    <col min="5889" max="5889" width="14.42578125" style="666" customWidth="1"/>
    <col min="5890" max="5890" width="11.7109375" style="666" customWidth="1"/>
    <col min="5891" max="5891" width="9" style="666" bestFit="1" customWidth="1"/>
    <col min="5892" max="5893" width="8.140625" style="666" bestFit="1" customWidth="1"/>
    <col min="5894" max="5894" width="8.7109375" style="666" bestFit="1" customWidth="1"/>
    <col min="5895" max="5895" width="9" style="666" bestFit="1" customWidth="1"/>
    <col min="5896" max="5896" width="7.85546875" style="666" bestFit="1" customWidth="1"/>
    <col min="5897" max="6137" width="12.28515625" style="666"/>
    <col min="6138" max="6138" width="17.7109375" style="666" customWidth="1"/>
    <col min="6139" max="6139" width="8.140625" style="666" bestFit="1" customWidth="1"/>
    <col min="6140" max="6140" width="6.140625" style="666" customWidth="1"/>
    <col min="6141" max="6141" width="7.85546875" style="666" customWidth="1"/>
    <col min="6142" max="6144" width="9" style="666" bestFit="1" customWidth="1"/>
    <col min="6145" max="6145" width="14.42578125" style="666" customWidth="1"/>
    <col min="6146" max="6146" width="11.7109375" style="666" customWidth="1"/>
    <col min="6147" max="6147" width="9" style="666" bestFit="1" customWidth="1"/>
    <col min="6148" max="6149" width="8.140625" style="666" bestFit="1" customWidth="1"/>
    <col min="6150" max="6150" width="8.7109375" style="666" bestFit="1" customWidth="1"/>
    <col min="6151" max="6151" width="9" style="666" bestFit="1" customWidth="1"/>
    <col min="6152" max="6152" width="7.85546875" style="666" bestFit="1" customWidth="1"/>
    <col min="6153" max="6393" width="12.28515625" style="666"/>
    <col min="6394" max="6394" width="17.7109375" style="666" customWidth="1"/>
    <col min="6395" max="6395" width="8.140625" style="666" bestFit="1" customWidth="1"/>
    <col min="6396" max="6396" width="6.140625" style="666" customWidth="1"/>
    <col min="6397" max="6397" width="7.85546875" style="666" customWidth="1"/>
    <col min="6398" max="6400" width="9" style="666" bestFit="1" customWidth="1"/>
    <col min="6401" max="6401" width="14.42578125" style="666" customWidth="1"/>
    <col min="6402" max="6402" width="11.7109375" style="666" customWidth="1"/>
    <col min="6403" max="6403" width="9" style="666" bestFit="1" customWidth="1"/>
    <col min="6404" max="6405" width="8.140625" style="666" bestFit="1" customWidth="1"/>
    <col min="6406" max="6406" width="8.7109375" style="666" bestFit="1" customWidth="1"/>
    <col min="6407" max="6407" width="9" style="666" bestFit="1" customWidth="1"/>
    <col min="6408" max="6408" width="7.85546875" style="666" bestFit="1" customWidth="1"/>
    <col min="6409" max="6649" width="12.28515625" style="666"/>
    <col min="6650" max="6650" width="17.7109375" style="666" customWidth="1"/>
    <col min="6651" max="6651" width="8.140625" style="666" bestFit="1" customWidth="1"/>
    <col min="6652" max="6652" width="6.140625" style="666" customWidth="1"/>
    <col min="6653" max="6653" width="7.85546875" style="666" customWidth="1"/>
    <col min="6654" max="6656" width="9" style="666" bestFit="1" customWidth="1"/>
    <col min="6657" max="6657" width="14.42578125" style="666" customWidth="1"/>
    <col min="6658" max="6658" width="11.7109375" style="666" customWidth="1"/>
    <col min="6659" max="6659" width="9" style="666" bestFit="1" customWidth="1"/>
    <col min="6660" max="6661" width="8.140625" style="666" bestFit="1" customWidth="1"/>
    <col min="6662" max="6662" width="8.7109375" style="666" bestFit="1" customWidth="1"/>
    <col min="6663" max="6663" width="9" style="666" bestFit="1" customWidth="1"/>
    <col min="6664" max="6664" width="7.85546875" style="666" bestFit="1" customWidth="1"/>
    <col min="6665" max="6905" width="12.28515625" style="666"/>
    <col min="6906" max="6906" width="17.7109375" style="666" customWidth="1"/>
    <col min="6907" max="6907" width="8.140625" style="666" bestFit="1" customWidth="1"/>
    <col min="6908" max="6908" width="6.140625" style="666" customWidth="1"/>
    <col min="6909" max="6909" width="7.85546875" style="666" customWidth="1"/>
    <col min="6910" max="6912" width="9" style="666" bestFit="1" customWidth="1"/>
    <col min="6913" max="6913" width="14.42578125" style="666" customWidth="1"/>
    <col min="6914" max="6914" width="11.7109375" style="666" customWidth="1"/>
    <col min="6915" max="6915" width="9" style="666" bestFit="1" customWidth="1"/>
    <col min="6916" max="6917" width="8.140625" style="666" bestFit="1" customWidth="1"/>
    <col min="6918" max="6918" width="8.7109375" style="666" bestFit="1" customWidth="1"/>
    <col min="6919" max="6919" width="9" style="666" bestFit="1" customWidth="1"/>
    <col min="6920" max="6920" width="7.85546875" style="666" bestFit="1" customWidth="1"/>
    <col min="6921" max="7161" width="12.28515625" style="666"/>
    <col min="7162" max="7162" width="17.7109375" style="666" customWidth="1"/>
    <col min="7163" max="7163" width="8.140625" style="666" bestFit="1" customWidth="1"/>
    <col min="7164" max="7164" width="6.140625" style="666" customWidth="1"/>
    <col min="7165" max="7165" width="7.85546875" style="666" customWidth="1"/>
    <col min="7166" max="7168" width="9" style="666" bestFit="1" customWidth="1"/>
    <col min="7169" max="7169" width="14.42578125" style="666" customWidth="1"/>
    <col min="7170" max="7170" width="11.7109375" style="666" customWidth="1"/>
    <col min="7171" max="7171" width="9" style="666" bestFit="1" customWidth="1"/>
    <col min="7172" max="7173" width="8.140625" style="666" bestFit="1" customWidth="1"/>
    <col min="7174" max="7174" width="8.7109375" style="666" bestFit="1" customWidth="1"/>
    <col min="7175" max="7175" width="9" style="666" bestFit="1" customWidth="1"/>
    <col min="7176" max="7176" width="7.85546875" style="666" bestFit="1" customWidth="1"/>
    <col min="7177" max="7417" width="12.28515625" style="666"/>
    <col min="7418" max="7418" width="17.7109375" style="666" customWidth="1"/>
    <col min="7419" max="7419" width="8.140625" style="666" bestFit="1" customWidth="1"/>
    <col min="7420" max="7420" width="6.140625" style="666" customWidth="1"/>
    <col min="7421" max="7421" width="7.85546875" style="666" customWidth="1"/>
    <col min="7422" max="7424" width="9" style="666" bestFit="1" customWidth="1"/>
    <col min="7425" max="7425" width="14.42578125" style="666" customWidth="1"/>
    <col min="7426" max="7426" width="11.7109375" style="666" customWidth="1"/>
    <col min="7427" max="7427" width="9" style="666" bestFit="1" customWidth="1"/>
    <col min="7428" max="7429" width="8.140625" style="666" bestFit="1" customWidth="1"/>
    <col min="7430" max="7430" width="8.7109375" style="666" bestFit="1" customWidth="1"/>
    <col min="7431" max="7431" width="9" style="666" bestFit="1" customWidth="1"/>
    <col min="7432" max="7432" width="7.85546875" style="666" bestFit="1" customWidth="1"/>
    <col min="7433" max="7673" width="12.28515625" style="666"/>
    <col min="7674" max="7674" width="17.7109375" style="666" customWidth="1"/>
    <col min="7675" max="7675" width="8.140625" style="666" bestFit="1" customWidth="1"/>
    <col min="7676" max="7676" width="6.140625" style="666" customWidth="1"/>
    <col min="7677" max="7677" width="7.85546875" style="666" customWidth="1"/>
    <col min="7678" max="7680" width="9" style="666" bestFit="1" customWidth="1"/>
    <col min="7681" max="7681" width="14.42578125" style="666" customWidth="1"/>
    <col min="7682" max="7682" width="11.7109375" style="666" customWidth="1"/>
    <col min="7683" max="7683" width="9" style="666" bestFit="1" customWidth="1"/>
    <col min="7684" max="7685" width="8.140625" style="666" bestFit="1" customWidth="1"/>
    <col min="7686" max="7686" width="8.7109375" style="666" bestFit="1" customWidth="1"/>
    <col min="7687" max="7687" width="9" style="666" bestFit="1" customWidth="1"/>
    <col min="7688" max="7688" width="7.85546875" style="666" bestFit="1" customWidth="1"/>
    <col min="7689" max="7929" width="12.28515625" style="666"/>
    <col min="7930" max="7930" width="17.7109375" style="666" customWidth="1"/>
    <col min="7931" max="7931" width="8.140625" style="666" bestFit="1" customWidth="1"/>
    <col min="7932" max="7932" width="6.140625" style="666" customWidth="1"/>
    <col min="7933" max="7933" width="7.85546875" style="666" customWidth="1"/>
    <col min="7934" max="7936" width="9" style="666" bestFit="1" customWidth="1"/>
    <col min="7937" max="7937" width="14.42578125" style="666" customWidth="1"/>
    <col min="7938" max="7938" width="11.7109375" style="666" customWidth="1"/>
    <col min="7939" max="7939" width="9" style="666" bestFit="1" customWidth="1"/>
    <col min="7940" max="7941" width="8.140625" style="666" bestFit="1" customWidth="1"/>
    <col min="7942" max="7942" width="8.7109375" style="666" bestFit="1" customWidth="1"/>
    <col min="7943" max="7943" width="9" style="666" bestFit="1" customWidth="1"/>
    <col min="7944" max="7944" width="7.85546875" style="666" bestFit="1" customWidth="1"/>
    <col min="7945" max="8185" width="12.28515625" style="666"/>
    <col min="8186" max="8186" width="17.7109375" style="666" customWidth="1"/>
    <col min="8187" max="8187" width="8.140625" style="666" bestFit="1" customWidth="1"/>
    <col min="8188" max="8188" width="6.140625" style="666" customWidth="1"/>
    <col min="8189" max="8189" width="7.85546875" style="666" customWidth="1"/>
    <col min="8190" max="8192" width="9" style="666" bestFit="1" customWidth="1"/>
    <col min="8193" max="8193" width="14.42578125" style="666" customWidth="1"/>
    <col min="8194" max="8194" width="11.7109375" style="666" customWidth="1"/>
    <col min="8195" max="8195" width="9" style="666" bestFit="1" customWidth="1"/>
    <col min="8196" max="8197" width="8.140625" style="666" bestFit="1" customWidth="1"/>
    <col min="8198" max="8198" width="8.7109375" style="666" bestFit="1" customWidth="1"/>
    <col min="8199" max="8199" width="9" style="666" bestFit="1" customWidth="1"/>
    <col min="8200" max="8200" width="7.85546875" style="666" bestFit="1" customWidth="1"/>
    <col min="8201" max="8441" width="12.28515625" style="666"/>
    <col min="8442" max="8442" width="17.7109375" style="666" customWidth="1"/>
    <col min="8443" max="8443" width="8.140625" style="666" bestFit="1" customWidth="1"/>
    <col min="8444" max="8444" width="6.140625" style="666" customWidth="1"/>
    <col min="8445" max="8445" width="7.85546875" style="666" customWidth="1"/>
    <col min="8446" max="8448" width="9" style="666" bestFit="1" customWidth="1"/>
    <col min="8449" max="8449" width="14.42578125" style="666" customWidth="1"/>
    <col min="8450" max="8450" width="11.7109375" style="666" customWidth="1"/>
    <col min="8451" max="8451" width="9" style="666" bestFit="1" customWidth="1"/>
    <col min="8452" max="8453" width="8.140625" style="666" bestFit="1" customWidth="1"/>
    <col min="8454" max="8454" width="8.7109375" style="666" bestFit="1" customWidth="1"/>
    <col min="8455" max="8455" width="9" style="666" bestFit="1" customWidth="1"/>
    <col min="8456" max="8456" width="7.85546875" style="666" bestFit="1" customWidth="1"/>
    <col min="8457" max="8697" width="12.28515625" style="666"/>
    <col min="8698" max="8698" width="17.7109375" style="666" customWidth="1"/>
    <col min="8699" max="8699" width="8.140625" style="666" bestFit="1" customWidth="1"/>
    <col min="8700" max="8700" width="6.140625" style="666" customWidth="1"/>
    <col min="8701" max="8701" width="7.85546875" style="666" customWidth="1"/>
    <col min="8702" max="8704" width="9" style="666" bestFit="1" customWidth="1"/>
    <col min="8705" max="8705" width="14.42578125" style="666" customWidth="1"/>
    <col min="8706" max="8706" width="11.7109375" style="666" customWidth="1"/>
    <col min="8707" max="8707" width="9" style="666" bestFit="1" customWidth="1"/>
    <col min="8708" max="8709" width="8.140625" style="666" bestFit="1" customWidth="1"/>
    <col min="8710" max="8710" width="8.7109375" style="666" bestFit="1" customWidth="1"/>
    <col min="8711" max="8711" width="9" style="666" bestFit="1" customWidth="1"/>
    <col min="8712" max="8712" width="7.85546875" style="666" bestFit="1" customWidth="1"/>
    <col min="8713" max="8953" width="12.28515625" style="666"/>
    <col min="8954" max="8954" width="17.7109375" style="666" customWidth="1"/>
    <col min="8955" max="8955" width="8.140625" style="666" bestFit="1" customWidth="1"/>
    <col min="8956" max="8956" width="6.140625" style="666" customWidth="1"/>
    <col min="8957" max="8957" width="7.85546875" style="666" customWidth="1"/>
    <col min="8958" max="8960" width="9" style="666" bestFit="1" customWidth="1"/>
    <col min="8961" max="8961" width="14.42578125" style="666" customWidth="1"/>
    <col min="8962" max="8962" width="11.7109375" style="666" customWidth="1"/>
    <col min="8963" max="8963" width="9" style="666" bestFit="1" customWidth="1"/>
    <col min="8964" max="8965" width="8.140625" style="666" bestFit="1" customWidth="1"/>
    <col min="8966" max="8966" width="8.7109375" style="666" bestFit="1" customWidth="1"/>
    <col min="8967" max="8967" width="9" style="666" bestFit="1" customWidth="1"/>
    <col min="8968" max="8968" width="7.85546875" style="666" bestFit="1" customWidth="1"/>
    <col min="8969" max="9209" width="12.28515625" style="666"/>
    <col min="9210" max="9210" width="17.7109375" style="666" customWidth="1"/>
    <col min="9211" max="9211" width="8.140625" style="666" bestFit="1" customWidth="1"/>
    <col min="9212" max="9212" width="6.140625" style="666" customWidth="1"/>
    <col min="9213" max="9213" width="7.85546875" style="666" customWidth="1"/>
    <col min="9214" max="9216" width="9" style="666" bestFit="1" customWidth="1"/>
    <col min="9217" max="9217" width="14.42578125" style="666" customWidth="1"/>
    <col min="9218" max="9218" width="11.7109375" style="666" customWidth="1"/>
    <col min="9219" max="9219" width="9" style="666" bestFit="1" customWidth="1"/>
    <col min="9220" max="9221" width="8.140625" style="666" bestFit="1" customWidth="1"/>
    <col min="9222" max="9222" width="8.7109375" style="666" bestFit="1" customWidth="1"/>
    <col min="9223" max="9223" width="9" style="666" bestFit="1" customWidth="1"/>
    <col min="9224" max="9224" width="7.85546875" style="666" bestFit="1" customWidth="1"/>
    <col min="9225" max="9465" width="12.28515625" style="666"/>
    <col min="9466" max="9466" width="17.7109375" style="666" customWidth="1"/>
    <col min="9467" max="9467" width="8.140625" style="666" bestFit="1" customWidth="1"/>
    <col min="9468" max="9468" width="6.140625" style="666" customWidth="1"/>
    <col min="9469" max="9469" width="7.85546875" style="666" customWidth="1"/>
    <col min="9470" max="9472" width="9" style="666" bestFit="1" customWidth="1"/>
    <col min="9473" max="9473" width="14.42578125" style="666" customWidth="1"/>
    <col min="9474" max="9474" width="11.7109375" style="666" customWidth="1"/>
    <col min="9475" max="9475" width="9" style="666" bestFit="1" customWidth="1"/>
    <col min="9476" max="9477" width="8.140625" style="666" bestFit="1" customWidth="1"/>
    <col min="9478" max="9478" width="8.7109375" style="666" bestFit="1" customWidth="1"/>
    <col min="9479" max="9479" width="9" style="666" bestFit="1" customWidth="1"/>
    <col min="9480" max="9480" width="7.85546875" style="666" bestFit="1" customWidth="1"/>
    <col min="9481" max="9721" width="12.28515625" style="666"/>
    <col min="9722" max="9722" width="17.7109375" style="666" customWidth="1"/>
    <col min="9723" max="9723" width="8.140625" style="666" bestFit="1" customWidth="1"/>
    <col min="9724" max="9724" width="6.140625" style="666" customWidth="1"/>
    <col min="9725" max="9725" width="7.85546875" style="666" customWidth="1"/>
    <col min="9726" max="9728" width="9" style="666" bestFit="1" customWidth="1"/>
    <col min="9729" max="9729" width="14.42578125" style="666" customWidth="1"/>
    <col min="9730" max="9730" width="11.7109375" style="666" customWidth="1"/>
    <col min="9731" max="9731" width="9" style="666" bestFit="1" customWidth="1"/>
    <col min="9732" max="9733" width="8.140625" style="666" bestFit="1" customWidth="1"/>
    <col min="9734" max="9734" width="8.7109375" style="666" bestFit="1" customWidth="1"/>
    <col min="9735" max="9735" width="9" style="666" bestFit="1" customWidth="1"/>
    <col min="9736" max="9736" width="7.85546875" style="666" bestFit="1" customWidth="1"/>
    <col min="9737" max="9977" width="12.28515625" style="666"/>
    <col min="9978" max="9978" width="17.7109375" style="666" customWidth="1"/>
    <col min="9979" max="9979" width="8.140625" style="666" bestFit="1" customWidth="1"/>
    <col min="9980" max="9980" width="6.140625" style="666" customWidth="1"/>
    <col min="9981" max="9981" width="7.85546875" style="666" customWidth="1"/>
    <col min="9982" max="9984" width="9" style="666" bestFit="1" customWidth="1"/>
    <col min="9985" max="9985" width="14.42578125" style="666" customWidth="1"/>
    <col min="9986" max="9986" width="11.7109375" style="666" customWidth="1"/>
    <col min="9987" max="9987" width="9" style="666" bestFit="1" customWidth="1"/>
    <col min="9988" max="9989" width="8.140625" style="666" bestFit="1" customWidth="1"/>
    <col min="9990" max="9990" width="8.7109375" style="666" bestFit="1" customWidth="1"/>
    <col min="9991" max="9991" width="9" style="666" bestFit="1" customWidth="1"/>
    <col min="9992" max="9992" width="7.85546875" style="666" bestFit="1" customWidth="1"/>
    <col min="9993" max="10233" width="12.28515625" style="666"/>
    <col min="10234" max="10234" width="17.7109375" style="666" customWidth="1"/>
    <col min="10235" max="10235" width="8.140625" style="666" bestFit="1" customWidth="1"/>
    <col min="10236" max="10236" width="6.140625" style="666" customWidth="1"/>
    <col min="10237" max="10237" width="7.85546875" style="666" customWidth="1"/>
    <col min="10238" max="10240" width="9" style="666" bestFit="1" customWidth="1"/>
    <col min="10241" max="10241" width="14.42578125" style="666" customWidth="1"/>
    <col min="10242" max="10242" width="11.7109375" style="666" customWidth="1"/>
    <col min="10243" max="10243" width="9" style="666" bestFit="1" customWidth="1"/>
    <col min="10244" max="10245" width="8.140625" style="666" bestFit="1" customWidth="1"/>
    <col min="10246" max="10246" width="8.7109375" style="666" bestFit="1" customWidth="1"/>
    <col min="10247" max="10247" width="9" style="666" bestFit="1" customWidth="1"/>
    <col min="10248" max="10248" width="7.85546875" style="666" bestFit="1" customWidth="1"/>
    <col min="10249" max="10489" width="12.28515625" style="666"/>
    <col min="10490" max="10490" width="17.7109375" style="666" customWidth="1"/>
    <col min="10491" max="10491" width="8.140625" style="666" bestFit="1" customWidth="1"/>
    <col min="10492" max="10492" width="6.140625" style="666" customWidth="1"/>
    <col min="10493" max="10493" width="7.85546875" style="666" customWidth="1"/>
    <col min="10494" max="10496" width="9" style="666" bestFit="1" customWidth="1"/>
    <col min="10497" max="10497" width="14.42578125" style="666" customWidth="1"/>
    <col min="10498" max="10498" width="11.7109375" style="666" customWidth="1"/>
    <col min="10499" max="10499" width="9" style="666" bestFit="1" customWidth="1"/>
    <col min="10500" max="10501" width="8.140625" style="666" bestFit="1" customWidth="1"/>
    <col min="10502" max="10502" width="8.7109375" style="666" bestFit="1" customWidth="1"/>
    <col min="10503" max="10503" width="9" style="666" bestFit="1" customWidth="1"/>
    <col min="10504" max="10504" width="7.85546875" style="666" bestFit="1" customWidth="1"/>
    <col min="10505" max="10745" width="12.28515625" style="666"/>
    <col min="10746" max="10746" width="17.7109375" style="666" customWidth="1"/>
    <col min="10747" max="10747" width="8.140625" style="666" bestFit="1" customWidth="1"/>
    <col min="10748" max="10748" width="6.140625" style="666" customWidth="1"/>
    <col min="10749" max="10749" width="7.85546875" style="666" customWidth="1"/>
    <col min="10750" max="10752" width="9" style="666" bestFit="1" customWidth="1"/>
    <col min="10753" max="10753" width="14.42578125" style="666" customWidth="1"/>
    <col min="10754" max="10754" width="11.7109375" style="666" customWidth="1"/>
    <col min="10755" max="10755" width="9" style="666" bestFit="1" customWidth="1"/>
    <col min="10756" max="10757" width="8.140625" style="666" bestFit="1" customWidth="1"/>
    <col min="10758" max="10758" width="8.7109375" style="666" bestFit="1" customWidth="1"/>
    <col min="10759" max="10759" width="9" style="666" bestFit="1" customWidth="1"/>
    <col min="10760" max="10760" width="7.85546875" style="666" bestFit="1" customWidth="1"/>
    <col min="10761" max="11001" width="12.28515625" style="666"/>
    <col min="11002" max="11002" width="17.7109375" style="666" customWidth="1"/>
    <col min="11003" max="11003" width="8.140625" style="666" bestFit="1" customWidth="1"/>
    <col min="11004" max="11004" width="6.140625" style="666" customWidth="1"/>
    <col min="11005" max="11005" width="7.85546875" style="666" customWidth="1"/>
    <col min="11006" max="11008" width="9" style="666" bestFit="1" customWidth="1"/>
    <col min="11009" max="11009" width="14.42578125" style="666" customWidth="1"/>
    <col min="11010" max="11010" width="11.7109375" style="666" customWidth="1"/>
    <col min="11011" max="11011" width="9" style="666" bestFit="1" customWidth="1"/>
    <col min="11012" max="11013" width="8.140625" style="666" bestFit="1" customWidth="1"/>
    <col min="11014" max="11014" width="8.7109375" style="666" bestFit="1" customWidth="1"/>
    <col min="11015" max="11015" width="9" style="666" bestFit="1" customWidth="1"/>
    <col min="11016" max="11016" width="7.85546875" style="666" bestFit="1" customWidth="1"/>
    <col min="11017" max="11257" width="12.28515625" style="666"/>
    <col min="11258" max="11258" width="17.7109375" style="666" customWidth="1"/>
    <col min="11259" max="11259" width="8.140625" style="666" bestFit="1" customWidth="1"/>
    <col min="11260" max="11260" width="6.140625" style="666" customWidth="1"/>
    <col min="11261" max="11261" width="7.85546875" style="666" customWidth="1"/>
    <col min="11262" max="11264" width="9" style="666" bestFit="1" customWidth="1"/>
    <col min="11265" max="11265" width="14.42578125" style="666" customWidth="1"/>
    <col min="11266" max="11266" width="11.7109375" style="666" customWidth="1"/>
    <col min="11267" max="11267" width="9" style="666" bestFit="1" customWidth="1"/>
    <col min="11268" max="11269" width="8.140625" style="666" bestFit="1" customWidth="1"/>
    <col min="11270" max="11270" width="8.7109375" style="666" bestFit="1" customWidth="1"/>
    <col min="11271" max="11271" width="9" style="666" bestFit="1" customWidth="1"/>
    <col min="11272" max="11272" width="7.85546875" style="666" bestFit="1" customWidth="1"/>
    <col min="11273" max="11513" width="12.28515625" style="666"/>
    <col min="11514" max="11514" width="17.7109375" style="666" customWidth="1"/>
    <col min="11515" max="11515" width="8.140625" style="666" bestFit="1" customWidth="1"/>
    <col min="11516" max="11516" width="6.140625" style="666" customWidth="1"/>
    <col min="11517" max="11517" width="7.85546875" style="666" customWidth="1"/>
    <col min="11518" max="11520" width="9" style="666" bestFit="1" customWidth="1"/>
    <col min="11521" max="11521" width="14.42578125" style="666" customWidth="1"/>
    <col min="11522" max="11522" width="11.7109375" style="666" customWidth="1"/>
    <col min="11523" max="11523" width="9" style="666" bestFit="1" customWidth="1"/>
    <col min="11524" max="11525" width="8.140625" style="666" bestFit="1" customWidth="1"/>
    <col min="11526" max="11526" width="8.7109375" style="666" bestFit="1" customWidth="1"/>
    <col min="11527" max="11527" width="9" style="666" bestFit="1" customWidth="1"/>
    <col min="11528" max="11528" width="7.85546875" style="666" bestFit="1" customWidth="1"/>
    <col min="11529" max="11769" width="12.28515625" style="666"/>
    <col min="11770" max="11770" width="17.7109375" style="666" customWidth="1"/>
    <col min="11771" max="11771" width="8.140625" style="666" bestFit="1" customWidth="1"/>
    <col min="11772" max="11772" width="6.140625" style="666" customWidth="1"/>
    <col min="11773" max="11773" width="7.85546875" style="666" customWidth="1"/>
    <col min="11774" max="11776" width="9" style="666" bestFit="1" customWidth="1"/>
    <col min="11777" max="11777" width="14.42578125" style="666" customWidth="1"/>
    <col min="11778" max="11778" width="11.7109375" style="666" customWidth="1"/>
    <col min="11779" max="11779" width="9" style="666" bestFit="1" customWidth="1"/>
    <col min="11780" max="11781" width="8.140625" style="666" bestFit="1" customWidth="1"/>
    <col min="11782" max="11782" width="8.7109375" style="666" bestFit="1" customWidth="1"/>
    <col min="11783" max="11783" width="9" style="666" bestFit="1" customWidth="1"/>
    <col min="11784" max="11784" width="7.85546875" style="666" bestFit="1" customWidth="1"/>
    <col min="11785" max="12025" width="12.28515625" style="666"/>
    <col min="12026" max="12026" width="17.7109375" style="666" customWidth="1"/>
    <col min="12027" max="12027" width="8.140625" style="666" bestFit="1" customWidth="1"/>
    <col min="12028" max="12028" width="6.140625" style="666" customWidth="1"/>
    <col min="12029" max="12029" width="7.85546875" style="666" customWidth="1"/>
    <col min="12030" max="12032" width="9" style="666" bestFit="1" customWidth="1"/>
    <col min="12033" max="12033" width="14.42578125" style="666" customWidth="1"/>
    <col min="12034" max="12034" width="11.7109375" style="666" customWidth="1"/>
    <col min="12035" max="12035" width="9" style="666" bestFit="1" customWidth="1"/>
    <col min="12036" max="12037" width="8.140625" style="666" bestFit="1" customWidth="1"/>
    <col min="12038" max="12038" width="8.7109375" style="666" bestFit="1" customWidth="1"/>
    <col min="12039" max="12039" width="9" style="666" bestFit="1" customWidth="1"/>
    <col min="12040" max="12040" width="7.85546875" style="666" bestFit="1" customWidth="1"/>
    <col min="12041" max="12281" width="12.28515625" style="666"/>
    <col min="12282" max="12282" width="17.7109375" style="666" customWidth="1"/>
    <col min="12283" max="12283" width="8.140625" style="666" bestFit="1" customWidth="1"/>
    <col min="12284" max="12284" width="6.140625" style="666" customWidth="1"/>
    <col min="12285" max="12285" width="7.85546875" style="666" customWidth="1"/>
    <col min="12286" max="12288" width="9" style="666" bestFit="1" customWidth="1"/>
    <col min="12289" max="12289" width="14.42578125" style="666" customWidth="1"/>
    <col min="12290" max="12290" width="11.7109375" style="666" customWidth="1"/>
    <col min="12291" max="12291" width="9" style="666" bestFit="1" customWidth="1"/>
    <col min="12292" max="12293" width="8.140625" style="666" bestFit="1" customWidth="1"/>
    <col min="12294" max="12294" width="8.7109375" style="666" bestFit="1" customWidth="1"/>
    <col min="12295" max="12295" width="9" style="666" bestFit="1" customWidth="1"/>
    <col min="12296" max="12296" width="7.85546875" style="666" bestFit="1" customWidth="1"/>
    <col min="12297" max="12537" width="12.28515625" style="666"/>
    <col min="12538" max="12538" width="17.7109375" style="666" customWidth="1"/>
    <col min="12539" max="12539" width="8.140625" style="666" bestFit="1" customWidth="1"/>
    <col min="12540" max="12540" width="6.140625" style="666" customWidth="1"/>
    <col min="12541" max="12541" width="7.85546875" style="666" customWidth="1"/>
    <col min="12542" max="12544" width="9" style="666" bestFit="1" customWidth="1"/>
    <col min="12545" max="12545" width="14.42578125" style="666" customWidth="1"/>
    <col min="12546" max="12546" width="11.7109375" style="666" customWidth="1"/>
    <col min="12547" max="12547" width="9" style="666" bestFit="1" customWidth="1"/>
    <col min="12548" max="12549" width="8.140625" style="666" bestFit="1" customWidth="1"/>
    <col min="12550" max="12550" width="8.7109375" style="666" bestFit="1" customWidth="1"/>
    <col min="12551" max="12551" width="9" style="666" bestFit="1" customWidth="1"/>
    <col min="12552" max="12552" width="7.85546875" style="666" bestFit="1" customWidth="1"/>
    <col min="12553" max="12793" width="12.28515625" style="666"/>
    <col min="12794" max="12794" width="17.7109375" style="666" customWidth="1"/>
    <col min="12795" max="12795" width="8.140625" style="666" bestFit="1" customWidth="1"/>
    <col min="12796" max="12796" width="6.140625" style="666" customWidth="1"/>
    <col min="12797" max="12797" width="7.85546875" style="666" customWidth="1"/>
    <col min="12798" max="12800" width="9" style="666" bestFit="1" customWidth="1"/>
    <col min="12801" max="12801" width="14.42578125" style="666" customWidth="1"/>
    <col min="12802" max="12802" width="11.7109375" style="666" customWidth="1"/>
    <col min="12803" max="12803" width="9" style="666" bestFit="1" customWidth="1"/>
    <col min="12804" max="12805" width="8.140625" style="666" bestFit="1" customWidth="1"/>
    <col min="12806" max="12806" width="8.7109375" style="666" bestFit="1" customWidth="1"/>
    <col min="12807" max="12807" width="9" style="666" bestFit="1" customWidth="1"/>
    <col min="12808" max="12808" width="7.85546875" style="666" bestFit="1" customWidth="1"/>
    <col min="12809" max="13049" width="12.28515625" style="666"/>
    <col min="13050" max="13050" width="17.7109375" style="666" customWidth="1"/>
    <col min="13051" max="13051" width="8.140625" style="666" bestFit="1" customWidth="1"/>
    <col min="13052" max="13052" width="6.140625" style="666" customWidth="1"/>
    <col min="13053" max="13053" width="7.85546875" style="666" customWidth="1"/>
    <col min="13054" max="13056" width="9" style="666" bestFit="1" customWidth="1"/>
    <col min="13057" max="13057" width="14.42578125" style="666" customWidth="1"/>
    <col min="13058" max="13058" width="11.7109375" style="666" customWidth="1"/>
    <col min="13059" max="13059" width="9" style="666" bestFit="1" customWidth="1"/>
    <col min="13060" max="13061" width="8.140625" style="666" bestFit="1" customWidth="1"/>
    <col min="13062" max="13062" width="8.7109375" style="666" bestFit="1" customWidth="1"/>
    <col min="13063" max="13063" width="9" style="666" bestFit="1" customWidth="1"/>
    <col min="13064" max="13064" width="7.85546875" style="666" bestFit="1" customWidth="1"/>
    <col min="13065" max="13305" width="12.28515625" style="666"/>
    <col min="13306" max="13306" width="17.7109375" style="666" customWidth="1"/>
    <col min="13307" max="13307" width="8.140625" style="666" bestFit="1" customWidth="1"/>
    <col min="13308" max="13308" width="6.140625" style="666" customWidth="1"/>
    <col min="13309" max="13309" width="7.85546875" style="666" customWidth="1"/>
    <col min="13310" max="13312" width="9" style="666" bestFit="1" customWidth="1"/>
    <col min="13313" max="13313" width="14.42578125" style="666" customWidth="1"/>
    <col min="13314" max="13314" width="11.7109375" style="666" customWidth="1"/>
    <col min="13315" max="13315" width="9" style="666" bestFit="1" customWidth="1"/>
    <col min="13316" max="13317" width="8.140625" style="666" bestFit="1" customWidth="1"/>
    <col min="13318" max="13318" width="8.7109375" style="666" bestFit="1" customWidth="1"/>
    <col min="13319" max="13319" width="9" style="666" bestFit="1" customWidth="1"/>
    <col min="13320" max="13320" width="7.85546875" style="666" bestFit="1" customWidth="1"/>
    <col min="13321" max="13561" width="12.28515625" style="666"/>
    <col min="13562" max="13562" width="17.7109375" style="666" customWidth="1"/>
    <col min="13563" max="13563" width="8.140625" style="666" bestFit="1" customWidth="1"/>
    <col min="13564" max="13564" width="6.140625" style="666" customWidth="1"/>
    <col min="13565" max="13565" width="7.85546875" style="666" customWidth="1"/>
    <col min="13566" max="13568" width="9" style="666" bestFit="1" customWidth="1"/>
    <col min="13569" max="13569" width="14.42578125" style="666" customWidth="1"/>
    <col min="13570" max="13570" width="11.7109375" style="666" customWidth="1"/>
    <col min="13571" max="13571" width="9" style="666" bestFit="1" customWidth="1"/>
    <col min="13572" max="13573" width="8.140625" style="666" bestFit="1" customWidth="1"/>
    <col min="13574" max="13574" width="8.7109375" style="666" bestFit="1" customWidth="1"/>
    <col min="13575" max="13575" width="9" style="666" bestFit="1" customWidth="1"/>
    <col min="13576" max="13576" width="7.85546875" style="666" bestFit="1" customWidth="1"/>
    <col min="13577" max="13817" width="12.28515625" style="666"/>
    <col min="13818" max="13818" width="17.7109375" style="666" customWidth="1"/>
    <col min="13819" max="13819" width="8.140625" style="666" bestFit="1" customWidth="1"/>
    <col min="13820" max="13820" width="6.140625" style="666" customWidth="1"/>
    <col min="13821" max="13821" width="7.85546875" style="666" customWidth="1"/>
    <col min="13822" max="13824" width="9" style="666" bestFit="1" customWidth="1"/>
    <col min="13825" max="13825" width="14.42578125" style="666" customWidth="1"/>
    <col min="13826" max="13826" width="11.7109375" style="666" customWidth="1"/>
    <col min="13827" max="13827" width="9" style="666" bestFit="1" customWidth="1"/>
    <col min="13828" max="13829" width="8.140625" style="666" bestFit="1" customWidth="1"/>
    <col min="13830" max="13830" width="8.7109375" style="666" bestFit="1" customWidth="1"/>
    <col min="13831" max="13831" width="9" style="666" bestFit="1" customWidth="1"/>
    <col min="13832" max="13832" width="7.85546875" style="666" bestFit="1" customWidth="1"/>
    <col min="13833" max="14073" width="12.28515625" style="666"/>
    <col min="14074" max="14074" width="17.7109375" style="666" customWidth="1"/>
    <col min="14075" max="14075" width="8.140625" style="666" bestFit="1" customWidth="1"/>
    <col min="14076" max="14076" width="6.140625" style="666" customWidth="1"/>
    <col min="14077" max="14077" width="7.85546875" style="666" customWidth="1"/>
    <col min="14078" max="14080" width="9" style="666" bestFit="1" customWidth="1"/>
    <col min="14081" max="14081" width="14.42578125" style="666" customWidth="1"/>
    <col min="14082" max="14082" width="11.7109375" style="666" customWidth="1"/>
    <col min="14083" max="14083" width="9" style="666" bestFit="1" customWidth="1"/>
    <col min="14084" max="14085" width="8.140625" style="666" bestFit="1" customWidth="1"/>
    <col min="14086" max="14086" width="8.7109375" style="666" bestFit="1" customWidth="1"/>
    <col min="14087" max="14087" width="9" style="666" bestFit="1" customWidth="1"/>
    <col min="14088" max="14088" width="7.85546875" style="666" bestFit="1" customWidth="1"/>
    <col min="14089" max="14329" width="12.28515625" style="666"/>
    <col min="14330" max="14330" width="17.7109375" style="666" customWidth="1"/>
    <col min="14331" max="14331" width="8.140625" style="666" bestFit="1" customWidth="1"/>
    <col min="14332" max="14332" width="6.140625" style="666" customWidth="1"/>
    <col min="14333" max="14333" width="7.85546875" style="666" customWidth="1"/>
    <col min="14334" max="14336" width="9" style="666" bestFit="1" customWidth="1"/>
    <col min="14337" max="14337" width="14.42578125" style="666" customWidth="1"/>
    <col min="14338" max="14338" width="11.7109375" style="666" customWidth="1"/>
    <col min="14339" max="14339" width="9" style="666" bestFit="1" customWidth="1"/>
    <col min="14340" max="14341" width="8.140625" style="666" bestFit="1" customWidth="1"/>
    <col min="14342" max="14342" width="8.7109375" style="666" bestFit="1" customWidth="1"/>
    <col min="14343" max="14343" width="9" style="666" bestFit="1" customWidth="1"/>
    <col min="14344" max="14344" width="7.85546875" style="666" bestFit="1" customWidth="1"/>
    <col min="14345" max="14585" width="12.28515625" style="666"/>
    <col min="14586" max="14586" width="17.7109375" style="666" customWidth="1"/>
    <col min="14587" max="14587" width="8.140625" style="666" bestFit="1" customWidth="1"/>
    <col min="14588" max="14588" width="6.140625" style="666" customWidth="1"/>
    <col min="14589" max="14589" width="7.85546875" style="666" customWidth="1"/>
    <col min="14590" max="14592" width="9" style="666" bestFit="1" customWidth="1"/>
    <col min="14593" max="14593" width="14.42578125" style="666" customWidth="1"/>
    <col min="14594" max="14594" width="11.7109375" style="666" customWidth="1"/>
    <col min="14595" max="14595" width="9" style="666" bestFit="1" customWidth="1"/>
    <col min="14596" max="14597" width="8.140625" style="666" bestFit="1" customWidth="1"/>
    <col min="14598" max="14598" width="8.7109375" style="666" bestFit="1" customWidth="1"/>
    <col min="14599" max="14599" width="9" style="666" bestFit="1" customWidth="1"/>
    <col min="14600" max="14600" width="7.85546875" style="666" bestFit="1" customWidth="1"/>
    <col min="14601" max="14841" width="12.28515625" style="666"/>
    <col min="14842" max="14842" width="17.7109375" style="666" customWidth="1"/>
    <col min="14843" max="14843" width="8.140625" style="666" bestFit="1" customWidth="1"/>
    <col min="14844" max="14844" width="6.140625" style="666" customWidth="1"/>
    <col min="14845" max="14845" width="7.85546875" style="666" customWidth="1"/>
    <col min="14846" max="14848" width="9" style="666" bestFit="1" customWidth="1"/>
    <col min="14849" max="14849" width="14.42578125" style="666" customWidth="1"/>
    <col min="14850" max="14850" width="11.7109375" style="666" customWidth="1"/>
    <col min="14851" max="14851" width="9" style="666" bestFit="1" customWidth="1"/>
    <col min="14852" max="14853" width="8.140625" style="666" bestFit="1" customWidth="1"/>
    <col min="14854" max="14854" width="8.7109375" style="666" bestFit="1" customWidth="1"/>
    <col min="14855" max="14855" width="9" style="666" bestFit="1" customWidth="1"/>
    <col min="14856" max="14856" width="7.85546875" style="666" bestFit="1" customWidth="1"/>
    <col min="14857" max="15097" width="12.28515625" style="666"/>
    <col min="15098" max="15098" width="17.7109375" style="666" customWidth="1"/>
    <col min="15099" max="15099" width="8.140625" style="666" bestFit="1" customWidth="1"/>
    <col min="15100" max="15100" width="6.140625" style="666" customWidth="1"/>
    <col min="15101" max="15101" width="7.85546875" style="666" customWidth="1"/>
    <col min="15102" max="15104" width="9" style="666" bestFit="1" customWidth="1"/>
    <col min="15105" max="15105" width="14.42578125" style="666" customWidth="1"/>
    <col min="15106" max="15106" width="11.7109375" style="666" customWidth="1"/>
    <col min="15107" max="15107" width="9" style="666" bestFit="1" customWidth="1"/>
    <col min="15108" max="15109" width="8.140625" style="666" bestFit="1" customWidth="1"/>
    <col min="15110" max="15110" width="8.7109375" style="666" bestFit="1" customWidth="1"/>
    <col min="15111" max="15111" width="9" style="666" bestFit="1" customWidth="1"/>
    <col min="15112" max="15112" width="7.85546875" style="666" bestFit="1" customWidth="1"/>
    <col min="15113" max="15353" width="12.28515625" style="666"/>
    <col min="15354" max="15354" width="17.7109375" style="666" customWidth="1"/>
    <col min="15355" max="15355" width="8.140625" style="666" bestFit="1" customWidth="1"/>
    <col min="15356" max="15356" width="6.140625" style="666" customWidth="1"/>
    <col min="15357" max="15357" width="7.85546875" style="666" customWidth="1"/>
    <col min="15358" max="15360" width="9" style="666" bestFit="1" customWidth="1"/>
    <col min="15361" max="15361" width="14.42578125" style="666" customWidth="1"/>
    <col min="15362" max="15362" width="11.7109375" style="666" customWidth="1"/>
    <col min="15363" max="15363" width="9" style="666" bestFit="1" customWidth="1"/>
    <col min="15364" max="15365" width="8.140625" style="666" bestFit="1" customWidth="1"/>
    <col min="15366" max="15366" width="8.7109375" style="666" bestFit="1" customWidth="1"/>
    <col min="15367" max="15367" width="9" style="666" bestFit="1" customWidth="1"/>
    <col min="15368" max="15368" width="7.85546875" style="666" bestFit="1" customWidth="1"/>
    <col min="15369" max="15609" width="12.28515625" style="666"/>
    <col min="15610" max="15610" width="17.7109375" style="666" customWidth="1"/>
    <col min="15611" max="15611" width="8.140625" style="666" bestFit="1" customWidth="1"/>
    <col min="15612" max="15612" width="6.140625" style="666" customWidth="1"/>
    <col min="15613" max="15613" width="7.85546875" style="666" customWidth="1"/>
    <col min="15614" max="15616" width="9" style="666" bestFit="1" customWidth="1"/>
    <col min="15617" max="15617" width="14.42578125" style="666" customWidth="1"/>
    <col min="15618" max="15618" width="11.7109375" style="666" customWidth="1"/>
    <col min="15619" max="15619" width="9" style="666" bestFit="1" customWidth="1"/>
    <col min="15620" max="15621" width="8.140625" style="666" bestFit="1" customWidth="1"/>
    <col min="15622" max="15622" width="8.7109375" style="666" bestFit="1" customWidth="1"/>
    <col min="15623" max="15623" width="9" style="666" bestFit="1" customWidth="1"/>
    <col min="15624" max="15624" width="7.85546875" style="666" bestFit="1" customWidth="1"/>
    <col min="15625" max="15865" width="12.28515625" style="666"/>
    <col min="15866" max="15866" width="17.7109375" style="666" customWidth="1"/>
    <col min="15867" max="15867" width="8.140625" style="666" bestFit="1" customWidth="1"/>
    <col min="15868" max="15868" width="6.140625" style="666" customWidth="1"/>
    <col min="15869" max="15869" width="7.85546875" style="666" customWidth="1"/>
    <col min="15870" max="15872" width="9" style="666" bestFit="1" customWidth="1"/>
    <col min="15873" max="15873" width="14.42578125" style="666" customWidth="1"/>
    <col min="15874" max="15874" width="11.7109375" style="666" customWidth="1"/>
    <col min="15875" max="15875" width="9" style="666" bestFit="1" customWidth="1"/>
    <col min="15876" max="15877" width="8.140625" style="666" bestFit="1" customWidth="1"/>
    <col min="15878" max="15878" width="8.7109375" style="666" bestFit="1" customWidth="1"/>
    <col min="15879" max="15879" width="9" style="666" bestFit="1" customWidth="1"/>
    <col min="15880" max="15880" width="7.85546875" style="666" bestFit="1" customWidth="1"/>
    <col min="15881" max="16121" width="12.28515625" style="666"/>
    <col min="16122" max="16122" width="17.7109375" style="666" customWidth="1"/>
    <col min="16123" max="16123" width="8.140625" style="666" bestFit="1" customWidth="1"/>
    <col min="16124" max="16124" width="6.140625" style="666" customWidth="1"/>
    <col min="16125" max="16125" width="7.85546875" style="666" customWidth="1"/>
    <col min="16126" max="16128" width="9" style="666" bestFit="1" customWidth="1"/>
    <col min="16129" max="16129" width="14.42578125" style="666" customWidth="1"/>
    <col min="16130" max="16130" width="11.7109375" style="666" customWidth="1"/>
    <col min="16131" max="16131" width="9" style="666" bestFit="1" customWidth="1"/>
    <col min="16132" max="16133" width="8.140625" style="666" bestFit="1" customWidth="1"/>
    <col min="16134" max="16134" width="8.7109375" style="666" bestFit="1" customWidth="1"/>
    <col min="16135" max="16135" width="9" style="666" bestFit="1" customWidth="1"/>
    <col min="16136" max="16136" width="7.85546875" style="666" bestFit="1" customWidth="1"/>
    <col min="16137" max="16384" width="12.28515625" style="666"/>
  </cols>
  <sheetData>
    <row r="1" spans="1:8" ht="18" customHeight="1" x14ac:dyDescent="0.2">
      <c r="A1" s="276"/>
      <c r="B1" s="1042" t="str">
        <f>N.GOV</f>
        <v>GOVERNO DO ESTADO DE MATO GROSSO DO SUL</v>
      </c>
      <c r="C1" s="1042"/>
      <c r="D1" s="1042"/>
      <c r="E1" s="343"/>
      <c r="F1" s="343"/>
      <c r="G1" s="277"/>
      <c r="H1" s="278"/>
    </row>
    <row r="2" spans="1:8" ht="17.45" customHeight="1" x14ac:dyDescent="0.2">
      <c r="A2" s="279"/>
      <c r="B2" s="222" t="str" cm="1">
        <f t="array" aca="1" ref="B2" ca="1">N.PREFEITURA</f>
        <v>PREFEITURA MUNICIPAL DE NAVIRAÍ</v>
      </c>
      <c r="C2" s="222"/>
      <c r="D2" s="222"/>
      <c r="E2" s="309"/>
      <c r="F2" s="309"/>
      <c r="G2" s="309"/>
      <c r="H2" s="280"/>
    </row>
    <row r="3" spans="1:8" ht="13.5" x14ac:dyDescent="0.2">
      <c r="A3" s="293"/>
      <c r="B3" s="1230" t="str" cm="1">
        <f t="array" aca="1" ref="B3" ca="1">N.SECRETARIA</f>
        <v>SECRETARIA DE PLANEJAMENTO</v>
      </c>
      <c r="C3" s="1230"/>
      <c r="D3" s="1230"/>
      <c r="E3" s="308"/>
      <c r="F3" s="308"/>
      <c r="G3" s="230"/>
      <c r="H3" s="460"/>
    </row>
    <row r="4" spans="1:8" ht="23.45" customHeight="1" x14ac:dyDescent="0.2">
      <c r="A4" s="1007" t="s">
        <v>409</v>
      </c>
      <c r="B4" s="1020"/>
      <c r="C4" s="1020"/>
      <c r="D4" s="1020"/>
      <c r="E4" s="1020"/>
      <c r="F4" s="1020"/>
      <c r="G4" s="1020"/>
      <c r="H4" s="1008"/>
    </row>
    <row r="5" spans="1:8" ht="13.5" x14ac:dyDescent="0.2">
      <c r="A5" s="193" t="s">
        <v>811</v>
      </c>
      <c r="B5" s="548" t="str">
        <f>N.DESCRICAO</f>
        <v>INFRAESTRUTURA URBANA – PAVIMENTAÇÃO ASFÁLTICA, DRENAGEM, E SINALIZAÇÃO VIÁRIA NO ACESSO AO CEMITERIO MUNICIPAL DE NAVIRAÍ/ MS</v>
      </c>
      <c r="C5" s="266"/>
      <c r="D5" s="266"/>
      <c r="E5" s="266"/>
      <c r="F5" s="266"/>
      <c r="G5" s="267"/>
      <c r="H5" s="269" t="s">
        <v>305</v>
      </c>
    </row>
    <row r="6" spans="1:8" ht="16.5" customHeight="1" x14ac:dyDescent="0.2">
      <c r="A6" s="193" t="s">
        <v>799</v>
      </c>
      <c r="B6" s="548" t="str">
        <f ca="1">N.MUNICIPIO</f>
        <v>NAVIRAÍ</v>
      </c>
      <c r="C6" s="226"/>
      <c r="D6" s="226"/>
      <c r="E6" s="226"/>
      <c r="F6" s="226"/>
      <c r="G6" s="268"/>
      <c r="H6" s="1239" t="str">
        <f>"  ______________________________                          "&amp;N.Engenheiro&amp;"                                 "&amp;N.CREA</f>
        <v xml:space="preserve">  ______________________________                          FÁBIO MARQUES RIBEIRO                                 ENGENHEIRO CIVIL - 15.276 D/MS</v>
      </c>
    </row>
    <row r="7" spans="1:8" ht="21.75" customHeight="1" x14ac:dyDescent="0.2">
      <c r="A7" s="193" t="s">
        <v>798</v>
      </c>
      <c r="B7" s="548" t="str" cm="1">
        <f t="array" ref="B7">N.LOCAL</f>
        <v>AVENIDA JOÃO RIGONATO</v>
      </c>
      <c r="C7" s="226"/>
      <c r="D7" s="226"/>
      <c r="E7" s="226"/>
      <c r="F7" s="226"/>
      <c r="G7" s="268"/>
      <c r="H7" s="1240"/>
    </row>
    <row r="8" spans="1:8" s="44" customFormat="1" ht="15.75" x14ac:dyDescent="0.25">
      <c r="A8" s="1231"/>
      <c r="B8" s="1232"/>
      <c r="C8" s="264"/>
      <c r="D8" s="265"/>
      <c r="E8" s="265"/>
      <c r="F8" s="265"/>
      <c r="G8" s="265"/>
      <c r="H8" s="560"/>
    </row>
    <row r="9" spans="1:8" s="44" customFormat="1" ht="39.6" customHeight="1" x14ac:dyDescent="0.25">
      <c r="A9" s="1237" t="s">
        <v>932</v>
      </c>
      <c r="B9" s="1238"/>
      <c r="C9" s="653" t="s">
        <v>933</v>
      </c>
      <c r="D9" s="610" t="s">
        <v>934</v>
      </c>
      <c r="E9" s="653" t="s">
        <v>935</v>
      </c>
      <c r="F9" s="653" t="s">
        <v>936</v>
      </c>
      <c r="G9" s="653" t="s">
        <v>820</v>
      </c>
      <c r="H9" s="654" t="s">
        <v>3</v>
      </c>
    </row>
    <row r="10" spans="1:8" s="44" customFormat="1" ht="26.25" customHeight="1" x14ac:dyDescent="0.25">
      <c r="A10" s="1233" t="s">
        <v>1530</v>
      </c>
      <c r="B10" s="1234"/>
      <c r="C10" s="434" t="s">
        <v>307</v>
      </c>
      <c r="D10" s="439" t="s">
        <v>937</v>
      </c>
      <c r="E10" s="435">
        <v>4</v>
      </c>
      <c r="F10" s="435">
        <v>2</v>
      </c>
      <c r="G10" s="435"/>
      <c r="H10" s="436">
        <f>E10*F10</f>
        <v>8</v>
      </c>
    </row>
    <row r="11" spans="1:8" s="44" customFormat="1" ht="46.5" hidden="1" customHeight="1" x14ac:dyDescent="0.25">
      <c r="A11" s="1235" t="s">
        <v>938</v>
      </c>
      <c r="B11" s="1236"/>
      <c r="C11" s="438" t="s">
        <v>975</v>
      </c>
      <c r="D11" s="437" t="str">
        <f>CAPA!$C$12 &amp;" dias " &amp; "/ 30dias ="</f>
        <v>360 dias / 30dias =</v>
      </c>
      <c r="E11" s="437"/>
      <c r="F11" s="437"/>
      <c r="G11" s="437"/>
      <c r="H11" s="436">
        <f>CAPA!$C$12/30</f>
        <v>12</v>
      </c>
    </row>
    <row r="12" spans="1:8" s="44" customFormat="1" ht="45" hidden="1" customHeight="1" x14ac:dyDescent="0.25">
      <c r="A12" s="1235" t="s">
        <v>939</v>
      </c>
      <c r="B12" s="1236"/>
      <c r="C12" s="438" t="s">
        <v>975</v>
      </c>
      <c r="D12" s="437" t="str">
        <f>CAPA!$C$12 &amp;" dias " &amp; "/ 30dias ="</f>
        <v>360 dias / 30dias =</v>
      </c>
      <c r="E12" s="437"/>
      <c r="F12" s="437"/>
      <c r="G12" s="437"/>
      <c r="H12" s="436">
        <f>CAPA!$C$12/30</f>
        <v>12</v>
      </c>
    </row>
    <row r="13" spans="1:8" s="44" customFormat="1" ht="45" customHeight="1" x14ac:dyDescent="0.25">
      <c r="A13" s="1235" t="s">
        <v>940</v>
      </c>
      <c r="B13" s="1236"/>
      <c r="C13" s="438" t="s">
        <v>975</v>
      </c>
      <c r="D13" s="435" t="str">
        <f>CAPA!$C$12 &amp;" dias " &amp; "/ 30dias ="</f>
        <v>360 dias / 30dias =</v>
      </c>
      <c r="E13" s="435"/>
      <c r="F13" s="435"/>
      <c r="G13" s="435"/>
      <c r="H13" s="436">
        <f>CAPA!$C$12/30</f>
        <v>12</v>
      </c>
    </row>
    <row r="14" spans="1:8" s="44" customFormat="1" ht="32.25" customHeight="1" x14ac:dyDescent="0.25">
      <c r="A14" s="1235" t="s">
        <v>411</v>
      </c>
      <c r="B14" s="1236"/>
      <c r="C14" s="438" t="s">
        <v>256</v>
      </c>
      <c r="D14" s="435" t="s">
        <v>967</v>
      </c>
      <c r="E14" s="437"/>
      <c r="F14" s="437"/>
      <c r="G14" s="437"/>
      <c r="H14" s="436">
        <f>ROUNDUP('12-DRENAGEM - IMPLANTAÇÃO'!$AI$21/40,0)</f>
        <v>42</v>
      </c>
    </row>
    <row r="15" spans="1:8" s="44" customFormat="1" ht="38.25" hidden="1" customHeight="1" x14ac:dyDescent="0.25">
      <c r="A15" s="1235" t="s">
        <v>941</v>
      </c>
      <c r="B15" s="1236"/>
      <c r="C15" s="438" t="s">
        <v>256</v>
      </c>
      <c r="D15" s="437" t="s">
        <v>968</v>
      </c>
      <c r="E15" s="437"/>
      <c r="F15" s="437"/>
      <c r="G15" s="437"/>
      <c r="H15" s="436">
        <v>1</v>
      </c>
    </row>
    <row r="16" spans="1:8" s="44" customFormat="1" ht="39" hidden="1" customHeight="1" x14ac:dyDescent="0.25">
      <c r="A16" s="1235" t="s">
        <v>334</v>
      </c>
      <c r="B16" s="1236"/>
      <c r="C16" s="438" t="s">
        <v>256</v>
      </c>
      <c r="D16" s="435" t="s">
        <v>969</v>
      </c>
      <c r="E16" s="437"/>
      <c r="F16" s="437"/>
      <c r="G16" s="437"/>
      <c r="H16" s="436">
        <f>ROUNDUP('12-DRENAGEM - IMPLANTAÇÃO'!$AI$21/100,0)</f>
        <v>17</v>
      </c>
    </row>
    <row r="17" spans="1:8" ht="25.5" x14ac:dyDescent="0.2">
      <c r="A17" s="1235" t="s">
        <v>942</v>
      </c>
      <c r="B17" s="1236"/>
      <c r="C17" s="438" t="s">
        <v>973</v>
      </c>
      <c r="D17" s="435" t="s">
        <v>970</v>
      </c>
      <c r="E17" s="437"/>
      <c r="F17" s="437"/>
      <c r="G17" s="437"/>
      <c r="H17" s="436">
        <f>ROUNDUP('12-DRENAGEM - IMPLANTAÇÃO'!$AI$21/75,0)</f>
        <v>23</v>
      </c>
    </row>
    <row r="18" spans="1:8" ht="63.75" x14ac:dyDescent="0.2">
      <c r="A18" s="1235" t="s">
        <v>943</v>
      </c>
      <c r="B18" s="1236"/>
      <c r="C18" s="438" t="s">
        <v>974</v>
      </c>
      <c r="D18" s="435" t="s">
        <v>971</v>
      </c>
      <c r="E18" s="437"/>
      <c r="F18" s="437"/>
      <c r="G18" s="437"/>
      <c r="H18" s="436">
        <f>'12-DRENAGEM - IMPLANTAÇÃO'!AI23</f>
        <v>498.62</v>
      </c>
    </row>
    <row r="19" spans="1:8" ht="25.5" x14ac:dyDescent="0.2">
      <c r="A19" s="1235" t="s">
        <v>410</v>
      </c>
      <c r="B19" s="1236"/>
      <c r="C19" s="438" t="s">
        <v>307</v>
      </c>
      <c r="D19" s="435" t="s">
        <v>972</v>
      </c>
      <c r="E19" s="437"/>
      <c r="F19" s="437"/>
      <c r="G19" s="437"/>
      <c r="H19" s="436">
        <f>ROUNDUP('10-PAVIMENTAÇÃO'!$H$19/150,0)</f>
        <v>5</v>
      </c>
    </row>
    <row r="20" spans="1:8" ht="25.5" hidden="1" customHeight="1" x14ac:dyDescent="0.2">
      <c r="A20" s="1235" t="s">
        <v>1161</v>
      </c>
      <c r="B20" s="1236"/>
      <c r="C20" s="438" t="s">
        <v>336</v>
      </c>
      <c r="D20" s="435" t="s">
        <v>1162</v>
      </c>
      <c r="E20" s="437"/>
      <c r="F20" s="437"/>
      <c r="G20" s="437">
        <f>20+20+40+40</f>
        <v>120</v>
      </c>
      <c r="H20" s="436">
        <f>G20</f>
        <v>120</v>
      </c>
    </row>
  </sheetData>
  <mergeCells count="17">
    <mergeCell ref="A20:B20"/>
    <mergeCell ref="A19:B19"/>
    <mergeCell ref="A12:B12"/>
    <mergeCell ref="A13:B13"/>
    <mergeCell ref="A14:B14"/>
    <mergeCell ref="A15:B15"/>
    <mergeCell ref="H6:H7"/>
    <mergeCell ref="A4:H4"/>
    <mergeCell ref="A16:B16"/>
    <mergeCell ref="A17:B17"/>
    <mergeCell ref="A18:B18"/>
    <mergeCell ref="B1:D1"/>
    <mergeCell ref="B3:D3"/>
    <mergeCell ref="A8:B8"/>
    <mergeCell ref="A10:B10"/>
    <mergeCell ref="A11:B11"/>
    <mergeCell ref="A9:B9"/>
  </mergeCells>
  <phoneticPr fontId="3" type="noConversion"/>
  <printOptions horizontalCentered="1"/>
  <pageMargins left="0.25" right="0.25" top="0.75" bottom="0.75" header="0.3" footer="0.3"/>
  <pageSetup paperSize="9" scale="84" fitToWidth="0" fitToHeight="0" orientation="landscape"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7">
    <tabColor rgb="FF006F71"/>
  </sheetPr>
  <dimension ref="A1:K19"/>
  <sheetViews>
    <sheetView tabSelected="1" workbookViewId="0">
      <selection activeCell="B8" sqref="B8"/>
    </sheetView>
  </sheetViews>
  <sheetFormatPr defaultRowHeight="16.5" x14ac:dyDescent="0.3"/>
  <cols>
    <col min="1" max="1" width="14.5703125" style="192" bestFit="1" customWidth="1"/>
    <col min="2" max="7" width="9.140625" style="192"/>
    <col min="8" max="8" width="11.7109375" style="192" bestFit="1" customWidth="1"/>
    <col min="9" max="9" width="27" style="192" bestFit="1" customWidth="1"/>
    <col min="10" max="10" width="41.28515625" style="192" customWidth="1"/>
    <col min="11" max="11" width="31" style="192" customWidth="1"/>
    <col min="12" max="16384" width="9.140625" style="192"/>
  </cols>
  <sheetData>
    <row r="1" spans="1:11" ht="15" customHeight="1" x14ac:dyDescent="0.3">
      <c r="A1" s="276"/>
      <c r="B1" s="291"/>
      <c r="C1" s="289" t="str">
        <f>N.GOV</f>
        <v>GOVERNO DO ESTADO DE MATO GROSSO DO SUL</v>
      </c>
      <c r="D1" s="291"/>
      <c r="E1" s="291"/>
      <c r="F1" s="526"/>
      <c r="G1" s="296"/>
      <c r="H1" s="291"/>
      <c r="I1" s="291"/>
      <c r="J1" s="291"/>
      <c r="K1" s="248"/>
    </row>
    <row r="2" spans="1:11" x14ac:dyDescent="0.3">
      <c r="A2" s="279"/>
      <c r="B2" s="208"/>
      <c r="C2" s="222" t="str" cm="1">
        <f t="array" aca="1" ref="C2" ca="1">N.PREFEITURA</f>
        <v>PREFEITURA MUNICIPAL DE NAVIRAÍ</v>
      </c>
      <c r="D2" s="535"/>
      <c r="E2" s="535"/>
      <c r="F2" s="536"/>
      <c r="G2" s="299"/>
      <c r="H2" s="222"/>
      <c r="I2" s="222"/>
      <c r="J2" s="222"/>
      <c r="K2" s="525"/>
    </row>
    <row r="3" spans="1:11" x14ac:dyDescent="0.3">
      <c r="A3" s="279"/>
      <c r="B3" s="208"/>
      <c r="C3" s="209" t="str" cm="1">
        <f t="array" aca="1" ref="C3" ca="1">N.SECRETARIA</f>
        <v>SECRETARIA DE PLANEJAMENTO</v>
      </c>
      <c r="D3" s="208"/>
      <c r="E3" s="208"/>
      <c r="F3" s="530"/>
      <c r="H3" s="209"/>
      <c r="I3" s="209"/>
      <c r="J3" s="209"/>
      <c r="K3" s="527"/>
    </row>
    <row r="4" spans="1:11" ht="20.25" customHeight="1" x14ac:dyDescent="0.3">
      <c r="A4" s="1245" t="s">
        <v>395</v>
      </c>
      <c r="B4" s="1205"/>
      <c r="C4" s="1205"/>
      <c r="D4" s="1205"/>
      <c r="E4" s="1205"/>
      <c r="F4" s="1205"/>
      <c r="G4" s="1205"/>
      <c r="H4" s="1205"/>
      <c r="I4" s="1205"/>
      <c r="J4" s="1205"/>
      <c r="K4" s="1246"/>
    </row>
    <row r="5" spans="1:11" ht="15" customHeight="1" x14ac:dyDescent="0.3">
      <c r="A5" s="537" t="s">
        <v>811</v>
      </c>
      <c r="B5" s="556" t="str">
        <f>N.DESCRICAO</f>
        <v>INFRAESTRUTURA URBANA – PAVIMENTAÇÃO ASFÁLTICA, DRENAGEM, E SINALIZAÇÃO VIÁRIA NO ACESSO AO CEMITERIO MUNICIPAL DE NAVIRAÍ/ MS</v>
      </c>
      <c r="C5" s="252"/>
      <c r="D5" s="252"/>
      <c r="E5" s="253"/>
      <c r="F5" s="253"/>
      <c r="G5" s="253"/>
      <c r="H5" s="253"/>
      <c r="I5" s="253"/>
      <c r="J5" s="253"/>
      <c r="K5" s="538" t="s">
        <v>305</v>
      </c>
    </row>
    <row r="6" spans="1:11" ht="18" customHeight="1" x14ac:dyDescent="0.3">
      <c r="A6" s="537" t="s">
        <v>799</v>
      </c>
      <c r="B6" s="556" t="str">
        <f ca="1">N.MUNICIPIO</f>
        <v>NAVIRAÍ</v>
      </c>
      <c r="C6" s="252"/>
      <c r="D6" s="252"/>
      <c r="E6" s="253"/>
      <c r="F6" s="253"/>
      <c r="G6" s="253"/>
      <c r="H6" s="253"/>
      <c r="I6" s="253"/>
      <c r="J6" s="253"/>
      <c r="K6" s="1248" t="str">
        <f>"  ______________________________              "&amp;N.Engenheiro&amp;"                                 "&amp;N.CREA</f>
        <v xml:space="preserve">  ______________________________              FÁBIO MARQUES RIBEIRO                                 ENGENHEIRO CIVIL - 15.276 D/MS</v>
      </c>
    </row>
    <row r="7" spans="1:11" ht="24" customHeight="1" x14ac:dyDescent="0.3">
      <c r="A7" s="537" t="s">
        <v>798</v>
      </c>
      <c r="B7" s="556" t="str" cm="1">
        <f t="array" ref="B7">N.LOCAL</f>
        <v>AVENIDA JOÃO RIGONATO</v>
      </c>
      <c r="C7" s="252"/>
      <c r="D7" s="252"/>
      <c r="E7" s="253"/>
      <c r="F7" s="253"/>
      <c r="G7" s="253"/>
      <c r="H7" s="253"/>
      <c r="I7" s="253"/>
      <c r="J7" s="253"/>
      <c r="K7" s="1249"/>
    </row>
    <row r="8" spans="1:11" ht="15" customHeight="1" x14ac:dyDescent="0.3">
      <c r="A8" s="539"/>
      <c r="K8" s="300"/>
    </row>
    <row r="9" spans="1:11" ht="25.5" x14ac:dyDescent="0.35">
      <c r="A9" s="1242" t="s">
        <v>399</v>
      </c>
      <c r="B9" s="1242"/>
      <c r="C9" s="1242"/>
      <c r="D9" s="1242"/>
      <c r="E9" s="1242"/>
      <c r="F9" s="1242"/>
      <c r="G9" s="1242"/>
      <c r="H9" s="440" t="s">
        <v>361</v>
      </c>
      <c r="I9" s="440" t="s">
        <v>984</v>
      </c>
      <c r="J9" s="1247" t="s">
        <v>771</v>
      </c>
      <c r="K9" s="1247"/>
    </row>
    <row r="10" spans="1:11" ht="40.5" x14ac:dyDescent="0.3">
      <c r="A10" s="1241" t="s">
        <v>396</v>
      </c>
      <c r="B10" s="1241"/>
      <c r="C10" s="1241"/>
      <c r="D10" s="1241"/>
      <c r="E10" s="1241"/>
      <c r="F10" s="1241"/>
      <c r="G10" s="1241"/>
      <c r="H10" s="441">
        <v>22.5</v>
      </c>
      <c r="I10" s="461" t="s">
        <v>1309</v>
      </c>
      <c r="J10" s="1243" t="s">
        <v>1062</v>
      </c>
      <c r="K10" s="1244"/>
    </row>
    <row r="11" spans="1:11" ht="40.5" x14ac:dyDescent="0.3">
      <c r="A11" s="1241" t="s">
        <v>1292</v>
      </c>
      <c r="B11" s="1241"/>
      <c r="C11" s="1241"/>
      <c r="D11" s="1241"/>
      <c r="E11" s="1241"/>
      <c r="F11" s="1241"/>
      <c r="G11" s="1241"/>
      <c r="H11" s="441">
        <v>5.8</v>
      </c>
      <c r="I11" s="461" t="s">
        <v>1310</v>
      </c>
      <c r="J11" s="1243" t="s">
        <v>1062</v>
      </c>
      <c r="K11" s="1244"/>
    </row>
    <row r="12" spans="1:11" ht="40.5" x14ac:dyDescent="0.3">
      <c r="A12" s="1241" t="s">
        <v>1290</v>
      </c>
      <c r="B12" s="1241"/>
      <c r="C12" s="1241"/>
      <c r="D12" s="1241"/>
      <c r="E12" s="1241"/>
      <c r="F12" s="1241"/>
      <c r="G12" s="1241"/>
      <c r="H12" s="441">
        <v>5.8</v>
      </c>
      <c r="I12" s="461" t="s">
        <v>1310</v>
      </c>
      <c r="J12" s="1243" t="s">
        <v>1062</v>
      </c>
      <c r="K12" s="1244"/>
    </row>
    <row r="13" spans="1:11" ht="40.5" x14ac:dyDescent="0.3">
      <c r="A13" s="1241" t="s">
        <v>398</v>
      </c>
      <c r="B13" s="1241"/>
      <c r="C13" s="1241"/>
      <c r="D13" s="1241"/>
      <c r="E13" s="1241"/>
      <c r="F13" s="1241"/>
      <c r="G13" s="1241"/>
      <c r="H13" s="441">
        <v>9.6</v>
      </c>
      <c r="I13" s="461" t="s">
        <v>1311</v>
      </c>
      <c r="J13" s="1243" t="s">
        <v>1062</v>
      </c>
      <c r="K13" s="1244"/>
    </row>
    <row r="14" spans="1:11" ht="40.5" x14ac:dyDescent="0.3">
      <c r="A14" s="1241" t="s">
        <v>13</v>
      </c>
      <c r="B14" s="1241"/>
      <c r="C14" s="1241"/>
      <c r="D14" s="1241"/>
      <c r="E14" s="1241"/>
      <c r="F14" s="1241"/>
      <c r="G14" s="1241"/>
      <c r="H14" s="441">
        <v>4.5</v>
      </c>
      <c r="I14" s="461" t="s">
        <v>1312</v>
      </c>
      <c r="J14" s="1243" t="s">
        <v>1062</v>
      </c>
      <c r="K14" s="1244"/>
    </row>
    <row r="15" spans="1:11" ht="40.5" x14ac:dyDescent="0.3">
      <c r="A15" s="1241" t="s">
        <v>397</v>
      </c>
      <c r="B15" s="1241"/>
      <c r="C15" s="1241"/>
      <c r="D15" s="1241"/>
      <c r="E15" s="1241"/>
      <c r="F15" s="1241"/>
      <c r="G15" s="1241"/>
      <c r="H15" s="441">
        <v>365</v>
      </c>
      <c r="I15" s="461" t="s">
        <v>1313</v>
      </c>
      <c r="J15" s="1244" t="s">
        <v>796</v>
      </c>
      <c r="K15" s="1244"/>
    </row>
    <row r="16" spans="1:11" ht="40.5" x14ac:dyDescent="0.3">
      <c r="A16" s="1241" t="s">
        <v>400</v>
      </c>
      <c r="B16" s="1241"/>
      <c r="C16" s="1241"/>
      <c r="D16" s="1241"/>
      <c r="E16" s="1241"/>
      <c r="F16" s="1241"/>
      <c r="G16" s="1241"/>
      <c r="H16" s="441">
        <v>22.5</v>
      </c>
      <c r="I16" s="461" t="s">
        <v>1309</v>
      </c>
      <c r="J16" s="1243" t="s">
        <v>1062</v>
      </c>
      <c r="K16" s="1244"/>
    </row>
    <row r="17" spans="1:11" ht="40.5" x14ac:dyDescent="0.3">
      <c r="A17" s="1241" t="s">
        <v>279</v>
      </c>
      <c r="B17" s="1241"/>
      <c r="C17" s="1241"/>
      <c r="D17" s="1241"/>
      <c r="E17" s="1241"/>
      <c r="F17" s="1241"/>
      <c r="G17" s="1241"/>
      <c r="H17" s="441">
        <v>100</v>
      </c>
      <c r="I17" s="461" t="s">
        <v>1314</v>
      </c>
      <c r="J17" s="1244" t="s">
        <v>1063</v>
      </c>
      <c r="K17" s="1244"/>
    </row>
    <row r="18" spans="1:11" ht="40.5" x14ac:dyDescent="0.3">
      <c r="A18" s="1241" t="s">
        <v>401</v>
      </c>
      <c r="B18" s="1241"/>
      <c r="C18" s="1241"/>
      <c r="D18" s="1241"/>
      <c r="E18" s="1241"/>
      <c r="F18" s="1241"/>
      <c r="G18" s="1241"/>
      <c r="H18" s="441">
        <v>148</v>
      </c>
      <c r="I18" s="461" t="s">
        <v>1315</v>
      </c>
      <c r="J18" s="1244" t="s">
        <v>1063</v>
      </c>
      <c r="K18" s="1244"/>
    </row>
    <row r="19" spans="1:11" ht="40.5" x14ac:dyDescent="0.3">
      <c r="A19" s="1241" t="s">
        <v>1308</v>
      </c>
      <c r="B19" s="1241"/>
      <c r="C19" s="1241"/>
      <c r="D19" s="1241"/>
      <c r="E19" s="1241"/>
      <c r="F19" s="1241"/>
      <c r="G19" s="1241"/>
      <c r="H19" s="441">
        <v>5</v>
      </c>
      <c r="I19" s="461" t="s">
        <v>1316</v>
      </c>
      <c r="J19" s="1243" t="s">
        <v>1062</v>
      </c>
      <c r="K19" s="1244"/>
    </row>
  </sheetData>
  <mergeCells count="24">
    <mergeCell ref="A19:G19"/>
    <mergeCell ref="J19:K19"/>
    <mergeCell ref="A13:G13"/>
    <mergeCell ref="J13:K13"/>
    <mergeCell ref="A4:K4"/>
    <mergeCell ref="J9:K9"/>
    <mergeCell ref="J10:K10"/>
    <mergeCell ref="K6:K7"/>
    <mergeCell ref="A12:G12"/>
    <mergeCell ref="J12:K12"/>
    <mergeCell ref="J18:K18"/>
    <mergeCell ref="J11:K11"/>
    <mergeCell ref="J14:K14"/>
    <mergeCell ref="J15:K15"/>
    <mergeCell ref="J16:K16"/>
    <mergeCell ref="J17:K17"/>
    <mergeCell ref="A18:G18"/>
    <mergeCell ref="A15:G15"/>
    <mergeCell ref="A14:G14"/>
    <mergeCell ref="A9:G9"/>
    <mergeCell ref="A10:G10"/>
    <mergeCell ref="A11:G11"/>
    <mergeCell ref="A17:G17"/>
    <mergeCell ref="A16:G16"/>
  </mergeCells>
  <pageMargins left="0.511811024" right="0.511811024" top="0.78740157499999996" bottom="0.78740157499999996" header="0.31496062000000002" footer="0.31496062000000002"/>
  <pageSetup paperSize="9" scale="75" orientation="landscape" r:id="rId1"/>
  <drawing r:id="rId2"/>
  <legacyDrawing r:id="rId3"/>
  <extLst>
    <ext xmlns:x14="http://schemas.microsoft.com/office/spreadsheetml/2009/9/main" uri="{CCE6A557-97BC-4b89-ADB6-D9C93CAAB3DF}">
      <x14:dataValidations xmlns:xm="http://schemas.microsoft.com/office/excel/2006/main" count="8">
        <x14:dataValidation type="list" allowBlank="1" showInputMessage="1" showErrorMessage="1">
          <x14:formula1>
            <xm:f>BC_DMT!$S$2:$S$11</xm:f>
          </x14:formula1>
          <xm:sqref>J10:K10</xm:sqref>
        </x14:dataValidation>
        <x14:dataValidation type="list" allowBlank="1" showInputMessage="1" showErrorMessage="1">
          <x14:formula1>
            <xm:f>BC_DMT!$O$2:$O$5</xm:f>
          </x14:formula1>
          <xm:sqref>J11:K12</xm:sqref>
        </x14:dataValidation>
        <x14:dataValidation type="list" allowBlank="1" showInputMessage="1" showErrorMessage="1">
          <x14:formula1>
            <xm:f>BC_DMT!$Q$2:$Q$7</xm:f>
          </x14:formula1>
          <xm:sqref>J14:K14</xm:sqref>
        </x14:dataValidation>
        <x14:dataValidation type="list" allowBlank="1" showInputMessage="1" showErrorMessage="1">
          <x14:formula1>
            <xm:f>BC_DMT!$R$2:$R$3</xm:f>
          </x14:formula1>
          <xm:sqref>J15:K15</xm:sqref>
        </x14:dataValidation>
        <x14:dataValidation type="list" allowBlank="1" showInputMessage="1" showErrorMessage="1">
          <x14:formula1>
            <xm:f>BC_DMT!$P$2:$P$11</xm:f>
          </x14:formula1>
          <xm:sqref>J16:K16</xm:sqref>
        </x14:dataValidation>
        <x14:dataValidation type="list" allowBlank="1" showInputMessage="1" showErrorMessage="1">
          <x14:formula1>
            <xm:f>BC_DMT!$U$2:$U$8</xm:f>
          </x14:formula1>
          <xm:sqref>J17:K17</xm:sqref>
        </x14:dataValidation>
        <x14:dataValidation type="list" allowBlank="1" showInputMessage="1" showErrorMessage="1">
          <x14:formula1>
            <xm:f>BC_DMT!$T$2:$T$7</xm:f>
          </x14:formula1>
          <xm:sqref>J18:K19</xm:sqref>
        </x14:dataValidation>
        <x14:dataValidation type="list" allowBlank="1" showInputMessage="1" showErrorMessage="1">
          <x14:formula1>
            <xm:f>BC_DMT!$M$2:$M$4</xm:f>
          </x14:formula1>
          <xm:sqref>J13:K13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A1:U45"/>
  <sheetViews>
    <sheetView workbookViewId="0"/>
  </sheetViews>
  <sheetFormatPr defaultRowHeight="15" x14ac:dyDescent="0.25"/>
  <cols>
    <col min="1" max="1" width="20.85546875" style="565" bestFit="1" customWidth="1"/>
    <col min="2" max="2" width="18.85546875" style="565" customWidth="1"/>
    <col min="3" max="3" width="13.5703125" style="565" bestFit="1" customWidth="1"/>
    <col min="4" max="4" width="14.42578125" bestFit="1" customWidth="1"/>
    <col min="5" max="5" width="17.5703125" bestFit="1" customWidth="1"/>
    <col min="6" max="6" width="18.28515625" bestFit="1" customWidth="1"/>
    <col min="11" max="11" width="13.140625" bestFit="1" customWidth="1"/>
    <col min="12" max="12" width="13.5703125" bestFit="1" customWidth="1"/>
    <col min="14" max="14" width="15.7109375" bestFit="1" customWidth="1"/>
    <col min="15" max="15" width="18" bestFit="1" customWidth="1"/>
    <col min="16" max="16" width="20.85546875" bestFit="1" customWidth="1"/>
    <col min="17" max="17" width="22.5703125" bestFit="1" customWidth="1"/>
    <col min="18" max="20" width="15.7109375" bestFit="1" customWidth="1"/>
    <col min="21" max="21" width="22.5703125" bestFit="1" customWidth="1"/>
  </cols>
  <sheetData>
    <row r="1" spans="1:21" x14ac:dyDescent="0.25">
      <c r="A1" s="565" t="s">
        <v>1188</v>
      </c>
      <c r="B1" s="565" t="s">
        <v>1189</v>
      </c>
      <c r="C1" s="565" t="s">
        <v>1190</v>
      </c>
      <c r="D1" s="565" t="s">
        <v>1191</v>
      </c>
      <c r="E1" s="565" t="s">
        <v>1192</v>
      </c>
      <c r="F1" s="565" t="s">
        <v>1193</v>
      </c>
      <c r="M1" s="571" t="s">
        <v>1290</v>
      </c>
      <c r="N1" s="571" t="s">
        <v>398</v>
      </c>
      <c r="O1" s="571" t="s">
        <v>402</v>
      </c>
      <c r="P1" s="571" t="s">
        <v>400</v>
      </c>
      <c r="Q1" s="571" t="s">
        <v>13</v>
      </c>
      <c r="R1" s="571" t="s">
        <v>397</v>
      </c>
      <c r="S1" s="571" t="s">
        <v>0</v>
      </c>
      <c r="T1" s="571" t="s">
        <v>401</v>
      </c>
      <c r="U1" s="571" t="s">
        <v>279</v>
      </c>
    </row>
    <row r="2" spans="1:21" x14ac:dyDescent="0.25">
      <c r="A2" s="565" t="s">
        <v>398</v>
      </c>
      <c r="B2" s="565" t="s">
        <v>796</v>
      </c>
      <c r="C2" s="572" t="s">
        <v>1194</v>
      </c>
      <c r="D2" t="s">
        <v>1195</v>
      </c>
      <c r="E2" t="str" cm="1">
        <f t="array" ref="E2">ConverterParaDecimal(Tabela1[[#This Row],[Latitude]])</f>
        <v>-20.4575722222222</v>
      </c>
      <c r="F2" t="str" cm="1">
        <f t="array" ref="F2">ConverterParaDecimal(Tabela1[[#This Row],[Longitude]])</f>
        <v>-54.4654416666667</v>
      </c>
      <c r="M2" t="s">
        <v>1293</v>
      </c>
      <c r="N2" t="s">
        <v>796</v>
      </c>
      <c r="O2" t="s">
        <v>1196</v>
      </c>
      <c r="P2" t="s">
        <v>1197</v>
      </c>
      <c r="Q2" t="s">
        <v>796</v>
      </c>
      <c r="R2" t="s">
        <v>796</v>
      </c>
      <c r="S2" t="s">
        <v>1197</v>
      </c>
      <c r="T2" t="s">
        <v>1198</v>
      </c>
      <c r="U2" t="s">
        <v>1199</v>
      </c>
    </row>
    <row r="3" spans="1:21" x14ac:dyDescent="0.25">
      <c r="A3" s="565" t="s">
        <v>398</v>
      </c>
      <c r="B3" s="565" t="s">
        <v>1062</v>
      </c>
      <c r="C3" s="572" t="s">
        <v>1200</v>
      </c>
      <c r="D3" t="s">
        <v>1201</v>
      </c>
      <c r="E3" t="str" cm="1">
        <f t="array" ref="E3">ConverterParaDecimal(Tabela1[[#This Row],[Latitude]])</f>
        <v>-23.1314222222222</v>
      </c>
      <c r="F3" t="str" cm="1">
        <f t="array" ref="F3">ConverterParaDecimal(Tabela1[[#This Row],[Longitude]])</f>
        <v>-54.1960972222222</v>
      </c>
      <c r="M3" t="s">
        <v>1285</v>
      </c>
      <c r="N3" t="s">
        <v>1062</v>
      </c>
      <c r="O3" t="s">
        <v>1202</v>
      </c>
      <c r="P3" t="s">
        <v>1203</v>
      </c>
      <c r="Q3" t="s">
        <v>1064</v>
      </c>
      <c r="S3" t="s">
        <v>1203</v>
      </c>
      <c r="T3" t="s">
        <v>1203</v>
      </c>
      <c r="U3" t="s">
        <v>796</v>
      </c>
    </row>
    <row r="4" spans="1:21" x14ac:dyDescent="0.25">
      <c r="A4" s="565" t="s">
        <v>1292</v>
      </c>
      <c r="B4" s="565" t="s">
        <v>1196</v>
      </c>
      <c r="C4" s="572" t="s">
        <v>1204</v>
      </c>
      <c r="D4" t="s">
        <v>1205</v>
      </c>
      <c r="E4" t="str" cm="1">
        <f t="array" ref="E4">ConverterParaDecimal(Tabela1[[#This Row],[Latitude]])</f>
        <v>-20.10305</v>
      </c>
      <c r="F4" t="str" cm="1">
        <f t="array" ref="F4">ConverterParaDecimal(Tabela1[[#This Row],[Longitude]])</f>
        <v>-54.4315916666667</v>
      </c>
      <c r="O4" t="s">
        <v>1062</v>
      </c>
      <c r="P4" t="s">
        <v>1206</v>
      </c>
      <c r="Q4" t="s">
        <v>1207</v>
      </c>
      <c r="S4" t="s">
        <v>1206</v>
      </c>
      <c r="T4" t="s">
        <v>796</v>
      </c>
      <c r="U4" t="s">
        <v>1207</v>
      </c>
    </row>
    <row r="5" spans="1:21" x14ac:dyDescent="0.25">
      <c r="A5" s="565" t="s">
        <v>1292</v>
      </c>
      <c r="B5" s="565" t="s">
        <v>1202</v>
      </c>
      <c r="C5" s="572" t="s">
        <v>1208</v>
      </c>
      <c r="D5" t="s">
        <v>1209</v>
      </c>
      <c r="E5" t="str" cm="1">
        <f t="array" ref="E5">ConverterParaDecimal(Tabela1[[#This Row],[Latitude]])</f>
        <v>-21.4531388888889</v>
      </c>
      <c r="F5" t="str" cm="1">
        <f t="array" ref="F5">ConverterParaDecimal(Tabela1[[#This Row],[Longitude]])</f>
        <v>-56.1553888888889</v>
      </c>
      <c r="O5" t="s">
        <v>1282</v>
      </c>
      <c r="P5" t="s">
        <v>796</v>
      </c>
      <c r="Q5" t="s">
        <v>1210</v>
      </c>
      <c r="S5" t="s">
        <v>796</v>
      </c>
      <c r="T5" t="s">
        <v>796</v>
      </c>
      <c r="U5" t="s">
        <v>1063</v>
      </c>
    </row>
    <row r="6" spans="1:21" x14ac:dyDescent="0.25">
      <c r="A6" s="565" t="s">
        <v>1292</v>
      </c>
      <c r="B6" s="565" t="s">
        <v>1062</v>
      </c>
      <c r="C6" s="572" t="s">
        <v>1211</v>
      </c>
      <c r="D6" t="s">
        <v>1212</v>
      </c>
      <c r="E6" t="str" cm="1">
        <f t="array" ref="E6">ConverterParaDecimal(Tabela1[[#This Row],[Latitude]])</f>
        <v>-23.0411861111111</v>
      </c>
      <c r="F6" t="str" cm="1">
        <f t="array" ref="F6">ConverterParaDecimal(Tabela1[[#This Row],[Longitude]])</f>
        <v>-54.2137805555556</v>
      </c>
      <c r="O6" t="s">
        <v>1285</v>
      </c>
      <c r="P6" t="s">
        <v>1064</v>
      </c>
      <c r="Q6" t="s">
        <v>1062</v>
      </c>
      <c r="S6" t="s">
        <v>1064</v>
      </c>
      <c r="T6" t="s">
        <v>1064</v>
      </c>
      <c r="U6" t="s">
        <v>1196</v>
      </c>
    </row>
    <row r="7" spans="1:21" x14ac:dyDescent="0.25">
      <c r="A7" s="565" t="s">
        <v>402</v>
      </c>
      <c r="B7" s="565" t="s">
        <v>1285</v>
      </c>
      <c r="C7" s="572" t="s">
        <v>1286</v>
      </c>
      <c r="D7" t="s">
        <v>1287</v>
      </c>
      <c r="E7" t="str" cm="1">
        <f t="array" ref="E7">ConverterParaDecimal(Tabela1[[#This Row],[Latitude]])</f>
        <v>-22.4312</v>
      </c>
      <c r="F7" t="str" cm="1">
        <f t="array" ref="F7">ConverterParaDecimal(Tabela1[[#This Row],[Longitude]])</f>
        <v>-54.2376083333333</v>
      </c>
      <c r="P7" t="s">
        <v>1202</v>
      </c>
      <c r="S7" t="s">
        <v>1202</v>
      </c>
      <c r="U7" t="s">
        <v>1202</v>
      </c>
    </row>
    <row r="8" spans="1:21" x14ac:dyDescent="0.25">
      <c r="A8" s="565" t="s">
        <v>402</v>
      </c>
      <c r="B8" s="565" t="s">
        <v>1282</v>
      </c>
      <c r="C8" s="572" t="s">
        <v>1283</v>
      </c>
      <c r="D8" t="s">
        <v>1284</v>
      </c>
      <c r="E8" t="str" cm="1">
        <f t="array" ref="E8">ConverterParaDecimal(Tabela1[[#This Row],[Latitude]])</f>
        <v>-20.2241388888889</v>
      </c>
      <c r="F8" t="str" cm="1">
        <f t="array" ref="F8">ConverterParaDecimal(Tabela1[[#This Row],[Longitude]])</f>
        <v>-56.3182222222222</v>
      </c>
      <c r="P8" t="s">
        <v>1062</v>
      </c>
      <c r="S8" t="s">
        <v>1062</v>
      </c>
    </row>
    <row r="9" spans="1:21" x14ac:dyDescent="0.25">
      <c r="A9" s="565" t="s">
        <v>400</v>
      </c>
      <c r="B9" s="565" t="s">
        <v>1197</v>
      </c>
      <c r="C9" s="572" t="s">
        <v>1213</v>
      </c>
      <c r="D9" t="s">
        <v>1214</v>
      </c>
      <c r="E9" t="str" cm="1">
        <f t="array" ref="E9">ConverterParaDecimal(Tabela1[[#This Row],[Latitude]])</f>
        <v>-19.8791666666667</v>
      </c>
      <c r="F9" t="str" cm="1">
        <f t="array" ref="F9">ConverterParaDecimal(Tabela1[[#This Row],[Longitude]])</f>
        <v>-54.4417138888889</v>
      </c>
      <c r="P9" t="s">
        <v>1219</v>
      </c>
      <c r="S9" t="s">
        <v>1219</v>
      </c>
    </row>
    <row r="10" spans="1:21" x14ac:dyDescent="0.25">
      <c r="A10" s="565" t="s">
        <v>400</v>
      </c>
      <c r="B10" s="565" t="s">
        <v>1203</v>
      </c>
      <c r="C10" s="572" t="s">
        <v>1215</v>
      </c>
      <c r="D10" t="s">
        <v>1216</v>
      </c>
      <c r="E10" t="str" cm="1">
        <f t="array" ref="E10">ConverterParaDecimal(Tabela1[[#This Row],[Latitude]])</f>
        <v>-22.0989027777778</v>
      </c>
      <c r="F10" t="str" cm="1">
        <f t="array" ref="F10">ConverterParaDecimal(Tabela1[[#This Row],[Longitude]])</f>
        <v>-56.7465027777778</v>
      </c>
      <c r="P10" t="s">
        <v>1222</v>
      </c>
      <c r="S10" t="s">
        <v>1222</v>
      </c>
    </row>
    <row r="11" spans="1:21" x14ac:dyDescent="0.25">
      <c r="A11" s="565" t="s">
        <v>400</v>
      </c>
      <c r="B11" s="565" t="s">
        <v>1206</v>
      </c>
      <c r="C11" s="572" t="s">
        <v>1264</v>
      </c>
      <c r="D11" t="s">
        <v>1265</v>
      </c>
      <c r="E11" t="str" cm="1">
        <f t="array" ref="E11">ConverterParaDecimal(Tabela1[[#This Row],[Latitude]])</f>
        <v>-20.59115</v>
      </c>
      <c r="F11" t="str" cm="1">
        <f t="array" ref="F11">ConverterParaDecimal(Tabela1[[#This Row],[Longitude]])</f>
        <v>-56.6893277777778</v>
      </c>
    </row>
    <row r="12" spans="1:21" x14ac:dyDescent="0.25">
      <c r="A12" s="565" t="s">
        <v>400</v>
      </c>
      <c r="B12" s="565" t="s">
        <v>796</v>
      </c>
      <c r="C12" s="572" t="s">
        <v>1217</v>
      </c>
      <c r="D12" t="s">
        <v>1218</v>
      </c>
      <c r="E12" t="str" cm="1">
        <f t="array" ref="E12">ConverterParaDecimal(Tabela1[[#This Row],[Latitude]])</f>
        <v>-20.4436777777778</v>
      </c>
      <c r="F12" t="str" cm="1">
        <f t="array" ref="F12">ConverterParaDecimal(Tabela1[[#This Row],[Longitude]])</f>
        <v>-54.7768472222222</v>
      </c>
    </row>
    <row r="13" spans="1:21" x14ac:dyDescent="0.25">
      <c r="A13" s="565" t="s">
        <v>400</v>
      </c>
      <c r="B13" s="565" t="s">
        <v>1064</v>
      </c>
      <c r="C13" s="572" t="s">
        <v>1262</v>
      </c>
      <c r="D13" t="s">
        <v>1263</v>
      </c>
      <c r="E13" t="str" cm="1">
        <f t="array" ref="E13">ConverterParaDecimal(Tabela1[[#This Row],[Latitude]])</f>
        <v>-22.1130472222222</v>
      </c>
      <c r="F13" t="str" cm="1">
        <f t="array" ref="F13">ConverterParaDecimal(Tabela1[[#This Row],[Longitude]])</f>
        <v>-54.7971861111111</v>
      </c>
    </row>
    <row r="14" spans="1:21" x14ac:dyDescent="0.25">
      <c r="A14" s="565" t="s">
        <v>400</v>
      </c>
      <c r="B14" s="565" t="s">
        <v>1202</v>
      </c>
      <c r="C14" s="572" t="s">
        <v>1220</v>
      </c>
      <c r="D14" t="s">
        <v>1221</v>
      </c>
      <c r="E14" t="str" cm="1">
        <f t="array" ref="E14">ConverterParaDecimal(Tabela1[[#This Row],[Latitude]])</f>
        <v>-21.5664027777778</v>
      </c>
      <c r="F14" t="str" cm="1">
        <f t="array" ref="F14">ConverterParaDecimal(Tabela1[[#This Row],[Longitude]])</f>
        <v>-56.5968388888889</v>
      </c>
    </row>
    <row r="15" spans="1:21" x14ac:dyDescent="0.25">
      <c r="A15" s="565" t="s">
        <v>400</v>
      </c>
      <c r="B15" s="565" t="s">
        <v>1062</v>
      </c>
      <c r="C15" s="572" t="s">
        <v>1223</v>
      </c>
      <c r="D15" t="s">
        <v>1224</v>
      </c>
      <c r="E15" t="str" cm="1">
        <f t="array" ref="E15">ConverterParaDecimal(Tabela1[[#This Row],[Latitude]])</f>
        <v>-22.9665972222222</v>
      </c>
      <c r="F15" t="str" cm="1">
        <f t="array" ref="F15">ConverterParaDecimal(Tabela1[[#This Row],[Longitude]])</f>
        <v>-54.0907638888889</v>
      </c>
    </row>
    <row r="16" spans="1:21" x14ac:dyDescent="0.25">
      <c r="A16" s="565" t="s">
        <v>400</v>
      </c>
      <c r="B16" s="565" t="s">
        <v>1219</v>
      </c>
      <c r="C16" s="572" t="s">
        <v>1258</v>
      </c>
      <c r="D16" t="s">
        <v>1259</v>
      </c>
      <c r="E16" t="str" cm="1">
        <f t="array" ref="E16">ConverterParaDecimal(Tabela1[[#This Row],[Latitude]])</f>
        <v>-20.4511361111111</v>
      </c>
      <c r="F16" t="str" cm="1">
        <f t="array" ref="F16">ConverterParaDecimal(Tabela1[[#This Row],[Longitude]])</f>
        <v>-53.7179333333333</v>
      </c>
    </row>
    <row r="17" spans="1:6" x14ac:dyDescent="0.25">
      <c r="A17" s="565" t="s">
        <v>400</v>
      </c>
      <c r="B17" s="565" t="s">
        <v>1222</v>
      </c>
      <c r="C17" s="572" t="s">
        <v>1260</v>
      </c>
      <c r="D17" t="s">
        <v>1261</v>
      </c>
      <c r="E17" t="str" cm="1">
        <f t="array" ref="E17">ConverterParaDecimal(Tabela1[[#This Row],[Latitude]])</f>
        <v>-20.8979333333333</v>
      </c>
      <c r="F17" t="str" cm="1">
        <f t="array" ref="F17">ConverterParaDecimal(Tabela1[[#This Row],[Longitude]])</f>
        <v>-51.6604777777778</v>
      </c>
    </row>
    <row r="18" spans="1:6" x14ac:dyDescent="0.25">
      <c r="A18" s="565" t="s">
        <v>13</v>
      </c>
      <c r="B18" s="565" t="s">
        <v>796</v>
      </c>
      <c r="C18" s="572" t="s">
        <v>1225</v>
      </c>
      <c r="D18" t="s">
        <v>1226</v>
      </c>
      <c r="E18" t="str" cm="1">
        <f t="array" ref="E18">ConverterParaDecimal(Tabela1[[#This Row],[Latitude]])</f>
        <v>-20.4483833333333</v>
      </c>
      <c r="F18" t="str" cm="1">
        <f t="array" ref="F18">ConverterParaDecimal(Tabela1[[#This Row],[Longitude]])</f>
        <v>-54.7677888888889</v>
      </c>
    </row>
    <row r="19" spans="1:6" x14ac:dyDescent="0.25">
      <c r="A19" s="565" t="s">
        <v>13</v>
      </c>
      <c r="B19" s="565" t="s">
        <v>1064</v>
      </c>
      <c r="C19" s="572" t="s">
        <v>1262</v>
      </c>
      <c r="D19" t="s">
        <v>1263</v>
      </c>
      <c r="E19" t="str" cm="1">
        <f t="array" ref="E19">ConverterParaDecimal(Tabela1[[#This Row],[Latitude]])</f>
        <v>-22.1130472222222</v>
      </c>
      <c r="F19" t="str" cm="1">
        <f t="array" ref="F19">ConverterParaDecimal(Tabela1[[#This Row],[Longitude]])</f>
        <v>-54.7971861111111</v>
      </c>
    </row>
    <row r="20" spans="1:6" x14ac:dyDescent="0.25">
      <c r="A20" s="565" t="s">
        <v>13</v>
      </c>
      <c r="B20" s="565" t="s">
        <v>1207</v>
      </c>
      <c r="C20" s="572" t="s">
        <v>1227</v>
      </c>
      <c r="D20" t="s">
        <v>1228</v>
      </c>
      <c r="E20" t="str" cm="1">
        <f t="array" ref="E20">ConverterParaDecimal(Tabela1[[#This Row],[Latitude]])</f>
        <v>-21.4441388888889</v>
      </c>
      <c r="F20" t="str" cm="1">
        <f t="array" ref="F20">ConverterParaDecimal(Tabela1[[#This Row],[Longitude]])</f>
        <v>-56.0980722222222</v>
      </c>
    </row>
    <row r="21" spans="1:6" x14ac:dyDescent="0.25">
      <c r="A21" s="565" t="s">
        <v>13</v>
      </c>
      <c r="B21" s="565" t="s">
        <v>1210</v>
      </c>
      <c r="C21" s="572" t="s">
        <v>1229</v>
      </c>
      <c r="D21" t="s">
        <v>1230</v>
      </c>
      <c r="E21" t="str" cm="1">
        <f t="array" ref="E21">ConverterParaDecimal(Tabela1[[#This Row],[Latitude]])</f>
        <v>-21.6675305555556</v>
      </c>
      <c r="F21" t="str" cm="1">
        <f t="array" ref="F21">ConverterParaDecimal(Tabela1[[#This Row],[Longitude]])</f>
        <v>-55.1779111111111</v>
      </c>
    </row>
    <row r="22" spans="1:6" x14ac:dyDescent="0.25">
      <c r="A22" s="565" t="s">
        <v>13</v>
      </c>
      <c r="B22" s="565" t="s">
        <v>1062</v>
      </c>
      <c r="C22" s="572" t="s">
        <v>1231</v>
      </c>
      <c r="D22" t="s">
        <v>1232</v>
      </c>
      <c r="E22" t="str" cm="1">
        <f t="array" ref="E22">ConverterParaDecimal(Tabela1[[#This Row],[Latitude]])</f>
        <v>-23.0564916666667</v>
      </c>
      <c r="F22" t="str" cm="1">
        <f t="array" ref="F22">ConverterParaDecimal(Tabela1[[#This Row],[Longitude]])</f>
        <v>-54.2303111111111</v>
      </c>
    </row>
    <row r="23" spans="1:6" x14ac:dyDescent="0.25">
      <c r="A23" s="565" t="s">
        <v>397</v>
      </c>
      <c r="B23" s="565" t="s">
        <v>796</v>
      </c>
      <c r="C23" s="572" t="s">
        <v>1233</v>
      </c>
      <c r="D23" t="s">
        <v>1234</v>
      </c>
      <c r="E23" t="str" cm="1">
        <f t="array" ref="E23">ConverterParaDecimal(Tabela1[[#This Row],[Latitude]])</f>
        <v>-20.4534444444444</v>
      </c>
      <c r="F23" t="str" cm="1">
        <f t="array" ref="F23">ConverterParaDecimal(Tabela1[[#This Row],[Longitude]])</f>
        <v>-54.6996388888889</v>
      </c>
    </row>
    <row r="24" spans="1:6" x14ac:dyDescent="0.25">
      <c r="A24" s="565" t="s">
        <v>0</v>
      </c>
      <c r="B24" s="565" t="s">
        <v>1197</v>
      </c>
      <c r="C24" s="572" t="s">
        <v>1213</v>
      </c>
      <c r="D24" t="s">
        <v>1214</v>
      </c>
      <c r="E24" t="str" cm="1">
        <f t="array" ref="E24">ConverterParaDecimal(Tabela1[[#This Row],[Latitude]])</f>
        <v>-19.8791666666667</v>
      </c>
      <c r="F24" t="str" cm="1">
        <f t="array" ref="F24">ConverterParaDecimal(Tabela1[[#This Row],[Longitude]])</f>
        <v>-54.4417138888889</v>
      </c>
    </row>
    <row r="25" spans="1:6" x14ac:dyDescent="0.25">
      <c r="A25" s="565" t="s">
        <v>0</v>
      </c>
      <c r="B25" s="565" t="s">
        <v>1203</v>
      </c>
      <c r="C25" s="572" t="s">
        <v>1215</v>
      </c>
      <c r="D25" t="s">
        <v>1216</v>
      </c>
      <c r="E25" t="str" cm="1">
        <f t="array" ref="E25">ConverterParaDecimal(Tabela1[[#This Row],[Latitude]])</f>
        <v>-22.0989027777778</v>
      </c>
      <c r="F25" t="str" cm="1">
        <f t="array" ref="F25">ConverterParaDecimal(Tabela1[[#This Row],[Longitude]])</f>
        <v>-56.7465027777778</v>
      </c>
    </row>
    <row r="26" spans="1:6" x14ac:dyDescent="0.25">
      <c r="A26" s="565" t="s">
        <v>0</v>
      </c>
      <c r="B26" s="565" t="s">
        <v>1206</v>
      </c>
      <c r="C26" s="572" t="s">
        <v>1264</v>
      </c>
      <c r="D26" t="s">
        <v>1265</v>
      </c>
      <c r="E26" t="str" cm="1">
        <f t="array" ref="E26">ConverterParaDecimal(Tabela1[[#This Row],[Latitude]])</f>
        <v>-20.59115</v>
      </c>
      <c r="F26" t="str" cm="1">
        <f t="array" ref="F26">ConverterParaDecimal(Tabela1[[#This Row],[Longitude]])</f>
        <v>-56.6893277777778</v>
      </c>
    </row>
    <row r="27" spans="1:6" x14ac:dyDescent="0.25">
      <c r="A27" s="565" t="s">
        <v>0</v>
      </c>
      <c r="B27" s="565" t="s">
        <v>796</v>
      </c>
      <c r="C27" s="572" t="s">
        <v>1217</v>
      </c>
      <c r="D27" t="s">
        <v>1218</v>
      </c>
      <c r="E27" t="str" cm="1">
        <f t="array" ref="E27">ConverterParaDecimal(Tabela1[[#This Row],[Latitude]])</f>
        <v>-20.4436777777778</v>
      </c>
      <c r="F27" t="str" cm="1">
        <f t="array" ref="F27">ConverterParaDecimal(Tabela1[[#This Row],[Longitude]])</f>
        <v>-54.7768472222222</v>
      </c>
    </row>
    <row r="28" spans="1:6" x14ac:dyDescent="0.25">
      <c r="A28" s="565" t="s">
        <v>0</v>
      </c>
      <c r="B28" s="565" t="s">
        <v>1064</v>
      </c>
      <c r="C28" s="572" t="s">
        <v>1262</v>
      </c>
      <c r="D28" t="s">
        <v>1263</v>
      </c>
      <c r="E28" t="str" cm="1">
        <f t="array" ref="E28">ConverterParaDecimal(Tabela1[[#This Row],[Latitude]])</f>
        <v>-22.1130472222222</v>
      </c>
      <c r="F28" t="str" cm="1">
        <f t="array" ref="F28">ConverterParaDecimal(Tabela1[[#This Row],[Longitude]])</f>
        <v>-54.7971861111111</v>
      </c>
    </row>
    <row r="29" spans="1:6" x14ac:dyDescent="0.25">
      <c r="A29" s="565" t="s">
        <v>0</v>
      </c>
      <c r="B29" s="565" t="s">
        <v>1202</v>
      </c>
      <c r="C29" s="572" t="s">
        <v>1220</v>
      </c>
      <c r="D29" t="s">
        <v>1221</v>
      </c>
      <c r="E29" t="str" cm="1">
        <f t="array" ref="E29">ConverterParaDecimal(Tabela1[[#This Row],[Latitude]])</f>
        <v>-21.5664027777778</v>
      </c>
      <c r="F29" t="str" cm="1">
        <f t="array" ref="F29">ConverterParaDecimal(Tabela1[[#This Row],[Longitude]])</f>
        <v>-56.5968388888889</v>
      </c>
    </row>
    <row r="30" spans="1:6" x14ac:dyDescent="0.25">
      <c r="A30" s="565" t="s">
        <v>0</v>
      </c>
      <c r="B30" s="565" t="s">
        <v>1062</v>
      </c>
      <c r="C30" s="572" t="s">
        <v>1235</v>
      </c>
      <c r="D30" t="s">
        <v>1224</v>
      </c>
      <c r="E30" t="str" cm="1">
        <f t="array" ref="E30">ConverterParaDecimal(Tabela1[[#This Row],[Latitude]])</f>
        <v>-22.9665972222222</v>
      </c>
      <c r="F30" t="str" cm="1">
        <f t="array" ref="F30">ConverterParaDecimal(Tabela1[[#This Row],[Longitude]])</f>
        <v>-54.0907638888889</v>
      </c>
    </row>
    <row r="31" spans="1:6" x14ac:dyDescent="0.25">
      <c r="A31" s="565" t="s">
        <v>0</v>
      </c>
      <c r="B31" s="565" t="s">
        <v>1219</v>
      </c>
      <c r="C31" s="572" t="s">
        <v>1258</v>
      </c>
      <c r="D31" t="s">
        <v>1259</v>
      </c>
      <c r="E31" t="str" cm="1">
        <f t="array" ref="E31">ConverterParaDecimal(Tabela1[[#This Row],[Latitude]])</f>
        <v>-20.4511361111111</v>
      </c>
      <c r="F31" t="str" cm="1">
        <f t="array" ref="F31">ConverterParaDecimal(Tabela1[[#This Row],[Longitude]])</f>
        <v>-53.7179333333333</v>
      </c>
    </row>
    <row r="32" spans="1:6" x14ac:dyDescent="0.25">
      <c r="A32" s="565" t="s">
        <v>0</v>
      </c>
      <c r="B32" s="565" t="s">
        <v>1222</v>
      </c>
      <c r="C32" s="572" t="s">
        <v>1260</v>
      </c>
      <c r="D32" t="s">
        <v>1261</v>
      </c>
      <c r="E32" t="str" cm="1">
        <f t="array" ref="E32">ConverterParaDecimal(Tabela1[[#This Row],[Latitude]])</f>
        <v>-20.8979333333333</v>
      </c>
      <c r="F32" t="str" cm="1">
        <f t="array" ref="F32">ConverterParaDecimal(Tabela1[[#This Row],[Longitude]])</f>
        <v>-51.6604777777778</v>
      </c>
    </row>
    <row r="33" spans="1:6" x14ac:dyDescent="0.25">
      <c r="A33" s="565" t="s">
        <v>401</v>
      </c>
      <c r="B33" s="565" t="s">
        <v>1198</v>
      </c>
      <c r="C33" s="572" t="s">
        <v>1236</v>
      </c>
      <c r="D33" t="s">
        <v>1237</v>
      </c>
      <c r="E33" t="str" cm="1">
        <f t="array" ref="E33">ConverterParaDecimal(Tabela1[[#This Row],[Latitude]])</f>
        <v>-20.4625138888889</v>
      </c>
      <c r="F33" t="str" cm="1">
        <f t="array" ref="F33">ConverterParaDecimal(Tabela1[[#This Row],[Longitude]])</f>
        <v>-55.7796</v>
      </c>
    </row>
    <row r="34" spans="1:6" x14ac:dyDescent="0.25">
      <c r="A34" s="565" t="s">
        <v>401</v>
      </c>
      <c r="B34" s="565" t="s">
        <v>1203</v>
      </c>
      <c r="C34" s="572" t="s">
        <v>1238</v>
      </c>
      <c r="D34" t="s">
        <v>1239</v>
      </c>
      <c r="E34" t="str" cm="1">
        <f t="array" ref="E34">ConverterParaDecimal(Tabela1[[#This Row],[Latitude]])</f>
        <v>-22.0805111111111</v>
      </c>
      <c r="F34" t="str" cm="1">
        <f t="array" ref="F34">ConverterParaDecimal(Tabela1[[#This Row],[Longitude]])</f>
        <v>-56.5196805555556</v>
      </c>
    </row>
    <row r="35" spans="1:6" x14ac:dyDescent="0.25">
      <c r="A35" s="565" t="s">
        <v>401</v>
      </c>
      <c r="B35" s="565" t="s">
        <v>796</v>
      </c>
      <c r="C35" s="572" t="s">
        <v>1240</v>
      </c>
      <c r="D35" t="s">
        <v>1241</v>
      </c>
      <c r="E35" t="str" cm="1">
        <f t="array" ref="E35">ConverterParaDecimal(Tabela1[[#This Row],[Latitude]])</f>
        <v>-20.3974638888889</v>
      </c>
      <c r="F35" t="str" cm="1">
        <f t="array" ref="F35">ConverterParaDecimal(Tabela1[[#This Row],[Longitude]])</f>
        <v>-54.5625194444444</v>
      </c>
    </row>
    <row r="36" spans="1:6" x14ac:dyDescent="0.25">
      <c r="A36" s="565" t="s">
        <v>401</v>
      </c>
      <c r="B36" s="565" t="s">
        <v>796</v>
      </c>
      <c r="C36" s="572" t="s">
        <v>1242</v>
      </c>
      <c r="D36" t="s">
        <v>1243</v>
      </c>
      <c r="E36" t="str" cm="1">
        <f t="array" ref="E36">ConverterParaDecimal(Tabela1[[#This Row],[Latitude]])</f>
        <v>-20.3974416666667</v>
      </c>
      <c r="F36" t="str" cm="1">
        <f t="array" ref="F36">ConverterParaDecimal(Tabela1[[#This Row],[Longitude]])</f>
        <v>-54.5625277777778</v>
      </c>
    </row>
    <row r="37" spans="1:6" x14ac:dyDescent="0.25">
      <c r="A37" s="565" t="s">
        <v>401</v>
      </c>
      <c r="B37" s="565" t="s">
        <v>1064</v>
      </c>
      <c r="C37" s="572" t="s">
        <v>1244</v>
      </c>
      <c r="D37" t="s">
        <v>1245</v>
      </c>
      <c r="E37" t="str" cm="1">
        <f t="array" ref="E37">ConverterParaDecimal(Tabela1[[#This Row],[Latitude]])</f>
        <v>-23.2205277777778</v>
      </c>
      <c r="F37" t="str" cm="1">
        <f t="array" ref="F37">ConverterParaDecimal(Tabela1[[#This Row],[Longitude]])</f>
        <v>-54.8384166666667</v>
      </c>
    </row>
    <row r="38" spans="1:6" x14ac:dyDescent="0.25">
      <c r="A38" s="565" t="s">
        <v>1290</v>
      </c>
      <c r="B38" s="565" t="s">
        <v>1293</v>
      </c>
      <c r="C38" s="572" t="s">
        <v>1294</v>
      </c>
      <c r="D38" t="s">
        <v>1295</v>
      </c>
      <c r="E38" t="str" cm="1">
        <f t="array" ref="E38">ConverterParaDecimal(Tabela1[[#This Row],[Latitude]])</f>
        <v>-23.7835</v>
      </c>
      <c r="F38" t="str" cm="1">
        <f t="array" ref="F38">ConverterParaDecimal(Tabela1[[#This Row],[Longitude]])</f>
        <v>54.2993611111111</v>
      </c>
    </row>
    <row r="39" spans="1:6" x14ac:dyDescent="0.25">
      <c r="A39" s="565" t="s">
        <v>1290</v>
      </c>
      <c r="B39" s="565" t="s">
        <v>1285</v>
      </c>
      <c r="C39" s="572" t="s">
        <v>1288</v>
      </c>
      <c r="D39" t="s">
        <v>1289</v>
      </c>
      <c r="E39" t="str" cm="1">
        <f t="array" ref="E39">ConverterParaDecimal(Tabela1[[#This Row],[Latitude]])</f>
        <v>-22.3542277777778</v>
      </c>
      <c r="F39" t="str" cm="1">
        <f t="array" ref="F39">ConverterParaDecimal(Tabela1[[#This Row],[Longitude]])</f>
        <v>-54.4486388888889</v>
      </c>
    </row>
    <row r="40" spans="1:6" x14ac:dyDescent="0.25">
      <c r="A40" s="565" t="s">
        <v>279</v>
      </c>
      <c r="B40" s="565" t="s">
        <v>1199</v>
      </c>
      <c r="C40" s="572" t="s">
        <v>1246</v>
      </c>
      <c r="D40" t="s">
        <v>1247</v>
      </c>
      <c r="E40" t="str" cm="1">
        <f t="array" ref="E40">ConverterParaDecimal(Tabela1[[#This Row],[Latitude]])</f>
        <v>-20.4968361111111</v>
      </c>
      <c r="F40" t="str" cm="1">
        <f t="array" ref="F40">ConverterParaDecimal(Tabela1[[#This Row],[Longitude]])</f>
        <v>-55.7737833333333</v>
      </c>
    </row>
    <row r="41" spans="1:6" x14ac:dyDescent="0.25">
      <c r="A41" s="565" t="s">
        <v>279</v>
      </c>
      <c r="B41" s="565" t="s">
        <v>796</v>
      </c>
      <c r="C41" s="572" t="s">
        <v>1248</v>
      </c>
      <c r="D41" t="s">
        <v>1249</v>
      </c>
      <c r="E41" t="str" cm="1">
        <f t="array" ref="E41">ConverterParaDecimal(Tabela1[[#This Row],[Latitude]])</f>
        <v>-20.4292666666667</v>
      </c>
      <c r="F41" t="str" cm="1">
        <f t="array" ref="F41">ConverterParaDecimal(Tabela1[[#This Row],[Longitude]])</f>
        <v>-54.5440416666667</v>
      </c>
    </row>
    <row r="42" spans="1:6" x14ac:dyDescent="0.25">
      <c r="A42" s="565" t="s">
        <v>279</v>
      </c>
      <c r="B42" s="565" t="s">
        <v>1207</v>
      </c>
      <c r="C42" s="572" t="s">
        <v>1250</v>
      </c>
      <c r="D42" t="s">
        <v>1251</v>
      </c>
      <c r="E42" t="str" cm="1">
        <f t="array" ref="E42">ConverterParaDecimal(Tabela1[[#This Row],[Latitude]])</f>
        <v>-21.4558583333333</v>
      </c>
      <c r="F42" t="str" cm="1">
        <f t="array" ref="F42">ConverterParaDecimal(Tabela1[[#This Row],[Longitude]])</f>
        <v>-56.1151694444444</v>
      </c>
    </row>
    <row r="43" spans="1:6" x14ac:dyDescent="0.25">
      <c r="A43" s="565" t="s">
        <v>279</v>
      </c>
      <c r="B43" s="565" t="s">
        <v>1063</v>
      </c>
      <c r="C43" s="572" t="s">
        <v>1252</v>
      </c>
      <c r="D43" t="s">
        <v>1253</v>
      </c>
      <c r="E43" t="str" cm="1">
        <f t="array" ref="E43">ConverterParaDecimal(Tabela1[[#This Row],[Latitude]])</f>
        <v>-23.0522611111111</v>
      </c>
      <c r="F43" t="str" cm="1">
        <f t="array" ref="F43">ConverterParaDecimal(Tabela1[[#This Row],[Longitude]])</f>
        <v>-54.2262972222222</v>
      </c>
    </row>
    <row r="44" spans="1:6" x14ac:dyDescent="0.25">
      <c r="A44" s="565" t="s">
        <v>279</v>
      </c>
      <c r="B44" s="565" t="s">
        <v>1196</v>
      </c>
      <c r="C44" s="572" t="s">
        <v>1254</v>
      </c>
      <c r="D44" t="s">
        <v>1255</v>
      </c>
      <c r="E44" t="str" cm="1">
        <f t="array" ref="E44">ConverterParaDecimal(Tabela1[[#This Row],[Latitude]])</f>
        <v>-20.2568833333333</v>
      </c>
      <c r="F44" t="str" cm="1">
        <f t="array" ref="F44">ConverterParaDecimal(Tabela1[[#This Row],[Longitude]])</f>
        <v>-54.4837361111111</v>
      </c>
    </row>
    <row r="45" spans="1:6" x14ac:dyDescent="0.25">
      <c r="A45" s="565" t="s">
        <v>279</v>
      </c>
      <c r="B45" s="565" t="s">
        <v>1202</v>
      </c>
      <c r="C45" s="572" t="s">
        <v>1256</v>
      </c>
      <c r="D45" t="s">
        <v>1257</v>
      </c>
      <c r="E45" t="str" cm="1">
        <f t="array" ref="E45">ConverterParaDecimal(Tabela1[[#This Row],[Latitude]])</f>
        <v>-21.4960194444444</v>
      </c>
      <c r="F45" t="str" cm="1">
        <f t="array" ref="F45">ConverterParaDecimal(Tabela1[[#This Row],[Longitude]])</f>
        <v>-56.1586611111111</v>
      </c>
    </row>
  </sheetData>
  <pageMargins left="0.511811024" right="0.511811024" top="0.78740157499999996" bottom="0.78740157499999996" header="0.31496062000000002" footer="0.31496062000000002"/>
  <tableParts count="1">
    <tablePart r:id="rId1"/>
  </tablePart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0"/>
  <dimension ref="A1:AA33"/>
  <sheetViews>
    <sheetView workbookViewId="0"/>
  </sheetViews>
  <sheetFormatPr defaultColWidth="8.85546875" defaultRowHeight="15" x14ac:dyDescent="0.25"/>
  <cols>
    <col min="1" max="1" width="22.140625" style="134" customWidth="1"/>
    <col min="2" max="2" width="16" style="134" customWidth="1"/>
    <col min="3" max="3" width="15.140625" style="134" customWidth="1"/>
    <col min="4" max="4" width="15.28515625" style="134" customWidth="1"/>
    <col min="5" max="5" width="15" style="134" customWidth="1"/>
    <col min="6" max="6" width="15.7109375" style="134" bestFit="1" customWidth="1"/>
    <col min="7" max="7" width="18.5703125" style="134" customWidth="1"/>
    <col min="8" max="8" width="19.28515625" style="134" customWidth="1"/>
    <col min="9" max="9" width="18.28515625" style="134" customWidth="1"/>
    <col min="10" max="10" width="10.42578125" style="134" bestFit="1" customWidth="1"/>
    <col min="11" max="11" width="10.7109375" style="134" customWidth="1"/>
    <col min="12" max="12" width="14.140625" style="134" customWidth="1"/>
    <col min="13" max="13" width="12.42578125" style="134" customWidth="1"/>
    <col min="14" max="14" width="16.28515625" style="134" customWidth="1"/>
    <col min="15" max="17" width="14.28515625" style="134" customWidth="1"/>
    <col min="18" max="18" width="15.28515625" style="134" customWidth="1"/>
    <col min="19" max="19" width="14.7109375" style="134" customWidth="1"/>
    <col min="20" max="20" width="11.140625" style="134" customWidth="1"/>
    <col min="21" max="21" width="9.42578125" style="134" customWidth="1"/>
    <col min="22" max="23" width="7.5703125" style="134" customWidth="1"/>
    <col min="24" max="24" width="11.7109375" style="134" customWidth="1"/>
    <col min="25" max="25" width="13.28515625" style="134" customWidth="1"/>
    <col min="26" max="26" width="23.7109375" style="134" customWidth="1"/>
    <col min="27" max="16384" width="8.85546875" style="134"/>
  </cols>
  <sheetData>
    <row r="1" spans="1:26" x14ac:dyDescent="0.25">
      <c r="A1" s="151"/>
      <c r="B1" s="869" t="s">
        <v>254</v>
      </c>
      <c r="C1" s="870"/>
      <c r="D1" s="870"/>
      <c r="E1" s="870"/>
      <c r="F1" s="870"/>
      <c r="G1" s="870"/>
      <c r="H1" s="870"/>
      <c r="I1" s="870"/>
      <c r="J1" s="870"/>
      <c r="K1" s="870"/>
      <c r="L1" s="870"/>
      <c r="M1" s="870"/>
      <c r="N1" s="870"/>
      <c r="O1" s="870"/>
      <c r="P1" s="870"/>
      <c r="Q1" s="870"/>
      <c r="R1" s="870"/>
      <c r="S1" s="870"/>
      <c r="T1" s="870"/>
      <c r="U1" s="870"/>
      <c r="V1" s="870"/>
      <c r="W1" s="871"/>
      <c r="X1" s="123"/>
      <c r="Y1" s="124"/>
      <c r="Z1" s="125"/>
    </row>
    <row r="2" spans="1:26" ht="15.75" x14ac:dyDescent="0.25">
      <c r="A2" s="152"/>
      <c r="B2" s="872" t="str">
        <f ca="1">'13-CALÇADAS E RAMPAS'!B2</f>
        <v>PREFEITURA MUNICIPAL DE NAVIRAÍ</v>
      </c>
      <c r="C2" s="873"/>
      <c r="D2" s="873"/>
      <c r="E2" s="873"/>
      <c r="F2" s="873"/>
      <c r="G2" s="873"/>
      <c r="H2" s="873"/>
      <c r="I2" s="873"/>
      <c r="J2" s="873"/>
      <c r="K2" s="873"/>
      <c r="L2" s="873"/>
      <c r="M2" s="873"/>
      <c r="N2" s="873"/>
      <c r="O2" s="873"/>
      <c r="P2" s="873"/>
      <c r="Q2" s="873"/>
      <c r="R2" s="873"/>
      <c r="S2" s="873"/>
      <c r="T2" s="873"/>
      <c r="U2" s="873"/>
      <c r="V2" s="873"/>
      <c r="W2" s="874"/>
      <c r="X2" s="1286" t="s">
        <v>120</v>
      </c>
      <c r="Y2" s="1287"/>
      <c r="Z2" s="1288"/>
    </row>
    <row r="3" spans="1:26" ht="37.5" customHeight="1" x14ac:dyDescent="0.25">
      <c r="A3" s="153"/>
      <c r="B3" s="869" t="s">
        <v>255</v>
      </c>
      <c r="C3" s="870"/>
      <c r="D3" s="870"/>
      <c r="E3" s="870"/>
      <c r="F3" s="870"/>
      <c r="G3" s="870"/>
      <c r="H3" s="870"/>
      <c r="I3" s="870"/>
      <c r="J3" s="870"/>
      <c r="K3" s="870"/>
      <c r="L3" s="870"/>
      <c r="M3" s="870"/>
      <c r="N3" s="870"/>
      <c r="O3" s="870"/>
      <c r="P3" s="870"/>
      <c r="Q3" s="870"/>
      <c r="R3" s="870"/>
      <c r="S3" s="870"/>
      <c r="T3" s="870"/>
      <c r="U3" s="870"/>
      <c r="V3" s="870"/>
      <c r="W3" s="871"/>
      <c r="X3" s="1289" t="s">
        <v>368</v>
      </c>
      <c r="Y3" s="1290"/>
      <c r="Z3" s="1291"/>
    </row>
    <row r="4" spans="1:26" ht="20.25" customHeight="1" x14ac:dyDescent="0.25">
      <c r="A4" s="1280" t="s">
        <v>762</v>
      </c>
      <c r="B4" s="1281"/>
      <c r="C4" s="1281"/>
      <c r="D4" s="1281"/>
      <c r="E4" s="1281"/>
      <c r="F4" s="1281"/>
      <c r="G4" s="1281"/>
      <c r="H4" s="1281"/>
      <c r="I4" s="1281"/>
      <c r="J4" s="1281"/>
      <c r="K4" s="1281"/>
      <c r="L4" s="1281"/>
      <c r="M4" s="1281"/>
      <c r="N4" s="1281"/>
      <c r="O4" s="1281"/>
      <c r="P4" s="1281"/>
      <c r="Q4" s="1281"/>
      <c r="R4" s="1281"/>
      <c r="S4" s="1281"/>
      <c r="T4" s="1281"/>
      <c r="U4" s="1281"/>
      <c r="V4" s="1281"/>
      <c r="W4" s="1281"/>
      <c r="X4" s="1281"/>
      <c r="Y4" s="1281"/>
      <c r="Z4" s="1282"/>
    </row>
    <row r="5" spans="1:26" x14ac:dyDescent="0.25">
      <c r="A5" s="158" t="s">
        <v>76</v>
      </c>
      <c r="B5" s="1283" t="e">
        <f>#REF!</f>
        <v>#REF!</v>
      </c>
      <c r="C5" s="1284"/>
      <c r="D5" s="1284"/>
      <c r="E5" s="1284"/>
      <c r="F5" s="1284"/>
      <c r="G5" s="1284"/>
      <c r="H5" s="1284"/>
      <c r="I5" s="1284"/>
      <c r="J5" s="1284"/>
      <c r="K5" s="1284"/>
      <c r="L5" s="1284"/>
      <c r="M5" s="1284"/>
      <c r="N5" s="1284"/>
      <c r="O5" s="1284"/>
      <c r="P5" s="1284"/>
      <c r="Q5" s="1284"/>
      <c r="R5" s="1284"/>
      <c r="S5" s="1284"/>
      <c r="T5" s="1284"/>
      <c r="U5" s="1284"/>
      <c r="V5" s="1284"/>
      <c r="W5" s="1284"/>
      <c r="X5" s="1284"/>
      <c r="Y5" s="1284"/>
      <c r="Z5" s="1285"/>
    </row>
    <row r="6" spans="1:26" x14ac:dyDescent="0.25">
      <c r="A6" s="158" t="s">
        <v>77</v>
      </c>
      <c r="B6" s="1283" t="e">
        <f>#REF!</f>
        <v>#REF!</v>
      </c>
      <c r="C6" s="1284"/>
      <c r="D6" s="1284"/>
      <c r="E6" s="1284"/>
      <c r="F6" s="1284"/>
      <c r="G6" s="1284"/>
      <c r="H6" s="1284"/>
      <c r="I6" s="1284"/>
      <c r="J6" s="1284"/>
      <c r="K6" s="1284"/>
      <c r="L6" s="1284"/>
      <c r="M6" s="1284"/>
      <c r="N6" s="1284"/>
      <c r="O6" s="1284"/>
      <c r="P6" s="1284"/>
      <c r="Q6" s="1284"/>
      <c r="R6" s="1284"/>
      <c r="S6" s="1284"/>
      <c r="T6" s="1284"/>
      <c r="U6" s="1284"/>
      <c r="V6" s="1284"/>
      <c r="W6" s="1284"/>
      <c r="X6" s="1284"/>
      <c r="Y6" s="1284"/>
      <c r="Z6" s="1285"/>
    </row>
    <row r="7" spans="1:26" x14ac:dyDescent="0.25">
      <c r="A7" s="158" t="s">
        <v>78</v>
      </c>
      <c r="B7" s="1283" t="e">
        <f>#REF!</f>
        <v>#REF!</v>
      </c>
      <c r="C7" s="1284"/>
      <c r="D7" s="1284"/>
      <c r="E7" s="1284"/>
      <c r="F7" s="1284"/>
      <c r="G7" s="1284"/>
      <c r="H7" s="1284"/>
      <c r="I7" s="1284"/>
      <c r="J7" s="1284"/>
      <c r="K7" s="1284"/>
      <c r="L7" s="1284"/>
      <c r="M7" s="1284"/>
      <c r="N7" s="1284"/>
      <c r="O7" s="1284"/>
      <c r="P7" s="1284"/>
      <c r="Q7" s="1284"/>
      <c r="R7" s="1284"/>
      <c r="S7" s="1284"/>
      <c r="T7" s="1284"/>
      <c r="U7" s="1284"/>
      <c r="V7" s="1284"/>
      <c r="W7" s="1284"/>
      <c r="X7" s="1284"/>
      <c r="Y7" s="1284"/>
      <c r="Z7" s="1285"/>
    </row>
    <row r="8" spans="1:26" x14ac:dyDescent="0.2">
      <c r="A8" s="50"/>
      <c r="B8" s="51"/>
      <c r="C8" s="51"/>
      <c r="D8" s="49"/>
      <c r="E8" s="49"/>
      <c r="F8" s="49"/>
      <c r="G8" s="49"/>
      <c r="H8" s="49"/>
      <c r="I8" s="49"/>
      <c r="J8" s="49"/>
      <c r="K8" s="49"/>
      <c r="L8" s="49"/>
      <c r="M8" s="49"/>
      <c r="N8" s="49"/>
      <c r="S8" s="154"/>
      <c r="X8" s="1252" t="s">
        <v>731</v>
      </c>
      <c r="Y8" s="1253"/>
      <c r="Z8" s="1254"/>
    </row>
    <row r="9" spans="1:26" ht="41.25" customHeight="1" x14ac:dyDescent="0.25">
      <c r="A9" s="1269" t="s">
        <v>730</v>
      </c>
      <c r="B9" s="1270"/>
      <c r="C9" s="1270"/>
      <c r="D9" s="1270"/>
      <c r="E9" s="1270"/>
      <c r="F9" s="1270"/>
      <c r="G9" s="1271"/>
      <c r="I9" s="1260" t="s">
        <v>462</v>
      </c>
      <c r="J9" s="1261"/>
      <c r="K9" s="1261"/>
      <c r="L9" s="1261"/>
      <c r="M9" s="1261"/>
      <c r="N9" s="1262"/>
      <c r="X9" s="1255" t="str">
        <f ca="1">UPPER(VLOOKUP(VLOOKUP(B2,'Parametros IDF'!$Y$3:$Z$23,2,0),'Parametros IDF'!$A$2:$Q$111,2,0))</f>
        <v>NAVIRAI</v>
      </c>
      <c r="Y9" s="1256"/>
      <c r="Z9" s="1257"/>
    </row>
    <row r="10" spans="1:26" ht="16.5" customHeight="1" x14ac:dyDescent="0.25">
      <c r="A10" s="1272"/>
      <c r="B10" s="1273"/>
      <c r="C10" s="1273"/>
      <c r="D10" s="1273"/>
      <c r="E10" s="1273"/>
      <c r="F10" s="1273"/>
      <c r="G10" s="1274"/>
      <c r="I10" s="1263"/>
      <c r="J10" s="1264"/>
      <c r="K10" s="1264"/>
      <c r="L10" s="1264"/>
      <c r="M10" s="1264"/>
      <c r="N10" s="1265"/>
      <c r="X10" s="1251" t="s">
        <v>461</v>
      </c>
      <c r="Y10" s="1251"/>
      <c r="Z10" s="1251"/>
    </row>
    <row r="11" spans="1:26" ht="15" customHeight="1" x14ac:dyDescent="0.25">
      <c r="A11" s="1275"/>
      <c r="B11" s="1276"/>
      <c r="C11" s="1276"/>
      <c r="D11" s="1276"/>
      <c r="E11" s="1276"/>
      <c r="F11" s="1276"/>
      <c r="G11" s="1277"/>
      <c r="I11" s="1266"/>
      <c r="J11" s="1267"/>
      <c r="K11" s="1267"/>
      <c r="L11" s="1267"/>
      <c r="M11" s="1267"/>
      <c r="N11" s="1268"/>
      <c r="X11" s="1250" t="s">
        <v>463</v>
      </c>
      <c r="Y11" s="1250"/>
      <c r="Z11" s="137">
        <f ca="1">VLOOKUP(VALUE(VLOOKUP(B2,'Parametros IDF'!$Y$3:$Z$23,2,0)),'Parametros IDF'!$A$2:$Q$111,10,0)</f>
        <v>1005.31</v>
      </c>
    </row>
    <row r="12" spans="1:26" x14ac:dyDescent="0.25">
      <c r="D12" s="53"/>
      <c r="K12" s="54"/>
      <c r="L12" s="53"/>
      <c r="M12" s="53"/>
      <c r="X12" s="1250" t="s">
        <v>464</v>
      </c>
      <c r="Y12" s="1250"/>
      <c r="Z12" s="144">
        <f ca="1">VLOOKUP(VALUE(VLOOKUP(B2,'Parametros IDF'!$Y$3:$Z$23,2,0)),'Parametros IDF'!$A$2:$Q$111,14,0)</f>
        <v>0.14430000000000001</v>
      </c>
    </row>
    <row r="13" spans="1:26" x14ac:dyDescent="0.2">
      <c r="D13" s="49"/>
      <c r="K13" s="49"/>
      <c r="L13" s="49"/>
      <c r="M13" s="103"/>
      <c r="X13" s="1250" t="s">
        <v>465</v>
      </c>
      <c r="Y13" s="1250"/>
      <c r="Z13" s="145">
        <f ca="1">VLOOKUP(VALUE(VLOOKUP(B2,'Parametros IDF'!$Y$3:$Z$23,2,0)),'Parametros IDF'!$A$2:$Q$111,15,0)</f>
        <v>10</v>
      </c>
    </row>
    <row r="14" spans="1:26" x14ac:dyDescent="0.2">
      <c r="D14" s="49"/>
      <c r="K14" s="49"/>
      <c r="L14" s="49"/>
      <c r="M14" s="103"/>
      <c r="X14" s="1250" t="s">
        <v>466</v>
      </c>
      <c r="Y14" s="1250"/>
      <c r="Z14" s="144">
        <f ca="1">VLOOKUP(VALUE(VLOOKUP(B2,'Parametros IDF'!$Y$3:$Z$23,2,0)),'Parametros IDF'!$A$2:$Q$111,16,0)</f>
        <v>0.7419</v>
      </c>
    </row>
    <row r="15" spans="1:26" x14ac:dyDescent="0.2">
      <c r="D15" s="49"/>
      <c r="K15" s="49"/>
      <c r="L15" s="49"/>
      <c r="M15" s="103"/>
      <c r="X15" s="1250" t="s">
        <v>131</v>
      </c>
      <c r="Y15" s="1250"/>
      <c r="Z15" s="137">
        <v>15</v>
      </c>
    </row>
    <row r="16" spans="1:26" x14ac:dyDescent="0.2">
      <c r="D16" s="49"/>
      <c r="K16" s="49"/>
      <c r="L16" s="49"/>
      <c r="M16" s="103"/>
      <c r="X16" s="1250" t="s">
        <v>211</v>
      </c>
      <c r="Y16" s="1250"/>
      <c r="Z16" s="137">
        <v>1.6E-2</v>
      </c>
    </row>
    <row r="21" spans="1:27" ht="23.45" customHeight="1" x14ac:dyDescent="0.25">
      <c r="A21" s="1258" t="s">
        <v>763</v>
      </c>
      <c r="B21" s="1258" t="s">
        <v>434</v>
      </c>
      <c r="C21" s="1258" t="s">
        <v>435</v>
      </c>
      <c r="D21" s="1293" t="s">
        <v>436</v>
      </c>
      <c r="E21" s="1293"/>
      <c r="F21" s="1293"/>
      <c r="G21" s="1293"/>
      <c r="H21" s="1278" t="s">
        <v>437</v>
      </c>
      <c r="I21" s="1294" t="s">
        <v>438</v>
      </c>
      <c r="J21" s="1278" t="s">
        <v>439</v>
      </c>
      <c r="K21" s="1278" t="s">
        <v>440</v>
      </c>
      <c r="L21" s="1278" t="s">
        <v>441</v>
      </c>
      <c r="M21" s="1278" t="s">
        <v>442</v>
      </c>
      <c r="N21" s="1278" t="s">
        <v>443</v>
      </c>
      <c r="O21" s="1279" t="s">
        <v>444</v>
      </c>
      <c r="P21" s="1279"/>
      <c r="Q21" s="1279" t="s">
        <v>445</v>
      </c>
      <c r="R21" s="1279"/>
      <c r="S21" s="1279" t="s">
        <v>446</v>
      </c>
      <c r="T21" s="1279"/>
      <c r="U21" s="1292" t="s">
        <v>447</v>
      </c>
      <c r="V21" s="1292" t="s">
        <v>448</v>
      </c>
      <c r="W21" s="1258" t="s">
        <v>449</v>
      </c>
      <c r="X21" s="1258" t="s">
        <v>450</v>
      </c>
      <c r="Y21" s="1278" t="s">
        <v>451</v>
      </c>
      <c r="Z21" s="1278" t="s">
        <v>452</v>
      </c>
      <c r="AA21" s="1279" t="s">
        <v>453</v>
      </c>
    </row>
    <row r="22" spans="1:27" ht="36" customHeight="1" x14ac:dyDescent="0.25">
      <c r="A22" s="1259"/>
      <c r="B22" s="1259"/>
      <c r="C22" s="1259"/>
      <c r="D22" s="159" t="s">
        <v>454</v>
      </c>
      <c r="E22" s="159" t="s">
        <v>455</v>
      </c>
      <c r="F22" s="159" t="s">
        <v>456</v>
      </c>
      <c r="G22" s="159" t="s">
        <v>457</v>
      </c>
      <c r="H22" s="1279"/>
      <c r="I22" s="1295"/>
      <c r="J22" s="1279"/>
      <c r="K22" s="1279"/>
      <c r="L22" s="1278"/>
      <c r="M22" s="1278"/>
      <c r="N22" s="1279"/>
      <c r="O22" s="159" t="s">
        <v>458</v>
      </c>
      <c r="P22" s="159" t="s">
        <v>459</v>
      </c>
      <c r="Q22" s="159" t="s">
        <v>458</v>
      </c>
      <c r="R22" s="159" t="s">
        <v>459</v>
      </c>
      <c r="S22" s="159" t="s">
        <v>458</v>
      </c>
      <c r="T22" s="159" t="s">
        <v>459</v>
      </c>
      <c r="U22" s="1259"/>
      <c r="V22" s="1259"/>
      <c r="W22" s="1259"/>
      <c r="X22" s="1259"/>
      <c r="Y22" s="1279"/>
      <c r="Z22" s="1279"/>
      <c r="AA22" s="1279"/>
    </row>
    <row r="23" spans="1:27" x14ac:dyDescent="0.25">
      <c r="A23" s="135" t="s">
        <v>764</v>
      </c>
      <c r="B23" s="135" t="s">
        <v>460</v>
      </c>
      <c r="C23" s="136">
        <v>103.27</v>
      </c>
      <c r="D23" s="136">
        <v>0.4</v>
      </c>
      <c r="E23" s="136">
        <f>D23*0.01</f>
        <v>4.0000000000000001E-3</v>
      </c>
      <c r="F23" s="134">
        <f>D23</f>
        <v>0.4</v>
      </c>
      <c r="G23" s="137">
        <f>F23*0.01</f>
        <v>4.0000000000000001E-3</v>
      </c>
      <c r="H23" s="136">
        <v>5</v>
      </c>
      <c r="I23" s="138">
        <v>0.5</v>
      </c>
      <c r="J23" s="139">
        <f t="shared" ref="J23:J33" ca="1" si="0">($Z$11*$Z$15^$Z$12)/(H23+$Z$13)^$Z$14</f>
        <v>199.28190502800206</v>
      </c>
      <c r="K23" s="139">
        <f ca="1">0.278*I23*J23*G23</f>
        <v>0.11080073919556915</v>
      </c>
      <c r="L23" s="137">
        <f ca="1">1.511*($Z$16*K23*N23^(-1/2))^(3/8)</f>
        <v>0.29423205735728447</v>
      </c>
      <c r="M23" s="136">
        <v>0.3</v>
      </c>
      <c r="N23" s="140">
        <f>(O23-P23)/C23</f>
        <v>1.9366708627868694E-2</v>
      </c>
      <c r="O23" s="136">
        <v>739</v>
      </c>
      <c r="P23" s="136">
        <v>737</v>
      </c>
      <c r="Q23" s="136">
        <f>O23-S23</f>
        <v>737.7</v>
      </c>
      <c r="R23" s="137">
        <f>Q23-N23*C23</f>
        <v>735.7</v>
      </c>
      <c r="S23" s="136">
        <f>1+M23</f>
        <v>1.3</v>
      </c>
      <c r="T23" s="137">
        <f>P23-R23</f>
        <v>1.2999999999999545</v>
      </c>
      <c r="U23" s="137">
        <f>((PI()*M23^2)/(4*$Z$16))*((M23/4)^(2/3))*N23^(1/2)</f>
        <v>0.10934052623387992</v>
      </c>
      <c r="V23" s="137">
        <f>(1/$Z$16)*((M23/4)^(2/3))*N23^(1/2)</f>
        <v>1.5468520204792044</v>
      </c>
      <c r="W23" s="137">
        <f ca="1">K23/U23</f>
        <v>1.0133547277664077</v>
      </c>
      <c r="X23" s="136">
        <v>1.1335</v>
      </c>
      <c r="Y23" s="134">
        <f>X23*V23</f>
        <v>1.7533567652131781</v>
      </c>
      <c r="Z23" s="137">
        <f>(C23/Y23)/60</f>
        <v>0.98164087356026619</v>
      </c>
      <c r="AA23" s="137"/>
    </row>
    <row r="24" spans="1:27" x14ac:dyDescent="0.25">
      <c r="A24" s="135"/>
      <c r="B24" s="135"/>
      <c r="C24" s="136"/>
      <c r="D24" s="136"/>
      <c r="E24" s="136">
        <f t="shared" ref="E24:E33" si="1">D24*0.01</f>
        <v>0</v>
      </c>
      <c r="F24" s="136"/>
      <c r="G24" s="137"/>
      <c r="H24" s="141">
        <f t="shared" ref="H24:H31" si="2">H23+Z23</f>
        <v>5.9816408735602664</v>
      </c>
      <c r="I24" s="138"/>
      <c r="J24" s="139">
        <f t="shared" ca="1" si="0"/>
        <v>190.12677379343697</v>
      </c>
      <c r="K24" s="139">
        <f t="shared" ref="K24:K33" ca="1" si="3">0.278*I24*J24*G24</f>
        <v>0</v>
      </c>
      <c r="L24" s="137"/>
      <c r="M24" s="136"/>
      <c r="N24" s="140" t="e">
        <f t="shared" ref="N24:N33" si="4">(O24-P24)/C24</f>
        <v>#DIV/0!</v>
      </c>
      <c r="O24" s="136"/>
      <c r="P24" s="136"/>
      <c r="Q24" s="136"/>
      <c r="R24" s="137"/>
      <c r="S24" s="137"/>
      <c r="T24" s="137"/>
      <c r="U24" s="137"/>
      <c r="V24" s="137"/>
      <c r="W24" s="137"/>
      <c r="X24" s="136"/>
      <c r="Y24" s="137"/>
      <c r="Z24" s="142"/>
      <c r="AA24" s="137"/>
    </row>
    <row r="25" spans="1:27" x14ac:dyDescent="0.25">
      <c r="A25" s="143"/>
      <c r="B25" s="143"/>
      <c r="C25" s="137"/>
      <c r="D25" s="137"/>
      <c r="E25" s="136">
        <f t="shared" si="1"/>
        <v>0</v>
      </c>
      <c r="F25" s="137"/>
      <c r="G25" s="137"/>
      <c r="H25" s="141">
        <f t="shared" si="2"/>
        <v>5.9816408735602664</v>
      </c>
      <c r="I25" s="137"/>
      <c r="J25" s="139">
        <f t="shared" ca="1" si="0"/>
        <v>190.12677379343697</v>
      </c>
      <c r="K25" s="139">
        <f t="shared" ca="1" si="3"/>
        <v>0</v>
      </c>
      <c r="L25" s="137"/>
      <c r="M25" s="137"/>
      <c r="N25" s="140" t="e">
        <f t="shared" si="4"/>
        <v>#DIV/0!</v>
      </c>
      <c r="O25" s="137"/>
      <c r="P25" s="137"/>
      <c r="Q25" s="137"/>
      <c r="R25" s="137"/>
      <c r="S25" s="137"/>
      <c r="T25" s="137"/>
      <c r="U25" s="137"/>
      <c r="V25" s="137"/>
      <c r="W25" s="137"/>
      <c r="X25" s="137"/>
      <c r="Y25" s="137"/>
      <c r="Z25" s="137"/>
      <c r="AA25" s="137"/>
    </row>
    <row r="26" spans="1:27" x14ac:dyDescent="0.25">
      <c r="A26" s="143"/>
      <c r="B26" s="143"/>
      <c r="C26" s="137"/>
      <c r="D26" s="137"/>
      <c r="E26" s="136">
        <f t="shared" si="1"/>
        <v>0</v>
      </c>
      <c r="F26" s="137"/>
      <c r="G26" s="137"/>
      <c r="H26" s="141">
        <f t="shared" si="2"/>
        <v>5.9816408735602664</v>
      </c>
      <c r="I26" s="137"/>
      <c r="J26" s="139">
        <f t="shared" ca="1" si="0"/>
        <v>190.12677379343697</v>
      </c>
      <c r="K26" s="139">
        <f t="shared" ca="1" si="3"/>
        <v>0</v>
      </c>
      <c r="L26" s="137"/>
      <c r="M26" s="137"/>
      <c r="N26" s="140" t="e">
        <f t="shared" si="4"/>
        <v>#DIV/0!</v>
      </c>
      <c r="O26" s="137"/>
      <c r="P26" s="137"/>
      <c r="Q26" s="137"/>
      <c r="R26" s="137"/>
      <c r="S26" s="137"/>
      <c r="T26" s="137"/>
      <c r="U26" s="137"/>
      <c r="V26" s="137"/>
      <c r="W26" s="137"/>
      <c r="X26" s="137"/>
      <c r="Y26" s="137"/>
      <c r="Z26" s="137"/>
      <c r="AA26" s="137"/>
    </row>
    <row r="27" spans="1:27" x14ac:dyDescent="0.25">
      <c r="A27" s="143"/>
      <c r="B27" s="143"/>
      <c r="C27" s="137"/>
      <c r="D27" s="137"/>
      <c r="E27" s="136">
        <f t="shared" si="1"/>
        <v>0</v>
      </c>
      <c r="F27" s="137"/>
      <c r="G27" s="137"/>
      <c r="H27" s="141">
        <f t="shared" si="2"/>
        <v>5.9816408735602664</v>
      </c>
      <c r="I27" s="137"/>
      <c r="J27" s="139">
        <f t="shared" ca="1" si="0"/>
        <v>190.12677379343697</v>
      </c>
      <c r="K27" s="139">
        <f t="shared" ca="1" si="3"/>
        <v>0</v>
      </c>
      <c r="L27" s="137"/>
      <c r="M27" s="137"/>
      <c r="N27" s="140" t="e">
        <f t="shared" si="4"/>
        <v>#DIV/0!</v>
      </c>
      <c r="O27" s="137"/>
      <c r="P27" s="137"/>
      <c r="Q27" s="137"/>
      <c r="R27" s="137"/>
      <c r="S27" s="137"/>
      <c r="T27" s="137"/>
      <c r="U27" s="137"/>
      <c r="V27" s="137"/>
      <c r="W27" s="137"/>
      <c r="X27" s="137"/>
      <c r="Y27" s="137"/>
      <c r="Z27" s="137"/>
      <c r="AA27" s="137"/>
    </row>
    <row r="28" spans="1:27" x14ac:dyDescent="0.25">
      <c r="A28" s="143"/>
      <c r="B28" s="143"/>
      <c r="C28" s="137"/>
      <c r="D28" s="137"/>
      <c r="E28" s="136">
        <f t="shared" si="1"/>
        <v>0</v>
      </c>
      <c r="F28" s="137"/>
      <c r="G28" s="137"/>
      <c r="H28" s="141">
        <f t="shared" si="2"/>
        <v>5.9816408735602664</v>
      </c>
      <c r="I28" s="137"/>
      <c r="J28" s="139">
        <f t="shared" ca="1" si="0"/>
        <v>190.12677379343697</v>
      </c>
      <c r="K28" s="139">
        <f t="shared" ca="1" si="3"/>
        <v>0</v>
      </c>
      <c r="L28" s="137"/>
      <c r="M28" s="137"/>
      <c r="N28" s="140" t="e">
        <f t="shared" si="4"/>
        <v>#DIV/0!</v>
      </c>
      <c r="O28" s="137"/>
      <c r="P28" s="137"/>
      <c r="Q28" s="137"/>
      <c r="R28" s="137"/>
      <c r="S28" s="137"/>
      <c r="T28" s="137"/>
      <c r="U28" s="137"/>
      <c r="V28" s="137"/>
      <c r="W28" s="137"/>
      <c r="X28" s="137"/>
      <c r="Y28" s="137"/>
      <c r="Z28" s="137"/>
      <c r="AA28" s="137"/>
    </row>
    <row r="29" spans="1:27" x14ac:dyDescent="0.25">
      <c r="A29" s="143"/>
      <c r="B29" s="143"/>
      <c r="C29" s="137"/>
      <c r="D29" s="137"/>
      <c r="E29" s="136">
        <f t="shared" si="1"/>
        <v>0</v>
      </c>
      <c r="F29" s="137"/>
      <c r="G29" s="137"/>
      <c r="H29" s="141">
        <f t="shared" si="2"/>
        <v>5.9816408735602664</v>
      </c>
      <c r="I29" s="137"/>
      <c r="J29" s="139">
        <f t="shared" ca="1" si="0"/>
        <v>190.12677379343697</v>
      </c>
      <c r="K29" s="139">
        <f t="shared" ca="1" si="3"/>
        <v>0</v>
      </c>
      <c r="L29" s="137"/>
      <c r="M29" s="137"/>
      <c r="N29" s="140" t="e">
        <f t="shared" si="4"/>
        <v>#DIV/0!</v>
      </c>
      <c r="O29" s="137"/>
      <c r="P29" s="137"/>
      <c r="Q29" s="137"/>
      <c r="R29" s="137"/>
      <c r="S29" s="137"/>
      <c r="T29" s="137"/>
      <c r="U29" s="137"/>
      <c r="V29" s="137"/>
      <c r="W29" s="137"/>
      <c r="X29" s="137"/>
      <c r="Y29" s="137"/>
      <c r="Z29" s="137"/>
      <c r="AA29" s="137"/>
    </row>
    <row r="30" spans="1:27" x14ac:dyDescent="0.25">
      <c r="A30" s="143"/>
      <c r="B30" s="143"/>
      <c r="C30" s="137"/>
      <c r="D30" s="137"/>
      <c r="E30" s="136">
        <f t="shared" si="1"/>
        <v>0</v>
      </c>
      <c r="F30" s="137"/>
      <c r="G30" s="137"/>
      <c r="H30" s="141">
        <f t="shared" si="2"/>
        <v>5.9816408735602664</v>
      </c>
      <c r="I30" s="137"/>
      <c r="J30" s="139">
        <f t="shared" ca="1" si="0"/>
        <v>190.12677379343697</v>
      </c>
      <c r="K30" s="139">
        <f t="shared" ca="1" si="3"/>
        <v>0</v>
      </c>
      <c r="L30" s="137"/>
      <c r="M30" s="137"/>
      <c r="N30" s="140" t="e">
        <f t="shared" si="4"/>
        <v>#DIV/0!</v>
      </c>
      <c r="O30" s="137"/>
      <c r="P30" s="137"/>
      <c r="Q30" s="137"/>
      <c r="R30" s="137"/>
      <c r="S30" s="137"/>
      <c r="T30" s="137"/>
      <c r="U30" s="137"/>
      <c r="V30" s="137"/>
      <c r="W30" s="137"/>
      <c r="X30" s="137"/>
      <c r="Y30" s="137"/>
      <c r="Z30" s="137"/>
      <c r="AA30" s="137"/>
    </row>
    <row r="31" spans="1:27" x14ac:dyDescent="0.25">
      <c r="A31" s="143"/>
      <c r="B31" s="143"/>
      <c r="C31" s="137"/>
      <c r="D31" s="137"/>
      <c r="E31" s="136">
        <f t="shared" si="1"/>
        <v>0</v>
      </c>
      <c r="F31" s="137"/>
      <c r="G31" s="137"/>
      <c r="H31" s="141">
        <f t="shared" si="2"/>
        <v>5.9816408735602664</v>
      </c>
      <c r="I31" s="137"/>
      <c r="J31" s="139">
        <f t="shared" ca="1" si="0"/>
        <v>190.12677379343697</v>
      </c>
      <c r="K31" s="139">
        <f t="shared" ca="1" si="3"/>
        <v>0</v>
      </c>
      <c r="L31" s="137"/>
      <c r="M31" s="137"/>
      <c r="N31" s="140" t="e">
        <f t="shared" si="4"/>
        <v>#DIV/0!</v>
      </c>
      <c r="O31" s="137"/>
      <c r="P31" s="137"/>
      <c r="Q31" s="137"/>
      <c r="R31" s="137"/>
      <c r="S31" s="137"/>
      <c r="T31" s="137"/>
      <c r="U31" s="137"/>
      <c r="V31" s="137"/>
      <c r="W31" s="137"/>
      <c r="X31" s="137"/>
      <c r="Y31" s="137"/>
      <c r="Z31" s="137"/>
      <c r="AA31" s="137"/>
    </row>
    <row r="32" spans="1:27" x14ac:dyDescent="0.25">
      <c r="A32" s="143"/>
      <c r="B32" s="143"/>
      <c r="C32" s="137"/>
      <c r="D32" s="137"/>
      <c r="E32" s="136">
        <f t="shared" si="1"/>
        <v>0</v>
      </c>
      <c r="F32" s="137"/>
      <c r="G32" s="137"/>
      <c r="H32" s="141">
        <f>H31+Z31</f>
        <v>5.9816408735602664</v>
      </c>
      <c r="I32" s="137"/>
      <c r="J32" s="139">
        <f t="shared" ca="1" si="0"/>
        <v>190.12677379343697</v>
      </c>
      <c r="K32" s="139">
        <f t="shared" ca="1" si="3"/>
        <v>0</v>
      </c>
      <c r="L32" s="137"/>
      <c r="M32" s="137"/>
      <c r="N32" s="140" t="e">
        <f t="shared" si="4"/>
        <v>#DIV/0!</v>
      </c>
      <c r="O32" s="137"/>
      <c r="P32" s="137"/>
      <c r="Q32" s="137"/>
      <c r="R32" s="137"/>
      <c r="S32" s="137"/>
      <c r="T32" s="137"/>
      <c r="U32" s="137"/>
      <c r="V32" s="137"/>
      <c r="W32" s="137"/>
      <c r="X32" s="137"/>
      <c r="Y32" s="137"/>
      <c r="Z32" s="137"/>
      <c r="AA32" s="137"/>
    </row>
    <row r="33" spans="1:27" x14ac:dyDescent="0.25">
      <c r="A33" s="143"/>
      <c r="B33" s="143"/>
      <c r="C33" s="137"/>
      <c r="D33" s="137"/>
      <c r="E33" s="136">
        <f t="shared" si="1"/>
        <v>0</v>
      </c>
      <c r="F33" s="137"/>
      <c r="G33" s="137"/>
      <c r="H33" s="141">
        <f>H32+Z32</f>
        <v>5.9816408735602664</v>
      </c>
      <c r="I33" s="137"/>
      <c r="J33" s="139">
        <f t="shared" ca="1" si="0"/>
        <v>190.12677379343697</v>
      </c>
      <c r="K33" s="139">
        <f t="shared" ca="1" si="3"/>
        <v>0</v>
      </c>
      <c r="L33" s="137"/>
      <c r="M33" s="137"/>
      <c r="N33" s="140" t="e">
        <f t="shared" si="4"/>
        <v>#DIV/0!</v>
      </c>
      <c r="O33" s="137"/>
      <c r="P33" s="137"/>
      <c r="Q33" s="137"/>
      <c r="R33" s="137"/>
      <c r="S33" s="137"/>
      <c r="T33" s="137"/>
      <c r="U33" s="137"/>
      <c r="V33" s="137"/>
      <c r="W33" s="137"/>
      <c r="X33" s="137"/>
      <c r="Y33" s="137"/>
      <c r="Z33" s="137"/>
      <c r="AA33" s="137"/>
    </row>
  </sheetData>
  <mergeCells count="41">
    <mergeCell ref="J21:J22"/>
    <mergeCell ref="K21:K22"/>
    <mergeCell ref="L21:L22"/>
    <mergeCell ref="M21:M22"/>
    <mergeCell ref="B21:B22"/>
    <mergeCell ref="C21:C22"/>
    <mergeCell ref="D21:G21"/>
    <mergeCell ref="H21:H22"/>
    <mergeCell ref="I21:I22"/>
    <mergeCell ref="AA21:AA22"/>
    <mergeCell ref="N21:N22"/>
    <mergeCell ref="O21:P21"/>
    <mergeCell ref="Q21:R21"/>
    <mergeCell ref="S21:T21"/>
    <mergeCell ref="U21:U22"/>
    <mergeCell ref="V21:V22"/>
    <mergeCell ref="A4:Z4"/>
    <mergeCell ref="B5:Z5"/>
    <mergeCell ref="B6:Z6"/>
    <mergeCell ref="B7:Z7"/>
    <mergeCell ref="B1:W1"/>
    <mergeCell ref="B2:W2"/>
    <mergeCell ref="B3:W3"/>
    <mergeCell ref="X2:Z2"/>
    <mergeCell ref="X3:Z3"/>
    <mergeCell ref="X16:Y16"/>
    <mergeCell ref="X10:Z10"/>
    <mergeCell ref="X8:Z8"/>
    <mergeCell ref="X9:Z9"/>
    <mergeCell ref="A21:A22"/>
    <mergeCell ref="X11:Y11"/>
    <mergeCell ref="X12:Y12"/>
    <mergeCell ref="X13:Y13"/>
    <mergeCell ref="X14:Y14"/>
    <mergeCell ref="X15:Y15"/>
    <mergeCell ref="I9:N11"/>
    <mergeCell ref="A9:G11"/>
    <mergeCell ref="W21:W22"/>
    <mergeCell ref="X21:X22"/>
    <mergeCell ref="Y21:Y22"/>
    <mergeCell ref="Z21:Z22"/>
  </mergeCells>
  <pageMargins left="0.511811024" right="0.511811024" top="0.78740157499999996" bottom="0.78740157499999996" header="0.31496062000000002" footer="0.31496062000000002"/>
  <pageSetup paperSize="9" orientation="portrait" horizontalDpi="4294967293" verticalDpi="4294967293" r:id="rId1"/>
  <drawing r:id="rId2"/>
  <legacy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dimension ref="A1:Z111"/>
  <sheetViews>
    <sheetView workbookViewId="0"/>
  </sheetViews>
  <sheetFormatPr defaultRowHeight="15" x14ac:dyDescent="0.25"/>
  <cols>
    <col min="25" max="25" width="48.85546875" bestFit="1" customWidth="1"/>
  </cols>
  <sheetData>
    <row r="1" spans="1:26" x14ac:dyDescent="0.25">
      <c r="A1">
        <v>1</v>
      </c>
      <c r="B1" s="5">
        <f>A1+1</f>
        <v>2</v>
      </c>
      <c r="C1" s="5">
        <f t="shared" ref="C1:Q1" si="0">B1+1</f>
        <v>3</v>
      </c>
      <c r="D1" s="5">
        <f t="shared" si="0"/>
        <v>4</v>
      </c>
      <c r="E1" s="5">
        <f t="shared" si="0"/>
        <v>5</v>
      </c>
      <c r="F1" s="5">
        <f t="shared" si="0"/>
        <v>6</v>
      </c>
      <c r="G1" s="5">
        <f t="shared" si="0"/>
        <v>7</v>
      </c>
      <c r="H1" s="5">
        <f t="shared" si="0"/>
        <v>8</v>
      </c>
      <c r="I1" s="5">
        <f t="shared" si="0"/>
        <v>9</v>
      </c>
      <c r="J1" s="5">
        <f t="shared" si="0"/>
        <v>10</v>
      </c>
      <c r="K1" s="5">
        <f t="shared" si="0"/>
        <v>11</v>
      </c>
      <c r="L1" s="5">
        <f t="shared" si="0"/>
        <v>12</v>
      </c>
      <c r="M1" s="5">
        <f t="shared" si="0"/>
        <v>13</v>
      </c>
      <c r="N1" s="5">
        <f t="shared" si="0"/>
        <v>14</v>
      </c>
      <c r="O1" s="5">
        <f t="shared" si="0"/>
        <v>15</v>
      </c>
      <c r="P1" s="5">
        <f t="shared" si="0"/>
        <v>16</v>
      </c>
      <c r="Q1" s="5">
        <f t="shared" si="0"/>
        <v>17</v>
      </c>
    </row>
    <row r="2" spans="1:26" ht="22.5" x14ac:dyDescent="0.25">
      <c r="A2" s="146" t="s">
        <v>467</v>
      </c>
      <c r="B2" s="156" t="s">
        <v>468</v>
      </c>
      <c r="C2" s="156"/>
      <c r="D2" s="156" t="s">
        <v>469</v>
      </c>
      <c r="E2" s="156"/>
      <c r="F2" s="1300" t="s">
        <v>470</v>
      </c>
      <c r="G2" s="1300"/>
      <c r="H2" s="1300"/>
      <c r="I2" s="1300"/>
      <c r="J2" s="1300" t="s">
        <v>471</v>
      </c>
      <c r="K2" s="1300"/>
      <c r="L2" s="1300"/>
      <c r="M2" s="1300"/>
      <c r="N2" s="146" t="s">
        <v>472</v>
      </c>
      <c r="O2" s="147" t="s">
        <v>473</v>
      </c>
      <c r="P2" s="146" t="s">
        <v>474</v>
      </c>
      <c r="Q2" s="146" t="s">
        <v>475</v>
      </c>
    </row>
    <row r="3" spans="1:26" x14ac:dyDescent="0.25">
      <c r="A3" s="148">
        <v>2052002</v>
      </c>
      <c r="B3" s="155" t="s">
        <v>476</v>
      </c>
      <c r="C3" s="155"/>
      <c r="D3" s="157" t="s">
        <v>732</v>
      </c>
      <c r="E3" s="155"/>
      <c r="F3" s="1296" t="s">
        <v>477</v>
      </c>
      <c r="G3" s="1296"/>
      <c r="H3" s="1296"/>
      <c r="I3" s="1296"/>
      <c r="J3" s="1297">
        <v>882.87699999999995</v>
      </c>
      <c r="K3" s="1297"/>
      <c r="L3" s="1297"/>
      <c r="M3" s="1297"/>
      <c r="N3" s="149">
        <v>0.1593</v>
      </c>
      <c r="O3" s="150">
        <v>10</v>
      </c>
      <c r="P3" s="149">
        <v>0.7419</v>
      </c>
      <c r="Q3" s="149">
        <v>0.99909999999999999</v>
      </c>
      <c r="R3" t="s">
        <v>759</v>
      </c>
      <c r="Y3" t="s">
        <v>374</v>
      </c>
      <c r="Z3">
        <v>2052002</v>
      </c>
    </row>
    <row r="4" spans="1:26" x14ac:dyDescent="0.25">
      <c r="A4" s="148">
        <v>2052003</v>
      </c>
      <c r="B4" s="155" t="s">
        <v>476</v>
      </c>
      <c r="C4" s="155"/>
      <c r="D4" s="157" t="s">
        <v>733</v>
      </c>
      <c r="E4" s="155"/>
      <c r="F4" s="1296" t="s">
        <v>478</v>
      </c>
      <c r="G4" s="1296"/>
      <c r="H4" s="1296"/>
      <c r="I4" s="1296"/>
      <c r="J4" s="1297">
        <v>928.75300000000004</v>
      </c>
      <c r="K4" s="1297"/>
      <c r="L4" s="1297"/>
      <c r="M4" s="1297"/>
      <c r="N4" s="149">
        <v>0.15870000000000001</v>
      </c>
      <c r="O4" s="150">
        <v>10</v>
      </c>
      <c r="P4" s="149">
        <v>0.7419</v>
      </c>
      <c r="Q4" s="149">
        <v>0.99919999999999998</v>
      </c>
      <c r="Y4" t="s">
        <v>375</v>
      </c>
      <c r="Z4">
        <v>1954005</v>
      </c>
    </row>
    <row r="5" spans="1:26" x14ac:dyDescent="0.25">
      <c r="A5" s="148">
        <v>1952001</v>
      </c>
      <c r="B5" s="155" t="s">
        <v>476</v>
      </c>
      <c r="C5" s="155"/>
      <c r="D5" s="155" t="s">
        <v>479</v>
      </c>
      <c r="E5" s="155"/>
      <c r="F5" s="1296" t="s">
        <v>480</v>
      </c>
      <c r="G5" s="1296"/>
      <c r="H5" s="1296"/>
      <c r="I5" s="1296"/>
      <c r="J5" s="1297">
        <v>909.07560000000001</v>
      </c>
      <c r="K5" s="1297"/>
      <c r="L5" s="1297"/>
      <c r="M5" s="1297"/>
      <c r="N5" s="149">
        <v>0.17349999999999999</v>
      </c>
      <c r="O5" s="150">
        <v>10</v>
      </c>
      <c r="P5" s="149">
        <v>0.7419</v>
      </c>
      <c r="Q5" s="149">
        <v>0.999</v>
      </c>
      <c r="X5" s="148"/>
      <c r="Y5" t="s">
        <v>376</v>
      </c>
      <c r="Z5" s="148">
        <v>2056003</v>
      </c>
    </row>
    <row r="6" spans="1:26" x14ac:dyDescent="0.25">
      <c r="A6" s="148">
        <v>1953000</v>
      </c>
      <c r="B6" s="155" t="s">
        <v>476</v>
      </c>
      <c r="C6" s="155"/>
      <c r="D6" s="155" t="s">
        <v>481</v>
      </c>
      <c r="E6" s="155"/>
      <c r="F6" s="1296" t="s">
        <v>482</v>
      </c>
      <c r="G6" s="1296"/>
      <c r="H6" s="1296"/>
      <c r="I6" s="1296"/>
      <c r="J6" s="1297">
        <v>932.39509999999996</v>
      </c>
      <c r="K6" s="1297"/>
      <c r="L6" s="1297"/>
      <c r="M6" s="1297"/>
      <c r="N6" s="149">
        <v>0.17630000000000001</v>
      </c>
      <c r="O6" s="150">
        <v>10</v>
      </c>
      <c r="P6" s="149">
        <v>0.7419</v>
      </c>
      <c r="Q6" s="149">
        <v>0.999</v>
      </c>
      <c r="X6" s="148"/>
      <c r="Y6" t="s">
        <v>377</v>
      </c>
      <c r="Z6" s="148">
        <v>2254000</v>
      </c>
    </row>
    <row r="7" spans="1:26" x14ac:dyDescent="0.25">
      <c r="A7" s="148">
        <v>1953003</v>
      </c>
      <c r="B7" s="155" t="s">
        <v>476</v>
      </c>
      <c r="C7" s="155"/>
      <c r="D7" s="155" t="s">
        <v>481</v>
      </c>
      <c r="E7" s="155"/>
      <c r="F7" s="1296" t="s">
        <v>482</v>
      </c>
      <c r="G7" s="1296"/>
      <c r="H7" s="1296"/>
      <c r="I7" s="1296"/>
      <c r="J7" s="1297">
        <v>917.48720000000003</v>
      </c>
      <c r="K7" s="1297"/>
      <c r="L7" s="1297"/>
      <c r="M7" s="1297"/>
      <c r="N7" s="149">
        <v>0.14360000000000001</v>
      </c>
      <c r="O7" s="150">
        <v>10</v>
      </c>
      <c r="P7" s="149">
        <v>0.7419</v>
      </c>
      <c r="Q7" s="149">
        <v>0.99929999999999997</v>
      </c>
      <c r="X7" s="148"/>
      <c r="Y7" t="s">
        <v>419</v>
      </c>
      <c r="Z7" s="148">
        <v>2257000</v>
      </c>
    </row>
    <row r="8" spans="1:26" x14ac:dyDescent="0.25">
      <c r="A8" s="148">
        <v>2355001</v>
      </c>
      <c r="B8" s="155" t="s">
        <v>483</v>
      </c>
      <c r="C8" s="155"/>
      <c r="D8" s="155" t="s">
        <v>484</v>
      </c>
      <c r="E8" s="155"/>
      <c r="F8" s="1296" t="s">
        <v>485</v>
      </c>
      <c r="G8" s="1296"/>
      <c r="H8" s="1296"/>
      <c r="I8" s="1296"/>
      <c r="J8" s="1297">
        <v>947.5453</v>
      </c>
      <c r="K8" s="1297"/>
      <c r="L8" s="1297"/>
      <c r="M8" s="1297"/>
      <c r="N8" s="149">
        <v>0.1401</v>
      </c>
      <c r="O8" s="150">
        <v>10</v>
      </c>
      <c r="P8" s="149">
        <v>0.7419</v>
      </c>
      <c r="Q8" s="149">
        <v>0.99929999999999997</v>
      </c>
      <c r="X8" s="148"/>
      <c r="Y8" t="s">
        <v>420</v>
      </c>
      <c r="Z8" s="148">
        <v>1853005</v>
      </c>
    </row>
    <row r="9" spans="1:26" x14ac:dyDescent="0.25">
      <c r="A9" s="148">
        <v>2355002</v>
      </c>
      <c r="B9" s="155" t="s">
        <v>483</v>
      </c>
      <c r="C9" s="155"/>
      <c r="D9" s="155" t="s">
        <v>486</v>
      </c>
      <c r="E9" s="155"/>
      <c r="F9" s="1296" t="s">
        <v>487</v>
      </c>
      <c r="G9" s="1296"/>
      <c r="H9" s="1296"/>
      <c r="I9" s="1296"/>
      <c r="J9" s="1297">
        <v>997.97580000000005</v>
      </c>
      <c r="K9" s="1297"/>
      <c r="L9" s="1297"/>
      <c r="M9" s="1297"/>
      <c r="N9" s="149">
        <v>0.13270000000000001</v>
      </c>
      <c r="O9" s="150">
        <v>10</v>
      </c>
      <c r="P9" s="149">
        <v>0.7419</v>
      </c>
      <c r="Q9" s="149">
        <v>0.998</v>
      </c>
      <c r="X9" s="148"/>
      <c r="Y9" t="s">
        <v>421</v>
      </c>
      <c r="Z9" s="148">
        <v>1853004</v>
      </c>
    </row>
    <row r="10" spans="1:26" x14ac:dyDescent="0.25">
      <c r="A10" s="148">
        <v>2355000</v>
      </c>
      <c r="B10" s="155" t="s">
        <v>483</v>
      </c>
      <c r="C10" s="155"/>
      <c r="D10" s="155" t="s">
        <v>488</v>
      </c>
      <c r="E10" s="155"/>
      <c r="F10" s="1296" t="s">
        <v>489</v>
      </c>
      <c r="G10" s="1296"/>
      <c r="H10" s="1296"/>
      <c r="I10" s="1296"/>
      <c r="J10" s="1298">
        <v>1137.104</v>
      </c>
      <c r="K10" s="1298"/>
      <c r="L10" s="1298"/>
      <c r="M10" s="1298"/>
      <c r="N10" s="149">
        <v>0.1512</v>
      </c>
      <c r="O10" s="150">
        <v>10</v>
      </c>
      <c r="P10" s="149">
        <v>0.7419</v>
      </c>
      <c r="Q10" s="149">
        <v>0.99919999999999998</v>
      </c>
      <c r="X10" s="148"/>
      <c r="Y10" t="s">
        <v>371</v>
      </c>
      <c r="Z10" s="148">
        <v>2354001</v>
      </c>
    </row>
    <row r="11" spans="1:26" x14ac:dyDescent="0.25">
      <c r="A11" s="148">
        <v>2055002</v>
      </c>
      <c r="B11" s="155" t="s">
        <v>490</v>
      </c>
      <c r="C11" s="155"/>
      <c r="D11" s="155" t="s">
        <v>491</v>
      </c>
      <c r="E11" s="155"/>
      <c r="F11" s="1296" t="s">
        <v>492</v>
      </c>
      <c r="G11" s="1296"/>
      <c r="H11" s="1296"/>
      <c r="I11" s="1296"/>
      <c r="J11" s="1298">
        <v>1040.8779999999999</v>
      </c>
      <c r="K11" s="1298"/>
      <c r="L11" s="1298"/>
      <c r="M11" s="1298"/>
      <c r="N11" s="149">
        <v>0.17929999999999999</v>
      </c>
      <c r="O11" s="150">
        <v>10</v>
      </c>
      <c r="P11" s="149">
        <v>0.7419</v>
      </c>
      <c r="Q11" s="149">
        <v>0.99890000000000001</v>
      </c>
      <c r="X11" s="148"/>
      <c r="Y11" t="s">
        <v>414</v>
      </c>
      <c r="Z11" s="148">
        <v>2253000</v>
      </c>
    </row>
    <row r="12" spans="1:26" x14ac:dyDescent="0.25">
      <c r="A12" s="148">
        <v>2252000</v>
      </c>
      <c r="B12" s="155" t="s">
        <v>493</v>
      </c>
      <c r="C12" s="155"/>
      <c r="D12" s="155" t="s">
        <v>494</v>
      </c>
      <c r="E12" s="155"/>
      <c r="F12" s="1296" t="s">
        <v>495</v>
      </c>
      <c r="G12" s="1296"/>
      <c r="H12" s="1296"/>
      <c r="I12" s="1296"/>
      <c r="J12" s="1297">
        <v>944.71320000000003</v>
      </c>
      <c r="K12" s="1297"/>
      <c r="L12" s="1297"/>
      <c r="M12" s="1297"/>
      <c r="N12" s="149">
        <v>0.14030000000000001</v>
      </c>
      <c r="O12" s="150">
        <v>10</v>
      </c>
      <c r="P12" s="149">
        <v>0.7419</v>
      </c>
      <c r="Q12" s="149">
        <v>0.99929999999999997</v>
      </c>
      <c r="X12" s="148"/>
      <c r="Y12" t="s">
        <v>423</v>
      </c>
      <c r="Z12" s="148">
        <v>2354001</v>
      </c>
    </row>
    <row r="13" spans="1:26" x14ac:dyDescent="0.25">
      <c r="A13" s="148">
        <v>2255002</v>
      </c>
      <c r="B13" s="155" t="s">
        <v>496</v>
      </c>
      <c r="C13" s="155"/>
      <c r="D13" s="155" t="s">
        <v>497</v>
      </c>
      <c r="E13" s="155"/>
      <c r="F13" s="1296" t="s">
        <v>498</v>
      </c>
      <c r="G13" s="1296"/>
      <c r="H13" s="1296"/>
      <c r="I13" s="1296"/>
      <c r="J13" s="1298">
        <v>1127.1969999999999</v>
      </c>
      <c r="K13" s="1298"/>
      <c r="L13" s="1298"/>
      <c r="M13" s="1298"/>
      <c r="N13" s="149">
        <v>0.14899999999999999</v>
      </c>
      <c r="O13" s="150">
        <v>10</v>
      </c>
      <c r="P13" s="149">
        <v>0.7419</v>
      </c>
      <c r="Q13" s="149">
        <v>0.99919999999999998</v>
      </c>
      <c r="X13" s="148"/>
      <c r="Y13" t="s">
        <v>422</v>
      </c>
      <c r="Z13" s="148">
        <v>2254005</v>
      </c>
    </row>
    <row r="14" spans="1:26" ht="15" customHeight="1" x14ac:dyDescent="0.25">
      <c r="A14" s="148">
        <v>2051046</v>
      </c>
      <c r="B14" s="155" t="s">
        <v>499</v>
      </c>
      <c r="C14" s="155"/>
      <c r="D14" s="155" t="s">
        <v>500</v>
      </c>
      <c r="E14" s="155"/>
      <c r="F14" s="1296" t="s">
        <v>501</v>
      </c>
      <c r="G14" s="1296"/>
      <c r="H14" s="1296"/>
      <c r="I14" s="1296"/>
      <c r="J14" s="1297">
        <v>726.94200000000001</v>
      </c>
      <c r="K14" s="1297"/>
      <c r="L14" s="1297"/>
      <c r="M14" s="1297"/>
      <c r="N14" s="149">
        <v>0.14649999999999999</v>
      </c>
      <c r="O14" s="150">
        <v>10</v>
      </c>
      <c r="P14" s="149">
        <v>0.7419</v>
      </c>
      <c r="Q14" s="149">
        <v>0.99929999999999997</v>
      </c>
      <c r="X14" s="148"/>
      <c r="Y14" t="s">
        <v>378</v>
      </c>
      <c r="Z14" s="148">
        <v>2056003</v>
      </c>
    </row>
    <row r="15" spans="1:26" x14ac:dyDescent="0.25">
      <c r="A15" s="148">
        <v>2055003</v>
      </c>
      <c r="B15" s="155" t="s">
        <v>502</v>
      </c>
      <c r="C15" s="155"/>
      <c r="D15" s="155" t="s">
        <v>503</v>
      </c>
      <c r="E15" s="155"/>
      <c r="F15" s="1296" t="s">
        <v>504</v>
      </c>
      <c r="G15" s="1296"/>
      <c r="H15" s="1296"/>
      <c r="I15" s="1296"/>
      <c r="J15" s="1297">
        <v>945.14800000000002</v>
      </c>
      <c r="K15" s="1297"/>
      <c r="L15" s="1297"/>
      <c r="M15" s="1297"/>
      <c r="N15" s="149">
        <v>0.1699</v>
      </c>
      <c r="O15" s="150">
        <v>10</v>
      </c>
      <c r="P15" s="149">
        <v>0.7419</v>
      </c>
      <c r="Q15" s="149">
        <v>0.999</v>
      </c>
      <c r="X15" s="148"/>
      <c r="Y15" t="s">
        <v>427</v>
      </c>
      <c r="Z15" s="148">
        <v>2054019</v>
      </c>
    </row>
    <row r="16" spans="1:26" x14ac:dyDescent="0.25">
      <c r="A16" s="148">
        <v>2055001</v>
      </c>
      <c r="B16" s="155" t="s">
        <v>502</v>
      </c>
      <c r="C16" s="155"/>
      <c r="D16" s="155" t="s">
        <v>505</v>
      </c>
      <c r="E16" s="155"/>
      <c r="F16" s="1296" t="s">
        <v>506</v>
      </c>
      <c r="G16" s="1296"/>
      <c r="H16" s="1296"/>
      <c r="I16" s="1296"/>
      <c r="J16" s="1298">
        <v>1042.557</v>
      </c>
      <c r="K16" s="1298"/>
      <c r="L16" s="1298"/>
      <c r="M16" s="1298"/>
      <c r="N16" s="149">
        <v>0.18279999999999999</v>
      </c>
      <c r="O16" s="150">
        <v>10</v>
      </c>
      <c r="P16" s="149">
        <v>0.7419</v>
      </c>
      <c r="Q16" s="149">
        <v>0.99890000000000001</v>
      </c>
      <c r="X16" s="148"/>
      <c r="Y16" t="s">
        <v>417</v>
      </c>
      <c r="Z16" s="148">
        <v>1957003</v>
      </c>
    </row>
    <row r="17" spans="1:26" x14ac:dyDescent="0.25">
      <c r="A17" s="148">
        <v>2055004</v>
      </c>
      <c r="B17" s="155" t="s">
        <v>502</v>
      </c>
      <c r="C17" s="155"/>
      <c r="D17" s="155" t="s">
        <v>507</v>
      </c>
      <c r="E17" s="155"/>
      <c r="F17" s="1296" t="s">
        <v>508</v>
      </c>
      <c r="G17" s="1296"/>
      <c r="H17" s="1296"/>
      <c r="I17" s="1296"/>
      <c r="J17" s="1298">
        <v>1085.1759999999999</v>
      </c>
      <c r="K17" s="1298"/>
      <c r="L17" s="1298"/>
      <c r="M17" s="1298"/>
      <c r="N17" s="149">
        <v>0.16880000000000001</v>
      </c>
      <c r="O17" s="150">
        <v>10</v>
      </c>
      <c r="P17" s="149">
        <v>0.7419</v>
      </c>
      <c r="Q17" s="149">
        <v>0.999</v>
      </c>
      <c r="X17" s="148"/>
      <c r="Y17" t="s">
        <v>418</v>
      </c>
      <c r="Z17" s="148">
        <v>2056001</v>
      </c>
    </row>
    <row r="18" spans="1:26" x14ac:dyDescent="0.25">
      <c r="A18" s="148">
        <v>1755004</v>
      </c>
      <c r="B18" s="155" t="s">
        <v>502</v>
      </c>
      <c r="C18" s="155"/>
      <c r="D18" s="155" t="s">
        <v>509</v>
      </c>
      <c r="E18" s="155"/>
      <c r="F18" s="1296" t="s">
        <v>510</v>
      </c>
      <c r="G18" s="1296"/>
      <c r="H18" s="1296"/>
      <c r="I18" s="1296"/>
      <c r="J18" s="1297">
        <v>906.35850000000005</v>
      </c>
      <c r="K18" s="1297"/>
      <c r="L18" s="1297"/>
      <c r="M18" s="1297"/>
      <c r="N18" s="149">
        <v>0.16739999999999999</v>
      </c>
      <c r="O18" s="150">
        <v>10</v>
      </c>
      <c r="P18" s="149">
        <v>0.7419</v>
      </c>
      <c r="Q18" s="149">
        <v>0.99829999999999997</v>
      </c>
      <c r="X18" s="148"/>
      <c r="Y18" t="s">
        <v>379</v>
      </c>
      <c r="Z18" s="148">
        <v>2353048</v>
      </c>
    </row>
    <row r="19" spans="1:26" x14ac:dyDescent="0.25">
      <c r="A19" s="148">
        <v>1955000</v>
      </c>
      <c r="B19" s="155" t="s">
        <v>502</v>
      </c>
      <c r="C19" s="155"/>
      <c r="D19" s="155" t="s">
        <v>511</v>
      </c>
      <c r="E19" s="155"/>
      <c r="F19" s="1296" t="s">
        <v>512</v>
      </c>
      <c r="G19" s="1296"/>
      <c r="H19" s="1296"/>
      <c r="I19" s="1296"/>
      <c r="J19" s="1298">
        <v>1155.58</v>
      </c>
      <c r="K19" s="1298"/>
      <c r="L19" s="1298"/>
      <c r="M19" s="1298"/>
      <c r="N19" s="149">
        <v>0.18509999999999999</v>
      </c>
      <c r="O19" s="150">
        <v>10</v>
      </c>
      <c r="P19" s="149">
        <v>0.7419</v>
      </c>
      <c r="Q19" s="149">
        <v>0.99890000000000001</v>
      </c>
      <c r="X19" s="148"/>
      <c r="Y19" t="s">
        <v>380</v>
      </c>
      <c r="Z19" s="148">
        <v>2154000</v>
      </c>
    </row>
    <row r="20" spans="1:26" x14ac:dyDescent="0.25">
      <c r="A20" s="148">
        <v>1956003</v>
      </c>
      <c r="B20" s="155" t="s">
        <v>502</v>
      </c>
      <c r="C20" s="155"/>
      <c r="D20" s="155" t="s">
        <v>479</v>
      </c>
      <c r="E20" s="155"/>
      <c r="F20" s="1296" t="s">
        <v>513</v>
      </c>
      <c r="G20" s="1296"/>
      <c r="H20" s="1296"/>
      <c r="I20" s="1296"/>
      <c r="J20" s="1297">
        <v>950.82370000000003</v>
      </c>
      <c r="K20" s="1297"/>
      <c r="L20" s="1297"/>
      <c r="M20" s="1297"/>
      <c r="N20" s="149">
        <v>0.13300000000000001</v>
      </c>
      <c r="O20" s="150">
        <v>10</v>
      </c>
      <c r="P20" s="149">
        <v>0.7419</v>
      </c>
      <c r="Q20" s="149">
        <v>0.99939999999999996</v>
      </c>
      <c r="X20" s="148"/>
      <c r="Y20" t="s">
        <v>432</v>
      </c>
      <c r="Z20" s="148">
        <v>1853005</v>
      </c>
    </row>
    <row r="21" spans="1:26" x14ac:dyDescent="0.25">
      <c r="A21" s="148">
        <v>1956008</v>
      </c>
      <c r="B21" s="155" t="s">
        <v>502</v>
      </c>
      <c r="C21" s="155"/>
      <c r="D21" s="155" t="s">
        <v>514</v>
      </c>
      <c r="E21" s="155"/>
      <c r="F21" s="1296" t="s">
        <v>515</v>
      </c>
      <c r="G21" s="1296"/>
      <c r="H21" s="1296"/>
      <c r="I21" s="1296"/>
      <c r="J21" s="1297">
        <v>918.33259999999996</v>
      </c>
      <c r="K21" s="1297"/>
      <c r="L21" s="1297"/>
      <c r="M21" s="1297"/>
      <c r="N21" s="149">
        <v>0.1246</v>
      </c>
      <c r="O21" s="150">
        <v>10</v>
      </c>
      <c r="P21" s="149">
        <v>0.7419</v>
      </c>
      <c r="Q21" s="149">
        <v>0.99939999999999996</v>
      </c>
      <c r="X21" s="148"/>
      <c r="Y21" t="s">
        <v>381</v>
      </c>
      <c r="Z21" s="148">
        <v>2157005</v>
      </c>
    </row>
    <row r="22" spans="1:26" x14ac:dyDescent="0.25">
      <c r="A22" s="148">
        <v>1954005</v>
      </c>
      <c r="B22" s="155" t="s">
        <v>516</v>
      </c>
      <c r="C22" s="155"/>
      <c r="D22" s="155" t="s">
        <v>517</v>
      </c>
      <c r="E22" s="155"/>
      <c r="F22" s="1296" t="s">
        <v>518</v>
      </c>
      <c r="G22" s="1296"/>
      <c r="H22" s="1296"/>
      <c r="I22" s="1296"/>
      <c r="J22" s="1297">
        <v>933.0394</v>
      </c>
      <c r="K22" s="1297"/>
      <c r="L22" s="1297"/>
      <c r="M22" s="1297"/>
      <c r="N22" s="149">
        <v>0.16439999999999999</v>
      </c>
      <c r="O22" s="150">
        <v>10</v>
      </c>
      <c r="P22" s="149">
        <v>0.7419</v>
      </c>
      <c r="Q22" s="149">
        <v>0.99909999999999999</v>
      </c>
      <c r="R22" t="s">
        <v>746</v>
      </c>
      <c r="X22" s="148"/>
      <c r="Y22" t="s">
        <v>413</v>
      </c>
      <c r="Z22" s="148">
        <v>2051045</v>
      </c>
    </row>
    <row r="23" spans="1:26" x14ac:dyDescent="0.25">
      <c r="A23" s="148">
        <v>2152001</v>
      </c>
      <c r="B23" s="155" t="s">
        <v>519</v>
      </c>
      <c r="C23" s="155"/>
      <c r="D23" s="155" t="s">
        <v>520</v>
      </c>
      <c r="E23" s="155"/>
      <c r="F23" s="1296" t="s">
        <v>521</v>
      </c>
      <c r="G23" s="1296"/>
      <c r="H23" s="1296"/>
      <c r="I23" s="1296"/>
      <c r="J23" s="1297">
        <v>925.97699999999998</v>
      </c>
      <c r="K23" s="1297"/>
      <c r="L23" s="1297"/>
      <c r="M23" s="1297"/>
      <c r="N23" s="149">
        <v>0.15529999999999999</v>
      </c>
      <c r="O23" s="150">
        <v>10</v>
      </c>
      <c r="P23" s="149">
        <v>0.7419</v>
      </c>
      <c r="Q23" s="149">
        <v>0.99919999999999998</v>
      </c>
      <c r="X23" s="148"/>
      <c r="Y23" t="s">
        <v>760</v>
      </c>
      <c r="Z23" s="148">
        <v>2054021</v>
      </c>
    </row>
    <row r="24" spans="1:26" x14ac:dyDescent="0.25">
      <c r="A24" s="148">
        <v>2256001</v>
      </c>
      <c r="B24" s="155" t="s">
        <v>522</v>
      </c>
      <c r="C24" s="155"/>
      <c r="D24" s="155" t="s">
        <v>523</v>
      </c>
      <c r="E24" s="155"/>
      <c r="F24" s="1296" t="s">
        <v>524</v>
      </c>
      <c r="G24" s="1296"/>
      <c r="H24" s="1296"/>
      <c r="I24" s="1296"/>
      <c r="J24" s="1298">
        <v>1107.8989999999999</v>
      </c>
      <c r="K24" s="1298"/>
      <c r="L24" s="1298"/>
      <c r="M24" s="1298"/>
      <c r="N24" s="149">
        <v>0.1386</v>
      </c>
      <c r="O24" s="150">
        <v>10</v>
      </c>
      <c r="P24" s="149">
        <v>0.7419</v>
      </c>
      <c r="Q24" s="149">
        <v>0.99929999999999997</v>
      </c>
    </row>
    <row r="25" spans="1:26" x14ac:dyDescent="0.25">
      <c r="A25" s="148">
        <v>2056003</v>
      </c>
      <c r="B25" s="155" t="s">
        <v>525</v>
      </c>
      <c r="C25" s="155"/>
      <c r="D25" s="155" t="s">
        <v>526</v>
      </c>
      <c r="E25" s="155"/>
      <c r="F25" s="1296" t="s">
        <v>527</v>
      </c>
      <c r="G25" s="1296"/>
      <c r="H25" s="1296"/>
      <c r="I25" s="1296"/>
      <c r="J25" s="1297">
        <v>931.75099999999998</v>
      </c>
      <c r="K25" s="1297"/>
      <c r="L25" s="1297"/>
      <c r="M25" s="1297"/>
      <c r="N25" s="149">
        <v>0.13650000000000001</v>
      </c>
      <c r="O25" s="150">
        <v>10</v>
      </c>
      <c r="P25" s="149">
        <v>0.7419</v>
      </c>
      <c r="Q25" s="149">
        <v>0.99929999999999997</v>
      </c>
      <c r="R25" t="s">
        <v>747</v>
      </c>
      <c r="S25" t="s">
        <v>748</v>
      </c>
    </row>
    <row r="26" spans="1:26" x14ac:dyDescent="0.25">
      <c r="A26" s="148">
        <v>2152000</v>
      </c>
      <c r="B26" s="155" t="s">
        <v>528</v>
      </c>
      <c r="C26" s="155"/>
      <c r="D26" s="155" t="s">
        <v>529</v>
      </c>
      <c r="E26" s="155"/>
      <c r="F26" s="1296" t="s">
        <v>530</v>
      </c>
      <c r="G26" s="1296"/>
      <c r="H26" s="1296"/>
      <c r="I26" s="1296"/>
      <c r="J26" s="1297">
        <v>823</v>
      </c>
      <c r="K26" s="1297"/>
      <c r="L26" s="1297"/>
      <c r="M26" s="1297"/>
      <c r="N26" s="149">
        <v>0.1336</v>
      </c>
      <c r="O26" s="150">
        <v>10</v>
      </c>
      <c r="P26" s="149">
        <v>0.7419</v>
      </c>
      <c r="Q26" s="149">
        <v>0.99939999999999996</v>
      </c>
    </row>
    <row r="27" spans="1:26" x14ac:dyDescent="0.25">
      <c r="A27" s="148">
        <v>2053004</v>
      </c>
      <c r="B27" s="155" t="s">
        <v>528</v>
      </c>
      <c r="C27" s="155"/>
      <c r="D27" s="155" t="s">
        <v>531</v>
      </c>
      <c r="E27" s="155"/>
      <c r="F27" s="1296" t="s">
        <v>532</v>
      </c>
      <c r="G27" s="1296"/>
      <c r="H27" s="1296"/>
      <c r="I27" s="1296"/>
      <c r="J27" s="1297">
        <v>835.98800000000006</v>
      </c>
      <c r="K27" s="1297"/>
      <c r="L27" s="1297"/>
      <c r="M27" s="1297"/>
      <c r="N27" s="149">
        <v>0.1502</v>
      </c>
      <c r="O27" s="150">
        <v>10</v>
      </c>
      <c r="P27" s="149">
        <v>0.7419</v>
      </c>
      <c r="Q27" s="149">
        <v>0.99919999999999998</v>
      </c>
    </row>
    <row r="28" spans="1:26" x14ac:dyDescent="0.25">
      <c r="A28" s="148">
        <v>2152016</v>
      </c>
      <c r="B28" s="155" t="s">
        <v>528</v>
      </c>
      <c r="C28" s="155"/>
      <c r="D28" s="155" t="s">
        <v>533</v>
      </c>
      <c r="E28" s="155"/>
      <c r="F28" s="1296" t="s">
        <v>534</v>
      </c>
      <c r="G28" s="1296"/>
      <c r="H28" s="1296"/>
      <c r="I28" s="1296"/>
      <c r="J28" s="1297">
        <v>847.61800000000005</v>
      </c>
      <c r="K28" s="1297"/>
      <c r="L28" s="1297"/>
      <c r="M28" s="1297"/>
      <c r="N28" s="149">
        <v>0.1472</v>
      </c>
      <c r="O28" s="150">
        <v>10</v>
      </c>
      <c r="P28" s="149">
        <v>0.7419</v>
      </c>
      <c r="Q28" s="149">
        <v>0.99929999999999997</v>
      </c>
    </row>
    <row r="29" spans="1:26" x14ac:dyDescent="0.25">
      <c r="A29" s="148">
        <v>2152005</v>
      </c>
      <c r="B29" s="155" t="s">
        <v>528</v>
      </c>
      <c r="C29" s="155"/>
      <c r="D29" s="155" t="s">
        <v>535</v>
      </c>
      <c r="E29" s="155"/>
      <c r="F29" s="1296" t="s">
        <v>536</v>
      </c>
      <c r="G29" s="1296"/>
      <c r="H29" s="1296"/>
      <c r="I29" s="1296"/>
      <c r="J29" s="1297">
        <v>847.81299999999999</v>
      </c>
      <c r="K29" s="1297"/>
      <c r="L29" s="1297"/>
      <c r="M29" s="1297"/>
      <c r="N29" s="149">
        <v>0.12189999999999999</v>
      </c>
      <c r="O29" s="150">
        <v>10</v>
      </c>
      <c r="P29" s="149">
        <v>0.7419</v>
      </c>
      <c r="Q29" s="149">
        <v>0.99939999999999996</v>
      </c>
    </row>
    <row r="30" spans="1:26" x14ac:dyDescent="0.25">
      <c r="A30" s="148">
        <v>2152014</v>
      </c>
      <c r="B30" s="155" t="s">
        <v>528</v>
      </c>
      <c r="C30" s="155"/>
      <c r="D30" s="155" t="s">
        <v>537</v>
      </c>
      <c r="E30" s="155"/>
      <c r="F30" s="1296" t="s">
        <v>538</v>
      </c>
      <c r="G30" s="1296"/>
      <c r="H30" s="1296"/>
      <c r="I30" s="1296"/>
      <c r="J30" s="1297">
        <v>903.23299999999995</v>
      </c>
      <c r="K30" s="1297"/>
      <c r="L30" s="1297"/>
      <c r="M30" s="1297"/>
      <c r="N30" s="149">
        <v>0.14990000000000001</v>
      </c>
      <c r="O30" s="150">
        <v>10</v>
      </c>
      <c r="P30" s="149">
        <v>0.7419</v>
      </c>
      <c r="Q30" s="149">
        <v>0.99919999999999998</v>
      </c>
    </row>
    <row r="31" spans="1:26" x14ac:dyDescent="0.25">
      <c r="A31" s="148">
        <v>2254000</v>
      </c>
      <c r="B31" s="155" t="s">
        <v>539</v>
      </c>
      <c r="C31" s="155"/>
      <c r="D31" s="155" t="s">
        <v>540</v>
      </c>
      <c r="E31" s="155"/>
      <c r="F31" s="1296" t="s">
        <v>541</v>
      </c>
      <c r="G31" s="1296"/>
      <c r="H31" s="1296"/>
      <c r="I31" s="1296"/>
      <c r="J31" s="1297">
        <v>860.99379999999996</v>
      </c>
      <c r="K31" s="1297"/>
      <c r="L31" s="1297"/>
      <c r="M31" s="1297"/>
      <c r="N31" s="149">
        <v>0.14030000000000001</v>
      </c>
      <c r="O31" s="150">
        <v>10</v>
      </c>
      <c r="P31" s="149">
        <v>0.7419</v>
      </c>
      <c r="Q31" s="149">
        <v>0.99929999999999997</v>
      </c>
      <c r="R31" t="s">
        <v>749</v>
      </c>
    </row>
    <row r="32" spans="1:26" x14ac:dyDescent="0.25">
      <c r="A32" s="148">
        <v>2354002</v>
      </c>
      <c r="B32" s="155" t="s">
        <v>539</v>
      </c>
      <c r="C32" s="155"/>
      <c r="D32" s="155" t="s">
        <v>542</v>
      </c>
      <c r="E32" s="155"/>
      <c r="F32" s="1296" t="s">
        <v>543</v>
      </c>
      <c r="G32" s="1296"/>
      <c r="H32" s="1296"/>
      <c r="I32" s="1296"/>
      <c r="J32" s="1297">
        <v>928.96640000000002</v>
      </c>
      <c r="K32" s="1297"/>
      <c r="L32" s="1297"/>
      <c r="M32" s="1297"/>
      <c r="N32" s="149">
        <v>0.1525</v>
      </c>
      <c r="O32" s="150">
        <v>10</v>
      </c>
      <c r="P32" s="149">
        <v>0.7419</v>
      </c>
      <c r="Q32" s="149">
        <v>0.99919999999999998</v>
      </c>
    </row>
    <row r="33" spans="1:19" x14ac:dyDescent="0.25">
      <c r="A33" s="148">
        <v>1853005</v>
      </c>
      <c r="B33" s="155" t="s">
        <v>544</v>
      </c>
      <c r="C33" s="155"/>
      <c r="D33" s="155" t="s">
        <v>545</v>
      </c>
      <c r="E33" s="155"/>
      <c r="F33" s="1296" t="s">
        <v>546</v>
      </c>
      <c r="G33" s="1296"/>
      <c r="H33" s="1296"/>
      <c r="I33" s="1296"/>
      <c r="J33" s="1297">
        <v>937.13030000000003</v>
      </c>
      <c r="K33" s="1297"/>
      <c r="L33" s="1297"/>
      <c r="M33" s="1297"/>
      <c r="N33" s="149">
        <v>0.1542</v>
      </c>
      <c r="O33" s="150">
        <v>10</v>
      </c>
      <c r="P33" s="149">
        <v>0.7419</v>
      </c>
      <c r="Q33" s="149">
        <v>0.99919999999999998</v>
      </c>
      <c r="R33" t="s">
        <v>745</v>
      </c>
      <c r="S33" t="s">
        <v>754</v>
      </c>
    </row>
    <row r="34" spans="1:19" x14ac:dyDescent="0.25">
      <c r="A34" s="148">
        <v>1954004</v>
      </c>
      <c r="B34" s="155" t="s">
        <v>544</v>
      </c>
      <c r="C34" s="155"/>
      <c r="D34" s="155" t="s">
        <v>547</v>
      </c>
      <c r="E34" s="155"/>
      <c r="F34" s="1296" t="s">
        <v>548</v>
      </c>
      <c r="G34" s="1296"/>
      <c r="H34" s="1296"/>
      <c r="I34" s="1296"/>
      <c r="J34" s="1297">
        <v>988.09799999999996</v>
      </c>
      <c r="K34" s="1297"/>
      <c r="L34" s="1297"/>
      <c r="M34" s="1297"/>
      <c r="N34" s="149">
        <v>0.1479</v>
      </c>
      <c r="O34" s="150">
        <v>10</v>
      </c>
      <c r="P34" s="149">
        <v>0.7419</v>
      </c>
      <c r="Q34" s="149">
        <v>0.99919999999999998</v>
      </c>
    </row>
    <row r="35" spans="1:19" x14ac:dyDescent="0.25">
      <c r="A35" s="148">
        <v>1954006</v>
      </c>
      <c r="B35" s="155" t="s">
        <v>544</v>
      </c>
      <c r="C35" s="155"/>
      <c r="D35" s="155" t="s">
        <v>549</v>
      </c>
      <c r="E35" s="155"/>
      <c r="F35" s="1296" t="s">
        <v>550</v>
      </c>
      <c r="G35" s="1296"/>
      <c r="H35" s="1296"/>
      <c r="I35" s="1296"/>
      <c r="J35" s="1297">
        <v>976.11279999999999</v>
      </c>
      <c r="K35" s="1297"/>
      <c r="L35" s="1297"/>
      <c r="M35" s="1297"/>
      <c r="N35" s="149">
        <v>0.16739999999999999</v>
      </c>
      <c r="O35" s="150">
        <v>10</v>
      </c>
      <c r="P35" s="149">
        <v>0.7419</v>
      </c>
      <c r="Q35" s="149">
        <v>0.99909999999999999</v>
      </c>
    </row>
    <row r="36" spans="1:19" ht="15" customHeight="1" x14ac:dyDescent="0.25">
      <c r="A36" s="148">
        <v>2054014</v>
      </c>
      <c r="B36" s="155" t="s">
        <v>551</v>
      </c>
      <c r="C36" s="155"/>
      <c r="D36" s="155" t="s">
        <v>552</v>
      </c>
      <c r="E36" s="155"/>
      <c r="F36" s="1296" t="s">
        <v>553</v>
      </c>
      <c r="G36" s="1296"/>
      <c r="H36" s="1296"/>
      <c r="I36" s="1296"/>
      <c r="J36" s="1297">
        <v>864.57</v>
      </c>
      <c r="K36" s="1297"/>
      <c r="L36" s="1297"/>
      <c r="M36" s="1297"/>
      <c r="N36" s="149">
        <v>0.14580000000000001</v>
      </c>
      <c r="O36" s="150">
        <v>10</v>
      </c>
      <c r="P36" s="149">
        <v>0.7419</v>
      </c>
      <c r="Q36" s="149">
        <v>0.99929999999999997</v>
      </c>
      <c r="R36" t="s">
        <v>750</v>
      </c>
    </row>
    <row r="37" spans="1:19" ht="15" customHeight="1" x14ac:dyDescent="0.25">
      <c r="A37" s="148">
        <v>2054010</v>
      </c>
      <c r="B37" s="155" t="s">
        <v>551</v>
      </c>
      <c r="C37" s="155"/>
      <c r="D37" s="155" t="s">
        <v>554</v>
      </c>
      <c r="E37" s="155"/>
      <c r="F37" s="1296" t="s">
        <v>555</v>
      </c>
      <c r="G37" s="1296"/>
      <c r="H37" s="1296"/>
      <c r="I37" s="1296"/>
      <c r="J37" s="1297">
        <v>910.75199999999995</v>
      </c>
      <c r="K37" s="1297"/>
      <c r="L37" s="1297"/>
      <c r="M37" s="1297"/>
      <c r="N37" s="149">
        <v>0.14779999999999999</v>
      </c>
      <c r="O37" s="150">
        <v>10</v>
      </c>
      <c r="P37" s="149">
        <v>0.7419</v>
      </c>
      <c r="Q37" s="149">
        <v>0.99929999999999997</v>
      </c>
    </row>
    <row r="38" spans="1:19" ht="15" customHeight="1" x14ac:dyDescent="0.25">
      <c r="A38" s="148">
        <v>2054001</v>
      </c>
      <c r="B38" s="155" t="s">
        <v>551</v>
      </c>
      <c r="C38" s="155"/>
      <c r="D38" s="155" t="s">
        <v>556</v>
      </c>
      <c r="E38" s="155"/>
      <c r="F38" s="1296" t="s">
        <v>557</v>
      </c>
      <c r="G38" s="1296"/>
      <c r="H38" s="1296"/>
      <c r="I38" s="1296"/>
      <c r="J38" s="1297">
        <v>923.63400000000001</v>
      </c>
      <c r="K38" s="1297"/>
      <c r="L38" s="1297"/>
      <c r="M38" s="1297"/>
      <c r="N38" s="149">
        <v>0.15890000000000001</v>
      </c>
      <c r="O38" s="150">
        <v>10</v>
      </c>
      <c r="P38" s="149">
        <v>0.7419</v>
      </c>
      <c r="Q38" s="149">
        <v>0.99919999999999998</v>
      </c>
    </row>
    <row r="39" spans="1:19" ht="15" customHeight="1" x14ac:dyDescent="0.25">
      <c r="A39" s="148">
        <v>2054020</v>
      </c>
      <c r="B39" s="155" t="s">
        <v>551</v>
      </c>
      <c r="C39" s="155"/>
      <c r="D39" s="155" t="s">
        <v>558</v>
      </c>
      <c r="E39" s="155"/>
      <c r="F39" s="1296" t="s">
        <v>559</v>
      </c>
      <c r="G39" s="1296"/>
      <c r="H39" s="1296"/>
      <c r="I39" s="1296"/>
      <c r="J39" s="1297">
        <v>931.322</v>
      </c>
      <c r="K39" s="1297"/>
      <c r="L39" s="1297"/>
      <c r="M39" s="1297"/>
      <c r="N39" s="149">
        <v>0.16919999999999999</v>
      </c>
      <c r="O39" s="150">
        <v>10</v>
      </c>
      <c r="P39" s="149">
        <v>0.7419</v>
      </c>
      <c r="Q39" s="149">
        <v>0.99670000000000003</v>
      </c>
    </row>
    <row r="40" spans="1:19" x14ac:dyDescent="0.25">
      <c r="A40" s="148">
        <v>2257000</v>
      </c>
      <c r="B40" s="155" t="s">
        <v>560</v>
      </c>
      <c r="C40" s="155"/>
      <c r="D40" s="155" t="s">
        <v>561</v>
      </c>
      <c r="E40" s="155"/>
      <c r="F40" s="1296" t="s">
        <v>562</v>
      </c>
      <c r="G40" s="1296"/>
      <c r="H40" s="1296"/>
      <c r="I40" s="1296"/>
      <c r="J40" s="1297">
        <v>993.11599999999999</v>
      </c>
      <c r="K40" s="1297"/>
      <c r="L40" s="1297"/>
      <c r="M40" s="1297"/>
      <c r="N40" s="149">
        <v>0.13370000000000001</v>
      </c>
      <c r="O40" s="150">
        <v>10</v>
      </c>
      <c r="P40" s="149">
        <v>0.7419</v>
      </c>
      <c r="Q40" s="149">
        <v>0.99929999999999997</v>
      </c>
      <c r="R40" t="s">
        <v>744</v>
      </c>
    </row>
    <row r="41" spans="1:19" x14ac:dyDescent="0.25">
      <c r="A41" s="148">
        <v>1852003</v>
      </c>
      <c r="B41" s="155" t="s">
        <v>563</v>
      </c>
      <c r="C41" s="155"/>
      <c r="D41" s="155" t="s">
        <v>564</v>
      </c>
      <c r="E41" s="155"/>
      <c r="F41" s="1296" t="s">
        <v>565</v>
      </c>
      <c r="G41" s="1296"/>
      <c r="H41" s="1296"/>
      <c r="I41" s="1296"/>
      <c r="J41" s="1297">
        <v>898.46259999999995</v>
      </c>
      <c r="K41" s="1297"/>
      <c r="L41" s="1297"/>
      <c r="M41" s="1297"/>
      <c r="N41" s="149">
        <v>0.11609999999999999</v>
      </c>
      <c r="O41" s="150">
        <v>10</v>
      </c>
      <c r="P41" s="149">
        <v>0.7419</v>
      </c>
      <c r="Q41" s="149">
        <v>0.99939999999999996</v>
      </c>
    </row>
    <row r="42" spans="1:19" x14ac:dyDescent="0.25">
      <c r="A42" s="148">
        <v>1951004</v>
      </c>
      <c r="B42" s="155" t="s">
        <v>563</v>
      </c>
      <c r="C42" s="155"/>
      <c r="D42" s="155" t="s">
        <v>566</v>
      </c>
      <c r="E42" s="155"/>
      <c r="F42" s="1296" t="s">
        <v>567</v>
      </c>
      <c r="G42" s="1296"/>
      <c r="H42" s="1296"/>
      <c r="I42" s="1296"/>
      <c r="J42" s="1297">
        <v>937.77790000000005</v>
      </c>
      <c r="K42" s="1297"/>
      <c r="L42" s="1297"/>
      <c r="M42" s="1297"/>
      <c r="N42" s="149">
        <v>0.1532</v>
      </c>
      <c r="O42" s="150">
        <v>10</v>
      </c>
      <c r="P42" s="149">
        <v>0.7419</v>
      </c>
      <c r="Q42" s="149">
        <v>0.99919999999999998</v>
      </c>
    </row>
    <row r="43" spans="1:19" ht="15" customHeight="1" x14ac:dyDescent="0.25">
      <c r="A43" s="148">
        <v>1952000</v>
      </c>
      <c r="B43" s="155" t="s">
        <v>568</v>
      </c>
      <c r="C43" s="155"/>
      <c r="D43" s="155" t="s">
        <v>569</v>
      </c>
      <c r="E43" s="155"/>
      <c r="F43" s="1296" t="s">
        <v>570</v>
      </c>
      <c r="G43" s="1296"/>
      <c r="H43" s="1296"/>
      <c r="I43" s="1296"/>
      <c r="J43" s="1297">
        <v>875.18529999999998</v>
      </c>
      <c r="K43" s="1297"/>
      <c r="L43" s="1297"/>
      <c r="M43" s="1297"/>
      <c r="N43" s="149">
        <v>0.19089999999999999</v>
      </c>
      <c r="O43" s="150">
        <v>10</v>
      </c>
      <c r="P43" s="149">
        <v>0.7419</v>
      </c>
      <c r="Q43" s="149">
        <v>0.99880000000000002</v>
      </c>
    </row>
    <row r="44" spans="1:19" x14ac:dyDescent="0.25">
      <c r="A44" s="148">
        <v>1957006</v>
      </c>
      <c r="B44" s="155" t="s">
        <v>571</v>
      </c>
      <c r="C44" s="155"/>
      <c r="D44" s="155" t="s">
        <v>572</v>
      </c>
      <c r="E44" s="155"/>
      <c r="F44" s="1296" t="s">
        <v>573</v>
      </c>
      <c r="G44" s="1296"/>
      <c r="H44" s="1296"/>
      <c r="I44" s="1296"/>
      <c r="J44" s="1297">
        <v>899.08299999999997</v>
      </c>
      <c r="K44" s="1297"/>
      <c r="L44" s="1297"/>
      <c r="M44" s="1297"/>
      <c r="N44" s="149">
        <v>0.20200000000000001</v>
      </c>
      <c r="O44" s="150">
        <v>10</v>
      </c>
      <c r="P44" s="149">
        <v>0.7419</v>
      </c>
      <c r="Q44" s="149">
        <v>0.99860000000000004</v>
      </c>
    </row>
    <row r="45" spans="1:19" x14ac:dyDescent="0.25">
      <c r="A45" s="148">
        <v>1957002</v>
      </c>
      <c r="B45" s="155" t="s">
        <v>571</v>
      </c>
      <c r="C45" s="155"/>
      <c r="D45" s="155" t="s">
        <v>574</v>
      </c>
      <c r="E45" s="155"/>
      <c r="F45" s="1296" t="s">
        <v>575</v>
      </c>
      <c r="G45" s="1296"/>
      <c r="H45" s="1296"/>
      <c r="I45" s="1296"/>
      <c r="J45" s="1297">
        <v>906.35799999999995</v>
      </c>
      <c r="K45" s="1297"/>
      <c r="L45" s="1297"/>
      <c r="M45" s="1297"/>
      <c r="N45" s="149">
        <v>0.1847</v>
      </c>
      <c r="O45" s="150">
        <v>10</v>
      </c>
      <c r="P45" s="149">
        <v>0.7419</v>
      </c>
      <c r="Q45" s="149">
        <v>0.99890000000000001</v>
      </c>
    </row>
    <row r="46" spans="1:19" x14ac:dyDescent="0.25">
      <c r="A46" s="148">
        <v>1957004</v>
      </c>
      <c r="B46" s="155" t="s">
        <v>571</v>
      </c>
      <c r="C46" s="155"/>
      <c r="D46" s="155" t="s">
        <v>576</v>
      </c>
      <c r="E46" s="155"/>
      <c r="F46" s="1296" t="s">
        <v>577</v>
      </c>
      <c r="G46" s="1296"/>
      <c r="H46" s="1296"/>
      <c r="I46" s="1296"/>
      <c r="J46" s="1297">
        <v>940.15599999999995</v>
      </c>
      <c r="K46" s="1297"/>
      <c r="L46" s="1297"/>
      <c r="M46" s="1297"/>
      <c r="N46" s="149">
        <v>0.15390000000000001</v>
      </c>
      <c r="O46" s="150">
        <v>10</v>
      </c>
      <c r="P46" s="149">
        <v>0.75319999999999998</v>
      </c>
      <c r="Q46" s="149">
        <v>0.99860000000000004</v>
      </c>
    </row>
    <row r="47" spans="1:19" x14ac:dyDescent="0.25">
      <c r="A47" s="148">
        <v>2057000</v>
      </c>
      <c r="B47" s="155" t="s">
        <v>571</v>
      </c>
      <c r="C47" s="155"/>
      <c r="D47" s="155" t="s">
        <v>578</v>
      </c>
      <c r="E47" s="155"/>
      <c r="F47" s="1296" t="s">
        <v>579</v>
      </c>
      <c r="G47" s="1296"/>
      <c r="H47" s="1296"/>
      <c r="I47" s="1296"/>
      <c r="J47" s="1297">
        <v>951.26199999999994</v>
      </c>
      <c r="K47" s="1297"/>
      <c r="L47" s="1297"/>
      <c r="M47" s="1297"/>
      <c r="N47" s="149">
        <v>0.19600000000000001</v>
      </c>
      <c r="O47" s="150">
        <v>10</v>
      </c>
      <c r="P47" s="149">
        <v>0.7419</v>
      </c>
      <c r="Q47" s="149">
        <v>0.99870000000000003</v>
      </c>
    </row>
    <row r="48" spans="1:19" x14ac:dyDescent="0.25">
      <c r="A48" s="148">
        <v>1957005</v>
      </c>
      <c r="B48" s="155" t="s">
        <v>571</v>
      </c>
      <c r="C48" s="155"/>
      <c r="D48" s="155" t="s">
        <v>580</v>
      </c>
      <c r="E48" s="155"/>
      <c r="F48" s="1296" t="s">
        <v>581</v>
      </c>
      <c r="G48" s="1296"/>
      <c r="H48" s="1296"/>
      <c r="I48" s="1296"/>
      <c r="J48" s="1298">
        <v>1443.444</v>
      </c>
      <c r="K48" s="1298"/>
      <c r="L48" s="1298"/>
      <c r="M48" s="1298"/>
      <c r="N48" s="149">
        <v>0.2223</v>
      </c>
      <c r="O48" s="150">
        <v>10</v>
      </c>
      <c r="P48" s="149">
        <v>0.7419</v>
      </c>
      <c r="Q48" s="149">
        <v>0.99819999999999998</v>
      </c>
    </row>
    <row r="49" spans="1:18" x14ac:dyDescent="0.25">
      <c r="A49" s="148">
        <v>1755001</v>
      </c>
      <c r="B49" s="155" t="s">
        <v>571</v>
      </c>
      <c r="C49" s="155"/>
      <c r="D49" s="155" t="s">
        <v>582</v>
      </c>
      <c r="E49" s="155"/>
      <c r="F49" s="1296" t="s">
        <v>583</v>
      </c>
      <c r="G49" s="1296"/>
      <c r="H49" s="1296"/>
      <c r="I49" s="1296"/>
      <c r="J49" s="1297">
        <v>980.16679999999997</v>
      </c>
      <c r="K49" s="1297"/>
      <c r="L49" s="1297"/>
      <c r="M49" s="1297"/>
      <c r="N49" s="149">
        <v>0.1603</v>
      </c>
      <c r="O49" s="150">
        <v>10</v>
      </c>
      <c r="P49" s="149">
        <v>0.7419</v>
      </c>
      <c r="Q49" s="149">
        <v>0.99909999999999999</v>
      </c>
    </row>
    <row r="50" spans="1:18" x14ac:dyDescent="0.25">
      <c r="A50" s="148">
        <v>1756002</v>
      </c>
      <c r="B50" s="155" t="s">
        <v>571</v>
      </c>
      <c r="C50" s="155"/>
      <c r="D50" s="155" t="s">
        <v>584</v>
      </c>
      <c r="E50" s="155"/>
      <c r="F50" s="1296" t="s">
        <v>585</v>
      </c>
      <c r="G50" s="1296"/>
      <c r="H50" s="1296"/>
      <c r="I50" s="1296"/>
      <c r="J50" s="1298">
        <v>1176.251</v>
      </c>
      <c r="K50" s="1298"/>
      <c r="L50" s="1298"/>
      <c r="M50" s="1298"/>
      <c r="N50" s="149">
        <v>0.2107</v>
      </c>
      <c r="O50" s="150">
        <v>10</v>
      </c>
      <c r="P50" s="149">
        <v>0.7419</v>
      </c>
      <c r="Q50" s="149">
        <v>0.99839999999999995</v>
      </c>
    </row>
    <row r="51" spans="1:18" x14ac:dyDescent="0.25">
      <c r="A51" s="148">
        <v>1756003</v>
      </c>
      <c r="B51" s="155" t="s">
        <v>571</v>
      </c>
      <c r="C51" s="155"/>
      <c r="D51" s="155" t="s">
        <v>586</v>
      </c>
      <c r="E51" s="155"/>
      <c r="F51" s="1296" t="s">
        <v>587</v>
      </c>
      <c r="G51" s="1296"/>
      <c r="H51" s="1296"/>
      <c r="I51" s="1296"/>
      <c r="J51" s="1298">
        <v>1028.9636</v>
      </c>
      <c r="K51" s="1298"/>
      <c r="L51" s="1298"/>
      <c r="M51" s="1298"/>
      <c r="N51" s="149">
        <v>0.1741</v>
      </c>
      <c r="O51" s="150">
        <v>10</v>
      </c>
      <c r="P51" s="149">
        <v>0.7419</v>
      </c>
      <c r="Q51" s="149">
        <v>0.999</v>
      </c>
    </row>
    <row r="52" spans="1:18" x14ac:dyDescent="0.25">
      <c r="A52" s="148">
        <v>1857001</v>
      </c>
      <c r="B52" s="155" t="s">
        <v>571</v>
      </c>
      <c r="C52" s="155"/>
      <c r="D52" s="155" t="s">
        <v>588</v>
      </c>
      <c r="E52" s="155"/>
      <c r="F52" s="1296" t="s">
        <v>589</v>
      </c>
      <c r="G52" s="1296"/>
      <c r="H52" s="1296"/>
      <c r="I52" s="1296"/>
      <c r="J52" s="1297">
        <v>924.69820000000004</v>
      </c>
      <c r="K52" s="1297"/>
      <c r="L52" s="1297"/>
      <c r="M52" s="1297"/>
      <c r="N52" s="149">
        <v>0.1502</v>
      </c>
      <c r="O52" s="150">
        <v>10</v>
      </c>
      <c r="P52" s="149">
        <v>0.7419</v>
      </c>
      <c r="Q52" s="149">
        <v>0.99919999999999998</v>
      </c>
    </row>
    <row r="53" spans="1:18" x14ac:dyDescent="0.25">
      <c r="A53" s="148">
        <v>1857002</v>
      </c>
      <c r="B53" s="155" t="s">
        <v>571</v>
      </c>
      <c r="C53" s="155"/>
      <c r="D53" s="155" t="s">
        <v>590</v>
      </c>
      <c r="E53" s="155"/>
      <c r="F53" s="1296" t="s">
        <v>591</v>
      </c>
      <c r="G53" s="1296"/>
      <c r="H53" s="1296"/>
      <c r="I53" s="1296"/>
      <c r="J53" s="1297">
        <v>916.64250000000004</v>
      </c>
      <c r="K53" s="1297"/>
      <c r="L53" s="1297"/>
      <c r="M53" s="1297"/>
      <c r="N53" s="149">
        <v>0.15540000000000001</v>
      </c>
      <c r="O53" s="150">
        <v>10</v>
      </c>
      <c r="P53" s="149">
        <v>0.7419</v>
      </c>
      <c r="Q53" s="149">
        <v>0.99919999999999998</v>
      </c>
    </row>
    <row r="54" spans="1:18" x14ac:dyDescent="0.25">
      <c r="A54" s="148">
        <v>1956001</v>
      </c>
      <c r="B54" s="155" t="s">
        <v>571</v>
      </c>
      <c r="C54" s="155"/>
      <c r="D54" s="155" t="s">
        <v>592</v>
      </c>
      <c r="E54" s="155"/>
      <c r="F54" s="1296" t="s">
        <v>593</v>
      </c>
      <c r="G54" s="1296"/>
      <c r="H54" s="1296"/>
      <c r="I54" s="1296"/>
      <c r="J54" s="1297">
        <v>910.33240000000001</v>
      </c>
      <c r="K54" s="1297"/>
      <c r="L54" s="1297"/>
      <c r="M54" s="1297"/>
      <c r="N54" s="149">
        <v>0.21579999999999999</v>
      </c>
      <c r="O54" s="150">
        <v>10</v>
      </c>
      <c r="P54" s="149">
        <v>0.7419</v>
      </c>
      <c r="Q54" s="149">
        <v>0.99829999999999997</v>
      </c>
    </row>
    <row r="55" spans="1:18" x14ac:dyDescent="0.25">
      <c r="A55" s="148">
        <v>1956004</v>
      </c>
      <c r="B55" s="155" t="s">
        <v>571</v>
      </c>
      <c r="C55" s="155"/>
      <c r="D55" s="155" t="s">
        <v>594</v>
      </c>
      <c r="E55" s="155"/>
      <c r="F55" s="1296" t="s">
        <v>595</v>
      </c>
      <c r="G55" s="1296"/>
      <c r="H55" s="1296"/>
      <c r="I55" s="1296"/>
      <c r="J55" s="1297">
        <v>933.0394</v>
      </c>
      <c r="K55" s="1297"/>
      <c r="L55" s="1297"/>
      <c r="M55" s="1297"/>
      <c r="N55" s="149">
        <v>0.12959999999999999</v>
      </c>
      <c r="O55" s="150">
        <v>10</v>
      </c>
      <c r="P55" s="149">
        <v>0.7419</v>
      </c>
      <c r="Q55" s="149">
        <v>0.99939999999999996</v>
      </c>
    </row>
    <row r="56" spans="1:18" x14ac:dyDescent="0.25">
      <c r="A56" s="148">
        <v>1956005</v>
      </c>
      <c r="B56" s="155" t="s">
        <v>571</v>
      </c>
      <c r="C56" s="155"/>
      <c r="D56" s="155" t="s">
        <v>596</v>
      </c>
      <c r="E56" s="155"/>
      <c r="F56" s="1296" t="s">
        <v>597</v>
      </c>
      <c r="G56" s="1296"/>
      <c r="H56" s="1296"/>
      <c r="I56" s="1296"/>
      <c r="J56" s="1297">
        <v>992.65880000000004</v>
      </c>
      <c r="K56" s="1297"/>
      <c r="L56" s="1297"/>
      <c r="M56" s="1297"/>
      <c r="N56" s="149">
        <v>0.15959999999999999</v>
      </c>
      <c r="O56" s="150">
        <v>10</v>
      </c>
      <c r="P56" s="149">
        <v>0.7419</v>
      </c>
      <c r="Q56" s="149">
        <v>0.99919999999999998</v>
      </c>
    </row>
    <row r="57" spans="1:18" x14ac:dyDescent="0.25">
      <c r="A57" s="148">
        <v>1853004</v>
      </c>
      <c r="B57" s="155" t="s">
        <v>598</v>
      </c>
      <c r="C57" s="155"/>
      <c r="D57" s="155" t="s">
        <v>599</v>
      </c>
      <c r="E57" s="155"/>
      <c r="F57" s="1296" t="s">
        <v>600</v>
      </c>
      <c r="G57" s="1296"/>
      <c r="H57" s="1296"/>
      <c r="I57" s="1296"/>
      <c r="J57" s="1297">
        <v>894.74649999999997</v>
      </c>
      <c r="K57" s="1297"/>
      <c r="L57" s="1297"/>
      <c r="M57" s="1297"/>
      <c r="N57" s="149">
        <v>9.7600000000000006E-2</v>
      </c>
      <c r="O57" s="150">
        <v>10</v>
      </c>
      <c r="P57" s="149">
        <v>0.7419</v>
      </c>
      <c r="Q57" s="149">
        <v>0.99480000000000002</v>
      </c>
      <c r="R57" t="s">
        <v>736</v>
      </c>
    </row>
    <row r="58" spans="1:18" x14ac:dyDescent="0.25">
      <c r="A58" s="148">
        <v>1853002</v>
      </c>
      <c r="B58" s="155" t="s">
        <v>601</v>
      </c>
      <c r="C58" s="155"/>
      <c r="D58" s="155" t="s">
        <v>602</v>
      </c>
      <c r="E58" s="155"/>
      <c r="F58" s="1296" t="s">
        <v>603</v>
      </c>
      <c r="G58" s="1296"/>
      <c r="H58" s="1296"/>
      <c r="I58" s="1296"/>
      <c r="J58" s="1297">
        <v>842.94650000000001</v>
      </c>
      <c r="K58" s="1297"/>
      <c r="L58" s="1297"/>
      <c r="M58" s="1297"/>
      <c r="N58" s="149">
        <v>0.13139999999999999</v>
      </c>
      <c r="O58" s="150">
        <v>10</v>
      </c>
      <c r="P58" s="149">
        <v>0.7419</v>
      </c>
      <c r="Q58" s="149">
        <v>0.99939999999999996</v>
      </c>
    </row>
    <row r="59" spans="1:18" x14ac:dyDescent="0.25">
      <c r="A59" s="148">
        <v>1854003</v>
      </c>
      <c r="B59" s="155" t="s">
        <v>601</v>
      </c>
      <c r="C59" s="155"/>
      <c r="D59" s="155" t="s">
        <v>604</v>
      </c>
      <c r="E59" s="155"/>
      <c r="F59" s="1296" t="s">
        <v>605</v>
      </c>
      <c r="G59" s="1296"/>
      <c r="H59" s="1296"/>
      <c r="I59" s="1296"/>
      <c r="J59" s="1297">
        <v>880.64319999999998</v>
      </c>
      <c r="K59" s="1297"/>
      <c r="L59" s="1297"/>
      <c r="M59" s="1297"/>
      <c r="N59" s="149">
        <v>0.15570000000000001</v>
      </c>
      <c r="O59" s="150">
        <v>10</v>
      </c>
      <c r="P59" s="149">
        <v>0.7419</v>
      </c>
      <c r="Q59" s="149">
        <v>0.99919999999999998</v>
      </c>
    </row>
    <row r="60" spans="1:18" x14ac:dyDescent="0.25">
      <c r="A60" s="148">
        <v>1855000</v>
      </c>
      <c r="B60" s="155" t="s">
        <v>601</v>
      </c>
      <c r="C60" s="155"/>
      <c r="D60" s="155" t="s">
        <v>606</v>
      </c>
      <c r="E60" s="155"/>
      <c r="F60" s="1296" t="s">
        <v>607</v>
      </c>
      <c r="G60" s="1296"/>
      <c r="H60" s="1296"/>
      <c r="I60" s="1296"/>
      <c r="J60" s="1297">
        <v>958.95889999999997</v>
      </c>
      <c r="K60" s="1297"/>
      <c r="L60" s="1297"/>
      <c r="M60" s="1297"/>
      <c r="N60" s="149">
        <v>0.1245</v>
      </c>
      <c r="O60" s="150">
        <v>10</v>
      </c>
      <c r="P60" s="149">
        <v>0.7419</v>
      </c>
      <c r="Q60" s="149">
        <v>0.99939999999999996</v>
      </c>
    </row>
    <row r="61" spans="1:18" x14ac:dyDescent="0.25">
      <c r="A61" s="148">
        <v>2254004</v>
      </c>
      <c r="B61" s="155" t="s">
        <v>608</v>
      </c>
      <c r="C61" s="155"/>
      <c r="D61" s="155" t="s">
        <v>609</v>
      </c>
      <c r="E61" s="155"/>
      <c r="F61" s="1296" t="s">
        <v>610</v>
      </c>
      <c r="G61" s="1296"/>
      <c r="H61" s="1296"/>
      <c r="I61" s="1296"/>
      <c r="J61" s="1297">
        <v>929.60829999999999</v>
      </c>
      <c r="K61" s="1297"/>
      <c r="L61" s="1297"/>
      <c r="M61" s="1297"/>
      <c r="N61" s="149">
        <v>0.13400000000000001</v>
      </c>
      <c r="O61" s="150">
        <v>10</v>
      </c>
      <c r="P61" s="149">
        <v>0.7419</v>
      </c>
      <c r="Q61" s="149">
        <v>0.99929999999999997</v>
      </c>
    </row>
    <row r="62" spans="1:18" x14ac:dyDescent="0.25">
      <c r="A62" s="148">
        <v>2254001</v>
      </c>
      <c r="B62" s="155" t="s">
        <v>611</v>
      </c>
      <c r="C62" s="155"/>
      <c r="D62" s="155" t="s">
        <v>612</v>
      </c>
      <c r="E62" s="155"/>
      <c r="F62" s="1296" t="s">
        <v>613</v>
      </c>
      <c r="G62" s="1296"/>
      <c r="H62" s="1296"/>
      <c r="I62" s="1296"/>
      <c r="J62" s="1297">
        <v>875.58839999999998</v>
      </c>
      <c r="K62" s="1297"/>
      <c r="L62" s="1297"/>
      <c r="M62" s="1297"/>
      <c r="N62" s="149">
        <v>0.129</v>
      </c>
      <c r="O62" s="150">
        <v>10</v>
      </c>
      <c r="P62" s="149">
        <v>0.7419</v>
      </c>
      <c r="Q62" s="149">
        <v>0.99939999999999996</v>
      </c>
    </row>
    <row r="63" spans="1:18" x14ac:dyDescent="0.25">
      <c r="A63" s="148">
        <v>2255004</v>
      </c>
      <c r="B63" s="155" t="s">
        <v>611</v>
      </c>
      <c r="C63" s="155"/>
      <c r="D63" s="155" t="s">
        <v>614</v>
      </c>
      <c r="E63" s="155"/>
      <c r="F63" s="1296" t="s">
        <v>615</v>
      </c>
      <c r="G63" s="1296"/>
      <c r="H63" s="1296"/>
      <c r="I63" s="1296"/>
      <c r="J63" s="1297">
        <v>881.2518</v>
      </c>
      <c r="K63" s="1297"/>
      <c r="L63" s="1297"/>
      <c r="M63" s="1297"/>
      <c r="N63" s="149">
        <v>0.16689999999999999</v>
      </c>
      <c r="O63" s="150">
        <v>10</v>
      </c>
      <c r="P63" s="149">
        <v>0.7419</v>
      </c>
      <c r="Q63" s="149">
        <v>0.99909999999999999</v>
      </c>
    </row>
    <row r="64" spans="1:18" ht="15" customHeight="1" x14ac:dyDescent="0.25">
      <c r="A64" s="148">
        <v>2254003</v>
      </c>
      <c r="B64" s="155" t="s">
        <v>616</v>
      </c>
      <c r="C64" s="155"/>
      <c r="D64" s="155" t="s">
        <v>617</v>
      </c>
      <c r="E64" s="155"/>
      <c r="F64" s="1296" t="s">
        <v>618</v>
      </c>
      <c r="G64" s="1296"/>
      <c r="H64" s="1296"/>
      <c r="I64" s="1296"/>
      <c r="J64" s="1297">
        <v>956.53309999999999</v>
      </c>
      <c r="K64" s="1297"/>
      <c r="L64" s="1297"/>
      <c r="M64" s="1297"/>
      <c r="N64" s="149">
        <v>0.13150000000000001</v>
      </c>
      <c r="O64" s="150">
        <v>10</v>
      </c>
      <c r="P64" s="149">
        <v>0.74570000000000003</v>
      </c>
      <c r="Q64" s="149">
        <v>0.99919999999999998</v>
      </c>
    </row>
    <row r="65" spans="1:19" x14ac:dyDescent="0.25">
      <c r="A65" s="148">
        <v>2354001</v>
      </c>
      <c r="B65" s="155" t="s">
        <v>619</v>
      </c>
      <c r="C65" s="155"/>
      <c r="D65" s="155" t="s">
        <v>620</v>
      </c>
      <c r="E65" s="155"/>
      <c r="F65" s="1296" t="s">
        <v>621</v>
      </c>
      <c r="G65" s="1296"/>
      <c r="H65" s="1296"/>
      <c r="I65" s="1296"/>
      <c r="J65" s="1297">
        <v>922.14670000000001</v>
      </c>
      <c r="K65" s="1297"/>
      <c r="L65" s="1297"/>
      <c r="M65" s="1297"/>
      <c r="N65" s="149">
        <v>0.14660000000000001</v>
      </c>
      <c r="O65" s="150">
        <v>10</v>
      </c>
      <c r="P65" s="149">
        <v>0.7419</v>
      </c>
      <c r="Q65" s="149">
        <v>0.99929999999999997</v>
      </c>
      <c r="R65" t="s">
        <v>752</v>
      </c>
      <c r="S65" t="s">
        <v>751</v>
      </c>
    </row>
    <row r="66" spans="1:19" x14ac:dyDescent="0.25">
      <c r="A66" s="148">
        <v>2354004</v>
      </c>
      <c r="B66" s="155" t="s">
        <v>619</v>
      </c>
      <c r="C66" s="155"/>
      <c r="D66" s="155" t="s">
        <v>622</v>
      </c>
      <c r="E66" s="155"/>
      <c r="F66" s="1296" t="s">
        <v>623</v>
      </c>
      <c r="G66" s="1296"/>
      <c r="H66" s="1296"/>
      <c r="I66" s="1296"/>
      <c r="J66" s="1297">
        <v>918.12120000000004</v>
      </c>
      <c r="K66" s="1297"/>
      <c r="L66" s="1297"/>
      <c r="M66" s="1297"/>
      <c r="N66" s="149">
        <v>0.13750000000000001</v>
      </c>
      <c r="O66" s="150">
        <v>10</v>
      </c>
      <c r="P66" s="149">
        <v>0.7419</v>
      </c>
      <c r="Q66" s="149">
        <v>0.99929999999999997</v>
      </c>
    </row>
    <row r="67" spans="1:19" x14ac:dyDescent="0.25">
      <c r="A67" s="148">
        <v>1951005</v>
      </c>
      <c r="B67" s="155" t="s">
        <v>624</v>
      </c>
      <c r="C67" s="155"/>
      <c r="D67" s="155" t="s">
        <v>625</v>
      </c>
      <c r="E67" s="155"/>
      <c r="F67" s="1296" t="s">
        <v>626</v>
      </c>
      <c r="G67" s="1296"/>
      <c r="H67" s="1296"/>
      <c r="I67" s="1296"/>
      <c r="J67" s="1297">
        <v>879.02250000000004</v>
      </c>
      <c r="K67" s="1297"/>
      <c r="L67" s="1297"/>
      <c r="M67" s="1297"/>
      <c r="N67" s="149">
        <v>0.1807</v>
      </c>
      <c r="O67" s="150">
        <v>10</v>
      </c>
      <c r="P67" s="149">
        <v>0.7419</v>
      </c>
      <c r="Q67" s="149">
        <v>0.99890000000000001</v>
      </c>
    </row>
    <row r="68" spans="1:19" x14ac:dyDescent="0.25">
      <c r="A68" s="148">
        <v>1952002</v>
      </c>
      <c r="B68" s="155" t="s">
        <v>624</v>
      </c>
      <c r="C68" s="155"/>
      <c r="D68" s="155" t="s">
        <v>627</v>
      </c>
      <c r="E68" s="155"/>
      <c r="F68" s="1296" t="s">
        <v>628</v>
      </c>
      <c r="G68" s="1296"/>
      <c r="H68" s="1296"/>
      <c r="I68" s="1296"/>
      <c r="J68" s="1297">
        <v>858.4203</v>
      </c>
      <c r="K68" s="1297"/>
      <c r="L68" s="1297"/>
      <c r="M68" s="1297"/>
      <c r="N68" s="149">
        <v>0.1298</v>
      </c>
      <c r="O68" s="150">
        <v>10</v>
      </c>
      <c r="P68" s="149">
        <v>0.7419</v>
      </c>
      <c r="Q68" s="149">
        <v>0.99939999999999996</v>
      </c>
    </row>
    <row r="69" spans="1:19" x14ac:dyDescent="0.25">
      <c r="A69" s="148">
        <v>2254005</v>
      </c>
      <c r="B69" s="155" t="s">
        <v>629</v>
      </c>
      <c r="C69" s="155"/>
      <c r="D69" s="155" t="s">
        <v>630</v>
      </c>
      <c r="E69" s="155"/>
      <c r="F69" s="1296" t="s">
        <v>631</v>
      </c>
      <c r="G69" s="1296"/>
      <c r="H69" s="1296"/>
      <c r="I69" s="1296"/>
      <c r="J69" s="1297">
        <v>922.99639999999999</v>
      </c>
      <c r="K69" s="1297"/>
      <c r="L69" s="1297"/>
      <c r="M69" s="1297"/>
      <c r="N69" s="149">
        <v>0.1444</v>
      </c>
      <c r="O69" s="150">
        <v>10</v>
      </c>
      <c r="P69" s="149">
        <v>0.7419</v>
      </c>
      <c r="Q69" s="149">
        <v>0.99929999999999997</v>
      </c>
      <c r="R69" t="s">
        <v>737</v>
      </c>
    </row>
    <row r="70" spans="1:19" x14ac:dyDescent="0.25">
      <c r="A70" s="148">
        <v>2253000</v>
      </c>
      <c r="B70" s="155" t="s">
        <v>632</v>
      </c>
      <c r="C70" s="155"/>
      <c r="D70" s="155" t="s">
        <v>633</v>
      </c>
      <c r="E70" s="155"/>
      <c r="F70" s="1296" t="s">
        <v>634</v>
      </c>
      <c r="G70" s="1296"/>
      <c r="H70" s="1296"/>
      <c r="I70" s="1296"/>
      <c r="J70" s="1297">
        <v>824.13810000000001</v>
      </c>
      <c r="K70" s="1297"/>
      <c r="L70" s="1297"/>
      <c r="M70" s="1297"/>
      <c r="N70" s="149">
        <v>0.1206</v>
      </c>
      <c r="O70" s="150">
        <v>10</v>
      </c>
      <c r="P70" s="149">
        <v>0.7419</v>
      </c>
      <c r="Q70" s="149">
        <v>0.99939999999999996</v>
      </c>
      <c r="R70" t="s">
        <v>734</v>
      </c>
    </row>
    <row r="71" spans="1:19" x14ac:dyDescent="0.25">
      <c r="A71" s="148">
        <v>2054019</v>
      </c>
      <c r="B71" s="155" t="s">
        <v>635</v>
      </c>
      <c r="C71" s="155"/>
      <c r="D71" s="155" t="s">
        <v>636</v>
      </c>
      <c r="E71" s="155"/>
      <c r="F71" s="1296" t="s">
        <v>637</v>
      </c>
      <c r="G71" s="1296"/>
      <c r="H71" s="1296"/>
      <c r="I71" s="1296"/>
      <c r="J71" s="1297">
        <v>797.62699999999995</v>
      </c>
      <c r="K71" s="1297"/>
      <c r="L71" s="1297"/>
      <c r="M71" s="1297"/>
      <c r="N71" s="149">
        <v>0.17899999999999999</v>
      </c>
      <c r="O71" s="150">
        <v>10</v>
      </c>
      <c r="P71" s="149">
        <v>0.7419</v>
      </c>
      <c r="Q71" s="149">
        <v>0.99890000000000001</v>
      </c>
      <c r="R71" t="s">
        <v>738</v>
      </c>
    </row>
    <row r="72" spans="1:19" x14ac:dyDescent="0.25">
      <c r="A72" s="148">
        <v>2253015</v>
      </c>
      <c r="B72" s="155" t="s">
        <v>638</v>
      </c>
      <c r="C72" s="155"/>
      <c r="D72" s="155" t="s">
        <v>639</v>
      </c>
      <c r="E72" s="155"/>
      <c r="F72" s="1296" t="s">
        <v>640</v>
      </c>
      <c r="G72" s="1296"/>
      <c r="H72" s="1296"/>
      <c r="I72" s="1296"/>
      <c r="J72" s="1297">
        <v>838.88030000000003</v>
      </c>
      <c r="K72" s="1297"/>
      <c r="L72" s="1297"/>
      <c r="M72" s="1297"/>
      <c r="N72" s="149">
        <v>0.1376</v>
      </c>
      <c r="O72" s="150">
        <v>10</v>
      </c>
      <c r="P72" s="149">
        <v>0.7419</v>
      </c>
      <c r="Q72" s="149">
        <v>0.99929999999999997</v>
      </c>
    </row>
    <row r="73" spans="1:19" x14ac:dyDescent="0.25">
      <c r="A73" s="148">
        <v>1957003</v>
      </c>
      <c r="B73" s="155" t="s">
        <v>641</v>
      </c>
      <c r="C73" s="155"/>
      <c r="D73" s="155" t="s">
        <v>642</v>
      </c>
      <c r="E73" s="155"/>
      <c r="F73" s="1296" t="s">
        <v>643</v>
      </c>
      <c r="G73" s="1296"/>
      <c r="H73" s="1296"/>
      <c r="I73" s="1296"/>
      <c r="J73" s="1298">
        <v>1074.979</v>
      </c>
      <c r="K73" s="1298"/>
      <c r="L73" s="1298"/>
      <c r="M73" s="1298"/>
      <c r="N73" s="149">
        <v>0.15640000000000001</v>
      </c>
      <c r="O73" s="150">
        <v>10</v>
      </c>
      <c r="P73" s="149">
        <v>0.74239999999999995</v>
      </c>
      <c r="Q73" s="149">
        <v>0.99919999999999998</v>
      </c>
      <c r="R73" t="s">
        <v>743</v>
      </c>
    </row>
    <row r="74" spans="1:19" x14ac:dyDescent="0.25">
      <c r="A74" s="148">
        <v>2056001</v>
      </c>
      <c r="B74" s="155" t="s">
        <v>644</v>
      </c>
      <c r="C74" s="155"/>
      <c r="D74" s="155" t="s">
        <v>645</v>
      </c>
      <c r="E74" s="155"/>
      <c r="F74" s="1296" t="s">
        <v>646</v>
      </c>
      <c r="G74" s="1296"/>
      <c r="H74" s="1296"/>
      <c r="I74" s="1296"/>
      <c r="J74" s="1298">
        <v>1013.4450000000001</v>
      </c>
      <c r="K74" s="1298"/>
      <c r="L74" s="1298"/>
      <c r="M74" s="1298"/>
      <c r="N74" s="149">
        <v>0.19</v>
      </c>
      <c r="O74" s="150">
        <v>10</v>
      </c>
      <c r="P74" s="149">
        <v>0.7419</v>
      </c>
      <c r="Q74" s="149">
        <v>0.99880000000000002</v>
      </c>
      <c r="R74" t="s">
        <v>739</v>
      </c>
    </row>
    <row r="75" spans="1:19" x14ac:dyDescent="0.25">
      <c r="A75" s="148">
        <v>2056006</v>
      </c>
      <c r="B75" s="155" t="s">
        <v>644</v>
      </c>
      <c r="C75" s="155"/>
      <c r="D75" s="155" t="s">
        <v>647</v>
      </c>
      <c r="E75" s="155"/>
      <c r="F75" s="1296" t="s">
        <v>648</v>
      </c>
      <c r="G75" s="1296"/>
      <c r="H75" s="1296"/>
      <c r="I75" s="1296"/>
      <c r="J75" s="1298">
        <v>1053.9010000000001</v>
      </c>
      <c r="K75" s="1298"/>
      <c r="L75" s="1298"/>
      <c r="M75" s="1298"/>
      <c r="N75" s="149">
        <v>0.19209999999999999</v>
      </c>
      <c r="O75" s="150">
        <v>10</v>
      </c>
      <c r="P75" s="149">
        <v>0.7419</v>
      </c>
      <c r="Q75" s="149">
        <v>0.99880000000000002</v>
      </c>
    </row>
    <row r="76" spans="1:19" x14ac:dyDescent="0.25">
      <c r="A76" s="148">
        <v>2056007</v>
      </c>
      <c r="B76" s="155" t="s">
        <v>644</v>
      </c>
      <c r="C76" s="155"/>
      <c r="D76" s="155" t="s">
        <v>649</v>
      </c>
      <c r="E76" s="155"/>
      <c r="F76" s="1296" t="s">
        <v>650</v>
      </c>
      <c r="G76" s="1296"/>
      <c r="H76" s="1296"/>
      <c r="I76" s="1296"/>
      <c r="J76" s="1298">
        <v>1076.713</v>
      </c>
      <c r="K76" s="1298"/>
      <c r="L76" s="1298"/>
      <c r="M76" s="1298"/>
      <c r="N76" s="149">
        <v>0.1217</v>
      </c>
      <c r="O76" s="150">
        <v>10</v>
      </c>
      <c r="P76" s="149">
        <v>0.7419</v>
      </c>
      <c r="Q76" s="149">
        <v>0.99939999999999996</v>
      </c>
    </row>
    <row r="77" spans="1:19" x14ac:dyDescent="0.25">
      <c r="A77" s="148">
        <v>2056005</v>
      </c>
      <c r="B77" s="155" t="s">
        <v>644</v>
      </c>
      <c r="C77" s="155"/>
      <c r="D77" s="155" t="s">
        <v>651</v>
      </c>
      <c r="E77" s="155"/>
      <c r="F77" s="1296" t="s">
        <v>652</v>
      </c>
      <c r="G77" s="1296"/>
      <c r="H77" s="1296"/>
      <c r="I77" s="1296"/>
      <c r="J77" s="1298">
        <v>1116.606</v>
      </c>
      <c r="K77" s="1298"/>
      <c r="L77" s="1298"/>
      <c r="M77" s="1298"/>
      <c r="N77" s="149">
        <v>0.1804</v>
      </c>
      <c r="O77" s="150">
        <v>10</v>
      </c>
      <c r="P77" s="149">
        <v>0.7419</v>
      </c>
      <c r="Q77" s="149">
        <v>0.99890000000000001</v>
      </c>
    </row>
    <row r="78" spans="1:19" x14ac:dyDescent="0.25">
      <c r="A78" s="148">
        <v>2353048</v>
      </c>
      <c r="B78" s="155" t="s">
        <v>653</v>
      </c>
      <c r="C78" s="155"/>
      <c r="D78" s="155" t="s">
        <v>654</v>
      </c>
      <c r="E78" s="155"/>
      <c r="F78" s="1296" t="s">
        <v>655</v>
      </c>
      <c r="G78" s="1296"/>
      <c r="H78" s="1296"/>
      <c r="I78" s="1296"/>
      <c r="J78" s="1298">
        <v>1005.31</v>
      </c>
      <c r="K78" s="1298"/>
      <c r="L78" s="1298"/>
      <c r="M78" s="1298"/>
      <c r="N78" s="149">
        <v>0.14430000000000001</v>
      </c>
      <c r="O78" s="150">
        <v>10</v>
      </c>
      <c r="P78" s="149">
        <v>0.7419</v>
      </c>
      <c r="Q78" s="149">
        <v>0.99929999999999997</v>
      </c>
      <c r="R78" t="s">
        <v>740</v>
      </c>
    </row>
    <row r="79" spans="1:19" x14ac:dyDescent="0.25">
      <c r="A79" s="148">
        <v>2354000</v>
      </c>
      <c r="B79" s="155" t="s">
        <v>653</v>
      </c>
      <c r="C79" s="155"/>
      <c r="D79" s="155" t="s">
        <v>656</v>
      </c>
      <c r="E79" s="155"/>
      <c r="F79" s="1296" t="s">
        <v>657</v>
      </c>
      <c r="G79" s="1296"/>
      <c r="H79" s="1296"/>
      <c r="I79" s="1296"/>
      <c r="J79" s="1298">
        <v>1004.847</v>
      </c>
      <c r="K79" s="1298"/>
      <c r="L79" s="1298"/>
      <c r="M79" s="1298"/>
      <c r="N79" s="149">
        <v>0.15579999999999999</v>
      </c>
      <c r="O79" s="150">
        <v>10</v>
      </c>
      <c r="P79" s="149">
        <v>0.7419</v>
      </c>
      <c r="Q79" s="149">
        <v>0.99919999999999998</v>
      </c>
    </row>
    <row r="80" spans="1:19" ht="15" customHeight="1" x14ac:dyDescent="0.25">
      <c r="A80" s="148">
        <v>2153003</v>
      </c>
      <c r="B80" s="155" t="s">
        <v>658</v>
      </c>
      <c r="C80" s="155"/>
      <c r="D80" s="155" t="s">
        <v>659</v>
      </c>
      <c r="E80" s="155"/>
      <c r="F80" s="1296" t="s">
        <v>660</v>
      </c>
      <c r="G80" s="1296"/>
      <c r="H80" s="1296"/>
      <c r="I80" s="1296"/>
      <c r="J80" s="1297">
        <v>807.23500000000001</v>
      </c>
      <c r="K80" s="1297"/>
      <c r="L80" s="1297"/>
      <c r="M80" s="1297"/>
      <c r="N80" s="149">
        <v>0.1278</v>
      </c>
      <c r="O80" s="150">
        <v>10</v>
      </c>
      <c r="P80" s="149">
        <v>0.7419</v>
      </c>
      <c r="Q80" s="149">
        <v>0.99939999999999996</v>
      </c>
    </row>
    <row r="81" spans="1:18" ht="15" customHeight="1" x14ac:dyDescent="0.25">
      <c r="A81" s="148">
        <v>2153000</v>
      </c>
      <c r="B81" s="155" t="s">
        <v>658</v>
      </c>
      <c r="C81" s="155"/>
      <c r="D81" s="155" t="s">
        <v>661</v>
      </c>
      <c r="E81" s="155"/>
      <c r="F81" s="1299" t="s">
        <v>758</v>
      </c>
      <c r="G81" s="1296"/>
      <c r="H81" s="1296"/>
      <c r="I81" s="1296"/>
      <c r="J81" s="1297">
        <v>981.07</v>
      </c>
      <c r="K81" s="1297"/>
      <c r="L81" s="1297"/>
      <c r="M81" s="1297"/>
      <c r="N81" s="149">
        <v>0.18579999999999999</v>
      </c>
      <c r="O81" s="150">
        <v>10</v>
      </c>
      <c r="P81" s="149">
        <v>0.7419</v>
      </c>
      <c r="Q81" s="149">
        <v>0.99880000000000002</v>
      </c>
    </row>
    <row r="82" spans="1:18" x14ac:dyDescent="0.25">
      <c r="A82" s="148">
        <v>1852002</v>
      </c>
      <c r="B82" s="155" t="s">
        <v>662</v>
      </c>
      <c r="C82" s="155"/>
      <c r="D82" s="155" t="s">
        <v>663</v>
      </c>
      <c r="E82" s="155"/>
      <c r="F82" s="1296" t="s">
        <v>664</v>
      </c>
      <c r="G82" s="1296"/>
      <c r="H82" s="1296"/>
      <c r="I82" s="1296"/>
      <c r="J82" s="1297">
        <v>898.0489</v>
      </c>
      <c r="K82" s="1297"/>
      <c r="L82" s="1297"/>
      <c r="M82" s="1297"/>
      <c r="N82" s="149">
        <v>0.1086</v>
      </c>
      <c r="O82" s="150">
        <v>10</v>
      </c>
      <c r="P82" s="149">
        <v>0.7419</v>
      </c>
      <c r="Q82" s="149">
        <v>0.99950000000000006</v>
      </c>
    </row>
    <row r="83" spans="1:18" x14ac:dyDescent="0.25">
      <c r="A83" s="148">
        <v>1951003</v>
      </c>
      <c r="B83" s="155" t="s">
        <v>662</v>
      </c>
      <c r="C83" s="155"/>
      <c r="D83" s="155" t="s">
        <v>665</v>
      </c>
      <c r="E83" s="155"/>
      <c r="F83" s="1296" t="s">
        <v>666</v>
      </c>
      <c r="G83" s="1296"/>
      <c r="H83" s="1296"/>
      <c r="I83" s="1296"/>
      <c r="J83" s="1297">
        <v>836.18039999999996</v>
      </c>
      <c r="K83" s="1297"/>
      <c r="L83" s="1297"/>
      <c r="M83" s="1297"/>
      <c r="N83" s="149">
        <v>0.1424</v>
      </c>
      <c r="O83" s="150">
        <v>10</v>
      </c>
      <c r="P83" s="149">
        <v>0.7419</v>
      </c>
      <c r="Q83" s="149">
        <v>0.99929999999999997</v>
      </c>
    </row>
    <row r="84" spans="1:18" x14ac:dyDescent="0.25">
      <c r="A84" s="148">
        <v>1854001</v>
      </c>
      <c r="B84" s="155" t="s">
        <v>667</v>
      </c>
      <c r="C84" s="155"/>
      <c r="D84" s="155" t="s">
        <v>668</v>
      </c>
      <c r="E84" s="155"/>
      <c r="F84" s="1296" t="s">
        <v>669</v>
      </c>
      <c r="G84" s="1296"/>
      <c r="H84" s="1296"/>
      <c r="I84" s="1296"/>
      <c r="J84" s="1297">
        <v>852.90369999999996</v>
      </c>
      <c r="K84" s="1297"/>
      <c r="L84" s="1297"/>
      <c r="M84" s="1297"/>
      <c r="N84" s="149">
        <v>0.1913</v>
      </c>
      <c r="O84" s="150">
        <v>10</v>
      </c>
      <c r="P84" s="149">
        <v>0.7419</v>
      </c>
      <c r="Q84" s="149">
        <v>0.99670000000000003</v>
      </c>
    </row>
    <row r="85" spans="1:18" x14ac:dyDescent="0.25">
      <c r="A85" s="148">
        <v>2255001</v>
      </c>
      <c r="B85" s="155" t="s">
        <v>670</v>
      </c>
      <c r="C85" s="155"/>
      <c r="D85" s="155" t="s">
        <v>671</v>
      </c>
      <c r="E85" s="155"/>
      <c r="F85" s="1296" t="s">
        <v>672</v>
      </c>
      <c r="G85" s="1296"/>
      <c r="H85" s="1296"/>
      <c r="I85" s="1296"/>
      <c r="J85" s="1297">
        <v>935.19029999999998</v>
      </c>
      <c r="K85" s="1297"/>
      <c r="L85" s="1297"/>
      <c r="M85" s="1297"/>
      <c r="N85" s="149">
        <v>0.18</v>
      </c>
      <c r="O85" s="150">
        <v>10</v>
      </c>
      <c r="P85" s="149">
        <v>0.7419</v>
      </c>
      <c r="Q85" s="149">
        <v>0.99890000000000001</v>
      </c>
    </row>
    <row r="86" spans="1:18" x14ac:dyDescent="0.25">
      <c r="A86" s="148">
        <v>2255003</v>
      </c>
      <c r="B86" s="155" t="s">
        <v>670</v>
      </c>
      <c r="C86" s="155"/>
      <c r="D86" s="155" t="s">
        <v>673</v>
      </c>
      <c r="E86" s="155"/>
      <c r="F86" s="1296" t="s">
        <v>489</v>
      </c>
      <c r="G86" s="1296"/>
      <c r="H86" s="1296"/>
      <c r="I86" s="1296"/>
      <c r="J86" s="1297">
        <v>940.37270000000001</v>
      </c>
      <c r="K86" s="1297"/>
      <c r="L86" s="1297"/>
      <c r="M86" s="1297"/>
      <c r="N86" s="149">
        <v>0.1152</v>
      </c>
      <c r="O86" s="150">
        <v>10</v>
      </c>
      <c r="P86" s="149">
        <v>0.7419</v>
      </c>
      <c r="Q86" s="149">
        <v>0.99939999999999996</v>
      </c>
    </row>
    <row r="87" spans="1:18" ht="15" customHeight="1" x14ac:dyDescent="0.25">
      <c r="A87" s="148">
        <v>2157005</v>
      </c>
      <c r="B87" s="155" t="s">
        <v>674</v>
      </c>
      <c r="C87" s="155"/>
      <c r="D87" s="155" t="s">
        <v>675</v>
      </c>
      <c r="E87" s="155"/>
      <c r="F87" s="1296" t="s">
        <v>676</v>
      </c>
      <c r="G87" s="1296"/>
      <c r="H87" s="1296"/>
      <c r="I87" s="1296"/>
      <c r="J87" s="1298">
        <v>1061.6959999999999</v>
      </c>
      <c r="K87" s="1298"/>
      <c r="L87" s="1298"/>
      <c r="M87" s="1298"/>
      <c r="N87" s="149">
        <v>0.15329999999999999</v>
      </c>
      <c r="O87" s="150">
        <v>10</v>
      </c>
      <c r="P87" s="149">
        <v>0.7419</v>
      </c>
      <c r="Q87" s="149">
        <v>0.99919999999999998</v>
      </c>
      <c r="R87" t="s">
        <v>741</v>
      </c>
    </row>
    <row r="88" spans="1:18" ht="15" customHeight="1" x14ac:dyDescent="0.25">
      <c r="A88" s="148">
        <v>2053001</v>
      </c>
      <c r="B88" s="155" t="s">
        <v>677</v>
      </c>
      <c r="C88" s="155"/>
      <c r="D88" s="155" t="s">
        <v>678</v>
      </c>
      <c r="E88" s="155"/>
      <c r="F88" s="1296" t="s">
        <v>559</v>
      </c>
      <c r="G88" s="1296"/>
      <c r="H88" s="1296"/>
      <c r="I88" s="1296"/>
      <c r="J88" s="1297">
        <v>827.18</v>
      </c>
      <c r="K88" s="1297"/>
      <c r="L88" s="1297"/>
      <c r="M88" s="1297"/>
      <c r="N88" s="149">
        <v>0.1368</v>
      </c>
      <c r="O88" s="150">
        <v>10</v>
      </c>
      <c r="P88" s="149">
        <v>0.7419</v>
      </c>
      <c r="Q88" s="149">
        <v>0.99929999999999997</v>
      </c>
    </row>
    <row r="89" spans="1:18" ht="15" customHeight="1" x14ac:dyDescent="0.25">
      <c r="A89" s="148">
        <v>2153004</v>
      </c>
      <c r="B89" s="155" t="s">
        <v>677</v>
      </c>
      <c r="C89" s="155"/>
      <c r="D89" s="155" t="s">
        <v>679</v>
      </c>
      <c r="E89" s="155"/>
      <c r="F89" s="1296" t="s">
        <v>680</v>
      </c>
      <c r="G89" s="1296"/>
      <c r="H89" s="1296"/>
      <c r="I89" s="1296"/>
      <c r="J89" s="1297">
        <v>860.99400000000003</v>
      </c>
      <c r="K89" s="1297"/>
      <c r="L89" s="1297"/>
      <c r="M89" s="1297"/>
      <c r="N89" s="149">
        <v>0.12870000000000001</v>
      </c>
      <c r="O89" s="150">
        <v>10</v>
      </c>
      <c r="P89" s="149">
        <v>0.7419</v>
      </c>
      <c r="Q89" s="149">
        <v>0.99939999999999996</v>
      </c>
    </row>
    <row r="90" spans="1:18" ht="15" customHeight="1" x14ac:dyDescent="0.25">
      <c r="A90" s="148">
        <v>2153002</v>
      </c>
      <c r="B90" s="155" t="s">
        <v>677</v>
      </c>
      <c r="C90" s="155"/>
      <c r="D90" s="155" t="s">
        <v>681</v>
      </c>
      <c r="E90" s="155"/>
      <c r="F90" s="1296" t="s">
        <v>682</v>
      </c>
      <c r="G90" s="1296"/>
      <c r="H90" s="1296"/>
      <c r="I90" s="1296"/>
      <c r="J90" s="1297">
        <v>869.16099999999994</v>
      </c>
      <c r="K90" s="1297"/>
      <c r="L90" s="1297"/>
      <c r="M90" s="1297"/>
      <c r="N90" s="149">
        <v>0.18049999999999999</v>
      </c>
      <c r="O90" s="150">
        <v>10</v>
      </c>
      <c r="P90" s="149">
        <v>0.7419</v>
      </c>
      <c r="Q90" s="149">
        <v>0.99890000000000001</v>
      </c>
    </row>
    <row r="91" spans="1:18" ht="15" customHeight="1" x14ac:dyDescent="0.25">
      <c r="A91" s="148">
        <v>2053000</v>
      </c>
      <c r="B91" s="155" t="s">
        <v>677</v>
      </c>
      <c r="C91" s="155"/>
      <c r="D91" s="155" t="s">
        <v>683</v>
      </c>
      <c r="E91" s="155"/>
      <c r="F91" s="1296" t="s">
        <v>684</v>
      </c>
      <c r="G91" s="1296"/>
      <c r="H91" s="1296"/>
      <c r="I91" s="1296"/>
      <c r="J91" s="1297">
        <v>928.75300000000004</v>
      </c>
      <c r="K91" s="1297"/>
      <c r="L91" s="1297"/>
      <c r="M91" s="1297"/>
      <c r="N91" s="149">
        <v>0.2026</v>
      </c>
      <c r="O91" s="150">
        <v>10</v>
      </c>
      <c r="P91" s="149">
        <v>0.7419</v>
      </c>
      <c r="Q91" s="149">
        <v>0.99860000000000004</v>
      </c>
    </row>
    <row r="92" spans="1:18" ht="15" customHeight="1" x14ac:dyDescent="0.25">
      <c r="A92" s="148">
        <v>1953001</v>
      </c>
      <c r="B92" s="155" t="s">
        <v>677</v>
      </c>
      <c r="C92" s="155"/>
      <c r="D92" s="155" t="s">
        <v>685</v>
      </c>
      <c r="E92" s="155"/>
      <c r="F92" s="1296" t="s">
        <v>686</v>
      </c>
      <c r="G92" s="1296"/>
      <c r="H92" s="1296"/>
      <c r="I92" s="1296"/>
      <c r="J92" s="1297">
        <v>781.98779999999999</v>
      </c>
      <c r="K92" s="1297"/>
      <c r="L92" s="1297"/>
      <c r="M92" s="1297"/>
      <c r="N92" s="149">
        <v>0.14910000000000001</v>
      </c>
      <c r="O92" s="150">
        <v>10</v>
      </c>
      <c r="P92" s="149">
        <v>0.7419</v>
      </c>
      <c r="Q92" s="149">
        <v>0.99919999999999998</v>
      </c>
    </row>
    <row r="93" spans="1:18" x14ac:dyDescent="0.25">
      <c r="A93" s="148">
        <v>2154000</v>
      </c>
      <c r="B93" s="155" t="s">
        <v>687</v>
      </c>
      <c r="C93" s="155"/>
      <c r="D93" s="155" t="s">
        <v>688</v>
      </c>
      <c r="E93" s="155"/>
      <c r="F93" s="1296" t="s">
        <v>689</v>
      </c>
      <c r="G93" s="1296"/>
      <c r="H93" s="1296"/>
      <c r="I93" s="1296"/>
      <c r="J93" s="1297">
        <v>785.77800000000002</v>
      </c>
      <c r="K93" s="1297"/>
      <c r="L93" s="1297"/>
      <c r="M93" s="1297"/>
      <c r="N93" s="149">
        <v>0.13100000000000001</v>
      </c>
      <c r="O93" s="150">
        <v>10</v>
      </c>
      <c r="P93" s="149">
        <v>0.7419</v>
      </c>
      <c r="Q93" s="149">
        <v>0.99939999999999996</v>
      </c>
      <c r="R93" t="s">
        <v>753</v>
      </c>
    </row>
    <row r="94" spans="1:18" x14ac:dyDescent="0.25">
      <c r="A94" s="148">
        <v>2154001</v>
      </c>
      <c r="B94" s="155" t="s">
        <v>687</v>
      </c>
      <c r="C94" s="155"/>
      <c r="D94" s="155" t="s">
        <v>690</v>
      </c>
      <c r="E94" s="155"/>
      <c r="F94" s="1296" t="s">
        <v>691</v>
      </c>
      <c r="G94" s="1296"/>
      <c r="H94" s="1296"/>
      <c r="I94" s="1296"/>
      <c r="J94" s="1297">
        <v>901.779</v>
      </c>
      <c r="K94" s="1297"/>
      <c r="L94" s="1297"/>
      <c r="M94" s="1297"/>
      <c r="N94" s="149">
        <v>0.1825</v>
      </c>
      <c r="O94" s="150">
        <v>10</v>
      </c>
      <c r="P94" s="149">
        <v>0.7419</v>
      </c>
      <c r="Q94" s="149">
        <v>0.99890000000000001</v>
      </c>
    </row>
    <row r="95" spans="1:18" x14ac:dyDescent="0.25">
      <c r="A95" s="148">
        <v>1954003</v>
      </c>
      <c r="B95" s="155" t="s">
        <v>692</v>
      </c>
      <c r="C95" s="155"/>
      <c r="D95" s="155" t="s">
        <v>693</v>
      </c>
      <c r="E95" s="155"/>
      <c r="F95" s="1296" t="s">
        <v>694</v>
      </c>
      <c r="G95" s="1296"/>
      <c r="H95" s="1296"/>
      <c r="I95" s="1296"/>
      <c r="J95" s="1297">
        <v>891.66150000000005</v>
      </c>
      <c r="K95" s="1297"/>
      <c r="L95" s="1297"/>
      <c r="M95" s="1297"/>
      <c r="N95" s="149">
        <v>0.18540000000000001</v>
      </c>
      <c r="O95" s="150">
        <v>10</v>
      </c>
      <c r="P95" s="149">
        <v>0.7419</v>
      </c>
      <c r="Q95" s="149">
        <v>0.99880000000000002</v>
      </c>
    </row>
    <row r="96" spans="1:18" x14ac:dyDescent="0.25">
      <c r="A96" s="148">
        <v>1854002</v>
      </c>
      <c r="B96" s="155" t="s">
        <v>695</v>
      </c>
      <c r="C96" s="155"/>
      <c r="D96" s="155" t="s">
        <v>696</v>
      </c>
      <c r="E96" s="155"/>
      <c r="F96" s="1296" t="s">
        <v>697</v>
      </c>
      <c r="G96" s="1296"/>
      <c r="H96" s="1296"/>
      <c r="I96" s="1296"/>
      <c r="J96" s="1297">
        <v>911.1712</v>
      </c>
      <c r="K96" s="1297"/>
      <c r="L96" s="1297"/>
      <c r="M96" s="1297"/>
      <c r="N96" s="149">
        <v>0.13350000000000001</v>
      </c>
      <c r="O96" s="150">
        <v>10</v>
      </c>
      <c r="P96" s="149">
        <v>0.7419</v>
      </c>
      <c r="Q96" s="149">
        <v>0.99929999999999997</v>
      </c>
    </row>
    <row r="97" spans="1:18" x14ac:dyDescent="0.25">
      <c r="A97" s="148">
        <v>1854006</v>
      </c>
      <c r="B97" s="155" t="s">
        <v>695</v>
      </c>
      <c r="C97" s="155"/>
      <c r="D97" s="155" t="s">
        <v>698</v>
      </c>
      <c r="E97" s="155"/>
      <c r="F97" s="1296" t="s">
        <v>699</v>
      </c>
      <c r="G97" s="1296"/>
      <c r="H97" s="1296"/>
      <c r="I97" s="1296"/>
      <c r="J97" s="1297">
        <v>940.15620000000001</v>
      </c>
      <c r="K97" s="1297"/>
      <c r="L97" s="1297"/>
      <c r="M97" s="1297"/>
      <c r="N97" s="149">
        <v>0.1512</v>
      </c>
      <c r="O97" s="150">
        <v>10</v>
      </c>
      <c r="P97" s="149">
        <v>0.7419</v>
      </c>
      <c r="Q97" s="149">
        <v>0.99919999999999998</v>
      </c>
    </row>
    <row r="98" spans="1:18" x14ac:dyDescent="0.25">
      <c r="A98" s="148">
        <v>1954002</v>
      </c>
      <c r="B98" s="155" t="s">
        <v>700</v>
      </c>
      <c r="C98" s="155"/>
      <c r="D98" s="155" t="s">
        <v>701</v>
      </c>
      <c r="E98" s="155"/>
      <c r="F98" s="1296" t="s">
        <v>702</v>
      </c>
      <c r="G98" s="1296"/>
      <c r="H98" s="1296"/>
      <c r="I98" s="1296"/>
      <c r="J98" s="1297">
        <v>830.99800000000005</v>
      </c>
      <c r="K98" s="1297"/>
      <c r="L98" s="1297"/>
      <c r="M98" s="1297"/>
      <c r="N98" s="149">
        <v>0.13950000000000001</v>
      </c>
      <c r="O98" s="150">
        <v>10</v>
      </c>
      <c r="P98" s="149">
        <v>0.7419</v>
      </c>
      <c r="Q98" s="149">
        <v>0.99929999999999997</v>
      </c>
    </row>
    <row r="99" spans="1:18" x14ac:dyDescent="0.25">
      <c r="A99" s="148">
        <v>2054021</v>
      </c>
      <c r="B99" s="155" t="s">
        <v>703</v>
      </c>
      <c r="C99" s="155"/>
      <c r="D99" s="155" t="s">
        <v>704</v>
      </c>
      <c r="E99" s="155"/>
      <c r="F99" s="1296" t="s">
        <v>705</v>
      </c>
      <c r="G99" s="1296"/>
      <c r="H99" s="1296"/>
      <c r="I99" s="1296"/>
      <c r="J99" s="1298">
        <v>1052.4459999999999</v>
      </c>
      <c r="K99" s="1298"/>
      <c r="L99" s="1298"/>
      <c r="M99" s="1298"/>
      <c r="N99" s="149">
        <v>0.16969999999999999</v>
      </c>
      <c r="O99" s="150">
        <v>10</v>
      </c>
      <c r="P99" s="149">
        <v>0.7419</v>
      </c>
      <c r="Q99" s="149">
        <v>0.999</v>
      </c>
      <c r="R99" t="s">
        <v>742</v>
      </c>
    </row>
    <row r="100" spans="1:18" x14ac:dyDescent="0.25">
      <c r="A100" s="148">
        <v>1754004</v>
      </c>
      <c r="B100" s="155" t="s">
        <v>706</v>
      </c>
      <c r="C100" s="155"/>
      <c r="D100" s="155" t="s">
        <v>707</v>
      </c>
      <c r="E100" s="155"/>
      <c r="F100" s="1296" t="s">
        <v>708</v>
      </c>
      <c r="G100" s="1296"/>
      <c r="H100" s="1296"/>
      <c r="I100" s="1296"/>
      <c r="J100" s="1297">
        <v>875.99199999999996</v>
      </c>
      <c r="K100" s="1297"/>
      <c r="L100" s="1297"/>
      <c r="M100" s="1297"/>
      <c r="N100" s="149">
        <v>0.1381</v>
      </c>
      <c r="O100" s="150">
        <v>10</v>
      </c>
      <c r="P100" s="149">
        <v>0.7419</v>
      </c>
      <c r="Q100" s="149">
        <v>0.99929999999999997</v>
      </c>
    </row>
    <row r="101" spans="1:18" x14ac:dyDescent="0.25">
      <c r="A101" s="148">
        <v>2355003</v>
      </c>
      <c r="B101" s="155" t="s">
        <v>709</v>
      </c>
      <c r="C101" s="155"/>
      <c r="D101" s="155" t="s">
        <v>710</v>
      </c>
      <c r="E101" s="155"/>
      <c r="F101" s="1296" t="s">
        <v>711</v>
      </c>
      <c r="G101" s="1296"/>
      <c r="H101" s="1296"/>
      <c r="I101" s="1296"/>
      <c r="J101" s="1297">
        <v>944.06089999999995</v>
      </c>
      <c r="K101" s="1297"/>
      <c r="L101" s="1297"/>
      <c r="M101" s="1297"/>
      <c r="N101" s="149">
        <v>0.1215</v>
      </c>
      <c r="O101" s="150">
        <v>10</v>
      </c>
      <c r="P101" s="149">
        <v>0.7419</v>
      </c>
      <c r="Q101" s="149">
        <v>0.99939999999999996</v>
      </c>
    </row>
    <row r="102" spans="1:18" x14ac:dyDescent="0.25">
      <c r="A102" s="148">
        <v>2054009</v>
      </c>
      <c r="B102" s="155" t="s">
        <v>712</v>
      </c>
      <c r="C102" s="155"/>
      <c r="D102" s="155" t="s">
        <v>713</v>
      </c>
      <c r="E102" s="155"/>
      <c r="F102" s="1296" t="s">
        <v>714</v>
      </c>
      <c r="G102" s="1296"/>
      <c r="H102" s="1296"/>
      <c r="I102" s="1296"/>
      <c r="J102" s="1297">
        <v>943.84400000000005</v>
      </c>
      <c r="K102" s="1297"/>
      <c r="L102" s="1297"/>
      <c r="M102" s="1297"/>
      <c r="N102" s="149">
        <v>0.14099999999999999</v>
      </c>
      <c r="O102" s="150">
        <v>10</v>
      </c>
      <c r="P102" s="149">
        <v>0.7419</v>
      </c>
      <c r="Q102" s="149">
        <v>0.99929999999999997</v>
      </c>
    </row>
    <row r="103" spans="1:18" x14ac:dyDescent="0.25">
      <c r="A103" s="148">
        <v>2054005</v>
      </c>
      <c r="B103" s="155" t="s">
        <v>712</v>
      </c>
      <c r="C103" s="155"/>
      <c r="D103" s="155" t="s">
        <v>715</v>
      </c>
      <c r="E103" s="155"/>
      <c r="F103" s="1296" t="s">
        <v>716</v>
      </c>
      <c r="G103" s="1296"/>
      <c r="H103" s="1296"/>
      <c r="I103" s="1296"/>
      <c r="J103" s="1297">
        <v>965.60599999999999</v>
      </c>
      <c r="K103" s="1297"/>
      <c r="L103" s="1297"/>
      <c r="M103" s="1297"/>
      <c r="N103" s="149">
        <v>0.13139999999999999</v>
      </c>
      <c r="O103" s="150">
        <v>10</v>
      </c>
      <c r="P103" s="149">
        <v>0.7419</v>
      </c>
      <c r="Q103" s="149">
        <v>0.99939999999999996</v>
      </c>
    </row>
    <row r="104" spans="1:18" x14ac:dyDescent="0.25">
      <c r="A104" s="148">
        <v>2051028</v>
      </c>
      <c r="B104" s="155" t="s">
        <v>717</v>
      </c>
      <c r="C104" s="155"/>
      <c r="D104" s="157" t="s">
        <v>755</v>
      </c>
      <c r="E104" s="155"/>
      <c r="F104" s="1296" t="s">
        <v>719</v>
      </c>
      <c r="G104" s="1296"/>
      <c r="H104" s="1296"/>
      <c r="I104" s="1296"/>
      <c r="J104" s="1297">
        <v>663.28499999999997</v>
      </c>
      <c r="K104" s="1297"/>
      <c r="L104" s="1297"/>
      <c r="M104" s="1297"/>
      <c r="N104" s="149">
        <v>0.16320000000000001</v>
      </c>
      <c r="O104" s="150">
        <v>10</v>
      </c>
      <c r="P104" s="149">
        <v>0.7419</v>
      </c>
      <c r="Q104" s="149">
        <v>0.99909999999999999</v>
      </c>
    </row>
    <row r="105" spans="1:18" x14ac:dyDescent="0.25">
      <c r="A105" s="148">
        <v>2052004</v>
      </c>
      <c r="B105" s="155" t="s">
        <v>717</v>
      </c>
      <c r="C105" s="155"/>
      <c r="D105" s="155" t="s">
        <v>720</v>
      </c>
      <c r="E105" s="155"/>
      <c r="F105" s="1296" t="s">
        <v>721</v>
      </c>
      <c r="G105" s="1296"/>
      <c r="H105" s="1296"/>
      <c r="I105" s="1296"/>
      <c r="J105" s="1297">
        <v>784.51300000000003</v>
      </c>
      <c r="K105" s="1297"/>
      <c r="L105" s="1297"/>
      <c r="M105" s="1297"/>
      <c r="N105" s="149">
        <v>0.15740000000000001</v>
      </c>
      <c r="O105" s="150">
        <v>10</v>
      </c>
      <c r="P105" s="149">
        <v>0.7419</v>
      </c>
      <c r="Q105" s="149">
        <v>0.99919999999999998</v>
      </c>
    </row>
    <row r="106" spans="1:18" x14ac:dyDescent="0.25">
      <c r="A106" s="148">
        <v>2051027</v>
      </c>
      <c r="B106" s="155" t="s">
        <v>717</v>
      </c>
      <c r="C106" s="155"/>
      <c r="D106" s="155" t="s">
        <v>722</v>
      </c>
      <c r="E106" s="155"/>
      <c r="F106" s="1296" t="s">
        <v>719</v>
      </c>
      <c r="G106" s="1296"/>
      <c r="H106" s="1296"/>
      <c r="I106" s="1296"/>
      <c r="J106" s="1297">
        <v>824.51800000000003</v>
      </c>
      <c r="K106" s="1297"/>
      <c r="L106" s="1297"/>
      <c r="M106" s="1297"/>
      <c r="N106" s="149">
        <v>0.1525</v>
      </c>
      <c r="O106" s="150">
        <v>10</v>
      </c>
      <c r="P106" s="149">
        <v>0.7419</v>
      </c>
      <c r="Q106" s="149">
        <v>0.99919999999999998</v>
      </c>
    </row>
    <row r="107" spans="1:18" x14ac:dyDescent="0.25">
      <c r="A107" s="148">
        <v>2052006</v>
      </c>
      <c r="B107" s="155" t="s">
        <v>717</v>
      </c>
      <c r="C107" s="155"/>
      <c r="D107" s="155" t="s">
        <v>723</v>
      </c>
      <c r="E107" s="155"/>
      <c r="F107" s="1296" t="s">
        <v>724</v>
      </c>
      <c r="G107" s="1296"/>
      <c r="H107" s="1296"/>
      <c r="I107" s="1296"/>
      <c r="J107" s="1297">
        <v>851.33399999999995</v>
      </c>
      <c r="K107" s="1297"/>
      <c r="L107" s="1297"/>
      <c r="M107" s="1297"/>
      <c r="N107" s="149">
        <v>0.14710000000000001</v>
      </c>
      <c r="O107" s="150">
        <v>10</v>
      </c>
      <c r="P107" s="149">
        <v>0.7419</v>
      </c>
      <c r="Q107" s="149">
        <v>0.99929999999999997</v>
      </c>
    </row>
    <row r="108" spans="1:18" x14ac:dyDescent="0.25">
      <c r="A108" s="148">
        <v>2051045</v>
      </c>
      <c r="B108" s="155" t="s">
        <v>717</v>
      </c>
      <c r="C108" s="155"/>
      <c r="D108" s="157" t="s">
        <v>756</v>
      </c>
      <c r="E108" s="155"/>
      <c r="F108" s="1296" t="s">
        <v>725</v>
      </c>
      <c r="G108" s="1296"/>
      <c r="H108" s="1296"/>
      <c r="I108" s="1296"/>
      <c r="J108" s="1297">
        <v>856.44600000000003</v>
      </c>
      <c r="K108" s="1297"/>
      <c r="L108" s="1297"/>
      <c r="M108" s="1297"/>
      <c r="N108" s="149">
        <v>0.13400000000000001</v>
      </c>
      <c r="O108" s="150">
        <v>10</v>
      </c>
      <c r="P108" s="149">
        <v>0.7419</v>
      </c>
      <c r="Q108" s="149">
        <v>0.99929999999999997</v>
      </c>
      <c r="R108" t="s">
        <v>757</v>
      </c>
    </row>
    <row r="109" spans="1:18" x14ac:dyDescent="0.25">
      <c r="A109" s="148">
        <v>2051009</v>
      </c>
      <c r="B109" s="155" t="s">
        <v>717</v>
      </c>
      <c r="C109" s="155"/>
      <c r="D109" s="155" t="s">
        <v>722</v>
      </c>
      <c r="E109" s="155"/>
      <c r="F109" s="1296" t="s">
        <v>726</v>
      </c>
      <c r="G109" s="1296"/>
      <c r="H109" s="1296"/>
      <c r="I109" s="1296"/>
      <c r="J109" s="1297">
        <v>870.76300000000003</v>
      </c>
      <c r="K109" s="1297"/>
      <c r="L109" s="1297"/>
      <c r="M109" s="1297"/>
      <c r="N109" s="149">
        <v>0.1449</v>
      </c>
      <c r="O109" s="150">
        <v>10</v>
      </c>
      <c r="P109" s="149">
        <v>0.7419</v>
      </c>
      <c r="Q109" s="149">
        <v>0.99929999999999997</v>
      </c>
    </row>
    <row r="110" spans="1:18" x14ac:dyDescent="0.25">
      <c r="A110" s="148">
        <v>2051037</v>
      </c>
      <c r="B110" s="155" t="s">
        <v>717</v>
      </c>
      <c r="C110" s="155"/>
      <c r="D110" s="155" t="s">
        <v>718</v>
      </c>
      <c r="E110" s="155"/>
      <c r="F110" s="1296" t="s">
        <v>727</v>
      </c>
      <c r="G110" s="1296"/>
      <c r="H110" s="1296"/>
      <c r="I110" s="1296"/>
      <c r="J110" s="1297">
        <v>898.46299999999997</v>
      </c>
      <c r="K110" s="1297"/>
      <c r="L110" s="1297"/>
      <c r="M110" s="1297"/>
      <c r="N110" s="149">
        <v>0.1741</v>
      </c>
      <c r="O110" s="150">
        <v>10</v>
      </c>
      <c r="P110" s="149">
        <v>0.7419</v>
      </c>
      <c r="Q110" s="149">
        <v>0.999</v>
      </c>
    </row>
    <row r="111" spans="1:18" x14ac:dyDescent="0.25">
      <c r="A111" s="148">
        <v>1952003</v>
      </c>
      <c r="B111" s="155" t="s">
        <v>717</v>
      </c>
      <c r="C111" s="155"/>
      <c r="D111" s="155" t="s">
        <v>728</v>
      </c>
      <c r="E111" s="155"/>
      <c r="F111" s="1296" t="s">
        <v>729</v>
      </c>
      <c r="G111" s="1296"/>
      <c r="H111" s="1296"/>
      <c r="I111" s="1296"/>
      <c r="J111" s="1297">
        <v>956.53309999999999</v>
      </c>
      <c r="K111" s="1297"/>
      <c r="L111" s="1297"/>
      <c r="M111" s="1297"/>
      <c r="N111" s="149">
        <v>0.13900000000000001</v>
      </c>
      <c r="O111" s="150">
        <v>10</v>
      </c>
      <c r="P111" s="149">
        <v>0.7419</v>
      </c>
      <c r="Q111" s="149">
        <v>0.99929999999999997</v>
      </c>
    </row>
  </sheetData>
  <mergeCells count="220">
    <mergeCell ref="F2:I2"/>
    <mergeCell ref="J2:M2"/>
    <mergeCell ref="F3:I3"/>
    <mergeCell ref="J3:M3"/>
    <mergeCell ref="F8:I8"/>
    <mergeCell ref="J8:M8"/>
    <mergeCell ref="F9:I9"/>
    <mergeCell ref="J9:M9"/>
    <mergeCell ref="F6:I6"/>
    <mergeCell ref="J6:M6"/>
    <mergeCell ref="F7:I7"/>
    <mergeCell ref="J7:M7"/>
    <mergeCell ref="F4:I4"/>
    <mergeCell ref="J4:M4"/>
    <mergeCell ref="F5:I5"/>
    <mergeCell ref="J5:M5"/>
    <mergeCell ref="F14:I14"/>
    <mergeCell ref="J14:M14"/>
    <mergeCell ref="F15:I15"/>
    <mergeCell ref="J15:M15"/>
    <mergeCell ref="F12:I12"/>
    <mergeCell ref="J12:M12"/>
    <mergeCell ref="F13:I13"/>
    <mergeCell ref="J13:M13"/>
    <mergeCell ref="F10:I10"/>
    <mergeCell ref="J10:M10"/>
    <mergeCell ref="F11:I11"/>
    <mergeCell ref="J11:M11"/>
    <mergeCell ref="F20:I20"/>
    <mergeCell ref="J20:M20"/>
    <mergeCell ref="F21:I21"/>
    <mergeCell ref="J21:M21"/>
    <mergeCell ref="F18:I18"/>
    <mergeCell ref="J18:M18"/>
    <mergeCell ref="F19:I19"/>
    <mergeCell ref="J19:M19"/>
    <mergeCell ref="F16:I16"/>
    <mergeCell ref="J16:M16"/>
    <mergeCell ref="F17:I17"/>
    <mergeCell ref="J17:M17"/>
    <mergeCell ref="F26:I26"/>
    <mergeCell ref="J26:M26"/>
    <mergeCell ref="F27:I27"/>
    <mergeCell ref="J27:M27"/>
    <mergeCell ref="F24:I24"/>
    <mergeCell ref="J24:M24"/>
    <mergeCell ref="F25:I25"/>
    <mergeCell ref="J25:M25"/>
    <mergeCell ref="F22:I22"/>
    <mergeCell ref="J22:M22"/>
    <mergeCell ref="F23:I23"/>
    <mergeCell ref="J23:M23"/>
    <mergeCell ref="F32:I32"/>
    <mergeCell ref="J32:M32"/>
    <mergeCell ref="F33:I33"/>
    <mergeCell ref="J33:M33"/>
    <mergeCell ref="F30:I30"/>
    <mergeCell ref="J30:M30"/>
    <mergeCell ref="F31:I31"/>
    <mergeCell ref="J31:M31"/>
    <mergeCell ref="F28:I28"/>
    <mergeCell ref="J28:M28"/>
    <mergeCell ref="F29:I29"/>
    <mergeCell ref="J29:M29"/>
    <mergeCell ref="F38:I38"/>
    <mergeCell ref="J38:M38"/>
    <mergeCell ref="F39:I39"/>
    <mergeCell ref="J39:M39"/>
    <mergeCell ref="F36:I36"/>
    <mergeCell ref="J36:M36"/>
    <mergeCell ref="F37:I37"/>
    <mergeCell ref="J37:M37"/>
    <mergeCell ref="F34:I34"/>
    <mergeCell ref="J34:M34"/>
    <mergeCell ref="F35:I35"/>
    <mergeCell ref="J35:M35"/>
    <mergeCell ref="F44:I44"/>
    <mergeCell ref="J44:M44"/>
    <mergeCell ref="F45:I45"/>
    <mergeCell ref="J45:M45"/>
    <mergeCell ref="F42:I42"/>
    <mergeCell ref="J42:M42"/>
    <mergeCell ref="F43:I43"/>
    <mergeCell ref="J43:M43"/>
    <mergeCell ref="F40:I40"/>
    <mergeCell ref="J40:M40"/>
    <mergeCell ref="F41:I41"/>
    <mergeCell ref="J41:M41"/>
    <mergeCell ref="F50:I50"/>
    <mergeCell ref="J50:M50"/>
    <mergeCell ref="F51:I51"/>
    <mergeCell ref="J51:M51"/>
    <mergeCell ref="F48:I48"/>
    <mergeCell ref="J48:M48"/>
    <mergeCell ref="F49:I49"/>
    <mergeCell ref="J49:M49"/>
    <mergeCell ref="F46:I46"/>
    <mergeCell ref="J46:M46"/>
    <mergeCell ref="F47:I47"/>
    <mergeCell ref="J47:M47"/>
    <mergeCell ref="F56:I56"/>
    <mergeCell ref="J56:M56"/>
    <mergeCell ref="F57:I57"/>
    <mergeCell ref="J57:M57"/>
    <mergeCell ref="F54:I54"/>
    <mergeCell ref="J54:M54"/>
    <mergeCell ref="F55:I55"/>
    <mergeCell ref="J55:M55"/>
    <mergeCell ref="F52:I52"/>
    <mergeCell ref="J52:M52"/>
    <mergeCell ref="F53:I53"/>
    <mergeCell ref="J53:M53"/>
    <mergeCell ref="F62:I62"/>
    <mergeCell ref="J62:M62"/>
    <mergeCell ref="F63:I63"/>
    <mergeCell ref="J63:M63"/>
    <mergeCell ref="F60:I60"/>
    <mergeCell ref="J60:M60"/>
    <mergeCell ref="F61:I61"/>
    <mergeCell ref="J61:M61"/>
    <mergeCell ref="F58:I58"/>
    <mergeCell ref="J58:M58"/>
    <mergeCell ref="F59:I59"/>
    <mergeCell ref="J59:M59"/>
    <mergeCell ref="F68:I68"/>
    <mergeCell ref="J68:M68"/>
    <mergeCell ref="F69:I69"/>
    <mergeCell ref="J69:M69"/>
    <mergeCell ref="F66:I66"/>
    <mergeCell ref="J66:M66"/>
    <mergeCell ref="F67:I67"/>
    <mergeCell ref="J67:M67"/>
    <mergeCell ref="F64:I64"/>
    <mergeCell ref="J64:M64"/>
    <mergeCell ref="F65:I65"/>
    <mergeCell ref="J65:M65"/>
    <mergeCell ref="F74:I74"/>
    <mergeCell ref="J74:M74"/>
    <mergeCell ref="F75:I75"/>
    <mergeCell ref="J75:M75"/>
    <mergeCell ref="F72:I72"/>
    <mergeCell ref="J72:M72"/>
    <mergeCell ref="F73:I73"/>
    <mergeCell ref="J73:M73"/>
    <mergeCell ref="F70:I70"/>
    <mergeCell ref="J70:M70"/>
    <mergeCell ref="F71:I71"/>
    <mergeCell ref="J71:M71"/>
    <mergeCell ref="F80:I80"/>
    <mergeCell ref="J80:M80"/>
    <mergeCell ref="F81:I81"/>
    <mergeCell ref="J81:M81"/>
    <mergeCell ref="F78:I78"/>
    <mergeCell ref="J78:M78"/>
    <mergeCell ref="F79:I79"/>
    <mergeCell ref="J79:M79"/>
    <mergeCell ref="F76:I76"/>
    <mergeCell ref="J76:M76"/>
    <mergeCell ref="F77:I77"/>
    <mergeCell ref="J77:M77"/>
    <mergeCell ref="F86:I86"/>
    <mergeCell ref="J86:M86"/>
    <mergeCell ref="F87:I87"/>
    <mergeCell ref="J87:M87"/>
    <mergeCell ref="F84:I84"/>
    <mergeCell ref="J84:M84"/>
    <mergeCell ref="F85:I85"/>
    <mergeCell ref="J85:M85"/>
    <mergeCell ref="F82:I82"/>
    <mergeCell ref="J82:M82"/>
    <mergeCell ref="F83:I83"/>
    <mergeCell ref="J83:M83"/>
    <mergeCell ref="F92:I92"/>
    <mergeCell ref="J92:M92"/>
    <mergeCell ref="F93:I93"/>
    <mergeCell ref="J93:M93"/>
    <mergeCell ref="F90:I90"/>
    <mergeCell ref="J90:M90"/>
    <mergeCell ref="F91:I91"/>
    <mergeCell ref="J91:M91"/>
    <mergeCell ref="F88:I88"/>
    <mergeCell ref="J88:M88"/>
    <mergeCell ref="F89:I89"/>
    <mergeCell ref="J89:M89"/>
    <mergeCell ref="F98:I98"/>
    <mergeCell ref="J98:M98"/>
    <mergeCell ref="F99:I99"/>
    <mergeCell ref="J99:M99"/>
    <mergeCell ref="F96:I96"/>
    <mergeCell ref="J96:M96"/>
    <mergeCell ref="F97:I97"/>
    <mergeCell ref="J97:M97"/>
    <mergeCell ref="F94:I94"/>
    <mergeCell ref="J94:M94"/>
    <mergeCell ref="F95:I95"/>
    <mergeCell ref="J95:M95"/>
    <mergeCell ref="F104:I104"/>
    <mergeCell ref="J104:M104"/>
    <mergeCell ref="F105:I105"/>
    <mergeCell ref="J105:M105"/>
    <mergeCell ref="F102:I102"/>
    <mergeCell ref="J102:M102"/>
    <mergeCell ref="F103:I103"/>
    <mergeCell ref="J103:M103"/>
    <mergeCell ref="F100:I100"/>
    <mergeCell ref="J100:M100"/>
    <mergeCell ref="F101:I101"/>
    <mergeCell ref="J101:M101"/>
    <mergeCell ref="F110:I110"/>
    <mergeCell ref="J110:M110"/>
    <mergeCell ref="F111:I111"/>
    <mergeCell ref="J111:M111"/>
    <mergeCell ref="F108:I108"/>
    <mergeCell ref="J108:M108"/>
    <mergeCell ref="F109:I109"/>
    <mergeCell ref="J109:M109"/>
    <mergeCell ref="F106:I106"/>
    <mergeCell ref="J106:M106"/>
    <mergeCell ref="F107:I107"/>
    <mergeCell ref="J107:M107"/>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29</vt:i4>
      </vt:variant>
      <vt:variant>
        <vt:lpstr>Intervalos nomeados</vt:lpstr>
      </vt:variant>
      <vt:variant>
        <vt:i4>36</vt:i4>
      </vt:variant>
    </vt:vector>
  </HeadingPairs>
  <TitlesOfParts>
    <vt:vector size="65" baseType="lpstr">
      <vt:lpstr>CAPA</vt:lpstr>
      <vt:lpstr>RELEVÂNCIA</vt:lpstr>
      <vt:lpstr>MOBIL-DESMOB</vt:lpstr>
      <vt:lpstr>COMPOSIÇÕES</vt:lpstr>
      <vt:lpstr>3-COMPOSIÇÃO</vt:lpstr>
      <vt:lpstr>Planilha4</vt:lpstr>
      <vt:lpstr>CRONOGRAMA_DES</vt:lpstr>
      <vt:lpstr>BDI DESONERADO</vt:lpstr>
      <vt:lpstr>COTAÇÕES</vt:lpstr>
      <vt:lpstr>6-CAMADAS</vt:lpstr>
      <vt:lpstr>6.1-CAMADAS</vt:lpstr>
      <vt:lpstr>7-MOVIMENTO DE TERRA</vt:lpstr>
      <vt:lpstr>8-MOVIMENTO TERRA- HARRY AMORY</vt:lpstr>
      <vt:lpstr>9-RECAPE</vt:lpstr>
      <vt:lpstr>10-PAVIMENTAÇÃO</vt:lpstr>
      <vt:lpstr>11-PAVIMENTAÇÃO - HARRY AMORIN</vt:lpstr>
      <vt:lpstr>12-DRENAGEM - IMPLANTAÇÃO</vt:lpstr>
      <vt:lpstr>DRENAGEM - REMOÇÃO</vt:lpstr>
      <vt:lpstr>BANCO_DRENAGEM</vt:lpstr>
      <vt:lpstr>13-CALÇADAS E RAMPAS</vt:lpstr>
      <vt:lpstr>SINALIZAÇÃO (2)</vt:lpstr>
      <vt:lpstr>CHUVA</vt:lpstr>
      <vt:lpstr>DADOS</vt:lpstr>
      <vt:lpstr>14-SINALIZAÇÃO</vt:lpstr>
      <vt:lpstr>15-SERVIÇOS PRELIMINARES</vt:lpstr>
      <vt:lpstr>16-DMT</vt:lpstr>
      <vt:lpstr>BC_DMT</vt:lpstr>
      <vt:lpstr>GALERIAS</vt:lpstr>
      <vt:lpstr>Parametros IDF</vt:lpstr>
      <vt:lpstr>'10-PAVIMENTAÇÃO'!Area_de_impressao</vt:lpstr>
      <vt:lpstr>'11-PAVIMENTAÇÃO - HARRY AMORIN'!Area_de_impressao</vt:lpstr>
      <vt:lpstr>'12-DRENAGEM - IMPLANTAÇÃO'!Area_de_impressao</vt:lpstr>
      <vt:lpstr>'13-CALÇADAS E RAMPAS'!Area_de_impressao</vt:lpstr>
      <vt:lpstr>'14-SINALIZAÇÃO'!Area_de_impressao</vt:lpstr>
      <vt:lpstr>'15-SERVIÇOS PRELIMINARES'!Area_de_impressao</vt:lpstr>
      <vt:lpstr>'6.1-CAMADAS'!Area_de_impressao</vt:lpstr>
      <vt:lpstr>'6-CAMADAS'!Area_de_impressao</vt:lpstr>
      <vt:lpstr>'7-MOVIMENTO DE TERRA'!Area_de_impressao</vt:lpstr>
      <vt:lpstr>'8-MOVIMENTO TERRA- HARRY AMORY'!Area_de_impressao</vt:lpstr>
      <vt:lpstr>'9-RECAPE'!Area_de_impressao</vt:lpstr>
      <vt:lpstr>BANCO_DRENAGEM!Area_de_impressao</vt:lpstr>
      <vt:lpstr>'BDI DESONERADO'!Area_de_impressao</vt:lpstr>
      <vt:lpstr>CAPA!Area_de_impressao</vt:lpstr>
      <vt:lpstr>CHUVA!Area_de_impressao</vt:lpstr>
      <vt:lpstr>COMPOSIÇÕES!Area_de_impressao</vt:lpstr>
      <vt:lpstr>CRONOGRAMA_DES!Area_de_impressao</vt:lpstr>
      <vt:lpstr>'DRENAGEM - REMOÇÃO'!Area_de_impressao</vt:lpstr>
      <vt:lpstr>'MOBIL-DESMOB'!Area_de_impressao</vt:lpstr>
      <vt:lpstr>RELEVÂNCIA!Area_de_impressao</vt:lpstr>
      <vt:lpstr>'SINALIZAÇÃO (2)'!Area_de_impressao</vt:lpstr>
      <vt:lpstr>N.CREA</vt:lpstr>
      <vt:lpstr>N.DESCRICAO</vt:lpstr>
      <vt:lpstr>N.ENCARGOS</vt:lpstr>
      <vt:lpstr>N.Engenheiro</vt:lpstr>
      <vt:lpstr>N.MUNICIPIO</vt:lpstr>
      <vt:lpstr>'10-PAVIMENTAÇÃO'!Titulos_de_impressao</vt:lpstr>
      <vt:lpstr>'11-PAVIMENTAÇÃO - HARRY AMORIN'!Titulos_de_impressao</vt:lpstr>
      <vt:lpstr>'12-DRENAGEM - IMPLANTAÇÃO'!Titulos_de_impressao</vt:lpstr>
      <vt:lpstr>'13-CALÇADAS E RAMPAS'!Titulos_de_impressao</vt:lpstr>
      <vt:lpstr>'3-COMPOSIÇÃO'!Titulos_de_impressao</vt:lpstr>
      <vt:lpstr>'6.1-CAMADAS'!Titulos_de_impressao</vt:lpstr>
      <vt:lpstr>'6-CAMADAS'!Titulos_de_impressao</vt:lpstr>
      <vt:lpstr>'9-RECAPE'!Titulos_de_impressao</vt:lpstr>
      <vt:lpstr>COMPOSIÇÕES!Titulos_de_impressao</vt:lpstr>
      <vt:lpstr>'DRENAGEM - REMOÇÃO'!Titulos_de_impressao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dc:creator>
  <cp:lastModifiedBy>Rafaela Souza Ferreira</cp:lastModifiedBy>
  <cp:lastPrinted>2026-05-20T17:51:46Z</cp:lastPrinted>
  <dcterms:created xsi:type="dcterms:W3CDTF">2016-12-08T00:50:18Z</dcterms:created>
  <dcterms:modified xsi:type="dcterms:W3CDTF">2026-05-21T11:50:50Z</dcterms:modified>
</cp:coreProperties>
</file>