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:\Meu Drive\Engenharia\2026-02-26 - PAVIMENTAÇÕES VARGEM BONITA 2026\1,5Mi CAIXA\"/>
    </mc:Choice>
  </mc:AlternateContent>
  <xr:revisionPtr revIDLastSave="0" documentId="8_{D5F1761F-DC32-459C-BD9E-C7862CF6B7F5}" xr6:coauthVersionLast="47" xr6:coauthVersionMax="47" xr10:uidLastSave="{00000000-0000-0000-0000-000000000000}"/>
  <bookViews>
    <workbookView xWindow="-24120" yWindow="-1095" windowWidth="24240" windowHeight="13020" xr2:uid="{773A109F-147E-4414-8BF9-394DF99B1F0D}"/>
  </bookViews>
  <sheets>
    <sheet name="PO-PLE" sheetId="1" r:id="rId1"/>
    <sheet name="CFF-PLE" sheetId="2" r:id="rId2"/>
  </sheets>
  <externalReferences>
    <externalReference r:id="rId3"/>
  </externalReferences>
  <definedNames>
    <definedName name="ACOMPANHAMENTO" hidden="1">[1]MENU!$J$4</definedName>
    <definedName name="AdmLocal" hidden="1">[1]CÁLCULO!$A$11</definedName>
    <definedName name="AUTOEVENTO" hidden="1">[1]CÁLCULO!$A$12</definedName>
    <definedName name="BDI.Opcao" hidden="1">[1]DADOS!$C$18</definedName>
    <definedName name="BDI.TipoObra" hidden="1">[1]BDI!$A$138:$A$146</definedName>
    <definedName name="BDI_1.Título" hidden="1">[1]BDI!$J$14</definedName>
    <definedName name="BDI_2.Título" hidden="1">[1]BDI!$J$54</definedName>
    <definedName name="BDI_3.Título" hidden="1">[1]BDI!$J$94</definedName>
    <definedName name="BM.AFAcumulado" hidden="1">[1]BM!$R1</definedName>
    <definedName name="BM.AFAnterior" hidden="1">[1]BM!$Q1</definedName>
    <definedName name="BM.MaxMed" hidden="1">IF(RegimeExecucao="Global",1,[1]BM!$G1)</definedName>
    <definedName name="BM.MEDAcumulado" hidden="1">IF(COUNTIF([1]BM!$AB$13:$AM$13,BM.medicao)&gt;0,SUM(OFFSET([1]BM!$AB1,0,0,1,MATCH(BM.medicao,[1]BM!$AB$13:$AM$13,0))),0)</definedName>
    <definedName name="BM.MEDAnterior" hidden="1">IF(COUNTIF([1]BM!$AB$13:$AM$13,BM.medicao-1)&gt;0,SUM(OFFSET([1]BM!$AB1,0,0,1,MATCH(BM.medicao-1,[1]BM!$AB$13:$AM$13,0))),0)</definedName>
    <definedName name="BM.medicao" hidden="1">OFFSET([1]BM!$O$7,1,0)</definedName>
    <definedName name="BM.MinMed" hidden="1">IF(RegimeExecucao="Global",-1,-[1]BM!$G1)</definedName>
    <definedName name="CAIXA.Modo" hidden="1">[1]BM!$A$3</definedName>
    <definedName name="CÁLCULO.FrentesPreenchidas" hidden="1">[1]CÁLCULO!$M$1</definedName>
    <definedName name="CÁLCULO.NúmeroDeEventos" hidden="1">IF(AUTOEVENTO&lt;&gt;"manual",MAX([1]CÁLCULO!$M$15:$M$45),MAX(OFFSET([1]EVENTOS!$C$1:$C$21,1,0)))</definedName>
    <definedName name="CÁLCULO.NúmeroDeFrentes" hidden="1">COLUMN([1]CÁLCULO!$AQ$15)-COLUMN([1]CÁLCULO!$Q$15)</definedName>
    <definedName name="CÁLCULO.TotalAdmLocal" hidden="1">IF(AUTOEVENTO="manual",SUMIF([1]CÁLCULO!$M$15:$M$45,1,[1]ORÇAMENTO!$X$15:$X$45),0)</definedName>
    <definedName name="CRONO.LinhasNecessarias" hidden="1">COUNTIF([1]QCI!$B$13:$B$15,"Manual")+COUNTIF([1]QCI!$B$13:$B$15,"SemiAuto")+COUNT(ORÇAMENTO.ListaCrono)</definedName>
    <definedName name="CRONO.Lista.AdmLocal" hidden="1">[1]CRONO!$A$13:$A$32</definedName>
    <definedName name="CRONO.Lista.Níveis" hidden="1">[1]CRONO!$A$9:$A$11</definedName>
    <definedName name="CRONO.MaxParc" hidden="1">[1]CRONO!$H1048576+[1]CRONO!A1</definedName>
    <definedName name="CRONO.NivelExibicao" hidden="1">[1]CRONO!$H$10</definedName>
    <definedName name="CRONO.ParcelaFinal" hidden="1">MATCH(100%,[1]CRONO!$U$38:$AG$38,0)</definedName>
    <definedName name="CRONOPLE.Erro" hidden="1">[1]CRONOPLE!$B$6</definedName>
    <definedName name="CRONOPLE.Lista.AdmLocal" hidden="1">[1]CRONOPLE!$F$15:$F$21</definedName>
    <definedName name="CRONOPLE.ValorDoEvento" hidden="1">SUMIF([1]CÁLCULO!$M$15:$M$45,[1]CRONOPLE!$B1,OFFSET([1]CÁLCULO!$AQ$15:$AQ$45,0,[1]CRONOPLE!A$12))</definedName>
    <definedName name="DADOS.Lista.Arredondamento" hidden="1">[1]DADOS!$J$2:$J$3</definedName>
    <definedName name="DADOS.Lista.FonteRecursos" hidden="1">[1]DADOS!$G$2:$G$4</definedName>
    <definedName name="DADOS.Lista.RegimeExecução" hidden="1">[1]DADOS!$I$2:$I$9</definedName>
    <definedName name="DADOS.Lista.RegimePreviden" hidden="1">[1]DADOS!$H$2:$H$5</definedName>
    <definedName name="DESONERACAO" hidden="1">IF(OR(Import.Desoneracao="DESONERADO",Import.Desoneracao="SIM"),"SIM","NÃO")</definedName>
    <definedName name="EVENTOS.firstrow" hidden="1">[1]EVENTOS!$15:$15</definedName>
    <definedName name="EVENTOS.Lista" hidden="1">[1]EVENTOS!$C$15:OFFSET([1]EVENTOS!$C$21,-1,0)</definedName>
    <definedName name="EVENTOS.Lista.Agrupar" hidden="1">[1]EVENTOS!$B$6:$B$9</definedName>
    <definedName name="EVENTOS.ListaValidacao" hidden="1">[1]EVENTOS!$B$15:OFFSET([1]EVENTOS!$B$21,-1,0)</definedName>
    <definedName name="Excel_BuiltIn_Database" hidden="1">TEXT(Import.DataBase,"mm-aaaa")</definedName>
    <definedName name="Import.Apelido" hidden="1">[1]DADOS!$C$16</definedName>
    <definedName name="Import.BDI.Tipo1" hidden="1">[1]BDI!$J$17</definedName>
    <definedName name="Import.BDI.Tipo2" hidden="1">[1]BDI!$J$57</definedName>
    <definedName name="Import.BDI.Tipo3" hidden="1">[1]BDI!$J$97</definedName>
    <definedName name="Import.BMAFAcumulado" hidden="1">OFFSET([1]BM!$R$15,1,0):OFFSET([1]BM!$R$45,-1,0)</definedName>
    <definedName name="Import.CNPJ" hidden="1">[1]DADOS!$C$39</definedName>
    <definedName name="Import.Código" hidden="1">OFFSET([1]ORÇAMENTO!$Q$15,1,0):OFFSET([1]ORÇAMENTO!$Q$45,-1,0)</definedName>
    <definedName name="Import.Contrapartida" hidden="1">[1]DADOS!$C$10</definedName>
    <definedName name="Import.CPMaxPerc" hidden="1">[1]DADOS!$C$13</definedName>
    <definedName name="Import.CPMinAbsoluta" hidden="1">[1]DADOS!$C$12</definedName>
    <definedName name="Import.CPMinPerc" hidden="1">[1]DADOS!$C$11</definedName>
    <definedName name="Import.CR" hidden="1">[1]DADOS!$C$7</definedName>
    <definedName name="Import.CRONOPLE" hidden="1">OFFSET([1]CRONOPLE!$F$15,1,1):OFFSET([1]CRONOPLE!$BE$21,-1,-1)</definedName>
    <definedName name="Import.CTEF" hidden="1">[1]DADOS!$C$37</definedName>
    <definedName name="Import.CustoUnitário" hidden="1">OFFSET([1]ORÇAMENTO!$U$15,1,0):OFFSET([1]ORÇAMENTO!$U$45,-1,0)</definedName>
    <definedName name="Import.DataBase" hidden="1">OFFSET([1]DADOS!$D$19,0,-1)</definedName>
    <definedName name="Import.DataBaseLicit" hidden="1">OFFSET([1]DADOS!$D$41,0,-1)</definedName>
    <definedName name="Import.DataFechaRRE" hidden="1">[1]DADOS!$C$48</definedName>
    <definedName name="Import.DataInicioObra" hidden="1">[1]DADOS!$C$47</definedName>
    <definedName name="Import.DataPreenchimento" hidden="1">OFFSET([1]DADOS!$D$25,0,-1)</definedName>
    <definedName name="Import.DescLote" hidden="1">[1]DADOS!$C$17</definedName>
    <definedName name="Import.Descrição" hidden="1">OFFSET([1]ORÇAMENTO!$R$15,1,0):OFFSET([1]ORÇAMENTO!$R$45,-1,0)</definedName>
    <definedName name="Import.Desoneracao" hidden="1">OFFSET([1]DADOS!$D$18,0,-1)</definedName>
    <definedName name="Import.empresa" hidden="1">[1]DADOS!$C$38</definedName>
    <definedName name="Import.EventoAdmLocal" hidden="1">[1]CRONOPLE!$B$8</definedName>
    <definedName name="Import.Eventos.Nível" hidden="1">[1]EVENTOS!$C$8</definedName>
    <definedName name="Import.Eventos.Nomes" hidden="1">OFFSET([1]EVENTOS!$D$15,1,0):OFFSET([1]EVENTOS!$D$21,-1,0)</definedName>
    <definedName name="Import.Fonte" hidden="1">OFFSET([1]ORÇAMENTO!$P$15,1,0):OFFSET([1]ORÇAMENTO!$P$45,-1,0)</definedName>
    <definedName name="Import.FrenteDeObra" hidden="1">[1]CÁLCULO!$Q$12:OFFSET([1]CÁLCULO!$AQ$12,0,-1)</definedName>
    <definedName name="Import.MacrosserviçoAdmLocal" hidden="1">[1]CRONO!$H$43</definedName>
    <definedName name="Import.Município" hidden="1">[1]DADOS!$C$6</definedName>
    <definedName name="Import.Nível" hidden="1">OFFSET([1]ORÇAMENTO!$M$15,1,0):OFFSET([1]ORÇAMENTO!$M$45,-1,0)</definedName>
    <definedName name="Import.Ofício.Num" hidden="1">[1]OFÍCIO!$C$6</definedName>
    <definedName name="Import.OpcaoBDI" hidden="1">OFFSET([1]ORÇAMENTO!$V$15,1,0):OFFSET([1]ORÇAMENTO!$V$45,-1,0)</definedName>
    <definedName name="Import.ORÇAMENTO.DivRecurso" hidden="1">OFFSET([1]ORÇAMENTO!$Y$15,1,0):OFFSET([1]ORÇAMENTO!$Y$45,-1,0)</definedName>
    <definedName name="Import.PLE" hidden="1">OFFSET([1]PLE!$G$15,1,1):OFFSET([1]PLE!$BF$21,-1,-1)</definedName>
    <definedName name="Import.PLQ" hidden="1">OFFSET([1]CÁLCULO!$P$15,1,1):OFFSET([1]CÁLCULO!$AQ$45,-1,-1)</definedName>
    <definedName name="Import.PLQ.MemCalc" hidden="1">OFFSET([1]CÁLCULO!$I$15,1,0):OFFSET([1]CÁLCULO!$I$45,-1,0)</definedName>
    <definedName name="Import.PLQ.nAgrupEvent" hidden="1">OFFSET([1]CÁLCULO!$K$15,1,0):OFFSET([1]CÁLCULO!$K$45,-1,0)</definedName>
    <definedName name="Import.Proponente" hidden="1">[1]DADOS!$C$5</definedName>
    <definedName name="Import.QCI.Divisao" hidden="1">OFFSET([1]QCI!$V$13,1,0):OFFSET([1]QCI!$V$15,-1,0)</definedName>
    <definedName name="Import.QCI.ItemInv" hidden="1">OFFSET([1]QCI!$E$13,1,0):OFFSET([1]QCI!$E$15,-1,0)</definedName>
    <definedName name="Import.QCI.Qtde" hidden="1">OFFSET([1]QCI!$I$13,1,0):OFFSET([1]QCI!$I$15,-1,0)</definedName>
    <definedName name="Import.QCI.Situacao" hidden="1">OFFSET([1]QCI!$H$13,1,0):OFFSET([1]QCI!$H$15,-1,0)</definedName>
    <definedName name="Import.QCI.SubItemInv" hidden="1">OFFSET([1]QCI!$F$13,1,0):OFFSET([1]QCI!$F$15,-1,0)</definedName>
    <definedName name="Import.QCICP" hidden="1">OFFSET([1]QCI!$W$13,1,0):OFFSET([1]QCI!$W$15,-1,0)</definedName>
    <definedName name="Import.QCIDesc" hidden="1">OFFSET([1]QCI!$R$13,1,0):OFFSET([1]QCI!$R$15,-1,0)</definedName>
    <definedName name="Import.QCIInv" hidden="1">OFFSET([1]QCI!$U$13,1,0):OFFSET([1]QCI!$U$15,-1,0)</definedName>
    <definedName name="Import.QCILote" hidden="1">OFFSET([1]QCI!$T$13,1,0):OFFSET([1]QCI!$T$15,-1,0)</definedName>
    <definedName name="Import.QCIOutros" hidden="1">OFFSET([1]QCI!$X$13,1,0):OFFSET([1]QCI!$X$15,-1,0)</definedName>
    <definedName name="Import.Quantidade" hidden="1">OFFSET([1]ORÇAMENTO!$AJ$15,1,0):OFFSET([1]ORÇAMENTO!$AJ$45,-1,0)</definedName>
    <definedName name="import.recurso" hidden="1">[1]DADOS!$C$4</definedName>
    <definedName name="Import.RegimeExecução" hidden="1">OFFSET([1]DADOS!$D$40,0,-1)</definedName>
    <definedName name="Import.Repasse" hidden="1">[1]DADOS!$C$9</definedName>
    <definedName name="Import.RespFiscalização" hidden="1">[1]DADOS!$C$51:$C$54</definedName>
    <definedName name="Import.RespOrçamento" hidden="1">[1]DADOS!$C$22:$C$24</definedName>
    <definedName name="Import.SICONV" hidden="1">[1]DADOS!$C$8</definedName>
    <definedName name="Import.TipoArredondamento" hidden="1">[1]DADOS!$C$31</definedName>
    <definedName name="Import.TransfereGOV" hidden="1">[1]DADOS!$C$8</definedName>
    <definedName name="Import.Unidade" hidden="1">OFFSET([1]ORÇAMENTO!$S$15,1,0):OFFSET([1]ORÇAMENTO!$S$45,-1,0)</definedName>
    <definedName name="Import.UnitarioLicitado" hidden="1">OFFSET([1]ORÇAMENTO!$AL$15,1,0):OFFSET([1]ORÇAMENTO!$AL$45,-1,0)</definedName>
    <definedName name="ListaTgov.Unidades" hidden="1">[1]DADOS!$AV$3:$AV$220</definedName>
    <definedName name="MENU.CRONO" hidden="1">OFFSET([1]CRONO!$U$11,1,0)</definedName>
    <definedName name="MENU.Import.Form.PLQ" hidden="1">[1]MENU!$K$2</definedName>
    <definedName name="MENU.Import.Form.PreçoUnit" hidden="1">[1]MENU!$K$1</definedName>
    <definedName name="NumEventos" hidden="1">COUNT(OFFSET(Eventos,0,0,,1))</definedName>
    <definedName name="Objeto" hidden="1">[1]MENU!$J$1</definedName>
    <definedName name="ORÇAMENTO.BancoRef" hidden="1">[1]ORÇAMENTO!$F$8</definedName>
    <definedName name="ORÇAMENTO.CodBarra" hidden="1">IF(ORÇAMENTO.Fonte="Sinapi",SUBSTITUTE(SUBSTITUTE(ORÇAMENTO.Codigo,"/00","/"),"/0","/"),ORÇAMENTO.Codigo)</definedName>
    <definedName name="ORÇAMENTO.Codigo" hidden="1">[1]ORÇAMENTO!$Q1</definedName>
    <definedName name="ORÇAMENTO.CustoUnitario" hidden="1">ROUND([1]ORÇAMENTO!$U1,15-13*[1]ORÇAMENTO!$AF$8)</definedName>
    <definedName name="ORÇAMENTO.Descricao" hidden="1">[1]ORÇAMENTO!$R1</definedName>
    <definedName name="ORÇAMENTO.Fonte" hidden="1">[1]ORÇAMENTO!$P1</definedName>
    <definedName name="ORÇAMENTO.Lista.BDI" hidden="1">[1]ORÇAMENTO!$F$4:$I$4</definedName>
    <definedName name="ORÇAMENTO.Lista.Fonte" hidden="1">[1]ORÇAMENTO!$E$3:$I$3</definedName>
    <definedName name="ORÇAMENTO.Lista.Nível" hidden="1">[1]ORÇAMENTO!$E$2:$I$2</definedName>
    <definedName name="ORÇAMENTO.Lista.Recurso" hidden="1">[1]ORÇAMENTO!$F$7:$I$7</definedName>
    <definedName name="ORÇAMENTO.ListaCrono" hidden="1">OFFSET([1]ORÇAMENTO!$AD$15,1,0):OFFSET([1]ORÇAMENTO!$AD$45,-1,0)</definedName>
    <definedName name="ORÇAMENTO.MáximoListaCrono" hidden="1">MAX(ORÇAMENTO.ListaCrono)</definedName>
    <definedName name="ORÇAMENTO.Nivel" hidden="1">[1]ORÇAMENTO!$M1</definedName>
    <definedName name="ORÇAMENTO.OpcaoBDI" hidden="1">[1]ORÇAMENTO!$V1</definedName>
    <definedName name="ORÇAMENTO.PasteFormat1" hidden="1">OFFSET([1]ORÇAMENTO!$P$15,1,0):OFFSET([1]ORÇAMENTO!$S$45,-1,0)</definedName>
    <definedName name="ORÇAMENTO.PasteFormat2" hidden="1">OFFSET([1]ORÇAMENTO!$U$15,1,0):OFFSET([1]ORÇAMENTO!$V$45,-1,0)</definedName>
    <definedName name="ORÇAMENTO.PrecoUnitarioLicitado" hidden="1">[1]ORÇAMENTO!$AL1</definedName>
    <definedName name="ORÇAMENTO.RangeQuant" hidden="1">OFFSET([1]ORÇAMENTO!$T$15,1,0):OFFSET([1]ORÇAMENTO!$T$45,-1,0)</definedName>
    <definedName name="ORÇAMENTO.SumCPMANUAL" hidden="1">SUMIF([1]ORÇAMENTO!$Z$15:$Z$45,"CP",[1]ORÇAMENTO!$AA$15:$AA$45)</definedName>
    <definedName name="ORÇAMENTO.SumINVMANUAL" hidden="1">SUMIF([1]ORÇAMENTO!$Z$15:$Z$45,"RP",[1]ORÇAMENTO!$X$15:$X$45)+SUMIF([1]ORÇAMENTO!$Z$15:$Z$45,"CP",[1]ORÇAMENTO!$X$15:$X$45)+SUMIF([1]ORÇAMENTO!$Z$15:$Z$45,"OU",[1]ORÇAMENTO!$X$15:$X$45)</definedName>
    <definedName name="ORÇAMENTO.SumOUTROSMANUAL" hidden="1">SUMIF([1]ORÇAMENTO!$Z$15:$Z$45,"OU",[1]ORÇAMENTO!$AB$15:$AB$45)</definedName>
    <definedName name="ORÇAMENTO.SumREPASSEMANUAL" hidden="1">ORÇAMENTO.SumINVMANUAL-ORÇAMENTO.SumCPMANUAL-ORÇAMENTO.SumOUTROSMANUAL</definedName>
    <definedName name="ORÇAMENTO.Unidade" hidden="1">[1]ORÇAMENTO!$S1</definedName>
    <definedName name="PLE.firstrow" hidden="1">[1]PLE!$15:$15</definedName>
    <definedName name="PLE.lastrow" hidden="1">[1]PLE!$21:$21</definedName>
    <definedName name="PLE.Medicao" hidden="1">[1]PLE!$J$9</definedName>
    <definedName name="PLE.ValorDoEvento" hidden="1">SUMIF([1]CÁLCULO!$M$15:$M$45,[1]PLE!$B1,OFFSET([1]CÁLCULO!$AQ$15:$AQ$45,0,[1]PLE!A$12))</definedName>
    <definedName name="PO.ValoresBDI" hidden="1">OFFSET([1]ORÇAMENTO!$AH$15,1,0):OFFSET([1]ORÇAMENTO!$AH$45,-1,0)</definedName>
    <definedName name="QCI.CPManual" hidden="1">ROUND([1]QCI!$W1,2)</definedName>
    <definedName name="QCI.DescManual" hidden="1">[1]QCI!$R1</definedName>
    <definedName name="QCI.Divisao" hidden="1">[1]QCI!$V1</definedName>
    <definedName name="QCI.ExisteManual" hidden="1">(COUNTIF([1]QCI!$B$13:$B$15,"Manual")+COUNTIF([1]QCI!$B$13:$B$15,"SemiAuto"))&gt;0</definedName>
    <definedName name="QCI.InvManual" hidden="1">ROUND([1]QCI!$U1,2)</definedName>
    <definedName name="QCI.ItemInvestimento" hidden="1">OFFSET([1]DADOS!$L$2,1,0,COUNTA([1]DADOS!$L:$L)-1,1)</definedName>
    <definedName name="QCI.Lista.DivisãoInvest" hidden="1">[1]QCI!$A$8:$A$9</definedName>
    <definedName name="QCI.Lista.Situação" hidden="1">[1]QCI!$A$2:$A$6</definedName>
    <definedName name="QCI.LoteManual" hidden="1">[1]QCI!$T1</definedName>
    <definedName name="QCI.MaxCPManual" hidden="1">[1]QCI!$O1-[1]QCI!$X1</definedName>
    <definedName name="QCI.MaxOUManual" hidden="1">[1]QCI!$O1-[1]QCI!$W1</definedName>
    <definedName name="QCI.OutrosManual" hidden="1">ROUND([1]QCI!$X1,2)</definedName>
    <definedName name="QCI.SubItemInvestimento" hidden="1">OFFSET([1]DADOS!$A$2,1,MATCH([1]QCI!$E1,[1]DADOS!$2:$2,0)-1,INDEX([1]DADOS!$2:$2,MATCH([1]QCI!$E1,[1]DADOS!$2:$2,0)+1))</definedName>
    <definedName name="QCI.SumCPMANUAL" hidden="1">SUMIF([1]QCI!$B$13:$B$15,"Manual",[1]QCI!$AA$13:$AA$15)</definedName>
    <definedName name="QCI.SumINVMANUAL" hidden="1">SUMIF([1]QCI!$B$13:$B$15,"Manual",[1]QCI!$O$13:$O$15)</definedName>
    <definedName name="QCI.SumOUTROSMANUAL" hidden="1">SUMIF([1]QCI!$B$13:$B$15,"Manual",[1]QCI!$AB$13:$AB$15)</definedName>
    <definedName name="QCI.SumREPASSEMANUAL" hidden="1">QCI.SumINVMANUAL-QCI.CPManual-QCI.OutrosManual</definedName>
    <definedName name="REFERENCIA.Descricao" hidden="1">IF(ISNUMBER([1]ORÇAMENTO!$AF1),OFFSET(INDIRECT(ORÇAMENTO.BancoRef),[1]ORÇAMENTO!$AF1-1,3,1),[1]ORÇAMENTO!$AF1)</definedName>
    <definedName name="REFERENCIA.Desonerado" hidden="1">IF(ISNUMBER([1]ORÇAMENTO!$AF1),VALUE(OFFSET(INDIRECT(ORÇAMENTO.BancoRef),[1]ORÇAMENTO!$AF1-1,5,1)),0)</definedName>
    <definedName name="REFERENCIA.NaoDesonerado" hidden="1">IF(ISNUMBER([1]ORÇAMENTO!$AF1),VALUE(OFFSET(INDIRECT(ORÇAMENTO.BancoRef),[1]ORÇAMENTO!$AF1-1,6,1)),0)</definedName>
    <definedName name="REFERENCIA.Unidade" hidden="1">IF(ISNUMBER([1]ORÇAMENTO!$AF1),OFFSET(INDIRECT(ORÇAMENTO.BancoRef),[1]ORÇAMENTO!$AF1-1,4,1),"-")</definedName>
    <definedName name="RegimeExecucao" hidden="1">IF(OR(Import.RegimeExecução="",Import.RegimeExecução="Empreitada por Preço Global",Import.RegimeExecução="Empreitada Integral"),"Global","Unitário")</definedName>
    <definedName name="RRE.MaxCPAcum" hidden="1">[1]RRE!$AD$17</definedName>
    <definedName name="RRE.MaxCPAnt" hidden="1">[1]RRE!$AC$17</definedName>
    <definedName name="RRE.MaxOUAcum" hidden="1">[1]RRE!$AD$18</definedName>
    <definedName name="RRE.MaxOUAnt" hidden="1">[1]RRE!$AC$18</definedName>
    <definedName name="RRE.Numero" hidden="1">OFFSET([1]RRE!$O$7,0,1)</definedName>
    <definedName name="RRE.VIMeta" hidden="1">[1]RRE!$L1</definedName>
    <definedName name="SENHAGT" hidden="1">"PM3CAIXA"</definedName>
    <definedName name="SomaAgrup" hidden="1">SUMIF(OFFSET([1]ORÇAMENTO!$C1,1,0,[1]ORÇAMENTO!$D1),"S",OFFSET([1]ORÇAMENTO!A1,1,0,[1]ORÇAMENTO!$D1))</definedName>
    <definedName name="SomaAgrupBM" hidden="1">SUMIF(OFFSET([1]BM!$A1,1,0,[1]BM!$B1),"S",OFFSET([1]BM!A1,1,0,[1]BM!$B1))</definedName>
    <definedName name="TIPOORCAMENTO" hidden="1">IF(VALUE([1]MENU!$O$3)=2,"Licitado","Proposto")</definedName>
    <definedName name="Versao" hidden="1">[1]MENU!$J$2</definedName>
    <definedName name="VTOTAL1" hidden="1">ROUND([1]ORÇAMENTO!$T1*[1]ORÇAMENTO!$W1,15-13*[1]ORÇAMENTO!$AF$11)</definedName>
    <definedName name="VTOTALBM" hidden="1">IF([1]BM!$I1=0,0,CHOOSE(MATCH(RegimeExecucao,{"Global","Unitário"},0),ROUND(ROUND([1]BM!XFB1,15-13*[1]BM!$A$9)/100*[1]BM!$I1,15-13*[1]ORÇAMENTO!$AF$11),ROUND(ROUND([1]BM!XFB1,15-13*[1]BM!$A$9)*ROUND([1]BM!$H1,15-13*[1]ORÇAMENTO!$AF$10),15-13*[1]ORÇAMENTO!$AF$11)))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58" i="1" l="1"/>
  <c r="S57" i="1"/>
  <c r="S56" i="1"/>
  <c r="S55" i="1"/>
  <c r="L55" i="1"/>
  <c r="K55" i="1"/>
  <c r="F55" i="1"/>
  <c r="S54" i="1"/>
  <c r="S53" i="1"/>
  <c r="L53" i="1"/>
  <c r="K53" i="1"/>
  <c r="F53" i="1"/>
  <c r="S52" i="1"/>
  <c r="L52" i="1"/>
  <c r="K52" i="1"/>
  <c r="F52" i="1"/>
  <c r="S51" i="1"/>
  <c r="S50" i="1"/>
  <c r="L50" i="1"/>
  <c r="K50" i="1"/>
  <c r="F50" i="1"/>
  <c r="L49" i="1"/>
  <c r="S48" i="1"/>
  <c r="S47" i="1"/>
  <c r="L47" i="1"/>
  <c r="K47" i="1"/>
  <c r="F47" i="1"/>
  <c r="S46" i="1"/>
  <c r="S45" i="1"/>
  <c r="L45" i="1"/>
  <c r="K45" i="1"/>
  <c r="F45" i="1"/>
  <c r="S44" i="1"/>
  <c r="S43" i="1"/>
  <c r="L43" i="1"/>
  <c r="K43" i="1"/>
  <c r="F43" i="1"/>
  <c r="S42" i="1"/>
  <c r="S41" i="1"/>
  <c r="L41" i="1"/>
  <c r="K41" i="1"/>
  <c r="F41" i="1"/>
  <c r="S40" i="1"/>
  <c r="S39" i="1"/>
  <c r="L39" i="1"/>
  <c r="K39" i="1"/>
  <c r="F39" i="1"/>
  <c r="S38" i="1"/>
  <c r="S37" i="1"/>
  <c r="L37" i="1"/>
  <c r="K37" i="1"/>
  <c r="F37" i="1"/>
  <c r="S36" i="1"/>
  <c r="S35" i="1"/>
  <c r="L35" i="1"/>
  <c r="K35" i="1"/>
  <c r="F35" i="1"/>
  <c r="S34" i="1"/>
  <c r="S33" i="1"/>
  <c r="L33" i="1"/>
  <c r="K33" i="1"/>
  <c r="F33" i="1"/>
  <c r="S32" i="1"/>
  <c r="S31" i="1"/>
  <c r="L31" i="1"/>
  <c r="K31" i="1"/>
  <c r="F31" i="1"/>
  <c r="S30" i="1"/>
  <c r="S29" i="1"/>
  <c r="L29" i="1"/>
  <c r="K29" i="1"/>
  <c r="F29" i="1"/>
  <c r="L28" i="1"/>
  <c r="S27" i="1"/>
  <c r="S26" i="1"/>
  <c r="L26" i="1"/>
  <c r="K26" i="1"/>
  <c r="F26" i="1"/>
  <c r="S25" i="1"/>
  <c r="S24" i="1"/>
  <c r="L24" i="1"/>
  <c r="K24" i="1"/>
  <c r="F24" i="1"/>
  <c r="S23" i="1"/>
  <c r="S22" i="1"/>
  <c r="L22" i="1"/>
  <c r="K22" i="1"/>
  <c r="F22" i="1"/>
  <c r="S21" i="1"/>
  <c r="S20" i="1"/>
  <c r="L20" i="1"/>
  <c r="K20" i="1"/>
  <c r="F20" i="1"/>
  <c r="L19" i="1"/>
  <c r="S18" i="1"/>
  <c r="S17" i="1"/>
  <c r="S16" i="1"/>
  <c r="S15" i="1"/>
  <c r="L15" i="1"/>
  <c r="K15" i="1"/>
  <c r="F15" i="1"/>
  <c r="L14" i="1"/>
  <c r="S13" i="1"/>
  <c r="S12" i="1"/>
  <c r="S11" i="1"/>
  <c r="S10" i="1"/>
  <c r="L10" i="1"/>
  <c r="K10" i="1"/>
  <c r="F10" i="1"/>
  <c r="S9" i="1"/>
  <c r="S8" i="1"/>
  <c r="S7" i="1"/>
  <c r="S6" i="1"/>
  <c r="L6" i="1"/>
  <c r="K6" i="1"/>
  <c r="F6" i="1"/>
  <c r="S5" i="1"/>
  <c r="L5" i="1"/>
  <c r="K5" i="1"/>
  <c r="F5" i="1"/>
  <c r="S4" i="1"/>
  <c r="S3" i="1"/>
  <c r="L3" i="1"/>
  <c r="K3" i="1"/>
  <c r="F3" i="1"/>
  <c r="L2" i="1"/>
</calcChain>
</file>

<file path=xl/sharedStrings.xml><?xml version="1.0" encoding="utf-8"?>
<sst xmlns="http://schemas.openxmlformats.org/spreadsheetml/2006/main" count="303" uniqueCount="120">
  <si>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</si>
  <si>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</si>
  <si>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</si>
  <si>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</si>
  <si>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</si>
  <si>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</si>
  <si>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</si>
  <si>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 Referência</t>
  </si>
  <si>
    <t>Custo Unitário</t>
  </si>
  <si>
    <t>BDI</t>
  </si>
  <si>
    <t>Preço Unitário (valor calculado)</t>
  </si>
  <si>
    <t>Preço Total (valor calculado)</t>
  </si>
  <si>
    <t>Observação</t>
  </si>
  <si>
    <t>N° Evento</t>
  </si>
  <si>
    <t>Evento</t>
  </si>
  <si>
    <t>N° Frente de Obra</t>
  </si>
  <si>
    <t>Frente de Obra</t>
  </si>
  <si>
    <t>Qtd.</t>
  </si>
  <si>
    <t>Valor</t>
  </si>
  <si>
    <t>Macrosserviço</t>
  </si>
  <si>
    <t>1</t>
  </si>
  <si>
    <t>SERVIÇOS PRELIMINARES</t>
  </si>
  <si>
    <t>Serviço</t>
  </si>
  <si>
    <t>1.1</t>
  </si>
  <si>
    <t>SINAPI</t>
  </si>
  <si>
    <t>103689</t>
  </si>
  <si>
    <t>FORNECIMENTO E INSTALAÇÃO DE PLACA DE OBRA COM CHAPA GALVANIZADA E ESTRUTURA DE MADEIRA. AF_03/2022_PS</t>
  </si>
  <si>
    <t>M2</t>
  </si>
  <si>
    <t>27,13%</t>
  </si>
  <si>
    <t>PAV Estrada VBO / PRATA</t>
  </si>
  <si>
    <t>PAV Estrada VBO / Casca Danta</t>
  </si>
  <si>
    <t>1.2</t>
  </si>
  <si>
    <t>Outros</t>
  </si>
  <si>
    <t>SICORED-50128</t>
  </si>
  <si>
    <t>BARRACÃO DE OBRA PARA DEPÓSITO E FERRAMENTARIA TIPO-I, ÁREA INTERNA 14,52M2, EM CHAPA DE COMPENSADO RESINADO, INCLUSIVE MOBILIÁRIO (OBRA DE PEQUENO PORTE, EFETIVO ATÉ 30 HOMENS), PADRÃO DER-MG</t>
  </si>
  <si>
    <t>UN</t>
  </si>
  <si>
    <t>1.3</t>
  </si>
  <si>
    <t>SICORED-50155</t>
  </si>
  <si>
    <t>LOCAÇÃO DE BANHEIRO QUÍMICO, DIMENSÃO (110X120X230)CM, LINHA PADRÃO, CONTENDO UMA (1) PIA/HIGIENIZADOR DE MÃOS, INCLUSIVE MANUTENÇÃO E MOBILIZAÇÃO/DESMOBILIZAÇÃO</t>
  </si>
  <si>
    <t>MÊS</t>
  </si>
  <si>
    <t>SERVIÇOS COMPLEMENTARES VBO/PRATA</t>
  </si>
  <si>
    <t>SERVIÇOS COMPLEMENTARES VBO/Casca Danta</t>
  </si>
  <si>
    <t>1.4</t>
  </si>
  <si>
    <t>SICRO-5212556</t>
  </si>
  <si>
    <t>Placa para sinalização de obras montada em cavalete metálico - 1,00 x 1,00 m - utilização de 600 ciclos - fornecimento, 01 implantação e 01 retirada diária</t>
  </si>
  <si>
    <t>2</t>
  </si>
  <si>
    <t>ADMINISTRAÇÃO LOCAL</t>
  </si>
  <si>
    <t>2.1</t>
  </si>
  <si>
    <t>Composição</t>
  </si>
  <si>
    <t>COMP-001</t>
  </si>
  <si>
    <t>ADMINISTRAÇÃO LOCAL DO CANTEIRO DE OBRAS</t>
  </si>
  <si>
    <t>3</t>
  </si>
  <si>
    <t>PAVIMENTAÇÃO</t>
  </si>
  <si>
    <t>3.1</t>
  </si>
  <si>
    <t>AD-102470</t>
  </si>
  <si>
    <t>EXECUÇÃO DE IMPRIMAÇÃO COM ASFALTO DILUÍDO CM-30, PARA OBRAS DE CONSTRUÇÃO DE PAVIMENTOS. AF_09/2024</t>
  </si>
  <si>
    <t>3.2</t>
  </si>
  <si>
    <t>AD-104375</t>
  </si>
  <si>
    <t>EXECUÇÃO DE PINTURA DE LIGAÇÃO COM EMULSÃO ASFÁLTICA RR-1C, PARA OBRAS DE CONSTRUÇÃO DE PAVIMENTOS. AF_09/2024</t>
  </si>
  <si>
    <t>3.3</t>
  </si>
  <si>
    <t>SICOR-ED-7623</t>
  </si>
  <si>
    <t>EXECUÇÃO E APLICAÇÃO DE CONCRETO BETUMINOSO USINADO A QUENTE (CBUQ), MASSA COMERCIAL, INCLUINDO FORNECIMENTO E TRANSPORTE DOS AGREGADOS E MATERIAL BETUMINOSO, EXCLUSIVE TRANSPORTE DA MASSA ASFÁLTICA ATÉ A PISTA</t>
  </si>
  <si>
    <t>M3</t>
  </si>
  <si>
    <t>3.4</t>
  </si>
  <si>
    <t>SICRO-5914612</t>
  </si>
  <si>
    <t>Transporte de mistura betuminosa a quente com caminhão com caçamba térmica de 6 m³ - rodovia pavimentada</t>
  </si>
  <si>
    <t>TXKM</t>
  </si>
  <si>
    <t>4</t>
  </si>
  <si>
    <t>DRENAGEM</t>
  </si>
  <si>
    <t>4.1</t>
  </si>
  <si>
    <t>SICRO-2003269</t>
  </si>
  <si>
    <t>Sarjeta triangular de concreto - STC 73-15 - escavação mecânica - areia e brita comerciais</t>
  </si>
  <si>
    <t>M</t>
  </si>
  <si>
    <t>4.2</t>
  </si>
  <si>
    <t>SICRO-2003127</t>
  </si>
  <si>
    <t>Entrada para descida d'água - EDA 07 A - areia e brita comerciais</t>
  </si>
  <si>
    <t>4.3</t>
  </si>
  <si>
    <t>SICRO-2003245</t>
  </si>
  <si>
    <t>Dissipador de energia - DES 73-219 - areia, brita e pedra de mão comerciais</t>
  </si>
  <si>
    <t>4.4</t>
  </si>
  <si>
    <t>SICRO-2003453</t>
  </si>
  <si>
    <t>Dissipador de energia - DEB 180-263 - areia, brita e pedra de mão comerciais</t>
  </si>
  <si>
    <t>4.5</t>
  </si>
  <si>
    <t>SICRO-2003477</t>
  </si>
  <si>
    <t>Caixa coletora de sarjeta - CCS 200-60 A - com grelha de concreto - areia e brita comerciais</t>
  </si>
  <si>
    <t>4.6</t>
  </si>
  <si>
    <t>92212</t>
  </si>
  <si>
    <t>TUBO DE CONCRETO PARA REDES COLETORAS DE ÁGUAS PLUVIAIS, DIÂMETRO DE 600 MM, JUNTA RÍGIDA, INSTALADO EM LOCAL COM BAIXO NÍVEL DE INTERFERÊNCIAS - FORNECIMENTO E ASSENTAMENTO. AF_03/2024</t>
  </si>
  <si>
    <t>4.7</t>
  </si>
  <si>
    <t>SICRO-804377</t>
  </si>
  <si>
    <t>Boca de BSTC D = 0,60 m - esconsidade 0° - areia e brita comerciais - alas esconsas</t>
  </si>
  <si>
    <t>4.8</t>
  </si>
  <si>
    <t>SICRO-4805757</t>
  </si>
  <si>
    <t>Escavação mecânica de vala em material de 1ª categoria</t>
  </si>
  <si>
    <t>4.9</t>
  </si>
  <si>
    <t>101616</t>
  </si>
  <si>
    <t>PREPARO DE FUNDO DE VALA COM LARGURA MENOR QUE 1,5 M (ACERTO DO SOLO NATURAL), EM LOCAL COM NÍVEL BAIXO DE INTERFERÊNCIA. AF_01/2026</t>
  </si>
  <si>
    <t>4.10</t>
  </si>
  <si>
    <t>104741</t>
  </si>
  <si>
    <t>REATERRO MECANIZADO DE VALA COM MINICARREGADEIRA, COM PLACA VIBRATÓRIA. AF_08/2023</t>
  </si>
  <si>
    <t>5</t>
  </si>
  <si>
    <t>SINALIZAÇÃO</t>
  </si>
  <si>
    <t>5.1</t>
  </si>
  <si>
    <t>SICRO-5213441</t>
  </si>
  <si>
    <t>Placa de regulamentação em aço D = 0,80 m - película retrorrefletiva tipo I + SI - fornecimento e implantação</t>
  </si>
  <si>
    <t>5.2</t>
  </si>
  <si>
    <t>SICRO-5213464</t>
  </si>
  <si>
    <t>Placa de advertência em aço, lado de 0,60 m - película retrorrefletiva tipo I + SI - fornecimento e implantação</t>
  </si>
  <si>
    <t>5.3</t>
  </si>
  <si>
    <t>SICRO-5216111</t>
  </si>
  <si>
    <t>Suporte para placa de sinalização em madeira de lei tratada 8 x 8 cm - fornecimento e implantação</t>
  </si>
  <si>
    <t>5.4</t>
  </si>
  <si>
    <t>SICRO-5213401</t>
  </si>
  <si>
    <t>Pintura de faixa com tinta acrílica - espessura de 0,6 mm</t>
  </si>
  <si>
    <t>Total:</t>
  </si>
  <si>
    <t>Valor não utilizado (QCI):</t>
  </si>
  <si>
    <t>N° do Evento</t>
  </si>
  <si>
    <t>Título do Evento</t>
  </si>
  <si>
    <t>N° da Frente de Obra</t>
  </si>
  <si>
    <t>N° do Período de Conclusão do 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</si>
</sst>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_-&quot;R$ &quot;* #,##0.00_-;&quot;-R$ &quot;* #,##0.00_-;_-&quot;R$ &quot;* \-??_-;_-@_-"/>
  </numFmts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bgColor indexed="4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5" fontId="3" fillId="0" borderId="0" applyFill="0" applyBorder="0" applyAlignment="0" applyProtection="0"/>
    <xf numFmtId="0" fontId="1" fillId="0" borderId="0"/>
  </cellStyleXfs>
  <cellXfs count="17">
    <xf numFmtId="0" fontId="0" fillId="0" borderId="0" xfId="0"/>
    <xf numFmtId="0" fontId="2" fillId="2" borderId="0" xfId="2" applyFont="1" applyFill="1" applyAlignment="1">
      <alignment horizontal="center"/>
    </xf>
    <xf numFmtId="49" fontId="2" fillId="2" borderId="0" xfId="2" applyNumberFormat="1" applyFont="1" applyFill="1" applyAlignment="1">
      <alignment horizontal="center"/>
    </xf>
    <xf numFmtId="0" fontId="1" fillId="0" borderId="0" xfId="2"/>
    <xf numFmtId="49" fontId="3" fillId="0" borderId="1" xfId="2" applyNumberFormat="1" applyFont="1" applyBorder="1" applyAlignment="1">
      <alignment horizontal="center" vertical="center" wrapText="1"/>
    </xf>
    <xf numFmtId="49" fontId="3" fillId="0" borderId="1" xfId="2" quotePrefix="1" applyNumberFormat="1" applyFont="1" applyBorder="1" applyAlignment="1">
      <alignment horizontal="center" vertical="center" wrapText="1"/>
    </xf>
    <xf numFmtId="4" fontId="3" fillId="3" borderId="1" xfId="2" applyNumberFormat="1" applyFont="1" applyFill="1" applyBorder="1" applyAlignment="1">
      <alignment horizontal="center" vertical="center"/>
    </xf>
    <xf numFmtId="164" fontId="3" fillId="0" borderId="1" xfId="2" applyNumberFormat="1" applyFont="1" applyBorder="1" applyAlignment="1">
      <alignment horizontal="center" vertical="center"/>
    </xf>
    <xf numFmtId="2" fontId="3" fillId="0" borderId="1" xfId="2" applyNumberFormat="1" applyFont="1" applyBorder="1" applyAlignment="1">
      <alignment horizontal="center" vertical="center"/>
    </xf>
    <xf numFmtId="164" fontId="3" fillId="3" borderId="1" xfId="2" applyNumberFormat="1" applyFont="1" applyFill="1" applyBorder="1" applyAlignment="1">
      <alignment horizontal="center" vertical="center"/>
    </xf>
    <xf numFmtId="164" fontId="3" fillId="3" borderId="1" xfId="2" applyNumberFormat="1" applyFont="1" applyFill="1" applyBorder="1" applyAlignment="1">
      <alignment horizontal="center" vertical="center" wrapText="1"/>
    </xf>
    <xf numFmtId="1" fontId="3" fillId="0" borderId="1" xfId="2" applyNumberFormat="1" applyFont="1" applyBorder="1" applyAlignment="1">
      <alignment horizontal="center" vertical="center" wrapText="1"/>
    </xf>
    <xf numFmtId="4" fontId="3" fillId="0" borderId="1" xfId="2" applyNumberFormat="1" applyFont="1" applyBorder="1" applyAlignment="1">
      <alignment horizontal="center" vertical="center"/>
    </xf>
    <xf numFmtId="49" fontId="1" fillId="0" borderId="0" xfId="2" applyNumberFormat="1"/>
    <xf numFmtId="0" fontId="1" fillId="0" borderId="0" xfId="2" applyAlignment="1">
      <alignment horizontal="right"/>
    </xf>
    <xf numFmtId="165" fontId="3" fillId="4" borderId="1" xfId="1" applyFill="1" applyBorder="1"/>
    <xf numFmtId="0" fontId="3" fillId="0" borderId="1" xfId="2" applyFont="1" applyBorder="1" applyAlignment="1">
      <alignment horizontal="center" vertical="center" wrapText="1"/>
    </xf>
  </cellXfs>
  <cellStyles count="3">
    <cellStyle name="Moeda" xfId="1" builtinId="4"/>
    <cellStyle name="Normal" xfId="0" builtinId="0"/>
    <cellStyle name="Normal 4" xfId="2" xr:uid="{54A8B196-23D5-4160-B1B0-185FEEA8817A}"/>
  </cellStyles>
  <dxfs count="2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H:\Meu%20Drive\Engenharia\2026-02-26%20-%20PAVIMENTA&#199;&#213;ES%20VARGEM%20BONITA%202026\1,5Mi%20CAIXA\Planilha_Multipla_Pavimenta&#231;&#227;o%20VBO%20R01.xlsm" TargetMode="External"/><Relationship Id="rId1" Type="http://schemas.openxmlformats.org/officeDocument/2006/relationships/externalLinkPath" Target="Planilha_Multipla_Pavimenta&#231;&#227;o%20VBO%20R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>
        <row r="1">
          <cell r="J1" t="str">
            <v>PM</v>
          </cell>
          <cell r="K1" t="b">
            <v>1</v>
          </cell>
        </row>
        <row r="2">
          <cell r="J2" t="str">
            <v>v3.16</v>
          </cell>
          <cell r="K2" t="b">
            <v>1</v>
          </cell>
        </row>
        <row r="3">
          <cell r="O3">
            <v>1</v>
          </cell>
        </row>
        <row r="4">
          <cell r="J4" t="str">
            <v>PLE</v>
          </cell>
        </row>
      </sheetData>
      <sheetData sheetId="2">
        <row r="2">
          <cell r="G2" t="str">
            <v>(SELECIONAR)</v>
          </cell>
          <cell r="H2" t="str">
            <v>(SELECIONAR)</v>
          </cell>
          <cell r="I2" t="str">
            <v>(SELECIONAR)</v>
          </cell>
          <cell r="J2" t="str">
            <v>Tradicional</v>
          </cell>
          <cell r="L2" t="str">
            <v>Itens de Investimento</v>
          </cell>
          <cell r="M2" t="str">
            <v>Unidades habitacionais</v>
          </cell>
          <cell r="N2">
            <v>3</v>
          </cell>
          <cell r="O2" t="str">
            <v>Equipamentos comunitários</v>
          </cell>
          <cell r="P2">
            <v>6</v>
          </cell>
          <cell r="Q2" t="str">
            <v>Pavimentação</v>
          </cell>
          <cell r="R2">
            <v>6</v>
          </cell>
          <cell r="S2" t="str">
            <v xml:space="preserve">Drenagem </v>
          </cell>
          <cell r="T2">
            <v>6</v>
          </cell>
          <cell r="U2" t="str">
            <v>Abastecimento de água</v>
          </cell>
          <cell r="V2">
            <v>11</v>
          </cell>
          <cell r="W2" t="str">
            <v>Esgotamento sanitário</v>
          </cell>
          <cell r="X2">
            <v>8</v>
          </cell>
          <cell r="Y2" t="str">
            <v>Energia elétrica e iluminação pública</v>
          </cell>
          <cell r="Z2">
            <v>4</v>
          </cell>
          <cell r="AA2" t="str">
            <v>Coleta e tratamento de resíduos sólidos</v>
          </cell>
          <cell r="AB2">
            <v>6</v>
          </cell>
          <cell r="AC2" t="str">
            <v xml:space="preserve">Contenção e estabilização de encostas </v>
          </cell>
          <cell r="AD2">
            <v>2</v>
          </cell>
          <cell r="AE2" t="str">
            <v>Regularização fundiária</v>
          </cell>
          <cell r="AF2">
            <v>2</v>
          </cell>
          <cell r="AG2" t="str">
            <v>Aquisição de terreno</v>
          </cell>
          <cell r="AH2">
            <v>2</v>
          </cell>
          <cell r="AI2" t="str">
            <v>Aquisição de equipamentos e insumos</v>
          </cell>
          <cell r="AJ2">
            <v>1</v>
          </cell>
          <cell r="AK2" t="str">
            <v>Elaboração de estudos e projetos</v>
          </cell>
          <cell r="AL2">
            <v>1</v>
          </cell>
          <cell r="AM2" t="str">
            <v>Instrumentos e ações em planejamento e gestão pública</v>
          </cell>
          <cell r="AN2">
            <v>1</v>
          </cell>
          <cell r="AO2" t="str">
            <v>Ações complementares às obras</v>
          </cell>
          <cell r="AP2">
            <v>3</v>
          </cell>
          <cell r="AQ2" t="str">
            <v>Gerenciamento</v>
          </cell>
          <cell r="AR2">
            <v>1</v>
          </cell>
          <cell r="AS2" t="str">
            <v>Trabalho social</v>
          </cell>
          <cell r="AT2">
            <v>4</v>
          </cell>
          <cell r="AV2" t="str">
            <v>Sigla</v>
          </cell>
          <cell r="AW2" t="str">
            <v>Descrição</v>
          </cell>
        </row>
        <row r="3">
          <cell r="G3" t="str">
            <v>OGU</v>
          </cell>
          <cell r="H3" t="str">
            <v>NÃO SE APLICA</v>
          </cell>
          <cell r="I3" t="str">
            <v>INDEFINIDO / NÃO SE APLICA</v>
          </cell>
          <cell r="J3" t="str">
            <v>TransfereGOV</v>
          </cell>
          <cell r="L3" t="str">
            <v>Unidades habitacionais</v>
          </cell>
          <cell r="AV3" t="str">
            <v>%CT</v>
          </cell>
        </row>
        <row r="4">
          <cell r="C4" t="str">
            <v>OGU</v>
          </cell>
          <cell r="G4" t="str">
            <v>FGTS</v>
          </cell>
          <cell r="H4" t="str">
            <v>DESONERADO</v>
          </cell>
          <cell r="I4" t="str">
            <v>EMPREITADA POR PREÇO GLOBAL</v>
          </cell>
          <cell r="L4" t="str">
            <v>Equipamentos comunitários</v>
          </cell>
          <cell r="AV4" t="str">
            <v>°C</v>
          </cell>
        </row>
        <row r="5">
          <cell r="C5" t="str">
            <v>Município de Vargem Bonita/MG</v>
          </cell>
          <cell r="H5" t="str">
            <v>NÃO DESONERADO</v>
          </cell>
          <cell r="I5" t="str">
            <v>EMPREITADA POR PREÇO UNITÁRIO</v>
          </cell>
          <cell r="L5" t="str">
            <v>Pavimentação</v>
          </cell>
          <cell r="AV5" t="str">
            <v>°F</v>
          </cell>
        </row>
        <row r="6">
          <cell r="C6" t="str">
            <v>Vargem Bonita/MG</v>
          </cell>
          <cell r="I6" t="str">
            <v>EMPREITADA INTEGRAL</v>
          </cell>
          <cell r="L6" t="str">
            <v xml:space="preserve">Drenagem </v>
          </cell>
          <cell r="AV6" t="str">
            <v>100M</v>
          </cell>
        </row>
        <row r="7">
          <cell r="C7" t="str">
            <v>-</v>
          </cell>
          <cell r="I7" t="str">
            <v>TAREFA</v>
          </cell>
          <cell r="L7" t="str">
            <v>Abastecimento de água</v>
          </cell>
          <cell r="AV7" t="str">
            <v>18L</v>
          </cell>
        </row>
        <row r="8">
          <cell r="C8" t="str">
            <v>987905/2025</v>
          </cell>
          <cell r="I8" t="str">
            <v>CONTRATAÇÃO INTEGRADA</v>
          </cell>
          <cell r="L8" t="str">
            <v>Esgotamento sanitário</v>
          </cell>
          <cell r="AV8" t="str">
            <v>200KG</v>
          </cell>
        </row>
        <row r="9">
          <cell r="C9">
            <v>1432500</v>
          </cell>
          <cell r="I9" t="str">
            <v>ADM. DIRETA</v>
          </cell>
          <cell r="L9" t="str">
            <v>Energia elétrica e iluminação pública</v>
          </cell>
          <cell r="AV9" t="str">
            <v>250G</v>
          </cell>
        </row>
        <row r="10">
          <cell r="C10">
            <v>1500</v>
          </cell>
          <cell r="L10" t="str">
            <v>Coleta e tratamento de resíduos sólidos</v>
          </cell>
          <cell r="AV10" t="str">
            <v>310ML</v>
          </cell>
        </row>
        <row r="11">
          <cell r="C11">
            <v>0</v>
          </cell>
          <cell r="L11" t="str">
            <v xml:space="preserve">Contenção e estabilização de encostas </v>
          </cell>
          <cell r="AV11" t="str">
            <v>50KG</v>
          </cell>
        </row>
        <row r="12">
          <cell r="L12" t="str">
            <v>Regularização fundiária</v>
          </cell>
          <cell r="AV12" t="str">
            <v>A</v>
          </cell>
        </row>
        <row r="13">
          <cell r="L13" t="str">
            <v>Aquisição de terreno</v>
          </cell>
          <cell r="AV13" t="str">
            <v>ACA/ACC</v>
          </cell>
        </row>
        <row r="14">
          <cell r="L14" t="str">
            <v>Aquisição de equipamentos e insumos</v>
          </cell>
          <cell r="AV14" t="str">
            <v>AH</v>
          </cell>
        </row>
        <row r="15">
          <cell r="L15" t="str">
            <v>Elaboração de estudos e projetos</v>
          </cell>
          <cell r="AV15" t="str">
            <v>AH/H/V</v>
          </cell>
        </row>
        <row r="16">
          <cell r="C16" t="str">
            <v>Estradas vicinais no Município de Vargem Bonita/MG</v>
          </cell>
          <cell r="L16" t="str">
            <v>Instrumentos e ações em planejamento e gestão pública</v>
          </cell>
          <cell r="AV16" t="str">
            <v>AM</v>
          </cell>
        </row>
        <row r="17">
          <cell r="C17" t="str">
            <v>Pavimentação de estradas vicinais no Município de Vargem Bonita/MG</v>
          </cell>
          <cell r="L17" t="str">
            <v>Ações complementares às obras</v>
          </cell>
          <cell r="AV17" t="str">
            <v>AM0/4ML</v>
          </cell>
        </row>
        <row r="18">
          <cell r="C18" t="str">
            <v>DESONERADO</v>
          </cell>
          <cell r="D18" t="str">
            <v/>
          </cell>
          <cell r="L18" t="str">
            <v>Gerenciamento</v>
          </cell>
          <cell r="AV18" t="str">
            <v>AM0/5ML</v>
          </cell>
        </row>
        <row r="19">
          <cell r="D19" t="str">
            <v/>
          </cell>
          <cell r="L19" t="str">
            <v>Trabalho social</v>
          </cell>
          <cell r="AV19" t="str">
            <v>AM1/5ML</v>
          </cell>
        </row>
        <row r="20">
          <cell r="AV20" t="str">
            <v>AM10ML</v>
          </cell>
        </row>
        <row r="21">
          <cell r="AV21" t="str">
            <v>AM1ML</v>
          </cell>
        </row>
        <row r="22">
          <cell r="C22" t="str">
            <v>Rômulo Gaspar da Costa</v>
          </cell>
          <cell r="AV22" t="str">
            <v>AM2/5ML</v>
          </cell>
        </row>
        <row r="23">
          <cell r="C23" t="str">
            <v>160.658/D</v>
          </cell>
          <cell r="AV23" t="str">
            <v>AM2ML</v>
          </cell>
        </row>
        <row r="24">
          <cell r="C24" t="str">
            <v>MG20264855855</v>
          </cell>
          <cell r="AV24" t="str">
            <v>AM3ML</v>
          </cell>
        </row>
        <row r="25">
          <cell r="D25" t="str">
            <v/>
          </cell>
          <cell r="AV25" t="str">
            <v>AM4ML</v>
          </cell>
        </row>
        <row r="26">
          <cell r="AV26" t="str">
            <v>AM5ML</v>
          </cell>
        </row>
        <row r="27">
          <cell r="AV27" t="str">
            <v>AM6ML</v>
          </cell>
        </row>
        <row r="28">
          <cell r="AV28" t="str">
            <v>AM7ML</v>
          </cell>
        </row>
        <row r="29">
          <cell r="AV29" t="str">
            <v>ANO</v>
          </cell>
        </row>
        <row r="30">
          <cell r="AV30" t="str">
            <v>ANOS</v>
          </cell>
        </row>
        <row r="31">
          <cell r="C31" t="str">
            <v>TransfereGOV</v>
          </cell>
          <cell r="AV31" t="str">
            <v>ARR</v>
          </cell>
        </row>
        <row r="32">
          <cell r="AV32" t="str">
            <v>AWG</v>
          </cell>
        </row>
        <row r="33">
          <cell r="AV33" t="str">
            <v>BAR</v>
          </cell>
        </row>
        <row r="34">
          <cell r="AV34" t="str">
            <v>BAR.</v>
          </cell>
        </row>
        <row r="35">
          <cell r="AV35" t="str">
            <v>BD</v>
          </cell>
        </row>
        <row r="36">
          <cell r="AV36" t="str">
            <v>BIS</v>
          </cell>
        </row>
        <row r="37">
          <cell r="AV37" t="str">
            <v>BIS/GL</v>
          </cell>
        </row>
        <row r="38">
          <cell r="AV38" t="str">
            <v>BIS1/65G</v>
          </cell>
        </row>
        <row r="39">
          <cell r="AV39" t="str">
            <v>BIS1/8G</v>
          </cell>
        </row>
        <row r="40">
          <cell r="D40" t="str">
            <v/>
          </cell>
          <cell r="AV40" t="str">
            <v>BIS100G</v>
          </cell>
        </row>
        <row r="41">
          <cell r="D41" t="str">
            <v/>
          </cell>
          <cell r="AV41" t="str">
            <v>BIS10G</v>
          </cell>
        </row>
        <row r="42">
          <cell r="AV42" t="str">
            <v>BIS135G</v>
          </cell>
        </row>
        <row r="43">
          <cell r="AV43" t="str">
            <v>BIS13G</v>
          </cell>
        </row>
        <row r="44">
          <cell r="AV44" t="str">
            <v>BIS14G</v>
          </cell>
        </row>
        <row r="45">
          <cell r="AV45" t="str">
            <v>BIS15G</v>
          </cell>
        </row>
        <row r="46">
          <cell r="AV46" t="str">
            <v>BIS1G</v>
          </cell>
        </row>
        <row r="47">
          <cell r="AV47" t="str">
            <v>BIS20G</v>
          </cell>
        </row>
        <row r="48">
          <cell r="AV48" t="str">
            <v>BIS25G</v>
          </cell>
        </row>
        <row r="49">
          <cell r="AV49" t="str">
            <v>BIS28/8G</v>
          </cell>
        </row>
        <row r="50">
          <cell r="AV50" t="str">
            <v>BIS28G</v>
          </cell>
        </row>
        <row r="51">
          <cell r="AV51" t="str">
            <v>BIS2G</v>
          </cell>
        </row>
        <row r="52">
          <cell r="AV52" t="str">
            <v>BIS3/5G</v>
          </cell>
        </row>
        <row r="53">
          <cell r="AV53" t="str">
            <v>BIS30G</v>
          </cell>
        </row>
        <row r="54">
          <cell r="AV54" t="str">
            <v>BIS30ML</v>
          </cell>
        </row>
        <row r="55">
          <cell r="AV55" t="str">
            <v>BIS40G</v>
          </cell>
        </row>
        <row r="56">
          <cell r="AV56" t="str">
            <v>BIS43G</v>
          </cell>
        </row>
        <row r="57">
          <cell r="AV57" t="str">
            <v>BIS45G</v>
          </cell>
        </row>
        <row r="58">
          <cell r="AV58" t="str">
            <v>BIS47G</v>
          </cell>
        </row>
        <row r="59">
          <cell r="AV59" t="str">
            <v>BIS4G</v>
          </cell>
        </row>
        <row r="60">
          <cell r="AV60" t="str">
            <v>BIS50G</v>
          </cell>
        </row>
        <row r="61">
          <cell r="AV61" t="str">
            <v>BIS55G</v>
          </cell>
        </row>
        <row r="62">
          <cell r="AV62" t="str">
            <v>BIS56G</v>
          </cell>
        </row>
        <row r="63">
          <cell r="AV63" t="str">
            <v>BIS5G</v>
          </cell>
        </row>
        <row r="64">
          <cell r="AV64" t="str">
            <v>BIS60G</v>
          </cell>
        </row>
        <row r="65">
          <cell r="AV65" t="str">
            <v>BIS6G</v>
          </cell>
        </row>
        <row r="66">
          <cell r="AV66" t="str">
            <v>BIS7/5G</v>
          </cell>
        </row>
        <row r="67">
          <cell r="AV67" t="str">
            <v>BIS70G</v>
          </cell>
        </row>
        <row r="68">
          <cell r="AV68" t="str">
            <v>BIS80G</v>
          </cell>
        </row>
        <row r="69">
          <cell r="AV69" t="str">
            <v>BIS90G</v>
          </cell>
        </row>
        <row r="70">
          <cell r="AV70" t="str">
            <v>BIT</v>
          </cell>
        </row>
        <row r="71">
          <cell r="AV71" t="str">
            <v>BL</v>
          </cell>
        </row>
        <row r="72">
          <cell r="AV72" t="str">
            <v>BLIS</v>
          </cell>
        </row>
        <row r="73">
          <cell r="AV73" t="str">
            <v>BLIS21CP</v>
          </cell>
        </row>
        <row r="74">
          <cell r="AV74" t="str">
            <v>BLIS35CP</v>
          </cell>
        </row>
        <row r="75">
          <cell r="AV75" t="str">
            <v>BOB</v>
          </cell>
        </row>
        <row r="76">
          <cell r="AV76" t="str">
            <v>BOL</v>
          </cell>
        </row>
        <row r="77">
          <cell r="AV77" t="str">
            <v>BOM</v>
          </cell>
        </row>
        <row r="78">
          <cell r="AV78" t="str">
            <v>BPM</v>
          </cell>
        </row>
        <row r="79">
          <cell r="AV79" t="str">
            <v>BPS</v>
          </cell>
        </row>
        <row r="80">
          <cell r="AV80" t="str">
            <v>BR</v>
          </cell>
        </row>
        <row r="81">
          <cell r="AV81" t="str">
            <v>BRI</v>
          </cell>
        </row>
        <row r="82">
          <cell r="AV82" t="str">
            <v>BTJ</v>
          </cell>
        </row>
        <row r="83">
          <cell r="AV83" t="str">
            <v>BTU</v>
          </cell>
        </row>
        <row r="84">
          <cell r="AV84" t="str">
            <v>BTU/H</v>
          </cell>
        </row>
        <row r="85">
          <cell r="AV85" t="str">
            <v>BWG</v>
          </cell>
        </row>
        <row r="86">
          <cell r="AV86" t="str">
            <v>C</v>
          </cell>
        </row>
        <row r="87">
          <cell r="AV87" t="str">
            <v>CA</v>
          </cell>
        </row>
        <row r="88">
          <cell r="AV88" t="str">
            <v>CAD</v>
          </cell>
        </row>
        <row r="89">
          <cell r="AV89" t="str">
            <v>CAL/G</v>
          </cell>
        </row>
        <row r="90">
          <cell r="AV90" t="str">
            <v>CAPS</v>
          </cell>
        </row>
        <row r="91">
          <cell r="AV91" t="str">
            <v>CAR</v>
          </cell>
        </row>
        <row r="92">
          <cell r="AV92" t="str">
            <v>CC</v>
          </cell>
        </row>
        <row r="93">
          <cell r="AV93" t="str">
            <v>CD</v>
          </cell>
        </row>
        <row r="94">
          <cell r="AV94" t="str">
            <v>CD/M2</v>
          </cell>
        </row>
        <row r="95">
          <cell r="AV95" t="str">
            <v>CENTO</v>
          </cell>
        </row>
        <row r="96">
          <cell r="AV96" t="str">
            <v>CG</v>
          </cell>
        </row>
        <row r="97">
          <cell r="AV97" t="str">
            <v>CH</v>
          </cell>
        </row>
        <row r="98">
          <cell r="AV98" t="str">
            <v>CHI</v>
          </cell>
        </row>
        <row r="99">
          <cell r="AV99" t="str">
            <v>CHP</v>
          </cell>
        </row>
        <row r="100">
          <cell r="AV100" t="str">
            <v>CHP</v>
          </cell>
        </row>
        <row r="101">
          <cell r="AV101" t="str">
            <v>CI</v>
          </cell>
        </row>
        <row r="102">
          <cell r="AV102" t="str">
            <v>CIL</v>
          </cell>
        </row>
        <row r="103">
          <cell r="AV103" t="str">
            <v>CIN</v>
          </cell>
        </row>
        <row r="104">
          <cell r="AV104" t="str">
            <v>CJ</v>
          </cell>
        </row>
        <row r="105">
          <cell r="AV105" t="str">
            <v>CL</v>
          </cell>
        </row>
        <row r="106">
          <cell r="AV106" t="str">
            <v>CM</v>
          </cell>
        </row>
        <row r="107">
          <cell r="AV107" t="str">
            <v>CM/POL</v>
          </cell>
        </row>
        <row r="108">
          <cell r="AV108" t="str">
            <v>CM2</v>
          </cell>
        </row>
        <row r="109">
          <cell r="AV109" t="str">
            <v>CM2/H</v>
          </cell>
        </row>
        <row r="110">
          <cell r="AV110" t="str">
            <v>CM2/M</v>
          </cell>
        </row>
        <row r="111">
          <cell r="AV111" t="str">
            <v>CM3</v>
          </cell>
        </row>
        <row r="112">
          <cell r="AV112" t="str">
            <v>CM³/H</v>
          </cell>
        </row>
        <row r="113">
          <cell r="AV113" t="str">
            <v>CM³/MIN</v>
          </cell>
        </row>
        <row r="114">
          <cell r="AV114" t="str">
            <v>CNT</v>
          </cell>
        </row>
        <row r="115">
          <cell r="AV115" t="str">
            <v>CO</v>
          </cell>
        </row>
        <row r="116">
          <cell r="AV116" t="str">
            <v>COL</v>
          </cell>
        </row>
        <row r="117">
          <cell r="AV117" t="str">
            <v>COMP</v>
          </cell>
        </row>
        <row r="118">
          <cell r="AV118" t="str">
            <v>COMPR</v>
          </cell>
        </row>
        <row r="119">
          <cell r="AV119" t="str">
            <v>CÓPIA</v>
          </cell>
        </row>
        <row r="120">
          <cell r="AV120" t="str">
            <v>COPO</v>
          </cell>
        </row>
        <row r="121">
          <cell r="AV121" t="str">
            <v>CP</v>
          </cell>
        </row>
        <row r="122">
          <cell r="AV122" t="str">
            <v>CPL</v>
          </cell>
        </row>
        <row r="123">
          <cell r="AV123" t="str">
            <v>CPM</v>
          </cell>
        </row>
        <row r="124">
          <cell r="AV124" t="str">
            <v>CPS</v>
          </cell>
        </row>
        <row r="125">
          <cell r="AV125" t="str">
            <v>CRT</v>
          </cell>
        </row>
        <row r="126">
          <cell r="AV126" t="str">
            <v>CS</v>
          </cell>
        </row>
        <row r="127">
          <cell r="AV127" t="str">
            <v>CST</v>
          </cell>
        </row>
        <row r="128">
          <cell r="AV128" t="str">
            <v>CT</v>
          </cell>
        </row>
        <row r="129">
          <cell r="AV129" t="str">
            <v>CTE</v>
          </cell>
        </row>
        <row r="130">
          <cell r="AV130" t="str">
            <v>CV</v>
          </cell>
        </row>
        <row r="131">
          <cell r="AV131" t="str">
            <v>CX</v>
          </cell>
        </row>
        <row r="132">
          <cell r="AV132" t="str">
            <v>CX100UN</v>
          </cell>
        </row>
        <row r="133">
          <cell r="AV133" t="str">
            <v>CX40UN</v>
          </cell>
        </row>
        <row r="134">
          <cell r="AV134" t="str">
            <v>D</v>
          </cell>
        </row>
        <row r="135">
          <cell r="AV135" t="str">
            <v>DAG</v>
          </cell>
        </row>
        <row r="136">
          <cell r="AV136" t="str">
            <v>DAL</v>
          </cell>
        </row>
        <row r="137">
          <cell r="AV137" t="str">
            <v>DAM</v>
          </cell>
        </row>
        <row r="138">
          <cell r="AV138" t="str">
            <v>DAN</v>
          </cell>
        </row>
        <row r="139">
          <cell r="AV139" t="str">
            <v>DB</v>
          </cell>
        </row>
        <row r="140">
          <cell r="AV140" t="str">
            <v>DBM</v>
          </cell>
        </row>
        <row r="141">
          <cell r="AV141" t="str">
            <v>DG</v>
          </cell>
        </row>
        <row r="142">
          <cell r="AV142" t="str">
            <v>DGT</v>
          </cell>
        </row>
        <row r="143">
          <cell r="AV143" t="str">
            <v>DIA</v>
          </cell>
        </row>
        <row r="144">
          <cell r="AV144" t="str">
            <v>DIAS</v>
          </cell>
        </row>
        <row r="145">
          <cell r="AV145" t="str">
            <v>DISCO</v>
          </cell>
        </row>
        <row r="146">
          <cell r="AV146" t="str">
            <v>DL</v>
          </cell>
        </row>
        <row r="147">
          <cell r="AV147" t="str">
            <v>DM</v>
          </cell>
        </row>
        <row r="148">
          <cell r="AV148" t="str">
            <v>DM2</v>
          </cell>
        </row>
        <row r="149">
          <cell r="AV149" t="str">
            <v>DM3</v>
          </cell>
        </row>
        <row r="150">
          <cell r="AV150" t="str">
            <v>DM3</v>
          </cell>
        </row>
        <row r="151">
          <cell r="AV151" t="str">
            <v>DOSES</v>
          </cell>
        </row>
        <row r="152">
          <cell r="AV152" t="str">
            <v>DPI</v>
          </cell>
        </row>
        <row r="153">
          <cell r="AV153" t="str">
            <v>DPT</v>
          </cell>
        </row>
        <row r="154">
          <cell r="AV154" t="str">
            <v>DRAG</v>
          </cell>
        </row>
        <row r="155">
          <cell r="AV155" t="str">
            <v>DZ</v>
          </cell>
        </row>
        <row r="156">
          <cell r="AV156" t="str">
            <v>EMB</v>
          </cell>
        </row>
        <row r="157">
          <cell r="AV157" t="str">
            <v>EMB/H</v>
          </cell>
        </row>
        <row r="158">
          <cell r="AV158" t="str">
            <v>EMP</v>
          </cell>
        </row>
        <row r="159">
          <cell r="AV159" t="str">
            <v>ENV</v>
          </cell>
        </row>
        <row r="160">
          <cell r="AV160" t="str">
            <v>ENV27/9G</v>
          </cell>
        </row>
        <row r="161">
          <cell r="AV161" t="str">
            <v>ENV30G</v>
          </cell>
        </row>
        <row r="162">
          <cell r="AV162" t="str">
            <v>EQP</v>
          </cell>
        </row>
        <row r="163">
          <cell r="AV163" t="str">
            <v>EST</v>
          </cell>
        </row>
        <row r="164">
          <cell r="AV164" t="str">
            <v>EV</v>
          </cell>
        </row>
        <row r="165">
          <cell r="AV165" t="str">
            <v>F</v>
          </cell>
        </row>
        <row r="166">
          <cell r="AV166" t="str">
            <v>FCK</v>
          </cell>
        </row>
        <row r="167">
          <cell r="AV167" t="str">
            <v>FD</v>
          </cell>
        </row>
        <row r="168">
          <cell r="AV168" t="str">
            <v>FL</v>
          </cell>
        </row>
        <row r="169">
          <cell r="AV169" t="str">
            <v>FLAC</v>
          </cell>
        </row>
        <row r="170">
          <cell r="AV170" t="str">
            <v>FLS/H</v>
          </cell>
        </row>
        <row r="171">
          <cell r="AV171" t="str">
            <v>FPM</v>
          </cell>
        </row>
        <row r="172">
          <cell r="AV172" t="str">
            <v>FPS</v>
          </cell>
        </row>
        <row r="173">
          <cell r="AV173" t="str">
            <v>FR</v>
          </cell>
        </row>
        <row r="174">
          <cell r="AV174" t="str">
            <v>FR1000ML</v>
          </cell>
        </row>
        <row r="175">
          <cell r="AV175" t="str">
            <v>FR100DS</v>
          </cell>
        </row>
        <row r="176">
          <cell r="AV176" t="str">
            <v>FR100ML</v>
          </cell>
        </row>
        <row r="177">
          <cell r="AV177" t="str">
            <v>FR105ML</v>
          </cell>
        </row>
        <row r="178">
          <cell r="AV178" t="str">
            <v>FR10ML</v>
          </cell>
        </row>
        <row r="179">
          <cell r="AV179" t="str">
            <v>FR110ML</v>
          </cell>
        </row>
        <row r="180">
          <cell r="AV180" t="str">
            <v>FR1200MG</v>
          </cell>
        </row>
        <row r="181">
          <cell r="AV181" t="str">
            <v>FR120DS</v>
          </cell>
        </row>
        <row r="182">
          <cell r="AV182" t="str">
            <v>FR120ML</v>
          </cell>
        </row>
        <row r="183">
          <cell r="AV183" t="str">
            <v>FR125ML</v>
          </cell>
        </row>
        <row r="184">
          <cell r="AV184" t="str">
            <v>FR130DS</v>
          </cell>
        </row>
        <row r="185">
          <cell r="AV185" t="str">
            <v>FR1500MG</v>
          </cell>
        </row>
        <row r="186">
          <cell r="AV186" t="str">
            <v>FR150DS</v>
          </cell>
        </row>
        <row r="187">
          <cell r="AV187" t="str">
            <v>FR150ML</v>
          </cell>
        </row>
        <row r="188">
          <cell r="AV188" t="str">
            <v>FR15ML</v>
          </cell>
        </row>
        <row r="189">
          <cell r="AV189" t="str">
            <v>FR160ML</v>
          </cell>
        </row>
        <row r="190">
          <cell r="AV190" t="str">
            <v>FR200DS</v>
          </cell>
        </row>
        <row r="191">
          <cell r="AV191" t="str">
            <v>FR200ML</v>
          </cell>
        </row>
        <row r="192">
          <cell r="AV192" t="str">
            <v>FR20ML</v>
          </cell>
        </row>
        <row r="193">
          <cell r="AV193" t="str">
            <v>FR240ML</v>
          </cell>
        </row>
        <row r="194">
          <cell r="AV194" t="str">
            <v>FR250ML</v>
          </cell>
        </row>
        <row r="195">
          <cell r="AV195" t="str">
            <v>FR300DS</v>
          </cell>
        </row>
        <row r="196">
          <cell r="AV196" t="str">
            <v>FR300ML</v>
          </cell>
        </row>
        <row r="197">
          <cell r="AV197" t="str">
            <v>FR30DS</v>
          </cell>
        </row>
        <row r="198">
          <cell r="AV198" t="str">
            <v>FR30G</v>
          </cell>
        </row>
        <row r="199">
          <cell r="AV199" t="str">
            <v>FR30ML</v>
          </cell>
        </row>
        <row r="200">
          <cell r="AV200" t="str">
            <v>FR340ML</v>
          </cell>
        </row>
        <row r="201">
          <cell r="AV201" t="str">
            <v>FR350ML</v>
          </cell>
        </row>
        <row r="202">
          <cell r="AV202" t="str">
            <v>FR40ML</v>
          </cell>
        </row>
        <row r="203">
          <cell r="AV203" t="str">
            <v>FR45ML</v>
          </cell>
        </row>
        <row r="204">
          <cell r="AV204" t="str">
            <v>FR500ML</v>
          </cell>
        </row>
        <row r="205">
          <cell r="AV205" t="str">
            <v>H</v>
          </cell>
        </row>
        <row r="206">
          <cell r="AV206" t="str">
            <v>KG</v>
          </cell>
        </row>
        <row r="207">
          <cell r="AV207" t="str">
            <v>KM</v>
          </cell>
        </row>
        <row r="208">
          <cell r="AV208" t="str">
            <v>M</v>
          </cell>
        </row>
        <row r="209">
          <cell r="AV209" t="str">
            <v>M2</v>
          </cell>
        </row>
        <row r="210">
          <cell r="AV210" t="str">
            <v>M3</v>
          </cell>
        </row>
        <row r="211">
          <cell r="AV211" t="str">
            <v>M3XKM</v>
          </cell>
        </row>
        <row r="212">
          <cell r="AV212" t="str">
            <v>MES</v>
          </cell>
        </row>
        <row r="213">
          <cell r="AV213" t="str">
            <v>MÊS</v>
          </cell>
        </row>
        <row r="214">
          <cell r="AV214" t="str">
            <v>MESES</v>
          </cell>
        </row>
        <row r="215">
          <cell r="AV215" t="str">
            <v>OUTRAS</v>
          </cell>
        </row>
        <row r="216">
          <cell r="AV216" t="str">
            <v>PAR</v>
          </cell>
        </row>
        <row r="217">
          <cell r="AV217" t="str">
            <v>PC</v>
          </cell>
        </row>
        <row r="218">
          <cell r="AV218" t="str">
            <v>T</v>
          </cell>
        </row>
        <row r="219">
          <cell r="AV219" t="str">
            <v>TXKM</v>
          </cell>
        </row>
        <row r="220">
          <cell r="AV220" t="str">
            <v>UN</v>
          </cell>
        </row>
      </sheetData>
      <sheetData sheetId="3">
        <row r="14">
          <cell r="J14" t="str">
            <v>BDI 1</v>
          </cell>
        </row>
        <row r="17">
          <cell r="J17" t="str">
            <v>Construção de Praças Urbanas, Rodovias, Ferrovias e recapeamento e pavimentação de vias urbanas</v>
          </cell>
        </row>
        <row r="54">
          <cell r="J54" t="str">
            <v>BDI 2</v>
          </cell>
        </row>
        <row r="94">
          <cell r="J94" t="str">
            <v>BDI 3</v>
          </cell>
        </row>
        <row r="97">
          <cell r="J97" t="str">
            <v>(SELECIONAR)</v>
          </cell>
        </row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>
        <row r="2">
          <cell r="E2" t="str">
            <v>Meta</v>
          </cell>
          <cell r="F2" t="str">
            <v>Nível 2</v>
          </cell>
          <cell r="G2" t="str">
            <v>Nível 3</v>
          </cell>
          <cell r="H2" t="str">
            <v>Nível 4</v>
          </cell>
          <cell r="I2" t="str">
            <v>Serviço</v>
          </cell>
        </row>
        <row r="3">
          <cell r="E3" t="str">
            <v>SINAPI</v>
          </cell>
          <cell r="F3" t="str">
            <v>SINAPI-I</v>
          </cell>
          <cell r="G3" t="str">
            <v>SICRO</v>
          </cell>
          <cell r="H3" t="str">
            <v>Composição</v>
          </cell>
          <cell r="I3" t="str">
            <v>Cotação</v>
          </cell>
        </row>
        <row r="4">
          <cell r="F4" t="str">
            <v>BDI 1</v>
          </cell>
          <cell r="G4" t="str">
            <v>BDI 2</v>
          </cell>
          <cell r="H4" t="str">
            <v>BDI 3</v>
          </cell>
          <cell r="I4">
            <v>0</v>
          </cell>
        </row>
        <row r="7">
          <cell r="F7" t="str">
            <v>RA</v>
          </cell>
          <cell r="G7" t="str">
            <v>RP</v>
          </cell>
          <cell r="H7" t="str">
            <v>CP</v>
          </cell>
          <cell r="I7" t="str">
            <v>OU</v>
          </cell>
        </row>
        <row r="8">
          <cell r="F8" t="str">
            <v>'[Referência 02-2026.xlsm]Banco'!$a5:$a$65536</v>
          </cell>
          <cell r="AF8" t="b">
            <v>1</v>
          </cell>
        </row>
        <row r="10">
          <cell r="AF10" t="b">
            <v>1</v>
          </cell>
        </row>
        <row r="11">
          <cell r="AF11" t="b">
            <v>1</v>
          </cell>
        </row>
        <row r="15">
          <cell r="M15" t="str">
            <v>LOTE</v>
          </cell>
          <cell r="X15">
            <v>1433999.2</v>
          </cell>
          <cell r="Z15" t="str">
            <v/>
          </cell>
          <cell r="AA15">
            <v>1499.1999999999539</v>
          </cell>
          <cell r="AB15">
            <v>0</v>
          </cell>
        </row>
        <row r="16">
          <cell r="X16">
            <v>1433999.2</v>
          </cell>
          <cell r="Z16" t="str">
            <v/>
          </cell>
          <cell r="AA16">
            <v>1499.1999999999539</v>
          </cell>
          <cell r="AB16">
            <v>0</v>
          </cell>
        </row>
        <row r="17">
          <cell r="X17">
            <v>21851.05</v>
          </cell>
          <cell r="Z17" t="str">
            <v/>
          </cell>
          <cell r="AA17">
            <v>22.84456934146057</v>
          </cell>
          <cell r="AB17">
            <v>0</v>
          </cell>
        </row>
        <row r="18">
          <cell r="X18">
            <v>4291.2</v>
          </cell>
          <cell r="Z18" t="str">
            <v>RA</v>
          </cell>
          <cell r="AA18">
            <v>4.4863114567984415</v>
          </cell>
          <cell r="AB18">
            <v>0</v>
          </cell>
        </row>
        <row r="19">
          <cell r="X19">
            <v>11620.37</v>
          </cell>
          <cell r="Z19" t="str">
            <v>RA</v>
          </cell>
          <cell r="AA19">
            <v>12.148722749635747</v>
          </cell>
          <cell r="AB19">
            <v>0</v>
          </cell>
        </row>
        <row r="20">
          <cell r="X20">
            <v>5339.48</v>
          </cell>
          <cell r="Z20" t="str">
            <v>RA</v>
          </cell>
          <cell r="AA20">
            <v>5.5822544503509839</v>
          </cell>
          <cell r="AB20">
            <v>0</v>
          </cell>
        </row>
        <row r="21">
          <cell r="X21">
            <v>600</v>
          </cell>
          <cell r="Z21" t="str">
            <v>RA</v>
          </cell>
          <cell r="AA21">
            <v>0.62728068467539733</v>
          </cell>
          <cell r="AB21">
            <v>0</v>
          </cell>
        </row>
        <row r="22">
          <cell r="X22">
            <v>36693.360000000001</v>
          </cell>
          <cell r="Z22" t="str">
            <v/>
          </cell>
          <cell r="AA22">
            <v>38.361726639734734</v>
          </cell>
          <cell r="AB22">
            <v>0</v>
          </cell>
        </row>
        <row r="23">
          <cell r="X23">
            <v>36693.360000000001</v>
          </cell>
          <cell r="Z23" t="str">
            <v>RA</v>
          </cell>
          <cell r="AA23">
            <v>38.361726639734734</v>
          </cell>
          <cell r="AB23">
            <v>0</v>
          </cell>
        </row>
        <row r="24">
          <cell r="X24">
            <v>1081547.56</v>
          </cell>
          <cell r="Z24" t="str">
            <v/>
          </cell>
          <cell r="AA24">
            <v>1130.7231565763423</v>
          </cell>
          <cell r="AB24">
            <v>0</v>
          </cell>
        </row>
        <row r="25">
          <cell r="X25">
            <v>63864.490000000005</v>
          </cell>
          <cell r="Z25" t="str">
            <v>RA</v>
          </cell>
          <cell r="AA25">
            <v>66.768268356075112</v>
          </cell>
          <cell r="AB25">
            <v>0</v>
          </cell>
        </row>
        <row r="26">
          <cell r="X26">
            <v>37676.35</v>
          </cell>
          <cell r="Z26" t="str">
            <v>RA</v>
          </cell>
          <cell r="AA26">
            <v>39.389411040116507</v>
          </cell>
          <cell r="AB26">
            <v>0</v>
          </cell>
        </row>
        <row r="27">
          <cell r="X27">
            <v>848195.27</v>
          </cell>
          <cell r="Z27" t="str">
            <v>RA</v>
          </cell>
          <cell r="AA27">
            <v>886.76084950672259</v>
          </cell>
          <cell r="AB27">
            <v>0</v>
          </cell>
        </row>
        <row r="28">
          <cell r="X28">
            <v>131811.45000000001</v>
          </cell>
          <cell r="Z28" t="str">
            <v>RA</v>
          </cell>
          <cell r="AA28">
            <v>137.80462767342817</v>
          </cell>
          <cell r="AB28">
            <v>0</v>
          </cell>
        </row>
        <row r="29">
          <cell r="X29">
            <v>260118.72</v>
          </cell>
          <cell r="Z29" t="str">
            <v/>
          </cell>
          <cell r="AA29">
            <v>271.94574796414662</v>
          </cell>
          <cell r="AB29">
            <v>0</v>
          </cell>
        </row>
        <row r="30">
          <cell r="X30">
            <v>182697.81</v>
          </cell>
          <cell r="Z30" t="str">
            <v>RA</v>
          </cell>
          <cell r="AA30">
            <v>191.00467890915942</v>
          </cell>
          <cell r="AB30">
            <v>0</v>
          </cell>
        </row>
        <row r="31">
          <cell r="X31">
            <v>10706.900000000001</v>
          </cell>
          <cell r="Z31" t="str">
            <v>RA</v>
          </cell>
          <cell r="AA31">
            <v>11.193719271251688</v>
          </cell>
          <cell r="AB31">
            <v>0</v>
          </cell>
        </row>
        <row r="32">
          <cell r="X32">
            <v>6742.6</v>
          </cell>
          <cell r="Z32" t="str">
            <v>RA</v>
          </cell>
          <cell r="AA32">
            <v>7.0491712408205576</v>
          </cell>
          <cell r="AB32">
            <v>0</v>
          </cell>
        </row>
        <row r="33">
          <cell r="X33">
            <v>3771.0299999999997</v>
          </cell>
          <cell r="Z33" t="str">
            <v>RA</v>
          </cell>
          <cell r="AA33">
            <v>3.9424904672191059</v>
          </cell>
          <cell r="AB33">
            <v>0</v>
          </cell>
        </row>
        <row r="34">
          <cell r="X34">
            <v>35961.24</v>
          </cell>
          <cell r="Z34" t="str">
            <v>RA</v>
          </cell>
          <cell r="AA34">
            <v>37.596318748293811</v>
          </cell>
          <cell r="AB34">
            <v>0</v>
          </cell>
        </row>
        <row r="35">
          <cell r="X35">
            <v>13692.6</v>
          </cell>
          <cell r="Z35" t="str">
            <v>RA</v>
          </cell>
          <cell r="AA35">
            <v>14.315172504977243</v>
          </cell>
          <cell r="AB35">
            <v>0</v>
          </cell>
        </row>
        <row r="36">
          <cell r="X36">
            <v>4364.5199999999995</v>
          </cell>
          <cell r="Z36" t="str">
            <v>RA</v>
          </cell>
          <cell r="AA36">
            <v>4.5629651564657747</v>
          </cell>
          <cell r="AB36">
            <v>0</v>
          </cell>
        </row>
        <row r="37">
          <cell r="X37">
            <v>482.76</v>
          </cell>
          <cell r="Z37" t="str">
            <v>RA</v>
          </cell>
          <cell r="AA37">
            <v>0.50471003888982469</v>
          </cell>
          <cell r="AB37">
            <v>0</v>
          </cell>
        </row>
        <row r="38">
          <cell r="X38">
            <v>380.88</v>
          </cell>
          <cell r="Z38" t="str">
            <v>RA</v>
          </cell>
          <cell r="AA38">
            <v>0.39819777863194222</v>
          </cell>
          <cell r="AB38">
            <v>0</v>
          </cell>
        </row>
        <row r="39">
          <cell r="X39">
            <v>1318.38</v>
          </cell>
          <cell r="Z39" t="str">
            <v>RA</v>
          </cell>
          <cell r="AA39">
            <v>1.3783238484372506</v>
          </cell>
          <cell r="AB39">
            <v>0</v>
          </cell>
        </row>
        <row r="40">
          <cell r="X40">
            <v>33788.51</v>
          </cell>
          <cell r="Z40" t="str">
            <v/>
          </cell>
          <cell r="AA40">
            <v>35.324799478269185</v>
          </cell>
          <cell r="AB40">
            <v>0</v>
          </cell>
        </row>
        <row r="41">
          <cell r="X41">
            <v>3645.18</v>
          </cell>
          <cell r="Z41" t="str">
            <v>RA</v>
          </cell>
          <cell r="AA41">
            <v>3.8109183436084413</v>
          </cell>
          <cell r="AB41">
            <v>0</v>
          </cell>
        </row>
        <row r="42">
          <cell r="X42">
            <v>2853.52</v>
          </cell>
          <cell r="Z42" t="str">
            <v>RA</v>
          </cell>
          <cell r="AA42">
            <v>2.9832632988915666</v>
          </cell>
          <cell r="AB42">
            <v>0</v>
          </cell>
        </row>
        <row r="43">
          <cell r="X43">
            <v>2466.8000000000002</v>
          </cell>
          <cell r="Z43" t="str">
            <v>RA</v>
          </cell>
          <cell r="AA43">
            <v>2.5789599882621173</v>
          </cell>
          <cell r="AB43">
            <v>0</v>
          </cell>
        </row>
        <row r="44">
          <cell r="X44">
            <v>24823.01</v>
          </cell>
          <cell r="Z44" t="str">
            <v>RA</v>
          </cell>
          <cell r="AA44">
            <v>25.951657847507057</v>
          </cell>
          <cell r="AB44">
            <v>0</v>
          </cell>
        </row>
      </sheetData>
      <sheetData sheetId="5">
        <row r="1">
          <cell r="C1" t="e">
            <v>#REF!</v>
          </cell>
        </row>
        <row r="4">
          <cell r="C4" t="str">
            <v>PROPONENTE / TOMADOR</v>
          </cell>
        </row>
        <row r="5">
          <cell r="C5" t="str">
            <v>Município de Vargem Bonita/MG</v>
          </cell>
        </row>
        <row r="6">
          <cell r="B6" t="str">
            <v>Automática, conforme os agrupadores Nível 2 do Orçamento</v>
          </cell>
          <cell r="C6" t="str">
            <v>1. Selecione abaixo a forma de definição dos agrupadores de eventos:</v>
          </cell>
        </row>
        <row r="7">
          <cell r="B7" t="str">
            <v>Automática, conforme os agrupadores Nível 3 do Orçamento</v>
          </cell>
        </row>
        <row r="8">
          <cell r="B8" t="str">
            <v>Automática, conforme os agrupadores Nível 4 do Orçamento</v>
          </cell>
          <cell r="C8" t="str">
            <v>Automática, conforme os agrupadores Nível 2 do Orçamento</v>
          </cell>
        </row>
        <row r="9">
          <cell r="B9" t="str">
            <v>Definir Manualmente</v>
          </cell>
        </row>
        <row r="10">
          <cell r="C10">
            <v>0</v>
          </cell>
        </row>
        <row r="11">
          <cell r="C11" t="str">
            <v>Foi selecionada a forma automática de definição dos agrupadores de eventos.</v>
          </cell>
        </row>
        <row r="13">
          <cell r="C13" t="str">
            <v>Nº do Evento</v>
          </cell>
        </row>
        <row r="15">
          <cell r="A15" t="str">
            <v/>
          </cell>
          <cell r="B15" t="str">
            <v/>
          </cell>
          <cell r="C15">
            <v>0</v>
          </cell>
          <cell r="D15" t="str">
            <v/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</row>
        <row r="16">
          <cell r="C16">
            <v>1</v>
          </cell>
        </row>
        <row r="17">
          <cell r="C17" t="str">
            <v xml:space="preserve"> </v>
          </cell>
        </row>
        <row r="18">
          <cell r="C18" t="str">
            <v xml:space="preserve"> </v>
          </cell>
        </row>
        <row r="19">
          <cell r="C19" t="str">
            <v xml:space="preserve"> </v>
          </cell>
        </row>
        <row r="20">
          <cell r="C20" t="str">
            <v xml:space="preserve"> </v>
          </cell>
        </row>
      </sheetData>
      <sheetData sheetId="6">
        <row r="1">
          <cell r="M1">
            <v>4</v>
          </cell>
        </row>
        <row r="11">
          <cell r="A11" t="str">
            <v>Manual</v>
          </cell>
        </row>
        <row r="12">
          <cell r="A12">
            <v>2</v>
          </cell>
          <cell r="Q12" t="str">
            <v>PAV Estrada VBO / PRATA</v>
          </cell>
          <cell r="AQ12" t="str">
            <v>.</v>
          </cell>
        </row>
        <row r="15">
          <cell r="M15">
            <v>0</v>
          </cell>
          <cell r="Q15">
            <v>558971.36</v>
          </cell>
        </row>
        <row r="16">
          <cell r="M16" t="str">
            <v/>
          </cell>
        </row>
        <row r="17">
          <cell r="M17" t="str">
            <v/>
          </cell>
        </row>
        <row r="18">
          <cell r="M18">
            <v>1</v>
          </cell>
        </row>
        <row r="19">
          <cell r="M19">
            <v>1</v>
          </cell>
        </row>
        <row r="20">
          <cell r="M20">
            <v>1</v>
          </cell>
        </row>
        <row r="21">
          <cell r="M21">
            <v>1</v>
          </cell>
        </row>
        <row r="22">
          <cell r="M22" t="str">
            <v/>
          </cell>
        </row>
        <row r="23">
          <cell r="M23">
            <v>2</v>
          </cell>
        </row>
        <row r="24">
          <cell r="M24" t="str">
            <v/>
          </cell>
        </row>
        <row r="25">
          <cell r="M25">
            <v>3</v>
          </cell>
        </row>
        <row r="26">
          <cell r="M26">
            <v>3</v>
          </cell>
        </row>
        <row r="27">
          <cell r="M27">
            <v>3</v>
          </cell>
        </row>
        <row r="28">
          <cell r="M28">
            <v>3</v>
          </cell>
        </row>
        <row r="29">
          <cell r="M29" t="str">
            <v/>
          </cell>
        </row>
        <row r="30">
          <cell r="M30">
            <v>4</v>
          </cell>
        </row>
        <row r="31">
          <cell r="M31">
            <v>4</v>
          </cell>
        </row>
        <row r="32">
          <cell r="M32">
            <v>4</v>
          </cell>
        </row>
        <row r="33">
          <cell r="M33">
            <v>4</v>
          </cell>
        </row>
        <row r="34">
          <cell r="M34">
            <v>4</v>
          </cell>
        </row>
        <row r="35">
          <cell r="M35">
            <v>4</v>
          </cell>
        </row>
        <row r="36">
          <cell r="M36">
            <v>4</v>
          </cell>
        </row>
        <row r="37">
          <cell r="M37">
            <v>4</v>
          </cell>
        </row>
        <row r="38">
          <cell r="M38">
            <v>4</v>
          </cell>
        </row>
        <row r="39">
          <cell r="M39">
            <v>4</v>
          </cell>
        </row>
        <row r="40">
          <cell r="M40" t="str">
            <v/>
          </cell>
        </row>
        <row r="41">
          <cell r="M41">
            <v>5</v>
          </cell>
        </row>
        <row r="42">
          <cell r="M42">
            <v>5</v>
          </cell>
        </row>
        <row r="43">
          <cell r="M43">
            <v>5</v>
          </cell>
        </row>
        <row r="44">
          <cell r="M44">
            <v>5</v>
          </cell>
        </row>
      </sheetData>
      <sheetData sheetId="7">
        <row r="6">
          <cell r="B6" t="str">
            <v/>
          </cell>
        </row>
        <row r="8">
          <cell r="B8" t="str">
            <v>2. ADMINISTRAÇÃO LOCAL</v>
          </cell>
        </row>
        <row r="15">
          <cell r="F15" t="str">
            <v/>
          </cell>
        </row>
        <row r="16">
          <cell r="F16" t="str">
            <v>1. SERVIÇOS PRELIMINARES</v>
          </cell>
        </row>
        <row r="17">
          <cell r="F17" t="str">
            <v>2. ADMINISTRAÇÃO LOCAL</v>
          </cell>
        </row>
        <row r="18">
          <cell r="F18" t="str">
            <v>3. PAVIMENTAÇÃO</v>
          </cell>
        </row>
        <row r="19">
          <cell r="F19" t="str">
            <v xml:space="preserve">4. DRENAGEM  </v>
          </cell>
        </row>
        <row r="20">
          <cell r="F20" t="str">
            <v>5. SINALIZAÇÃO</v>
          </cell>
        </row>
      </sheetData>
      <sheetData sheetId="8">
        <row r="9">
          <cell r="A9">
            <v>2</v>
          </cell>
        </row>
        <row r="10">
          <cell r="A10">
            <v>3</v>
          </cell>
          <cell r="H10">
            <v>2</v>
          </cell>
        </row>
        <row r="11">
          <cell r="A11">
            <v>4</v>
          </cell>
        </row>
        <row r="14">
          <cell r="A14" t="str">
            <v/>
          </cell>
        </row>
        <row r="17">
          <cell r="A17" t="str">
            <v>1.1. SERVIÇOS PRELIMINARES</v>
          </cell>
        </row>
        <row r="20">
          <cell r="A20" t="str">
            <v>1.2. ADMINISTRAÇÃO LOCAL</v>
          </cell>
        </row>
        <row r="23">
          <cell r="A23" t="str">
            <v>1.3. PAVIMENTAÇÃO</v>
          </cell>
        </row>
        <row r="26">
          <cell r="A26" t="str">
            <v xml:space="preserve">1.4. DRENAGEM  </v>
          </cell>
        </row>
        <row r="29">
          <cell r="A29" t="str">
            <v>1.5. SINALIZAÇÃO</v>
          </cell>
        </row>
        <row r="38">
          <cell r="U38">
            <v>0.38979999999999998</v>
          </cell>
          <cell r="V38">
            <v>0.78659999999999997</v>
          </cell>
          <cell r="W38">
            <v>0.88449999999999995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</row>
      </sheetData>
      <sheetData sheetId="9">
        <row r="2">
          <cell r="A2" t="str">
            <v>Sem Projeto</v>
          </cell>
        </row>
        <row r="3">
          <cell r="A3" t="str">
            <v>Em Análise</v>
          </cell>
        </row>
        <row r="4">
          <cell r="A4" t="str">
            <v>Análise Concluída / A Licitar</v>
          </cell>
        </row>
        <row r="5">
          <cell r="A5" t="str">
            <v>Licitado / Em Execução</v>
          </cell>
        </row>
        <row r="6">
          <cell r="A6" t="str">
            <v>Concluído</v>
          </cell>
        </row>
        <row r="8">
          <cell r="A8" t="str">
            <v>Proporcional</v>
          </cell>
        </row>
        <row r="9">
          <cell r="A9" t="str">
            <v>Calculado</v>
          </cell>
        </row>
        <row r="13">
          <cell r="B13" t="str">
            <v>Busca</v>
          </cell>
          <cell r="E13" t="str">
            <v>Item de Investimento</v>
          </cell>
          <cell r="F13" t="str">
            <v>Subitem de Investimento</v>
          </cell>
          <cell r="H13" t="str">
            <v>Situação</v>
          </cell>
          <cell r="I13" t="str">
            <v>Quantidade</v>
          </cell>
          <cell r="O13" t="str">
            <v>Investimento (R$)</v>
          </cell>
          <cell r="R13" t="str">
            <v>Descrição da Meta</v>
          </cell>
          <cell r="T13" t="str">
            <v>Lote de Licitação / nº do CTEF</v>
          </cell>
          <cell r="U13" t="str">
            <v>Investimento (R$)</v>
          </cell>
          <cell r="V13" t="str">
            <v>Divisão do Investimento</v>
          </cell>
          <cell r="W13" t="str">
            <v>Contrapartida Financeira (R$)</v>
          </cell>
          <cell r="X13" t="str">
            <v>Outros (R$)</v>
          </cell>
        </row>
        <row r="14">
          <cell r="B14" t="str">
            <v>Automático</v>
          </cell>
          <cell r="O14">
            <v>1433999.2</v>
          </cell>
          <cell r="AA14">
            <v>1499.1999999999539</v>
          </cell>
          <cell r="AB14">
            <v>0</v>
          </cell>
        </row>
        <row r="15">
          <cell r="B15" t="str">
            <v>TR$</v>
          </cell>
          <cell r="O15">
            <v>1433999.2</v>
          </cell>
          <cell r="AA15">
            <v>1499.2</v>
          </cell>
          <cell r="AB15">
            <v>0</v>
          </cell>
        </row>
      </sheetData>
      <sheetData sheetId="10">
        <row r="9">
          <cell r="J9">
            <v>1</v>
          </cell>
        </row>
        <row r="15">
          <cell r="A15" t="str">
            <v/>
          </cell>
          <cell r="B15">
            <v>0</v>
          </cell>
          <cell r="C15" t="str">
            <v/>
          </cell>
          <cell r="H15" t="str">
            <v>Para aplicação de Adm. Local é necessário definir os eventos manualmente.</v>
          </cell>
          <cell r="AG15" t="str">
            <v>Para aplicação de Adm. Local é necessário definir os eventos manualmente.</v>
          </cell>
        </row>
        <row r="21">
          <cell r="A21" t="str">
            <v>F</v>
          </cell>
        </row>
      </sheetData>
      <sheetData sheetId="11">
        <row r="3">
          <cell r="A3" t="b">
            <v>0</v>
          </cell>
        </row>
        <row r="7">
          <cell r="O7" t="str">
            <v>Nº MEDIÇÃO</v>
          </cell>
        </row>
        <row r="9">
          <cell r="A9" t="b">
            <v>1</v>
          </cell>
        </row>
        <row r="13">
          <cell r="AB13">
            <v>1</v>
          </cell>
          <cell r="AC13">
            <v>2</v>
          </cell>
          <cell r="AD13">
            <v>3</v>
          </cell>
          <cell r="AE13">
            <v>4</v>
          </cell>
          <cell r="AF13">
            <v>5</v>
          </cell>
          <cell r="AG13">
            <v>6</v>
          </cell>
          <cell r="AH13">
            <v>7</v>
          </cell>
          <cell r="AI13">
            <v>8</v>
          </cell>
          <cell r="AJ13">
            <v>9</v>
          </cell>
          <cell r="AK13">
            <v>10</v>
          </cell>
          <cell r="AL13">
            <v>11</v>
          </cell>
          <cell r="AM13">
            <v>12</v>
          </cell>
        </row>
      </sheetData>
      <sheetData sheetId="12">
        <row r="7">
          <cell r="O7">
            <v>1434000</v>
          </cell>
        </row>
        <row r="17">
          <cell r="AC17">
            <v>0</v>
          </cell>
          <cell r="AD17">
            <v>0</v>
          </cell>
        </row>
        <row r="18">
          <cell r="AC18">
            <v>0</v>
          </cell>
          <cell r="AD18">
            <v>0</v>
          </cell>
        </row>
      </sheetData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C474F-4BF7-4BEB-B12A-2D7F86BFCA46}">
  <sheetPr codeName="Planilha1"/>
  <dimension ref="A1:S58"/>
  <sheetViews>
    <sheetView tabSelected="1" workbookViewId="0">
      <pane ySplit="1" topLeftCell="A2" activePane="bottomLeft" state="frozen"/>
      <selection pane="bottomLeft"/>
    </sheetView>
  </sheetViews>
  <sheetFormatPr defaultColWidth="9.21875" defaultRowHeight="14.4" x14ac:dyDescent="0.3"/>
  <cols>
    <col min="1" max="1" width="15" style="3" customWidth="1"/>
    <col min="2" max="2" width="25" style="3" customWidth="1"/>
    <col min="3" max="3" width="12" style="3" customWidth="1"/>
    <col min="4" max="4" width="15.5546875" style="13" customWidth="1"/>
    <col min="5" max="5" width="70" style="3" customWidth="1"/>
    <col min="6" max="6" width="20" style="3" customWidth="1"/>
    <col min="7" max="7" width="10" style="3" customWidth="1"/>
    <col min="8" max="8" width="25" style="3" customWidth="1"/>
    <col min="9" max="9" width="15" style="3" customWidth="1"/>
    <col min="10" max="10" width="13" style="3" customWidth="1"/>
    <col min="11" max="12" width="35" style="3" customWidth="1"/>
    <col min="13" max="13" width="20" style="3" customWidth="1"/>
    <col min="14" max="14" width="15" style="3" customWidth="1"/>
    <col min="15" max="15" width="50" style="3" customWidth="1"/>
    <col min="16" max="16" width="20" style="3" customWidth="1"/>
    <col min="17" max="17" width="50" style="3" customWidth="1"/>
    <col min="18" max="18" width="15" style="3" customWidth="1"/>
    <col min="19" max="19" width="17.5546875" style="3" customWidth="1"/>
    <col min="20" max="16384" width="9.21875" style="3"/>
  </cols>
  <sheetData>
    <row r="1" spans="1:19" x14ac:dyDescent="0.3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ht="45" customHeight="1" x14ac:dyDescent="0.3">
      <c r="A2" s="4" t="s">
        <v>19</v>
      </c>
      <c r="B2" s="5" t="s">
        <v>20</v>
      </c>
      <c r="C2" s="4"/>
      <c r="D2" s="4"/>
      <c r="E2" s="4" t="s">
        <v>21</v>
      </c>
      <c r="F2" s="6"/>
      <c r="G2" s="4"/>
      <c r="H2" s="7"/>
      <c r="I2" s="7"/>
      <c r="J2" s="8"/>
      <c r="K2" s="9"/>
      <c r="L2" s="10">
        <f>21851.05</f>
        <v>21851.05</v>
      </c>
      <c r="M2" s="4"/>
      <c r="N2" s="11"/>
      <c r="O2" s="4"/>
      <c r="P2" s="11"/>
      <c r="Q2" s="4"/>
      <c r="R2" s="12"/>
      <c r="S2" s="9"/>
    </row>
    <row r="3" spans="1:19" ht="45" customHeight="1" x14ac:dyDescent="0.3">
      <c r="A3" s="4" t="s">
        <v>22</v>
      </c>
      <c r="B3" s="5" t="s">
        <v>23</v>
      </c>
      <c r="C3" s="4" t="s">
        <v>24</v>
      </c>
      <c r="D3" s="4" t="s">
        <v>25</v>
      </c>
      <c r="E3" s="4" t="s">
        <v>26</v>
      </c>
      <c r="F3" s="6">
        <f>9</f>
        <v>9</v>
      </c>
      <c r="G3" s="4" t="s">
        <v>27</v>
      </c>
      <c r="H3" s="7">
        <v>375.05</v>
      </c>
      <c r="I3" s="7">
        <v>375.05</v>
      </c>
      <c r="J3" s="8" t="s">
        <v>28</v>
      </c>
      <c r="K3" s="9">
        <f>476.8</f>
        <v>476.8</v>
      </c>
      <c r="L3" s="10">
        <f>4291.2</f>
        <v>4291.2</v>
      </c>
      <c r="M3" s="4"/>
      <c r="N3" s="11">
        <v>1</v>
      </c>
      <c r="O3" s="4" t="s">
        <v>21</v>
      </c>
      <c r="P3" s="11">
        <v>1</v>
      </c>
      <c r="Q3" s="4" t="s">
        <v>29</v>
      </c>
      <c r="R3" s="12">
        <v>4.5</v>
      </c>
      <c r="S3" s="9">
        <f>2145.6</f>
        <v>2145.6</v>
      </c>
    </row>
    <row r="4" spans="1:19" ht="45" customHeight="1" x14ac:dyDescent="0.3">
      <c r="A4" s="4"/>
      <c r="B4" s="5"/>
      <c r="C4" s="4"/>
      <c r="D4" s="4"/>
      <c r="E4" s="4"/>
      <c r="F4" s="6"/>
      <c r="G4" s="4"/>
      <c r="H4" s="7"/>
      <c r="I4" s="7"/>
      <c r="J4" s="8"/>
      <c r="K4" s="9"/>
      <c r="L4" s="10"/>
      <c r="M4" s="4"/>
      <c r="N4" s="11"/>
      <c r="O4" s="4"/>
      <c r="P4" s="11">
        <v>2</v>
      </c>
      <c r="Q4" s="4" t="s">
        <v>30</v>
      </c>
      <c r="R4" s="12">
        <v>4.5</v>
      </c>
      <c r="S4" s="9">
        <f>2145.6</f>
        <v>2145.6</v>
      </c>
    </row>
    <row r="5" spans="1:19" ht="45" customHeight="1" x14ac:dyDescent="0.3">
      <c r="A5" s="4" t="s">
        <v>22</v>
      </c>
      <c r="B5" s="5" t="s">
        <v>31</v>
      </c>
      <c r="C5" s="4" t="s">
        <v>32</v>
      </c>
      <c r="D5" s="4" t="s">
        <v>33</v>
      </c>
      <c r="E5" s="4" t="s">
        <v>34</v>
      </c>
      <c r="F5" s="6">
        <f>1</f>
        <v>1</v>
      </c>
      <c r="G5" s="4" t="s">
        <v>35</v>
      </c>
      <c r="H5" s="7">
        <v>9140.5400000000009</v>
      </c>
      <c r="I5" s="7">
        <v>9140.5400000000009</v>
      </c>
      <c r="J5" s="8" t="s">
        <v>28</v>
      </c>
      <c r="K5" s="9">
        <f>11620.37</f>
        <v>11620.37</v>
      </c>
      <c r="L5" s="10">
        <f>11620.37</f>
        <v>11620.37</v>
      </c>
      <c r="M5" s="4"/>
      <c r="N5" s="11">
        <v>1</v>
      </c>
      <c r="O5" s="4" t="s">
        <v>21</v>
      </c>
      <c r="P5" s="11">
        <v>1</v>
      </c>
      <c r="Q5" s="4" t="s">
        <v>29</v>
      </c>
      <c r="R5" s="12">
        <v>1</v>
      </c>
      <c r="S5" s="9">
        <f>11620.37</f>
        <v>11620.37</v>
      </c>
    </row>
    <row r="6" spans="1:19" ht="45" customHeight="1" x14ac:dyDescent="0.3">
      <c r="A6" s="4" t="s">
        <v>22</v>
      </c>
      <c r="B6" s="5" t="s">
        <v>36</v>
      </c>
      <c r="C6" s="4" t="s">
        <v>32</v>
      </c>
      <c r="D6" s="4" t="s">
        <v>37</v>
      </c>
      <c r="E6" s="4" t="s">
        <v>38</v>
      </c>
      <c r="F6" s="6">
        <f>4</f>
        <v>4</v>
      </c>
      <c r="G6" s="4" t="s">
        <v>39</v>
      </c>
      <c r="H6" s="7">
        <v>1050</v>
      </c>
      <c r="I6" s="7">
        <v>1050</v>
      </c>
      <c r="J6" s="8" t="s">
        <v>28</v>
      </c>
      <c r="K6" s="9">
        <f>1334.87</f>
        <v>1334.87</v>
      </c>
      <c r="L6" s="10">
        <f>5339.48</f>
        <v>5339.48</v>
      </c>
      <c r="M6" s="4"/>
      <c r="N6" s="11">
        <v>1</v>
      </c>
      <c r="O6" s="4" t="s">
        <v>21</v>
      </c>
      <c r="P6" s="11">
        <v>1</v>
      </c>
      <c r="Q6" s="4" t="s">
        <v>29</v>
      </c>
      <c r="R6" s="12">
        <v>1</v>
      </c>
      <c r="S6" s="9">
        <f>1334.87</f>
        <v>1334.87</v>
      </c>
    </row>
    <row r="7" spans="1:19" ht="45" customHeight="1" x14ac:dyDescent="0.3">
      <c r="A7" s="4"/>
      <c r="B7" s="5"/>
      <c r="C7" s="4"/>
      <c r="D7" s="4"/>
      <c r="E7" s="4"/>
      <c r="F7" s="6"/>
      <c r="G7" s="4"/>
      <c r="H7" s="7"/>
      <c r="I7" s="7"/>
      <c r="J7" s="8"/>
      <c r="K7" s="9"/>
      <c r="L7" s="10"/>
      <c r="M7" s="4"/>
      <c r="N7" s="11"/>
      <c r="O7" s="4"/>
      <c r="P7" s="11">
        <v>2</v>
      </c>
      <c r="Q7" s="4" t="s">
        <v>30</v>
      </c>
      <c r="R7" s="12">
        <v>1</v>
      </c>
      <c r="S7" s="9">
        <f>1334.87</f>
        <v>1334.87</v>
      </c>
    </row>
    <row r="8" spans="1:19" ht="45" customHeight="1" x14ac:dyDescent="0.3">
      <c r="A8" s="4"/>
      <c r="B8" s="5"/>
      <c r="C8" s="4"/>
      <c r="D8" s="4"/>
      <c r="E8" s="4"/>
      <c r="F8" s="6"/>
      <c r="G8" s="4"/>
      <c r="H8" s="7"/>
      <c r="I8" s="7"/>
      <c r="J8" s="8"/>
      <c r="K8" s="9"/>
      <c r="L8" s="10"/>
      <c r="M8" s="4"/>
      <c r="N8" s="11"/>
      <c r="O8" s="4"/>
      <c r="P8" s="11">
        <v>3</v>
      </c>
      <c r="Q8" s="4" t="s">
        <v>40</v>
      </c>
      <c r="R8" s="12">
        <v>1</v>
      </c>
      <c r="S8" s="9">
        <f>1334.87</f>
        <v>1334.87</v>
      </c>
    </row>
    <row r="9" spans="1:19" ht="45" customHeight="1" x14ac:dyDescent="0.3">
      <c r="A9" s="4"/>
      <c r="B9" s="5"/>
      <c r="C9" s="4"/>
      <c r="D9" s="4"/>
      <c r="E9" s="4"/>
      <c r="F9" s="6"/>
      <c r="G9" s="4"/>
      <c r="H9" s="7"/>
      <c r="I9" s="7"/>
      <c r="J9" s="8"/>
      <c r="K9" s="9"/>
      <c r="L9" s="10"/>
      <c r="M9" s="4"/>
      <c r="N9" s="11"/>
      <c r="O9" s="4"/>
      <c r="P9" s="11">
        <v>4</v>
      </c>
      <c r="Q9" s="4" t="s">
        <v>41</v>
      </c>
      <c r="R9" s="12">
        <v>1</v>
      </c>
      <c r="S9" s="9">
        <f>1334.87</f>
        <v>1334.87</v>
      </c>
    </row>
    <row r="10" spans="1:19" ht="45" customHeight="1" x14ac:dyDescent="0.3">
      <c r="A10" s="4" t="s">
        <v>22</v>
      </c>
      <c r="B10" s="5" t="s">
        <v>42</v>
      </c>
      <c r="C10" s="4" t="s">
        <v>32</v>
      </c>
      <c r="D10" s="4" t="s">
        <v>43</v>
      </c>
      <c r="E10" s="4" t="s">
        <v>44</v>
      </c>
      <c r="F10" s="6">
        <f>240</f>
        <v>240</v>
      </c>
      <c r="G10" s="4" t="s">
        <v>35</v>
      </c>
      <c r="H10" s="7">
        <v>1.97</v>
      </c>
      <c r="I10" s="7">
        <v>1.97</v>
      </c>
      <c r="J10" s="8" t="s">
        <v>28</v>
      </c>
      <c r="K10" s="9">
        <f>2.5</f>
        <v>2.5</v>
      </c>
      <c r="L10" s="10">
        <f>600</f>
        <v>600</v>
      </c>
      <c r="M10" s="4"/>
      <c r="N10" s="11">
        <v>1</v>
      </c>
      <c r="O10" s="4" t="s">
        <v>21</v>
      </c>
      <c r="P10" s="11">
        <v>1</v>
      </c>
      <c r="Q10" s="4" t="s">
        <v>29</v>
      </c>
      <c r="R10" s="12">
        <v>60</v>
      </c>
      <c r="S10" s="9">
        <f>150</f>
        <v>150</v>
      </c>
    </row>
    <row r="11" spans="1:19" ht="45" customHeight="1" x14ac:dyDescent="0.3">
      <c r="A11" s="4"/>
      <c r="B11" s="5"/>
      <c r="C11" s="4"/>
      <c r="D11" s="4"/>
      <c r="E11" s="4"/>
      <c r="F11" s="6"/>
      <c r="G11" s="4"/>
      <c r="H11" s="7"/>
      <c r="I11" s="7"/>
      <c r="J11" s="8"/>
      <c r="K11" s="9"/>
      <c r="L11" s="10"/>
      <c r="M11" s="4"/>
      <c r="N11" s="11"/>
      <c r="O11" s="4"/>
      <c r="P11" s="11">
        <v>2</v>
      </c>
      <c r="Q11" s="4" t="s">
        <v>30</v>
      </c>
      <c r="R11" s="12">
        <v>60</v>
      </c>
      <c r="S11" s="9">
        <f>150</f>
        <v>150</v>
      </c>
    </row>
    <row r="12" spans="1:19" ht="45" customHeight="1" x14ac:dyDescent="0.3">
      <c r="A12" s="4"/>
      <c r="B12" s="5"/>
      <c r="C12" s="4"/>
      <c r="D12" s="4"/>
      <c r="E12" s="4"/>
      <c r="F12" s="6"/>
      <c r="G12" s="4"/>
      <c r="H12" s="7"/>
      <c r="I12" s="7"/>
      <c r="J12" s="8"/>
      <c r="K12" s="9"/>
      <c r="L12" s="10"/>
      <c r="M12" s="4"/>
      <c r="N12" s="11"/>
      <c r="O12" s="4"/>
      <c r="P12" s="11">
        <v>3</v>
      </c>
      <c r="Q12" s="4" t="s">
        <v>40</v>
      </c>
      <c r="R12" s="12">
        <v>60</v>
      </c>
      <c r="S12" s="9">
        <f>150</f>
        <v>150</v>
      </c>
    </row>
    <row r="13" spans="1:19" ht="45" customHeight="1" x14ac:dyDescent="0.3">
      <c r="A13" s="4"/>
      <c r="B13" s="5"/>
      <c r="C13" s="4"/>
      <c r="D13" s="4"/>
      <c r="E13" s="4"/>
      <c r="F13" s="6"/>
      <c r="G13" s="4"/>
      <c r="H13" s="7"/>
      <c r="I13" s="7"/>
      <c r="J13" s="8"/>
      <c r="K13" s="9"/>
      <c r="L13" s="10"/>
      <c r="M13" s="4"/>
      <c r="N13" s="11"/>
      <c r="O13" s="4"/>
      <c r="P13" s="11">
        <v>4</v>
      </c>
      <c r="Q13" s="4" t="s">
        <v>41</v>
      </c>
      <c r="R13" s="12">
        <v>60</v>
      </c>
      <c r="S13" s="9">
        <f>150</f>
        <v>150</v>
      </c>
    </row>
    <row r="14" spans="1:19" ht="45" customHeight="1" x14ac:dyDescent="0.3">
      <c r="A14" s="4" t="s">
        <v>19</v>
      </c>
      <c r="B14" s="5" t="s">
        <v>45</v>
      </c>
      <c r="C14" s="4"/>
      <c r="D14" s="4"/>
      <c r="E14" s="4" t="s">
        <v>46</v>
      </c>
      <c r="F14" s="6"/>
      <c r="G14" s="4"/>
      <c r="H14" s="7"/>
      <c r="I14" s="7"/>
      <c r="J14" s="8"/>
      <c r="K14" s="9"/>
      <c r="L14" s="10">
        <f>36693.36</f>
        <v>36693.360000000001</v>
      </c>
      <c r="M14" s="4"/>
      <c r="N14" s="11"/>
      <c r="O14" s="4"/>
      <c r="P14" s="11"/>
      <c r="Q14" s="4"/>
      <c r="R14" s="12"/>
      <c r="S14" s="9"/>
    </row>
    <row r="15" spans="1:19" ht="45" customHeight="1" x14ac:dyDescent="0.3">
      <c r="A15" s="4" t="s">
        <v>22</v>
      </c>
      <c r="B15" s="5" t="s">
        <v>47</v>
      </c>
      <c r="C15" s="4" t="s">
        <v>48</v>
      </c>
      <c r="D15" s="4" t="s">
        <v>49</v>
      </c>
      <c r="E15" s="4" t="s">
        <v>50</v>
      </c>
      <c r="F15" s="6">
        <f>4</f>
        <v>4</v>
      </c>
      <c r="G15" s="4" t="s">
        <v>39</v>
      </c>
      <c r="H15" s="7">
        <v>7215.72</v>
      </c>
      <c r="I15" s="7">
        <v>7215.72</v>
      </c>
      <c r="J15" s="8" t="s">
        <v>28</v>
      </c>
      <c r="K15" s="9">
        <f>9173.34</f>
        <v>9173.34</v>
      </c>
      <c r="L15" s="10">
        <f>36693.36</f>
        <v>36693.360000000001</v>
      </c>
      <c r="M15" s="4"/>
      <c r="N15" s="11">
        <v>2</v>
      </c>
      <c r="O15" s="4" t="s">
        <v>46</v>
      </c>
      <c r="P15" s="11">
        <v>1</v>
      </c>
      <c r="Q15" s="4" t="s">
        <v>29</v>
      </c>
      <c r="R15" s="12">
        <v>1.5</v>
      </c>
      <c r="S15" s="9">
        <f>13760.01</f>
        <v>13760.01</v>
      </c>
    </row>
    <row r="16" spans="1:19" ht="45" customHeight="1" x14ac:dyDescent="0.3">
      <c r="A16" s="4"/>
      <c r="B16" s="5"/>
      <c r="C16" s="4"/>
      <c r="D16" s="4"/>
      <c r="E16" s="4"/>
      <c r="F16" s="6"/>
      <c r="G16" s="4"/>
      <c r="H16" s="7"/>
      <c r="I16" s="7"/>
      <c r="J16" s="8"/>
      <c r="K16" s="9"/>
      <c r="L16" s="10"/>
      <c r="M16" s="4"/>
      <c r="N16" s="11"/>
      <c r="O16" s="4"/>
      <c r="P16" s="11">
        <v>2</v>
      </c>
      <c r="Q16" s="4" t="s">
        <v>30</v>
      </c>
      <c r="R16" s="12">
        <v>1.5</v>
      </c>
      <c r="S16" s="9">
        <f>13760.01</f>
        <v>13760.01</v>
      </c>
    </row>
    <row r="17" spans="1:19" ht="45" customHeight="1" x14ac:dyDescent="0.3">
      <c r="A17" s="4"/>
      <c r="B17" s="5"/>
      <c r="C17" s="4"/>
      <c r="D17" s="4"/>
      <c r="E17" s="4"/>
      <c r="F17" s="6"/>
      <c r="G17" s="4"/>
      <c r="H17" s="7"/>
      <c r="I17" s="7"/>
      <c r="J17" s="8"/>
      <c r="K17" s="9"/>
      <c r="L17" s="10"/>
      <c r="M17" s="4"/>
      <c r="N17" s="11"/>
      <c r="O17" s="4"/>
      <c r="P17" s="11">
        <v>3</v>
      </c>
      <c r="Q17" s="4" t="s">
        <v>40</v>
      </c>
      <c r="R17" s="12">
        <v>0.5</v>
      </c>
      <c r="S17" s="9">
        <f>4586.67</f>
        <v>4586.67</v>
      </c>
    </row>
    <row r="18" spans="1:19" ht="45" customHeight="1" x14ac:dyDescent="0.3">
      <c r="A18" s="4"/>
      <c r="B18" s="5"/>
      <c r="C18" s="4"/>
      <c r="D18" s="4"/>
      <c r="E18" s="4"/>
      <c r="F18" s="6"/>
      <c r="G18" s="4"/>
      <c r="H18" s="7"/>
      <c r="I18" s="7"/>
      <c r="J18" s="8"/>
      <c r="K18" s="9"/>
      <c r="L18" s="10"/>
      <c r="M18" s="4"/>
      <c r="N18" s="11"/>
      <c r="O18" s="4"/>
      <c r="P18" s="11">
        <v>4</v>
      </c>
      <c r="Q18" s="4" t="s">
        <v>41</v>
      </c>
      <c r="R18" s="12">
        <v>0.5</v>
      </c>
      <c r="S18" s="9">
        <f>4586.67</f>
        <v>4586.67</v>
      </c>
    </row>
    <row r="19" spans="1:19" ht="45" customHeight="1" x14ac:dyDescent="0.3">
      <c r="A19" s="4" t="s">
        <v>19</v>
      </c>
      <c r="B19" s="5" t="s">
        <v>51</v>
      </c>
      <c r="C19" s="4"/>
      <c r="D19" s="4"/>
      <c r="E19" s="4" t="s">
        <v>52</v>
      </c>
      <c r="F19" s="6"/>
      <c r="G19" s="4"/>
      <c r="H19" s="7"/>
      <c r="I19" s="7"/>
      <c r="J19" s="8"/>
      <c r="K19" s="9"/>
      <c r="L19" s="10">
        <f>1081547.56</f>
        <v>1081547.56</v>
      </c>
      <c r="M19" s="4"/>
      <c r="N19" s="11"/>
      <c r="O19" s="4"/>
      <c r="P19" s="11"/>
      <c r="Q19" s="4"/>
      <c r="R19" s="12"/>
      <c r="S19" s="9"/>
    </row>
    <row r="20" spans="1:19" ht="45" customHeight="1" x14ac:dyDescent="0.3">
      <c r="A20" s="4" t="s">
        <v>22</v>
      </c>
      <c r="B20" s="5" t="s">
        <v>53</v>
      </c>
      <c r="C20" s="4" t="s">
        <v>48</v>
      </c>
      <c r="D20" s="4" t="s">
        <v>54</v>
      </c>
      <c r="E20" s="4" t="s">
        <v>55</v>
      </c>
      <c r="F20" s="6">
        <f>12352.9</f>
        <v>12352.9</v>
      </c>
      <c r="G20" s="4" t="s">
        <v>27</v>
      </c>
      <c r="H20" s="7">
        <v>4.07</v>
      </c>
      <c r="I20" s="7">
        <v>4.07</v>
      </c>
      <c r="J20" s="8" t="s">
        <v>28</v>
      </c>
      <c r="K20" s="9">
        <f>5.17</f>
        <v>5.17</v>
      </c>
      <c r="L20" s="10">
        <f>63864.49</f>
        <v>63864.49</v>
      </c>
      <c r="M20" s="4"/>
      <c r="N20" s="11">
        <v>3</v>
      </c>
      <c r="O20" s="4" t="s">
        <v>52</v>
      </c>
      <c r="P20" s="11">
        <v>1</v>
      </c>
      <c r="Q20" s="4" t="s">
        <v>29</v>
      </c>
      <c r="R20" s="12">
        <v>6052.9</v>
      </c>
      <c r="S20" s="9">
        <f>31293.49</f>
        <v>31293.49</v>
      </c>
    </row>
    <row r="21" spans="1:19" ht="45" customHeight="1" x14ac:dyDescent="0.3">
      <c r="A21" s="4"/>
      <c r="B21" s="5"/>
      <c r="C21" s="4"/>
      <c r="D21" s="4"/>
      <c r="E21" s="4"/>
      <c r="F21" s="6"/>
      <c r="G21" s="4"/>
      <c r="H21" s="7"/>
      <c r="I21" s="7"/>
      <c r="J21" s="8"/>
      <c r="K21" s="9"/>
      <c r="L21" s="10"/>
      <c r="M21" s="4"/>
      <c r="N21" s="11"/>
      <c r="O21" s="4"/>
      <c r="P21" s="11">
        <v>2</v>
      </c>
      <c r="Q21" s="4" t="s">
        <v>30</v>
      </c>
      <c r="R21" s="12">
        <v>6300</v>
      </c>
      <c r="S21" s="9">
        <f>32571</f>
        <v>32571</v>
      </c>
    </row>
    <row r="22" spans="1:19" ht="45" customHeight="1" x14ac:dyDescent="0.3">
      <c r="A22" s="4" t="s">
        <v>22</v>
      </c>
      <c r="B22" s="5" t="s">
        <v>56</v>
      </c>
      <c r="C22" s="4" t="s">
        <v>48</v>
      </c>
      <c r="D22" s="4" t="s">
        <v>57</v>
      </c>
      <c r="E22" s="4" t="s">
        <v>58</v>
      </c>
      <c r="F22" s="6">
        <f>12352.9</f>
        <v>12352.9</v>
      </c>
      <c r="G22" s="4" t="s">
        <v>27</v>
      </c>
      <c r="H22" s="7">
        <v>2.4</v>
      </c>
      <c r="I22" s="7">
        <v>2.4</v>
      </c>
      <c r="J22" s="8" t="s">
        <v>28</v>
      </c>
      <c r="K22" s="9">
        <f>3.05</f>
        <v>3.05</v>
      </c>
      <c r="L22" s="10">
        <f>37676.35</f>
        <v>37676.35</v>
      </c>
      <c r="M22" s="4"/>
      <c r="N22" s="11">
        <v>3</v>
      </c>
      <c r="O22" s="4" t="s">
        <v>52</v>
      </c>
      <c r="P22" s="11">
        <v>1</v>
      </c>
      <c r="Q22" s="4" t="s">
        <v>29</v>
      </c>
      <c r="R22" s="12">
        <v>6052.9</v>
      </c>
      <c r="S22" s="9">
        <f>18461.35</f>
        <v>18461.349999999999</v>
      </c>
    </row>
    <row r="23" spans="1:19" ht="45" customHeight="1" x14ac:dyDescent="0.3">
      <c r="A23" s="4"/>
      <c r="B23" s="5"/>
      <c r="C23" s="4"/>
      <c r="D23" s="4"/>
      <c r="E23" s="4"/>
      <c r="F23" s="6"/>
      <c r="G23" s="4"/>
      <c r="H23" s="7"/>
      <c r="I23" s="7"/>
      <c r="J23" s="8"/>
      <c r="K23" s="9"/>
      <c r="L23" s="10"/>
      <c r="M23" s="4"/>
      <c r="N23" s="11"/>
      <c r="O23" s="4"/>
      <c r="P23" s="11">
        <v>2</v>
      </c>
      <c r="Q23" s="4" t="s">
        <v>30</v>
      </c>
      <c r="R23" s="12">
        <v>6300</v>
      </c>
      <c r="S23" s="9">
        <f>19215</f>
        <v>19215</v>
      </c>
    </row>
    <row r="24" spans="1:19" ht="45" customHeight="1" x14ac:dyDescent="0.3">
      <c r="A24" s="4" t="s">
        <v>22</v>
      </c>
      <c r="B24" s="5" t="s">
        <v>59</v>
      </c>
      <c r="C24" s="4" t="s">
        <v>32</v>
      </c>
      <c r="D24" s="4" t="s">
        <v>60</v>
      </c>
      <c r="E24" s="4" t="s">
        <v>61</v>
      </c>
      <c r="F24" s="6">
        <f>370.59</f>
        <v>370.59</v>
      </c>
      <c r="G24" s="4" t="s">
        <v>62</v>
      </c>
      <c r="H24" s="7">
        <v>1800.34</v>
      </c>
      <c r="I24" s="7">
        <v>1800.34</v>
      </c>
      <c r="J24" s="8" t="s">
        <v>28</v>
      </c>
      <c r="K24" s="9">
        <f>2288.77</f>
        <v>2288.77</v>
      </c>
      <c r="L24" s="10">
        <f>848195.27</f>
        <v>848195.27</v>
      </c>
      <c r="M24" s="4"/>
      <c r="N24" s="11">
        <v>3</v>
      </c>
      <c r="O24" s="4" t="s">
        <v>52</v>
      </c>
      <c r="P24" s="11">
        <v>1</v>
      </c>
      <c r="Q24" s="4" t="s">
        <v>29</v>
      </c>
      <c r="R24" s="12">
        <v>181.59</v>
      </c>
      <c r="S24" s="9">
        <f>415617.74</f>
        <v>415617.74</v>
      </c>
    </row>
    <row r="25" spans="1:19" ht="45" customHeight="1" x14ac:dyDescent="0.3">
      <c r="A25" s="4"/>
      <c r="B25" s="5"/>
      <c r="C25" s="4"/>
      <c r="D25" s="4"/>
      <c r="E25" s="4"/>
      <c r="F25" s="6"/>
      <c r="G25" s="4"/>
      <c r="H25" s="7"/>
      <c r="I25" s="7"/>
      <c r="J25" s="8"/>
      <c r="K25" s="9"/>
      <c r="L25" s="10"/>
      <c r="M25" s="4"/>
      <c r="N25" s="11"/>
      <c r="O25" s="4"/>
      <c r="P25" s="11">
        <v>2</v>
      </c>
      <c r="Q25" s="4" t="s">
        <v>30</v>
      </c>
      <c r="R25" s="12">
        <v>189</v>
      </c>
      <c r="S25" s="9">
        <f>432577.53</f>
        <v>432577.53</v>
      </c>
    </row>
    <row r="26" spans="1:19" ht="45" customHeight="1" x14ac:dyDescent="0.3">
      <c r="A26" s="4" t="s">
        <v>22</v>
      </c>
      <c r="B26" s="5" t="s">
        <v>63</v>
      </c>
      <c r="C26" s="4" t="s">
        <v>32</v>
      </c>
      <c r="D26" s="4" t="s">
        <v>64</v>
      </c>
      <c r="E26" s="4" t="s">
        <v>65</v>
      </c>
      <c r="F26" s="6">
        <f>115624.08</f>
        <v>115624.08</v>
      </c>
      <c r="G26" s="4" t="s">
        <v>66</v>
      </c>
      <c r="H26" s="7">
        <v>0.9</v>
      </c>
      <c r="I26" s="7">
        <v>0.9</v>
      </c>
      <c r="J26" s="8" t="s">
        <v>28</v>
      </c>
      <c r="K26" s="9">
        <f>1.14</f>
        <v>1.1399999999999999</v>
      </c>
      <c r="L26" s="10">
        <f>131811.45</f>
        <v>131811.45000000001</v>
      </c>
      <c r="M26" s="4"/>
      <c r="N26" s="11">
        <v>3</v>
      </c>
      <c r="O26" s="4" t="s">
        <v>52</v>
      </c>
      <c r="P26" s="11">
        <v>1</v>
      </c>
      <c r="Q26" s="4" t="s">
        <v>29</v>
      </c>
      <c r="R26" s="12">
        <v>56656.08</v>
      </c>
      <c r="S26" s="9">
        <f>64587.93</f>
        <v>64587.93</v>
      </c>
    </row>
    <row r="27" spans="1:19" ht="45" customHeight="1" x14ac:dyDescent="0.3">
      <c r="A27" s="4"/>
      <c r="B27" s="5"/>
      <c r="C27" s="4"/>
      <c r="D27" s="4"/>
      <c r="E27" s="4"/>
      <c r="F27" s="6"/>
      <c r="G27" s="4"/>
      <c r="H27" s="7"/>
      <c r="I27" s="7"/>
      <c r="J27" s="8"/>
      <c r="K27" s="9"/>
      <c r="L27" s="10"/>
      <c r="M27" s="4"/>
      <c r="N27" s="11"/>
      <c r="O27" s="4"/>
      <c r="P27" s="11">
        <v>2</v>
      </c>
      <c r="Q27" s="4" t="s">
        <v>30</v>
      </c>
      <c r="R27" s="12">
        <v>58968</v>
      </c>
      <c r="S27" s="9">
        <f>67223.52</f>
        <v>67223.520000000004</v>
      </c>
    </row>
    <row r="28" spans="1:19" ht="45" customHeight="1" x14ac:dyDescent="0.3">
      <c r="A28" s="4" t="s">
        <v>19</v>
      </c>
      <c r="B28" s="5" t="s">
        <v>67</v>
      </c>
      <c r="C28" s="4"/>
      <c r="D28" s="4"/>
      <c r="E28" s="4" t="s">
        <v>68</v>
      </c>
      <c r="F28" s="6"/>
      <c r="G28" s="4"/>
      <c r="H28" s="7"/>
      <c r="I28" s="7"/>
      <c r="J28" s="8"/>
      <c r="K28" s="9"/>
      <c r="L28" s="10">
        <f>260118.72</f>
        <v>260118.72</v>
      </c>
      <c r="M28" s="4"/>
      <c r="N28" s="11"/>
      <c r="O28" s="4"/>
      <c r="P28" s="11"/>
      <c r="Q28" s="4"/>
      <c r="R28" s="12"/>
      <c r="S28" s="9"/>
    </row>
    <row r="29" spans="1:19" ht="45" customHeight="1" x14ac:dyDescent="0.3">
      <c r="A29" s="4" t="s">
        <v>22</v>
      </c>
      <c r="B29" s="5" t="s">
        <v>69</v>
      </c>
      <c r="C29" s="4" t="s">
        <v>32</v>
      </c>
      <c r="D29" s="4" t="s">
        <v>70</v>
      </c>
      <c r="E29" s="4" t="s">
        <v>71</v>
      </c>
      <c r="F29" s="6">
        <f>3092.38</f>
        <v>3092.38</v>
      </c>
      <c r="G29" s="4" t="s">
        <v>72</v>
      </c>
      <c r="H29" s="7">
        <v>46.47</v>
      </c>
      <c r="I29" s="7">
        <v>46.47</v>
      </c>
      <c r="J29" s="8" t="s">
        <v>28</v>
      </c>
      <c r="K29" s="9">
        <f>59.08</f>
        <v>59.08</v>
      </c>
      <c r="L29" s="10">
        <f>182697.81</f>
        <v>182697.81</v>
      </c>
      <c r="M29" s="4"/>
      <c r="N29" s="11">
        <v>4</v>
      </c>
      <c r="O29" s="4" t="s">
        <v>68</v>
      </c>
      <c r="P29" s="11">
        <v>3</v>
      </c>
      <c r="Q29" s="4" t="s">
        <v>40</v>
      </c>
      <c r="R29" s="12">
        <v>1729.18</v>
      </c>
      <c r="S29" s="9">
        <f>102159.95</f>
        <v>102159.95</v>
      </c>
    </row>
    <row r="30" spans="1:19" ht="45" customHeight="1" x14ac:dyDescent="0.3">
      <c r="A30" s="4"/>
      <c r="B30" s="5"/>
      <c r="C30" s="4"/>
      <c r="D30" s="4"/>
      <c r="E30" s="4"/>
      <c r="F30" s="6"/>
      <c r="G30" s="4"/>
      <c r="H30" s="7"/>
      <c r="I30" s="7"/>
      <c r="J30" s="8"/>
      <c r="K30" s="9"/>
      <c r="L30" s="10"/>
      <c r="M30" s="4"/>
      <c r="N30" s="11"/>
      <c r="O30" s="4"/>
      <c r="P30" s="11">
        <v>4</v>
      </c>
      <c r="Q30" s="4" t="s">
        <v>41</v>
      </c>
      <c r="R30" s="12">
        <v>1363.2</v>
      </c>
      <c r="S30" s="9">
        <f>80537.86</f>
        <v>80537.86</v>
      </c>
    </row>
    <row r="31" spans="1:19" ht="45" customHeight="1" x14ac:dyDescent="0.3">
      <c r="A31" s="4" t="s">
        <v>22</v>
      </c>
      <c r="B31" s="5" t="s">
        <v>73</v>
      </c>
      <c r="C31" s="4" t="s">
        <v>32</v>
      </c>
      <c r="D31" s="4" t="s">
        <v>74</v>
      </c>
      <c r="E31" s="4" t="s">
        <v>75</v>
      </c>
      <c r="F31" s="6">
        <f>10</f>
        <v>10</v>
      </c>
      <c r="G31" s="4" t="s">
        <v>35</v>
      </c>
      <c r="H31" s="7">
        <v>842.2</v>
      </c>
      <c r="I31" s="7">
        <v>842.2</v>
      </c>
      <c r="J31" s="8" t="s">
        <v>28</v>
      </c>
      <c r="K31" s="9">
        <f>1070.69</f>
        <v>1070.69</v>
      </c>
      <c r="L31" s="10">
        <f>10706.9</f>
        <v>10706.9</v>
      </c>
      <c r="M31" s="4"/>
      <c r="N31" s="11">
        <v>4</v>
      </c>
      <c r="O31" s="4" t="s">
        <v>68</v>
      </c>
      <c r="P31" s="11">
        <v>3</v>
      </c>
      <c r="Q31" s="4" t="s">
        <v>40</v>
      </c>
      <c r="R31" s="12">
        <v>6</v>
      </c>
      <c r="S31" s="9">
        <f>6424.14</f>
        <v>6424.14</v>
      </c>
    </row>
    <row r="32" spans="1:19" ht="45" customHeight="1" x14ac:dyDescent="0.3">
      <c r="A32" s="4"/>
      <c r="B32" s="5"/>
      <c r="C32" s="4"/>
      <c r="D32" s="4"/>
      <c r="E32" s="4"/>
      <c r="F32" s="6"/>
      <c r="G32" s="4"/>
      <c r="H32" s="7"/>
      <c r="I32" s="7"/>
      <c r="J32" s="8"/>
      <c r="K32" s="9"/>
      <c r="L32" s="10"/>
      <c r="M32" s="4"/>
      <c r="N32" s="11"/>
      <c r="O32" s="4"/>
      <c r="P32" s="11">
        <v>4</v>
      </c>
      <c r="Q32" s="4" t="s">
        <v>41</v>
      </c>
      <c r="R32" s="12">
        <v>4</v>
      </c>
      <c r="S32" s="9">
        <f>4282.76</f>
        <v>4282.76</v>
      </c>
    </row>
    <row r="33" spans="1:19" ht="45" customHeight="1" x14ac:dyDescent="0.3">
      <c r="A33" s="4" t="s">
        <v>22</v>
      </c>
      <c r="B33" s="5" t="s">
        <v>76</v>
      </c>
      <c r="C33" s="4" t="s">
        <v>32</v>
      </c>
      <c r="D33" s="4" t="s">
        <v>77</v>
      </c>
      <c r="E33" s="4" t="s">
        <v>78</v>
      </c>
      <c r="F33" s="6">
        <f>10</f>
        <v>10</v>
      </c>
      <c r="G33" s="4" t="s">
        <v>35</v>
      </c>
      <c r="H33" s="7">
        <v>530.37</v>
      </c>
      <c r="I33" s="7">
        <v>530.37</v>
      </c>
      <c r="J33" s="8" t="s">
        <v>28</v>
      </c>
      <c r="K33" s="9">
        <f>674.26</f>
        <v>674.26</v>
      </c>
      <c r="L33" s="10">
        <f>6742.6</f>
        <v>6742.6</v>
      </c>
      <c r="M33" s="4"/>
      <c r="N33" s="11">
        <v>4</v>
      </c>
      <c r="O33" s="4" t="s">
        <v>68</v>
      </c>
      <c r="P33" s="11">
        <v>3</v>
      </c>
      <c r="Q33" s="4" t="s">
        <v>40</v>
      </c>
      <c r="R33" s="12">
        <v>6</v>
      </c>
      <c r="S33" s="9">
        <f>4045.56</f>
        <v>4045.56</v>
      </c>
    </row>
    <row r="34" spans="1:19" ht="45" customHeight="1" x14ac:dyDescent="0.3">
      <c r="A34" s="4"/>
      <c r="B34" s="5"/>
      <c r="C34" s="4"/>
      <c r="D34" s="4"/>
      <c r="E34" s="4"/>
      <c r="F34" s="6"/>
      <c r="G34" s="4"/>
      <c r="H34" s="7"/>
      <c r="I34" s="7"/>
      <c r="J34" s="8"/>
      <c r="K34" s="9"/>
      <c r="L34" s="10"/>
      <c r="M34" s="4"/>
      <c r="N34" s="11"/>
      <c r="O34" s="4"/>
      <c r="P34" s="11">
        <v>4</v>
      </c>
      <c r="Q34" s="4" t="s">
        <v>41</v>
      </c>
      <c r="R34" s="12">
        <v>4</v>
      </c>
      <c r="S34" s="9">
        <f>2697.04</f>
        <v>2697.04</v>
      </c>
    </row>
    <row r="35" spans="1:19" ht="45" customHeight="1" x14ac:dyDescent="0.3">
      <c r="A35" s="4" t="s">
        <v>22</v>
      </c>
      <c r="B35" s="5" t="s">
        <v>79</v>
      </c>
      <c r="C35" s="4" t="s">
        <v>32</v>
      </c>
      <c r="D35" s="4" t="s">
        <v>80</v>
      </c>
      <c r="E35" s="4" t="s">
        <v>81</v>
      </c>
      <c r="F35" s="6">
        <f>3</f>
        <v>3</v>
      </c>
      <c r="G35" s="4" t="s">
        <v>35</v>
      </c>
      <c r="H35" s="7">
        <v>988.76</v>
      </c>
      <c r="I35" s="7">
        <v>988.76</v>
      </c>
      <c r="J35" s="8" t="s">
        <v>28</v>
      </c>
      <c r="K35" s="9">
        <f>1257.01</f>
        <v>1257.01</v>
      </c>
      <c r="L35" s="10">
        <f>3771.03</f>
        <v>3771.03</v>
      </c>
      <c r="M35" s="4"/>
      <c r="N35" s="11">
        <v>4</v>
      </c>
      <c r="O35" s="4" t="s">
        <v>68</v>
      </c>
      <c r="P35" s="11">
        <v>3</v>
      </c>
      <c r="Q35" s="4" t="s">
        <v>40</v>
      </c>
      <c r="R35" s="12">
        <v>1</v>
      </c>
      <c r="S35" s="9">
        <f>1257.01</f>
        <v>1257.01</v>
      </c>
    </row>
    <row r="36" spans="1:19" ht="45" customHeight="1" x14ac:dyDescent="0.3">
      <c r="A36" s="4"/>
      <c r="B36" s="5"/>
      <c r="C36" s="4"/>
      <c r="D36" s="4"/>
      <c r="E36" s="4"/>
      <c r="F36" s="6"/>
      <c r="G36" s="4"/>
      <c r="H36" s="7"/>
      <c r="I36" s="7"/>
      <c r="J36" s="8"/>
      <c r="K36" s="9"/>
      <c r="L36" s="10"/>
      <c r="M36" s="4"/>
      <c r="N36" s="11"/>
      <c r="O36" s="4"/>
      <c r="P36" s="11">
        <v>4</v>
      </c>
      <c r="Q36" s="4" t="s">
        <v>41</v>
      </c>
      <c r="R36" s="12">
        <v>2</v>
      </c>
      <c r="S36" s="9">
        <f>2514.02</f>
        <v>2514.02</v>
      </c>
    </row>
    <row r="37" spans="1:19" ht="45" customHeight="1" x14ac:dyDescent="0.3">
      <c r="A37" s="4" t="s">
        <v>22</v>
      </c>
      <c r="B37" s="5" t="s">
        <v>82</v>
      </c>
      <c r="C37" s="4" t="s">
        <v>32</v>
      </c>
      <c r="D37" s="4" t="s">
        <v>83</v>
      </c>
      <c r="E37" s="4" t="s">
        <v>84</v>
      </c>
      <c r="F37" s="6">
        <f>6</f>
        <v>6</v>
      </c>
      <c r="G37" s="4" t="s">
        <v>35</v>
      </c>
      <c r="H37" s="7">
        <v>4714.5</v>
      </c>
      <c r="I37" s="7">
        <v>4714.5</v>
      </c>
      <c r="J37" s="8" t="s">
        <v>28</v>
      </c>
      <c r="K37" s="9">
        <f>5993.54</f>
        <v>5993.54</v>
      </c>
      <c r="L37" s="10">
        <f>35961.24</f>
        <v>35961.24</v>
      </c>
      <c r="M37" s="4"/>
      <c r="N37" s="11">
        <v>4</v>
      </c>
      <c r="O37" s="4" t="s">
        <v>68</v>
      </c>
      <c r="P37" s="11">
        <v>3</v>
      </c>
      <c r="Q37" s="4" t="s">
        <v>40</v>
      </c>
      <c r="R37" s="12">
        <v>2</v>
      </c>
      <c r="S37" s="9">
        <f>11987.08</f>
        <v>11987.08</v>
      </c>
    </row>
    <row r="38" spans="1:19" ht="45" customHeight="1" x14ac:dyDescent="0.3">
      <c r="A38" s="4"/>
      <c r="B38" s="5"/>
      <c r="C38" s="4"/>
      <c r="D38" s="4"/>
      <c r="E38" s="4"/>
      <c r="F38" s="6"/>
      <c r="G38" s="4"/>
      <c r="H38" s="7"/>
      <c r="I38" s="7"/>
      <c r="J38" s="8"/>
      <c r="K38" s="9"/>
      <c r="L38" s="10"/>
      <c r="M38" s="4"/>
      <c r="N38" s="11"/>
      <c r="O38" s="4"/>
      <c r="P38" s="11">
        <v>4</v>
      </c>
      <c r="Q38" s="4" t="s">
        <v>41</v>
      </c>
      <c r="R38" s="12">
        <v>4</v>
      </c>
      <c r="S38" s="9">
        <f>23974.16</f>
        <v>23974.16</v>
      </c>
    </row>
    <row r="39" spans="1:19" ht="45" customHeight="1" x14ac:dyDescent="0.3">
      <c r="A39" s="4" t="s">
        <v>22</v>
      </c>
      <c r="B39" s="5" t="s">
        <v>85</v>
      </c>
      <c r="C39" s="4" t="s">
        <v>24</v>
      </c>
      <c r="D39" s="4" t="s">
        <v>86</v>
      </c>
      <c r="E39" s="4" t="s">
        <v>87</v>
      </c>
      <c r="F39" s="6">
        <f>36</f>
        <v>36</v>
      </c>
      <c r="G39" s="4" t="s">
        <v>72</v>
      </c>
      <c r="H39" s="7">
        <v>299.18</v>
      </c>
      <c r="I39" s="7">
        <v>299.18</v>
      </c>
      <c r="J39" s="8" t="s">
        <v>28</v>
      </c>
      <c r="K39" s="9">
        <f>380.35</f>
        <v>380.35</v>
      </c>
      <c r="L39" s="10">
        <f>13692.6</f>
        <v>13692.6</v>
      </c>
      <c r="M39" s="4"/>
      <c r="N39" s="11">
        <v>4</v>
      </c>
      <c r="O39" s="4" t="s">
        <v>68</v>
      </c>
      <c r="P39" s="11">
        <v>3</v>
      </c>
      <c r="Q39" s="4" t="s">
        <v>40</v>
      </c>
      <c r="R39" s="12">
        <v>16</v>
      </c>
      <c r="S39" s="9">
        <f>6085.6</f>
        <v>6085.6</v>
      </c>
    </row>
    <row r="40" spans="1:19" ht="45" customHeight="1" x14ac:dyDescent="0.3">
      <c r="A40" s="4"/>
      <c r="B40" s="5"/>
      <c r="C40" s="4"/>
      <c r="D40" s="4"/>
      <c r="E40" s="4"/>
      <c r="F40" s="6"/>
      <c r="G40" s="4"/>
      <c r="H40" s="7"/>
      <c r="I40" s="7"/>
      <c r="J40" s="8"/>
      <c r="K40" s="9"/>
      <c r="L40" s="10"/>
      <c r="M40" s="4"/>
      <c r="N40" s="11"/>
      <c r="O40" s="4"/>
      <c r="P40" s="11">
        <v>4</v>
      </c>
      <c r="Q40" s="4" t="s">
        <v>41</v>
      </c>
      <c r="R40" s="12">
        <v>20</v>
      </c>
      <c r="S40" s="9">
        <f>7607</f>
        <v>7607</v>
      </c>
    </row>
    <row r="41" spans="1:19" ht="45" customHeight="1" x14ac:dyDescent="0.3">
      <c r="A41" s="4" t="s">
        <v>22</v>
      </c>
      <c r="B41" s="5" t="s">
        <v>88</v>
      </c>
      <c r="C41" s="4" t="s">
        <v>32</v>
      </c>
      <c r="D41" s="4" t="s">
        <v>89</v>
      </c>
      <c r="E41" s="4" t="s">
        <v>90</v>
      </c>
      <c r="F41" s="6">
        <f>3</f>
        <v>3</v>
      </c>
      <c r="G41" s="4" t="s">
        <v>35</v>
      </c>
      <c r="H41" s="7">
        <v>1144.3699999999999</v>
      </c>
      <c r="I41" s="7">
        <v>1144.3699999999999</v>
      </c>
      <c r="J41" s="8" t="s">
        <v>28</v>
      </c>
      <c r="K41" s="9">
        <f>1454.84</f>
        <v>1454.84</v>
      </c>
      <c r="L41" s="10">
        <f>4364.52</f>
        <v>4364.5200000000004</v>
      </c>
      <c r="M41" s="4"/>
      <c r="N41" s="11">
        <v>4</v>
      </c>
      <c r="O41" s="4" t="s">
        <v>68</v>
      </c>
      <c r="P41" s="11">
        <v>3</v>
      </c>
      <c r="Q41" s="4" t="s">
        <v>40</v>
      </c>
      <c r="R41" s="12">
        <v>1</v>
      </c>
      <c r="S41" s="9">
        <f>1454.84</f>
        <v>1454.84</v>
      </c>
    </row>
    <row r="42" spans="1:19" ht="45" customHeight="1" x14ac:dyDescent="0.3">
      <c r="A42" s="4"/>
      <c r="B42" s="5"/>
      <c r="C42" s="4"/>
      <c r="D42" s="4"/>
      <c r="E42" s="4"/>
      <c r="F42" s="6"/>
      <c r="G42" s="4"/>
      <c r="H42" s="7"/>
      <c r="I42" s="7"/>
      <c r="J42" s="8"/>
      <c r="K42" s="9"/>
      <c r="L42" s="10"/>
      <c r="M42" s="4"/>
      <c r="N42" s="11"/>
      <c r="O42" s="4"/>
      <c r="P42" s="11">
        <v>4</v>
      </c>
      <c r="Q42" s="4" t="s">
        <v>41</v>
      </c>
      <c r="R42" s="12">
        <v>2</v>
      </c>
      <c r="S42" s="9">
        <f>2909.68</f>
        <v>2909.68</v>
      </c>
    </row>
    <row r="43" spans="1:19" ht="45" customHeight="1" x14ac:dyDescent="0.3">
      <c r="A43" s="4" t="s">
        <v>22</v>
      </c>
      <c r="B43" s="5" t="s">
        <v>91</v>
      </c>
      <c r="C43" s="4" t="s">
        <v>32</v>
      </c>
      <c r="D43" s="4" t="s">
        <v>92</v>
      </c>
      <c r="E43" s="4" t="s">
        <v>93</v>
      </c>
      <c r="F43" s="6">
        <f>54</f>
        <v>54</v>
      </c>
      <c r="G43" s="4" t="s">
        <v>62</v>
      </c>
      <c r="H43" s="7">
        <v>7.03</v>
      </c>
      <c r="I43" s="7">
        <v>7.03</v>
      </c>
      <c r="J43" s="8" t="s">
        <v>28</v>
      </c>
      <c r="K43" s="9">
        <f>8.94</f>
        <v>8.94</v>
      </c>
      <c r="L43" s="10">
        <f>482.76</f>
        <v>482.76</v>
      </c>
      <c r="M43" s="4"/>
      <c r="N43" s="11">
        <v>4</v>
      </c>
      <c r="O43" s="4" t="s">
        <v>68</v>
      </c>
      <c r="P43" s="11">
        <v>3</v>
      </c>
      <c r="Q43" s="4" t="s">
        <v>40</v>
      </c>
      <c r="R43" s="12">
        <v>24</v>
      </c>
      <c r="S43" s="9">
        <f>214.56</f>
        <v>214.56</v>
      </c>
    </row>
    <row r="44" spans="1:19" ht="45" customHeight="1" x14ac:dyDescent="0.3">
      <c r="A44" s="4"/>
      <c r="B44" s="5"/>
      <c r="C44" s="4"/>
      <c r="D44" s="4"/>
      <c r="E44" s="4"/>
      <c r="F44" s="6"/>
      <c r="G44" s="4"/>
      <c r="H44" s="7"/>
      <c r="I44" s="7"/>
      <c r="J44" s="8"/>
      <c r="K44" s="9"/>
      <c r="L44" s="10"/>
      <c r="M44" s="4"/>
      <c r="N44" s="11"/>
      <c r="O44" s="4"/>
      <c r="P44" s="11">
        <v>4</v>
      </c>
      <c r="Q44" s="4" t="s">
        <v>41</v>
      </c>
      <c r="R44" s="12">
        <v>30</v>
      </c>
      <c r="S44" s="9">
        <f>268.2</f>
        <v>268.2</v>
      </c>
    </row>
    <row r="45" spans="1:19" ht="45" customHeight="1" x14ac:dyDescent="0.3">
      <c r="A45" s="4" t="s">
        <v>22</v>
      </c>
      <c r="B45" s="5" t="s">
        <v>94</v>
      </c>
      <c r="C45" s="4" t="s">
        <v>24</v>
      </c>
      <c r="D45" s="4" t="s">
        <v>95</v>
      </c>
      <c r="E45" s="4" t="s">
        <v>96</v>
      </c>
      <c r="F45" s="6">
        <f>36</f>
        <v>36</v>
      </c>
      <c r="G45" s="4" t="s">
        <v>27</v>
      </c>
      <c r="H45" s="7">
        <v>8.32</v>
      </c>
      <c r="I45" s="7">
        <v>8.32</v>
      </c>
      <c r="J45" s="8" t="s">
        <v>28</v>
      </c>
      <c r="K45" s="9">
        <f>10.58</f>
        <v>10.58</v>
      </c>
      <c r="L45" s="10">
        <f>380.88</f>
        <v>380.88</v>
      </c>
      <c r="M45" s="4"/>
      <c r="N45" s="11">
        <v>4</v>
      </c>
      <c r="O45" s="4" t="s">
        <v>68</v>
      </c>
      <c r="P45" s="11">
        <v>3</v>
      </c>
      <c r="Q45" s="4" t="s">
        <v>40</v>
      </c>
      <c r="R45" s="12">
        <v>16</v>
      </c>
      <c r="S45" s="9">
        <f>169.28</f>
        <v>169.28</v>
      </c>
    </row>
    <row r="46" spans="1:19" ht="45" customHeight="1" x14ac:dyDescent="0.3">
      <c r="A46" s="4"/>
      <c r="B46" s="5"/>
      <c r="C46" s="4"/>
      <c r="D46" s="4"/>
      <c r="E46" s="4"/>
      <c r="F46" s="6"/>
      <c r="G46" s="4"/>
      <c r="H46" s="7"/>
      <c r="I46" s="7"/>
      <c r="J46" s="8"/>
      <c r="K46" s="9"/>
      <c r="L46" s="10"/>
      <c r="M46" s="4"/>
      <c r="N46" s="11"/>
      <c r="O46" s="4"/>
      <c r="P46" s="11">
        <v>4</v>
      </c>
      <c r="Q46" s="4" t="s">
        <v>41</v>
      </c>
      <c r="R46" s="12">
        <v>20</v>
      </c>
      <c r="S46" s="9">
        <f>211.6</f>
        <v>211.6</v>
      </c>
    </row>
    <row r="47" spans="1:19" ht="45" customHeight="1" x14ac:dyDescent="0.3">
      <c r="A47" s="4" t="s">
        <v>22</v>
      </c>
      <c r="B47" s="5" t="s">
        <v>97</v>
      </c>
      <c r="C47" s="4" t="s">
        <v>24</v>
      </c>
      <c r="D47" s="4" t="s">
        <v>98</v>
      </c>
      <c r="E47" s="4" t="s">
        <v>99</v>
      </c>
      <c r="F47" s="6">
        <f>43.8</f>
        <v>43.8</v>
      </c>
      <c r="G47" s="4" t="s">
        <v>62</v>
      </c>
      <c r="H47" s="7">
        <v>23.68</v>
      </c>
      <c r="I47" s="7">
        <v>23.68</v>
      </c>
      <c r="J47" s="8" t="s">
        <v>28</v>
      </c>
      <c r="K47" s="9">
        <f>30.1</f>
        <v>30.1</v>
      </c>
      <c r="L47" s="10">
        <f>1318.38</f>
        <v>1318.38</v>
      </c>
      <c r="M47" s="4"/>
      <c r="N47" s="11">
        <v>4</v>
      </c>
      <c r="O47" s="4" t="s">
        <v>68</v>
      </c>
      <c r="P47" s="11">
        <v>3</v>
      </c>
      <c r="Q47" s="4" t="s">
        <v>40</v>
      </c>
      <c r="R47" s="12">
        <v>19.5</v>
      </c>
      <c r="S47" s="9">
        <f>586.95</f>
        <v>586.95000000000005</v>
      </c>
    </row>
    <row r="48" spans="1:19" ht="45" customHeight="1" x14ac:dyDescent="0.3">
      <c r="A48" s="4"/>
      <c r="B48" s="5"/>
      <c r="C48" s="4"/>
      <c r="D48" s="4"/>
      <c r="E48" s="4"/>
      <c r="F48" s="6"/>
      <c r="G48" s="4"/>
      <c r="H48" s="7"/>
      <c r="I48" s="7"/>
      <c r="J48" s="8"/>
      <c r="K48" s="9"/>
      <c r="L48" s="10"/>
      <c r="M48" s="4"/>
      <c r="N48" s="11"/>
      <c r="O48" s="4"/>
      <c r="P48" s="11">
        <v>4</v>
      </c>
      <c r="Q48" s="4" t="s">
        <v>41</v>
      </c>
      <c r="R48" s="12">
        <v>24.3</v>
      </c>
      <c r="S48" s="9">
        <f>731.43</f>
        <v>731.43</v>
      </c>
    </row>
    <row r="49" spans="1:19" ht="45" customHeight="1" x14ac:dyDescent="0.3">
      <c r="A49" s="4" t="s">
        <v>19</v>
      </c>
      <c r="B49" s="5" t="s">
        <v>100</v>
      </c>
      <c r="C49" s="4"/>
      <c r="D49" s="4"/>
      <c r="E49" s="4" t="s">
        <v>101</v>
      </c>
      <c r="F49" s="6"/>
      <c r="G49" s="4"/>
      <c r="H49" s="7"/>
      <c r="I49" s="7"/>
      <c r="J49" s="8"/>
      <c r="K49" s="9"/>
      <c r="L49" s="10">
        <f>33788.51</f>
        <v>33788.51</v>
      </c>
      <c r="M49" s="4"/>
      <c r="N49" s="11"/>
      <c r="O49" s="4"/>
      <c r="P49" s="11"/>
      <c r="Q49" s="4"/>
      <c r="R49" s="12"/>
      <c r="S49" s="9"/>
    </row>
    <row r="50" spans="1:19" ht="45" customHeight="1" x14ac:dyDescent="0.3">
      <c r="A50" s="4" t="s">
        <v>22</v>
      </c>
      <c r="B50" s="5" t="s">
        <v>102</v>
      </c>
      <c r="C50" s="4" t="s">
        <v>32</v>
      </c>
      <c r="D50" s="4" t="s">
        <v>103</v>
      </c>
      <c r="E50" s="4" t="s">
        <v>104</v>
      </c>
      <c r="F50" s="6">
        <f>6</f>
        <v>6</v>
      </c>
      <c r="G50" s="4" t="s">
        <v>35</v>
      </c>
      <c r="H50" s="7">
        <v>477.88</v>
      </c>
      <c r="I50" s="7">
        <v>477.88</v>
      </c>
      <c r="J50" s="8" t="s">
        <v>28</v>
      </c>
      <c r="K50" s="9">
        <f>607.53</f>
        <v>607.53</v>
      </c>
      <c r="L50" s="10">
        <f>3645.18</f>
        <v>3645.18</v>
      </c>
      <c r="M50" s="4"/>
      <c r="N50" s="11">
        <v>5</v>
      </c>
      <c r="O50" s="4" t="s">
        <v>101</v>
      </c>
      <c r="P50" s="11">
        <v>3</v>
      </c>
      <c r="Q50" s="4" t="s">
        <v>40</v>
      </c>
      <c r="R50" s="12">
        <v>4</v>
      </c>
      <c r="S50" s="9">
        <f>2430.12</f>
        <v>2430.12</v>
      </c>
    </row>
    <row r="51" spans="1:19" ht="45" customHeight="1" x14ac:dyDescent="0.3">
      <c r="A51" s="4"/>
      <c r="B51" s="5"/>
      <c r="C51" s="4"/>
      <c r="D51" s="4"/>
      <c r="E51" s="4"/>
      <c r="F51" s="6"/>
      <c r="G51" s="4"/>
      <c r="H51" s="7"/>
      <c r="I51" s="7"/>
      <c r="J51" s="8"/>
      <c r="K51" s="9"/>
      <c r="L51" s="10"/>
      <c r="M51" s="4"/>
      <c r="N51" s="11"/>
      <c r="O51" s="4"/>
      <c r="P51" s="11">
        <v>4</v>
      </c>
      <c r="Q51" s="4" t="s">
        <v>41</v>
      </c>
      <c r="R51" s="12">
        <v>2</v>
      </c>
      <c r="S51" s="9">
        <f>1215.06</f>
        <v>1215.06</v>
      </c>
    </row>
    <row r="52" spans="1:19" ht="45" customHeight="1" x14ac:dyDescent="0.3">
      <c r="A52" s="4" t="s">
        <v>22</v>
      </c>
      <c r="B52" s="5" t="s">
        <v>105</v>
      </c>
      <c r="C52" s="4" t="s">
        <v>32</v>
      </c>
      <c r="D52" s="4" t="s">
        <v>106</v>
      </c>
      <c r="E52" s="4" t="s">
        <v>107</v>
      </c>
      <c r="F52" s="6">
        <f>8</f>
        <v>8</v>
      </c>
      <c r="G52" s="4" t="s">
        <v>35</v>
      </c>
      <c r="H52" s="7">
        <v>280.57</v>
      </c>
      <c r="I52" s="7">
        <v>280.57</v>
      </c>
      <c r="J52" s="8" t="s">
        <v>28</v>
      </c>
      <c r="K52" s="9">
        <f>356.69</f>
        <v>356.69</v>
      </c>
      <c r="L52" s="10">
        <f>2853.52</f>
        <v>2853.52</v>
      </c>
      <c r="M52" s="4"/>
      <c r="N52" s="11">
        <v>5</v>
      </c>
      <c r="O52" s="4" t="s">
        <v>101</v>
      </c>
      <c r="P52" s="11">
        <v>4</v>
      </c>
      <c r="Q52" s="4" t="s">
        <v>41</v>
      </c>
      <c r="R52" s="12">
        <v>8</v>
      </c>
      <c r="S52" s="9">
        <f>2853.52</f>
        <v>2853.52</v>
      </c>
    </row>
    <row r="53" spans="1:19" ht="45" customHeight="1" x14ac:dyDescent="0.3">
      <c r="A53" s="4" t="s">
        <v>22</v>
      </c>
      <c r="B53" s="5" t="s">
        <v>108</v>
      </c>
      <c r="C53" s="4" t="s">
        <v>32</v>
      </c>
      <c r="D53" s="4" t="s">
        <v>109</v>
      </c>
      <c r="E53" s="4" t="s">
        <v>110</v>
      </c>
      <c r="F53" s="6">
        <f>14</f>
        <v>14</v>
      </c>
      <c r="G53" s="4" t="s">
        <v>35</v>
      </c>
      <c r="H53" s="7">
        <v>138.6</v>
      </c>
      <c r="I53" s="7">
        <v>138.6</v>
      </c>
      <c r="J53" s="8" t="s">
        <v>28</v>
      </c>
      <c r="K53" s="9">
        <f>176.2</f>
        <v>176.2</v>
      </c>
      <c r="L53" s="10">
        <f>2466.8</f>
        <v>2466.8000000000002</v>
      </c>
      <c r="M53" s="4"/>
      <c r="N53" s="11">
        <v>5</v>
      </c>
      <c r="O53" s="4" t="s">
        <v>101</v>
      </c>
      <c r="P53" s="11">
        <v>3</v>
      </c>
      <c r="Q53" s="4" t="s">
        <v>40</v>
      </c>
      <c r="R53" s="12">
        <v>4</v>
      </c>
      <c r="S53" s="9">
        <f>704.8</f>
        <v>704.8</v>
      </c>
    </row>
    <row r="54" spans="1:19" ht="45" customHeight="1" x14ac:dyDescent="0.3">
      <c r="A54" s="4"/>
      <c r="B54" s="5"/>
      <c r="C54" s="4"/>
      <c r="D54" s="4"/>
      <c r="E54" s="4"/>
      <c r="F54" s="6"/>
      <c r="G54" s="4"/>
      <c r="H54" s="7"/>
      <c r="I54" s="7"/>
      <c r="J54" s="8"/>
      <c r="K54" s="9"/>
      <c r="L54" s="10"/>
      <c r="M54" s="4"/>
      <c r="N54" s="11"/>
      <c r="O54" s="4"/>
      <c r="P54" s="11">
        <v>4</v>
      </c>
      <c r="Q54" s="4" t="s">
        <v>41</v>
      </c>
      <c r="R54" s="12">
        <v>10</v>
      </c>
      <c r="S54" s="9">
        <f>1762</f>
        <v>1762</v>
      </c>
    </row>
    <row r="55" spans="1:19" ht="45" customHeight="1" x14ac:dyDescent="0.3">
      <c r="A55" s="4" t="s">
        <v>22</v>
      </c>
      <c r="B55" s="5" t="s">
        <v>111</v>
      </c>
      <c r="C55" s="4" t="s">
        <v>32</v>
      </c>
      <c r="D55" s="4" t="s">
        <v>112</v>
      </c>
      <c r="E55" s="4" t="s">
        <v>113</v>
      </c>
      <c r="F55" s="6">
        <f>705.6</f>
        <v>705.6</v>
      </c>
      <c r="G55" s="4" t="s">
        <v>27</v>
      </c>
      <c r="H55" s="7">
        <v>27.67</v>
      </c>
      <c r="I55" s="7">
        <v>27.67</v>
      </c>
      <c r="J55" s="8" t="s">
        <v>28</v>
      </c>
      <c r="K55" s="9">
        <f>35.18</f>
        <v>35.18</v>
      </c>
      <c r="L55" s="10">
        <f>24823.01</f>
        <v>24823.01</v>
      </c>
      <c r="M55" s="4"/>
      <c r="N55" s="11">
        <v>5</v>
      </c>
      <c r="O55" s="4" t="s">
        <v>101</v>
      </c>
      <c r="P55" s="11">
        <v>3</v>
      </c>
      <c r="Q55" s="4" t="s">
        <v>40</v>
      </c>
      <c r="R55" s="12">
        <v>345.6</v>
      </c>
      <c r="S55" s="9">
        <f>12158.21</f>
        <v>12158.21</v>
      </c>
    </row>
    <row r="56" spans="1:19" ht="45" customHeight="1" x14ac:dyDescent="0.3">
      <c r="A56" s="4"/>
      <c r="B56" s="5"/>
      <c r="C56" s="4"/>
      <c r="D56" s="4"/>
      <c r="E56" s="4"/>
      <c r="F56" s="6"/>
      <c r="G56" s="4"/>
      <c r="H56" s="7"/>
      <c r="I56" s="7"/>
      <c r="J56" s="8"/>
      <c r="K56" s="9"/>
      <c r="L56" s="10"/>
      <c r="M56" s="4"/>
      <c r="N56" s="11"/>
      <c r="O56" s="4"/>
      <c r="P56" s="11">
        <v>4</v>
      </c>
      <c r="Q56" s="4" t="s">
        <v>41</v>
      </c>
      <c r="R56" s="12">
        <v>360</v>
      </c>
      <c r="S56" s="9">
        <f>12664.8</f>
        <v>12664.8</v>
      </c>
    </row>
    <row r="57" spans="1:19" x14ac:dyDescent="0.3">
      <c r="R57" s="14" t="s">
        <v>114</v>
      </c>
      <c r="S57" s="15">
        <f>1433999.2</f>
        <v>1433999.2</v>
      </c>
    </row>
    <row r="58" spans="1:19" x14ac:dyDescent="0.3">
      <c r="R58" s="14" t="s">
        <v>115</v>
      </c>
      <c r="S58" s="15">
        <f>0.8</f>
        <v>0.8</v>
      </c>
    </row>
  </sheetData>
  <conditionalFormatting sqref="A2:S2">
    <cfRule type="expression" dxfId="19" priority="13">
      <formula>$A2="Macrosserviço"</formula>
    </cfRule>
  </conditionalFormatting>
  <conditionalFormatting sqref="E2:E56">
    <cfRule type="expression" dxfId="18" priority="15">
      <formula>IF($A2="Macrosserviço",LEN($E2)&gt;100,LEN($E2)&gt;500)</formula>
    </cfRule>
  </conditionalFormatting>
  <conditionalFormatting sqref="M2:M56">
    <cfRule type="expression" dxfId="17" priority="14">
      <formula>IF($A2="Serviço",LEN(M2)&gt;500,M2&lt;&gt;"")</formula>
    </cfRule>
  </conditionalFormatting>
  <conditionalFormatting sqref="A2:A56">
    <cfRule type="expression" dxfId="16" priority="12">
      <formula>AND(A2&lt;&gt;"Macrosserviço",A2&lt;&gt;"Serviço",A2&lt;&gt;"")</formula>
    </cfRule>
  </conditionalFormatting>
  <conditionalFormatting sqref="C2:C56">
    <cfRule type="expression" dxfId="15" priority="11">
      <formula>IF($A2="Serviço",AND(C2&lt;&gt;"Composição",C2&lt;&gt;"Cotação",C2&lt;&gt;"SINAPI",C2&lt;&gt;"Outros"),C2&lt;&gt;"")</formula>
    </cfRule>
  </conditionalFormatting>
  <conditionalFormatting sqref="D2:D56">
    <cfRule type="expression" dxfId="14" priority="10">
      <formula>IF($A2="Serviço",OR(D2="",LEN($D2)&gt;13),D2&lt;&gt;"")</formula>
    </cfRule>
  </conditionalFormatting>
  <conditionalFormatting sqref="H2:H56">
    <cfRule type="expression" dxfId="13" priority="9">
      <formula>IF(A2="Serviço",OR(NOT(ISNUMBER(H2)),H2&lt;&gt;ROUND(H2,2),AND(C2&lt;&gt;"SINAPI",H2=0),H2&lt;0,H2&gt;9999999999.99),H2&lt;&gt;"")</formula>
    </cfRule>
  </conditionalFormatting>
  <conditionalFormatting sqref="I2:I56">
    <cfRule type="expression" dxfId="12" priority="8">
      <formula>IF($A2="Serviço",OR(NOT(ISNUMBER(I2)),I2&lt;&gt;ROUND(I2,2),I2&lt;=0,I2&gt;9999999999.99,AND(I2&gt;H2,H2&gt;0)),I2&lt;&gt;"")</formula>
    </cfRule>
  </conditionalFormatting>
  <conditionalFormatting sqref="J2:J56">
    <cfRule type="expression" dxfId="11" priority="7">
      <formula>IF($A2="Serviço",OR(NOT(ISNUMBER(VALUE(J2))),VALUE(J2)&lt;&gt;ROUND(VALUE(J2),4),VALUE(J2)&lt;=0,VALUE(J2)&gt;100%),J2&lt;&gt;"")</formula>
    </cfRule>
  </conditionalFormatting>
  <conditionalFormatting sqref="N2:N56">
    <cfRule type="expression" dxfId="10" priority="6">
      <formula>IF($A2="Serviço",OR(NOT(ISNUMBER(N2)),N2&lt;&gt;ROUND(N2,0),N2&lt;1,N2&gt;999),N2&lt;&gt;"")</formula>
    </cfRule>
  </conditionalFormatting>
  <conditionalFormatting sqref="O2:O56">
    <cfRule type="expression" dxfId="9" priority="5">
      <formula>IF($A2="Serviço",OR(O2="",LEN(O2)&gt;100),O2&lt;&gt;"")</formula>
    </cfRule>
  </conditionalFormatting>
  <conditionalFormatting sqref="P2:P56">
    <cfRule type="expression" dxfId="8" priority="4">
      <formula>IF($A2="Macrosserviço",P2&lt;&gt;"",OR(NOT(ISNUMBER(P2)),P2&lt;&gt;ROUND(P2,0),P2&lt;1,P2&gt;999))</formula>
    </cfRule>
  </conditionalFormatting>
  <conditionalFormatting sqref="Q2:Q56">
    <cfRule type="expression" dxfId="7" priority="3">
      <formula>IF($A2="Macrosserviço",Q2&lt;&gt;"",OR(Q2="",LEN(Q2)&gt;100))</formula>
    </cfRule>
  </conditionalFormatting>
  <conditionalFormatting sqref="R2:R56">
    <cfRule type="expression" dxfId="6" priority="2">
      <formula>IF($A2="Macrosserviço",R2&lt;&gt;"",OR(NOT(ISNUMBER(R2)),R2&lt;&gt;ROUND(R2,2),R2&lt;=0,R2&gt;99999999.99))</formula>
    </cfRule>
  </conditionalFormatting>
  <conditionalFormatting sqref="A3:S56">
    <cfRule type="expression" dxfId="5" priority="1">
      <formula>$A3="Macrosserviço"</formula>
    </cfRule>
  </conditionalFormatting>
  <pageMargins left="0.78740157480314998" right="0.78740157480314998" top="0.78740157480314998" bottom="0.78740157480314998" header="5.7086614173228396" footer="0.59055118110236204"/>
  <pageSetup paperSize="9" orientation="portrait" r:id="rId1"/>
  <headerFooter>
    <oddHeader>&amp;L_</oddHeader>
    <oddFooter>&amp;LPMv3.16&amp;R&amp;P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60E84-2B03-442A-BC15-58411BA48B24}">
  <sheetPr codeName="Planilha2"/>
  <dimension ref="A1:E15"/>
  <sheetViews>
    <sheetView workbookViewId="0"/>
  </sheetViews>
  <sheetFormatPr defaultColWidth="9.21875" defaultRowHeight="14.4" x14ac:dyDescent="0.3"/>
  <cols>
    <col min="1" max="1" width="15" style="3" customWidth="1"/>
    <col min="2" max="2" width="50" style="3" customWidth="1"/>
    <col min="3" max="3" width="20" style="3" customWidth="1"/>
    <col min="4" max="4" width="50" style="3" customWidth="1"/>
    <col min="5" max="5" width="35" style="3" customWidth="1"/>
    <col min="6" max="16384" width="9.21875" style="3"/>
  </cols>
  <sheetData>
    <row r="1" spans="1:5" x14ac:dyDescent="0.3">
      <c r="A1" s="1" t="s">
        <v>116</v>
      </c>
      <c r="B1" s="1" t="s">
        <v>117</v>
      </c>
      <c r="C1" s="1" t="s">
        <v>118</v>
      </c>
      <c r="D1" s="1" t="s">
        <v>16</v>
      </c>
      <c r="E1" s="1" t="s">
        <v>119</v>
      </c>
    </row>
    <row r="2" spans="1:5" ht="45" customHeight="1" x14ac:dyDescent="0.3">
      <c r="A2" s="16">
        <v>1</v>
      </c>
      <c r="B2" s="16" t="s">
        <v>21</v>
      </c>
      <c r="C2" s="16">
        <v>1</v>
      </c>
      <c r="D2" s="16" t="s">
        <v>29</v>
      </c>
      <c r="E2" s="16">
        <v>1</v>
      </c>
    </row>
    <row r="3" spans="1:5" ht="45" customHeight="1" x14ac:dyDescent="0.3">
      <c r="A3" s="16">
        <v>1</v>
      </c>
      <c r="B3" s="16" t="s">
        <v>21</v>
      </c>
      <c r="C3" s="16">
        <v>2</v>
      </c>
      <c r="D3" s="16" t="s">
        <v>30</v>
      </c>
      <c r="E3" s="16">
        <v>2</v>
      </c>
    </row>
    <row r="4" spans="1:5" ht="45" customHeight="1" x14ac:dyDescent="0.3">
      <c r="A4" s="16">
        <v>1</v>
      </c>
      <c r="B4" s="16" t="s">
        <v>21</v>
      </c>
      <c r="C4" s="16">
        <v>3</v>
      </c>
      <c r="D4" s="16" t="s">
        <v>40</v>
      </c>
      <c r="E4" s="16">
        <v>3</v>
      </c>
    </row>
    <row r="5" spans="1:5" ht="45" customHeight="1" x14ac:dyDescent="0.3">
      <c r="A5" s="16">
        <v>1</v>
      </c>
      <c r="B5" s="16" t="s">
        <v>21</v>
      </c>
      <c r="C5" s="16">
        <v>4</v>
      </c>
      <c r="D5" s="16" t="s">
        <v>41</v>
      </c>
      <c r="E5" s="16">
        <v>4</v>
      </c>
    </row>
    <row r="6" spans="1:5" ht="45" customHeight="1" x14ac:dyDescent="0.3">
      <c r="A6" s="16">
        <v>2</v>
      </c>
      <c r="B6" s="16" t="s">
        <v>46</v>
      </c>
      <c r="C6" s="16">
        <v>1</v>
      </c>
      <c r="D6" s="16" t="s">
        <v>29</v>
      </c>
      <c r="E6" s="16">
        <v>1</v>
      </c>
    </row>
    <row r="7" spans="1:5" ht="45" customHeight="1" x14ac:dyDescent="0.3">
      <c r="A7" s="16">
        <v>2</v>
      </c>
      <c r="B7" s="16" t="s">
        <v>46</v>
      </c>
      <c r="C7" s="16">
        <v>2</v>
      </c>
      <c r="D7" s="16" t="s">
        <v>30</v>
      </c>
      <c r="E7" s="16">
        <v>2</v>
      </c>
    </row>
    <row r="8" spans="1:5" ht="45" customHeight="1" x14ac:dyDescent="0.3">
      <c r="A8" s="16">
        <v>2</v>
      </c>
      <c r="B8" s="16" t="s">
        <v>46</v>
      </c>
      <c r="C8" s="16">
        <v>3</v>
      </c>
      <c r="D8" s="16" t="s">
        <v>40</v>
      </c>
      <c r="E8" s="16">
        <v>3</v>
      </c>
    </row>
    <row r="9" spans="1:5" ht="45" customHeight="1" x14ac:dyDescent="0.3">
      <c r="A9" s="16">
        <v>2</v>
      </c>
      <c r="B9" s="16" t="s">
        <v>46</v>
      </c>
      <c r="C9" s="16">
        <v>4</v>
      </c>
      <c r="D9" s="16" t="s">
        <v>41</v>
      </c>
      <c r="E9" s="16">
        <v>4</v>
      </c>
    </row>
    <row r="10" spans="1:5" ht="45" customHeight="1" x14ac:dyDescent="0.3">
      <c r="A10" s="16">
        <v>3</v>
      </c>
      <c r="B10" s="16" t="s">
        <v>52</v>
      </c>
      <c r="C10" s="16">
        <v>1</v>
      </c>
      <c r="D10" s="16" t="s">
        <v>29</v>
      </c>
      <c r="E10" s="16">
        <v>1</v>
      </c>
    </row>
    <row r="11" spans="1:5" ht="45" customHeight="1" x14ac:dyDescent="0.3">
      <c r="A11" s="16">
        <v>3</v>
      </c>
      <c r="B11" s="16" t="s">
        <v>52</v>
      </c>
      <c r="C11" s="16">
        <v>2</v>
      </c>
      <c r="D11" s="16" t="s">
        <v>30</v>
      </c>
      <c r="E11" s="16">
        <v>2</v>
      </c>
    </row>
    <row r="12" spans="1:5" ht="45" customHeight="1" x14ac:dyDescent="0.3">
      <c r="A12" s="16">
        <v>4</v>
      </c>
      <c r="B12" s="16" t="s">
        <v>68</v>
      </c>
      <c r="C12" s="16">
        <v>3</v>
      </c>
      <c r="D12" s="16" t="s">
        <v>40</v>
      </c>
      <c r="E12" s="16">
        <v>3</v>
      </c>
    </row>
    <row r="13" spans="1:5" ht="45" customHeight="1" x14ac:dyDescent="0.3">
      <c r="A13" s="16">
        <v>4</v>
      </c>
      <c r="B13" s="16" t="s">
        <v>68</v>
      </c>
      <c r="C13" s="16">
        <v>4</v>
      </c>
      <c r="D13" s="16" t="s">
        <v>41</v>
      </c>
      <c r="E13" s="16">
        <v>4</v>
      </c>
    </row>
    <row r="14" spans="1:5" ht="45" customHeight="1" x14ac:dyDescent="0.3">
      <c r="A14" s="16">
        <v>5</v>
      </c>
      <c r="B14" s="16" t="s">
        <v>101</v>
      </c>
      <c r="C14" s="16">
        <v>3</v>
      </c>
      <c r="D14" s="16" t="s">
        <v>40</v>
      </c>
      <c r="E14" s="16">
        <v>4</v>
      </c>
    </row>
    <row r="15" spans="1:5" ht="45" customHeight="1" x14ac:dyDescent="0.3">
      <c r="A15" s="16">
        <v>5</v>
      </c>
      <c r="B15" s="16" t="s">
        <v>101</v>
      </c>
      <c r="C15" s="16">
        <v>4</v>
      </c>
      <c r="D15" s="16" t="s">
        <v>41</v>
      </c>
      <c r="E15" s="16">
        <v>4</v>
      </c>
    </row>
  </sheetData>
  <conditionalFormatting sqref="A2:A15">
    <cfRule type="expression" dxfId="4" priority="5">
      <formula>OR(NOT(ISNUMBER(A2)),A2&lt;&gt;ROUND(A2,0),A2&lt;1,A2&gt;999)</formula>
    </cfRule>
  </conditionalFormatting>
  <conditionalFormatting sqref="B2:B15">
    <cfRule type="expression" dxfId="3" priority="4">
      <formula>OR(B2="",LEN(B2)&gt;100)</formula>
    </cfRule>
  </conditionalFormatting>
  <conditionalFormatting sqref="C2:C15">
    <cfRule type="expression" dxfId="2" priority="3">
      <formula>OR(NOT(ISNUMBER(C2)),C2&lt;&gt;ROUND(C2,0),C2&lt;1,C2&gt;999)</formula>
    </cfRule>
  </conditionalFormatting>
  <conditionalFormatting sqref="D2:D15">
    <cfRule type="expression" dxfId="1" priority="2">
      <formula>OR(D2="",LEN(D2)&gt;100)</formula>
    </cfRule>
  </conditionalFormatting>
  <conditionalFormatting sqref="E2:E15">
    <cfRule type="expression" dxfId="0" priority="1">
      <formula>OR(NOT(ISNUMBER(E2)),E2&lt;&gt;ROUND(E2,0),E2&lt;1,E2&gt;120)</formula>
    </cfRule>
  </conditionalFormatting>
  <pageMargins left="0.78740157480314998" right="0.78740157480314998" top="0.78740157480314998" bottom="0.78740157480314998" header="5.7086614173228396" footer="0.59055118110236204"/>
  <pageSetup paperSize="9" orientation="portrait" r:id="rId1"/>
  <headerFooter>
    <oddHeader>&amp;L_</oddHeader>
    <oddFooter>&amp;LPMv3.16&amp;R&amp;P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PO-PLE</vt:lpstr>
      <vt:lpstr>CFF-PLE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César</dc:creator>
  <cp:lastModifiedBy>Bruno César</cp:lastModifiedBy>
  <dcterms:created xsi:type="dcterms:W3CDTF">2026-05-25T17:36:45Z</dcterms:created>
  <dcterms:modified xsi:type="dcterms:W3CDTF">2026-05-25T17:36:45Z</dcterms:modified>
</cp:coreProperties>
</file>