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ocuments\PASTA D\vazamento\"/>
    </mc:Choice>
  </mc:AlternateContent>
  <xr:revisionPtr revIDLastSave="0" documentId="13_ncr:1_{8672C02E-7CDB-4137-B738-F107D2C0B64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lanilha L1" sheetId="1" r:id="rId1"/>
    <sheet name="COMPOSIÇÕES-" sheetId="3" r:id="rId2"/>
    <sheet name="BDI DES.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12" i="3"/>
  <c r="G14" i="3"/>
  <c r="G47" i="3"/>
  <c r="G43" i="3"/>
  <c r="G46" i="3"/>
  <c r="G48" i="3" s="1"/>
  <c r="G42" i="3"/>
  <c r="G41" i="3"/>
  <c r="G44" i="3" s="1"/>
  <c r="C5" i="1"/>
  <c r="G38" i="3"/>
  <c r="G37" i="3"/>
  <c r="E5" i="3"/>
  <c r="E9" i="3"/>
  <c r="E6" i="3"/>
  <c r="E11" i="3"/>
  <c r="B14" i="9"/>
  <c r="F13" i="1" l="1"/>
  <c r="G13" i="1" s="1"/>
  <c r="F12" i="1"/>
  <c r="G12" i="1" s="1"/>
  <c r="G39" i="3"/>
  <c r="F11" i="1" s="1"/>
  <c r="G11" i="1" s="1"/>
  <c r="E7" i="1"/>
  <c r="E5" i="1"/>
  <c r="E34" i="3"/>
  <c r="G34" i="3" s="1"/>
  <c r="E33" i="3"/>
  <c r="G33" i="3" s="1"/>
  <c r="G32" i="3"/>
  <c r="E31" i="3"/>
  <c r="C9" i="1" l="1"/>
  <c r="C8" i="1"/>
  <c r="C7" i="1"/>
  <c r="G12" i="3" l="1"/>
  <c r="G11" i="3"/>
  <c r="E10" i="3" s="1"/>
  <c r="F7" i="1" l="1"/>
  <c r="G7" i="1" s="1"/>
  <c r="E21" i="3"/>
  <c r="G21" i="3" s="1"/>
  <c r="E19" i="3"/>
  <c r="E22" i="3"/>
  <c r="G22" i="3" s="1"/>
  <c r="G20" i="3"/>
  <c r="E28" i="3"/>
  <c r="G28" i="3" s="1"/>
  <c r="E27" i="3"/>
  <c r="G27" i="3" s="1"/>
  <c r="E25" i="3"/>
  <c r="G16" i="3"/>
  <c r="G15" i="3"/>
  <c r="G26" i="3"/>
  <c r="G17" i="3" l="1"/>
  <c r="F19" i="3" s="1"/>
  <c r="G19" i="3" s="1"/>
  <c r="G23" i="3" s="1"/>
  <c r="F8" i="1" s="1"/>
  <c r="G8" i="1" s="1"/>
  <c r="E8" i="3"/>
  <c r="C6" i="1"/>
  <c r="D5" i="1"/>
  <c r="F9" i="3"/>
  <c r="G9" i="3" s="1"/>
  <c r="F8" i="3"/>
  <c r="G8" i="3" s="1"/>
  <c r="G6" i="3"/>
  <c r="F5" i="3"/>
  <c r="F25" i="3" l="1"/>
  <c r="G25" i="3" s="1"/>
  <c r="G29" i="3" s="1"/>
  <c r="F9" i="1" s="1"/>
  <c r="G9" i="1" s="1"/>
  <c r="F31" i="3"/>
  <c r="G31" i="3" s="1"/>
  <c r="G35" i="3" s="1"/>
  <c r="F10" i="1" s="1"/>
  <c r="G10" i="1" s="1"/>
  <c r="F6" i="1"/>
  <c r="E7" i="3"/>
  <c r="G5" i="3"/>
  <c r="F5" i="1" s="1"/>
  <c r="G6" i="1" l="1"/>
  <c r="G5" i="1"/>
  <c r="G14" i="1" s="1"/>
  <c r="G15" i="1" s="1"/>
  <c r="E4" i="3"/>
</calcChain>
</file>

<file path=xl/sharedStrings.xml><?xml version="1.0" encoding="utf-8"?>
<sst xmlns="http://schemas.openxmlformats.org/spreadsheetml/2006/main" count="200" uniqueCount="142">
  <si>
    <t>ITEM</t>
  </si>
  <si>
    <t>SINAPI</t>
  </si>
  <si>
    <t>DESCRIÇÃO DOS SERVIÇOS</t>
  </si>
  <si>
    <t>UNIDADE</t>
  </si>
  <si>
    <t>QUANTIDADE</t>
  </si>
  <si>
    <t>UNITÁRIO (R$)</t>
  </si>
  <si>
    <t>PLANILHA DE QUANTIDADE E CUSTOS DE SERVIÇOS</t>
  </si>
  <si>
    <t>1.2</t>
  </si>
  <si>
    <t>H</t>
  </si>
  <si>
    <t>TOTAL</t>
  </si>
  <si>
    <t>COMPOSIÇÃO DO B.D.I</t>
  </si>
  <si>
    <t>Administração Central</t>
  </si>
  <si>
    <t>Seguro e Garantia</t>
  </si>
  <si>
    <t>Risco</t>
  </si>
  <si>
    <t>Despesas Financeiras</t>
  </si>
  <si>
    <t>ONDE:</t>
  </si>
  <si>
    <t>Lucro</t>
  </si>
  <si>
    <t>AC:</t>
  </si>
  <si>
    <t>taxa de administração central</t>
  </si>
  <si>
    <t>Tributos - PIS - CONFINS E CPRB</t>
  </si>
  <si>
    <t>S:</t>
  </si>
  <si>
    <t>taxa de seguros</t>
  </si>
  <si>
    <t>Tributos - ISS</t>
  </si>
  <si>
    <t>R:</t>
  </si>
  <si>
    <t>taxa de riscos</t>
  </si>
  <si>
    <t>BDI</t>
  </si>
  <si>
    <t>G:</t>
  </si>
  <si>
    <t>taxa de garantias</t>
  </si>
  <si>
    <t>DF:</t>
  </si>
  <si>
    <t>taxa de despesas financeiras</t>
  </si>
  <si>
    <t>L:</t>
  </si>
  <si>
    <t>taxa de lucro/remuneração</t>
  </si>
  <si>
    <t>I:</t>
  </si>
  <si>
    <t>taxa de incidência de imposto (PIS,COFINS,ISS)</t>
  </si>
  <si>
    <t>CPRB:</t>
  </si>
  <si>
    <t>contribuição Previdenciária sobre a Receita Bruta</t>
  </si>
  <si>
    <r>
      <t>*</t>
    </r>
    <r>
      <rPr>
        <i/>
        <sz val="10"/>
        <rFont val="Arial"/>
        <family val="2"/>
      </rPr>
      <t>CALCULADO CONFORME ACORDÃO Nº 2622/2013 - TCU</t>
    </r>
  </si>
  <si>
    <r>
      <t>***</t>
    </r>
    <r>
      <rPr>
        <i/>
        <sz val="10"/>
        <rFont val="Arial"/>
        <family val="2"/>
      </rPr>
      <t>ISS DE 3% - BASE DE CALCULO DE 100%</t>
    </r>
  </si>
  <si>
    <t>TOTAL  (R$)</t>
  </si>
  <si>
    <t>1.3</t>
  </si>
  <si>
    <t>COMP.1</t>
  </si>
  <si>
    <t xml:space="preserve">TOTAL (R$) </t>
  </si>
  <si>
    <t>PLANILHA DE COMPOSIÇÕES</t>
  </si>
  <si>
    <t>1.11</t>
  </si>
  <si>
    <t>1.12</t>
  </si>
  <si>
    <t>CHP</t>
  </si>
  <si>
    <t>CHI</t>
  </si>
  <si>
    <t xml:space="preserve">RETROESCAVADEIRA SOBRE RODAS COM CARREGADEIRA, TRAÇÃO 4X4, POTÊNCIA LÍQ. 88 HP, CAÇAMBA CARREG. CAP. MÍN. 1 M3, CAÇAMBA RETRO CAP. 0,26 M3, PESO OPERACIONAL MÍN. 6.674 KG, PROFUNDIDADE ESCAVAÇÃO MÁX. 4,37 M - CHP DIURNO. </t>
  </si>
  <si>
    <t xml:space="preserve"> RETROESCAVADEIRA SOBRE RODAS COM CARREGADEIRA, TRAÇÃO 4X4, POTÊNCIA LÍQ. 88 HP, CAÇAMBA CARREG. CAP. MÍN. 1 M3, CAÇAMBA RETRO CAP. 0,26 M3, PESO OPERACIONAL MÍN. 6.674 KG, PROFUNDIDADE ESCAVAÇÃO MÁX. 4,37 M - CHI DIURNO.</t>
  </si>
  <si>
    <t>RETROESCAVADEIRA SOBRE RODAS COM CARREGADEIRA, TRAÇÃO 4X4, POTÊNCIA LÍQ. 88 HP, CAÇAMBA CARREG. CAP. MÍN. 1 M3, CAÇAMBA RETRO CAP. 0,26 M3, PESO OPERACIONAL MÍN. 6.674 KG, PROFUNDIDADE ESCAVAÇÃO MÁX. 4,37 M, INCLUSIVE OPERADOR</t>
  </si>
  <si>
    <t>DIÁRIO</t>
  </si>
  <si>
    <t>DIARIO</t>
  </si>
  <si>
    <t xml:space="preserve"> ROLO COMPACTADOR VIBRATÓRIO PÉ DE CARNEIRO, OPERADO POR CONTROLE REMOTO, POTÊNCIA 12,5 KW, PESO OPERACIONAL 1,675 T, LARGURA DE TRABALHO 0,85 M - INCLUSIVE OPERADOR</t>
  </si>
  <si>
    <t xml:space="preserve"> ROLO COMPACTADOR VIBRATÓRIO REBOCÁVEL, CILINDRO DE AÇO LISO, POTÊNCIA DE TRAÇÃO DE 65 CV, PESO 4,7 T, IMPACTO DINÂMICO 18,3 T, LARGURA DE TRABALHO 1,67 M - CHI DIURNO.</t>
  </si>
  <si>
    <t>ROLO COMPACTADOR VIBRATÓRIO PÉ DE CARNEIRO, OPERADO POR CONTROLE REMOTO, POTÊNCIA 12,5 KW,
PESO OPERACIONAL 1,675 T, LARGURA DE TRABALHO 0,85 M</t>
  </si>
  <si>
    <t>COMP.2</t>
  </si>
  <si>
    <t>1.1</t>
  </si>
  <si>
    <t>m3</t>
  </si>
  <si>
    <t xml:space="preserve">COMP.13 </t>
  </si>
  <si>
    <t>REATERRO MANUAL</t>
  </si>
  <si>
    <t>1.4</t>
  </si>
  <si>
    <t>ASSENTADOR DE TUBOS COM ENCARGOS COMPLEMENTARES</t>
  </si>
  <si>
    <t>h</t>
  </si>
  <si>
    <t>SERVENTE COM ENCARGOS COMPLEMENTARES</t>
  </si>
  <si>
    <t xml:space="preserve">ED-51131 </t>
  </si>
  <si>
    <t>CARGA MANUAL DE MATERIAL DE QUALQUER NATUREZA SOBRE CAMINHÃO, EXCLUSIVE TRANSPORTE</t>
  </si>
  <si>
    <t>M3</t>
  </si>
  <si>
    <t xml:space="preserve"> CAMINHÃO PIPA 10.000 L TRUCADO, PESO BRUTO TOTAL 23.000 KG, CARGA ÚTIL MÁXIMA 15.935 KG, DISTÂNCIA ENTRE EIXOS 4,8 M, POTÊNCIA 230 CV, INCLUSIVE TANQUE DE AÇO PARA TRANSPORTE DE ÁGUA - CHP DIURNO.</t>
  </si>
  <si>
    <t xml:space="preserve">CAMINHÃO PIPA 10.000 L TRUCADO, PESO BRUTO TOTAL 23.000 KG, CARGA ÚTIL MÁXIMA 15.935 KG, DISTÂNCIA ENTRE EIXOS 4,8 M, POTÊNCIA 230 CV, INCLUSIVE TANQUE DE AÇO PARA TRANSPORTE DE ÁGUA - CHI DIURNO. </t>
  </si>
  <si>
    <t xml:space="preserve"> SERVENTE COM ENCARGOS COMPLEMENTARES</t>
  </si>
  <si>
    <t>COMP.3</t>
  </si>
  <si>
    <t>COMP.5</t>
  </si>
  <si>
    <t>COMPOSIÇÃO 4 - REATERRO MANUAL</t>
  </si>
  <si>
    <t>TOTAL COMP.04</t>
  </si>
  <si>
    <t>COMPOSIÇÃO 5 - REPARO NA REDE PREDIAL DE ÁGUA DE 85MM A 300MM (ADUTORAS)</t>
  </si>
  <si>
    <t>COMPOSIÇÃO 6 - REPARO NA REDE PREDIAL DE ÁGUA DE 20MM (RAMAL)</t>
  </si>
  <si>
    <t>TOTAL COMP.06</t>
  </si>
  <si>
    <t>TOTAL COMP.05</t>
  </si>
  <si>
    <t>COMP.6</t>
  </si>
  <si>
    <t>CORTE OU RELIGAÇÃO NA VIA</t>
  </si>
  <si>
    <t>COMPOSIÇÃO 7 - CORTE OU RELIGAÇÃO DE ÁGUA NA VIA</t>
  </si>
  <si>
    <t>COMP.7</t>
  </si>
  <si>
    <t>Reparo de vazamentos e corte na via (até 3 equipes conforme demanda da SAE)</t>
  </si>
  <si>
    <t>1.5</t>
  </si>
  <si>
    <t>1.6</t>
  </si>
  <si>
    <t>SEM DESONERAÇÃO</t>
  </si>
  <si>
    <r>
      <t>**</t>
    </r>
    <r>
      <rPr>
        <i/>
        <sz val="10"/>
        <rFont val="Arial"/>
        <family val="2"/>
      </rPr>
      <t>PIS - 0,65%; COFINS - 3,00%; CPRB - 0%</t>
    </r>
  </si>
  <si>
    <t>TOTAL com BDI (23,15%)</t>
  </si>
  <si>
    <t>SINAPI 03/2026</t>
  </si>
  <si>
    <t>1.7</t>
  </si>
  <si>
    <t>COMP.8</t>
  </si>
  <si>
    <t>M2</t>
  </si>
  <si>
    <t>TOTAL COMP.07</t>
  </si>
  <si>
    <t>COMPOSIÇÃO 8 - REPARO DE CALÇADA EXCLUSIVE MATERIAL</t>
  </si>
  <si>
    <t>SERVIÇOS DE REPARO DE CALÇADA EXCLUSIVE MATERIAL</t>
  </si>
  <si>
    <t>PEDREIRO COM ENCARGOS COMPLEMENTARES</t>
  </si>
  <si>
    <t>TOTAL COMP.08</t>
  </si>
  <si>
    <t>1.8</t>
  </si>
  <si>
    <t>COMP.9</t>
  </si>
  <si>
    <t xml:space="preserve">CORTE OU RELIGAÇÃO NO CAVALETE </t>
  </si>
  <si>
    <t>UNID</t>
  </si>
  <si>
    <t>ENCANADOR OU BOMBEIRO HIDRÁULICO COM ENCARGOS COMPLEMENTARES</t>
  </si>
  <si>
    <t>CO-28366</t>
  </si>
  <si>
    <t xml:space="preserve"> 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t>
  </si>
  <si>
    <t>KM</t>
  </si>
  <si>
    <t>2.1</t>
  </si>
  <si>
    <t>2.2</t>
  </si>
  <si>
    <t>COMPOSIÇÃO 9 - CORTE OU RELIGAÇÃO NO CAVALETE</t>
  </si>
  <si>
    <t>COMPOSIÇÃO 10 - REVISITA</t>
  </si>
  <si>
    <t>TOTAL COMP.9</t>
  </si>
  <si>
    <t>TOTAL COMP.10</t>
  </si>
  <si>
    <t>1.9</t>
  </si>
  <si>
    <t>COMP.10</t>
  </si>
  <si>
    <t>REVISITA</t>
  </si>
  <si>
    <t>CAMINHÃO BASCULANTE 14 M3, COM CAVALO MECÂNICO DE CAPACIDADE MÁXIMA DE TRAÇÃO COMBINADO DE 36000 KG, POTÊNCIA 286 CV, INCLUSIVE SEMIREBOQUE COM CAÇAMBA METÁLICA - CHP DIURNO.</t>
  </si>
  <si>
    <t>CAMINHÃO BASCULANTE 14 M3, COM CAVALO MECÂNICO DE CAPACIDADE MÁXIMA DE TRAÇÃO COMBINADO DE 36000 KG, POTÊNCIA 286 CV, INCLUSIVE SEMIREBOQUE COM CAÇAMBA METÁLICA - CHI DIURNO.</t>
  </si>
  <si>
    <t>COMPOSIÇÃO 3 - CAMINHÃO BASCULANTE 14 M3, COM CAVALO MECÂNICO DE CAPACIDADE MÁXIMA DE TRAÇÃO COMBINADO DE 36000 KG, POTÊNCIA 286 CV, INCLUSIVE SEMIREBOQUE COM CAÇAMBA METÁLICA E MOTORISTA</t>
  </si>
  <si>
    <t>EQUIPAMENTOS DE ESCAVAÇÃO, REATERRO, COMPACTAÇÃO E TRANSPORTE</t>
  </si>
  <si>
    <t>3.1</t>
  </si>
  <si>
    <t>3.2</t>
  </si>
  <si>
    <t>4.1</t>
  </si>
  <si>
    <t>4.2</t>
  </si>
  <si>
    <t>4.3</t>
  </si>
  <si>
    <t>5.1</t>
  </si>
  <si>
    <t>5.2</t>
  </si>
  <si>
    <t>5.3</t>
  </si>
  <si>
    <t>5.4</t>
  </si>
  <si>
    <t>6.1</t>
  </si>
  <si>
    <t>6.2</t>
  </si>
  <si>
    <t>6.3</t>
  </si>
  <si>
    <t>6.4</t>
  </si>
  <si>
    <t>7.1</t>
  </si>
  <si>
    <t>7.2</t>
  </si>
  <si>
    <t>7.3</t>
  </si>
  <si>
    <t>7.4</t>
  </si>
  <si>
    <t>8.1</t>
  </si>
  <si>
    <t>8.2</t>
  </si>
  <si>
    <t>9.1</t>
  </si>
  <si>
    <t>9.2</t>
  </si>
  <si>
    <t>9.3</t>
  </si>
  <si>
    <t>10.1</t>
  </si>
  <si>
    <t>10.2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</si>
</sst>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6" fillId="0" borderId="0"/>
    <xf numFmtId="44" fontId="10" fillId="0" borderId="0" applyFont="0" applyFill="0" applyBorder="0" applyAlignment="0" applyProtection="0"/>
  </cellStyleXfs>
  <cellXfs count="150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4" fillId="0" borderId="0" xfId="0" applyFont="1" applyAlignment="1">
      <alignment vertical="center"/>
    </xf>
    <xf numFmtId="10" fontId="7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0" fontId="5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10" fontId="7" fillId="0" borderId="0" xfId="0" applyNumberFormat="1" applyFont="1" applyAlignment="1" applyProtection="1">
      <alignment horizontal="center" vertical="center"/>
      <protection locked="0"/>
    </xf>
    <xf numFmtId="10" fontId="4" fillId="0" borderId="0" xfId="0" applyNumberFormat="1" applyFont="1" applyAlignment="1">
      <alignment vertical="center"/>
    </xf>
    <xf numFmtId="10" fontId="5" fillId="0" borderId="0" xfId="1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13" xfId="0" applyBorder="1"/>
    <xf numFmtId="0" fontId="0" fillId="0" borderId="4" xfId="0" applyBorder="1"/>
    <xf numFmtId="2" fontId="0" fillId="0" borderId="14" xfId="0" applyNumberFormat="1" applyBorder="1"/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44" fontId="0" fillId="0" borderId="0" xfId="3" applyFont="1" applyBorder="1" applyAlignment="1">
      <alignment wrapText="1"/>
    </xf>
    <xf numFmtId="44" fontId="0" fillId="0" borderId="0" xfId="3" applyFont="1" applyBorder="1"/>
    <xf numFmtId="0" fontId="12" fillId="0" borderId="4" xfId="0" applyFont="1" applyBorder="1" applyAlignment="1">
      <alignment wrapText="1"/>
    </xf>
    <xf numFmtId="0" fontId="0" fillId="0" borderId="4" xfId="0" applyBorder="1" applyAlignment="1">
      <alignment horizontal="center"/>
    </xf>
    <xf numFmtId="44" fontId="0" fillId="0" borderId="4" xfId="3" applyFont="1" applyBorder="1"/>
    <xf numFmtId="44" fontId="0" fillId="0" borderId="14" xfId="0" applyNumberFormat="1" applyBorder="1"/>
    <xf numFmtId="44" fontId="10" fillId="0" borderId="4" xfId="3" applyFont="1" applyBorder="1"/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4" xfId="0" applyNumberFormat="1" applyBorder="1" applyAlignment="1">
      <alignment wrapText="1"/>
    </xf>
    <xf numFmtId="0" fontId="0" fillId="0" borderId="13" xfId="0" applyBorder="1" applyAlignment="1">
      <alignment horizontal="left" wrapText="1"/>
    </xf>
    <xf numFmtId="0" fontId="1" fillId="0" borderId="0" xfId="0" applyFont="1"/>
    <xf numFmtId="0" fontId="12" fillId="0" borderId="1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wrapText="1"/>
    </xf>
    <xf numFmtId="164" fontId="11" fillId="0" borderId="15" xfId="0" applyNumberFormat="1" applyFont="1" applyBorder="1"/>
    <xf numFmtId="0" fontId="5" fillId="0" borderId="5" xfId="0" applyFont="1" applyBorder="1" applyProtection="1">
      <protection locked="0"/>
    </xf>
    <xf numFmtId="0" fontId="6" fillId="0" borderId="0" xfId="0" applyFont="1"/>
    <xf numFmtId="0" fontId="6" fillId="0" borderId="6" xfId="0" applyFont="1" applyBorder="1"/>
    <xf numFmtId="0" fontId="6" fillId="2" borderId="27" xfId="0" applyFont="1" applyFill="1" applyBorder="1" applyAlignment="1">
      <alignment horizontal="right" vertical="center"/>
    </xf>
    <xf numFmtId="10" fontId="6" fillId="2" borderId="28" xfId="1" applyNumberFormat="1" applyFont="1" applyFill="1" applyBorder="1" applyAlignment="1">
      <alignment horizontal="right" vertical="center"/>
    </xf>
    <xf numFmtId="0" fontId="6" fillId="2" borderId="29" xfId="0" applyFont="1" applyFill="1" applyBorder="1" applyAlignment="1">
      <alignment horizontal="right" vertical="center"/>
    </xf>
    <xf numFmtId="10" fontId="6" fillId="2" borderId="30" xfId="1" applyNumberFormat="1" applyFont="1" applyFill="1" applyBorder="1" applyAlignment="1">
      <alignment horizontal="right" vertical="center"/>
    </xf>
    <xf numFmtId="0" fontId="5" fillId="0" borderId="0" xfId="2" applyFont="1"/>
    <xf numFmtId="0" fontId="6" fillId="2" borderId="29" xfId="0" applyFont="1" applyFill="1" applyBorder="1" applyAlignment="1">
      <alignment horizontal="right" vertical="center" wrapText="1"/>
    </xf>
    <xf numFmtId="0" fontId="4" fillId="3" borderId="31" xfId="0" applyFont="1" applyFill="1" applyBorder="1" applyAlignment="1">
      <alignment horizontal="right" vertical="center"/>
    </xf>
    <xf numFmtId="10" fontId="7" fillId="0" borderId="22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vertical="center"/>
    </xf>
    <xf numFmtId="0" fontId="12" fillId="0" borderId="5" xfId="0" applyFont="1" applyBorder="1"/>
    <xf numFmtId="0" fontId="8" fillId="0" borderId="5" xfId="0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5" fillId="0" borderId="33" xfId="0" applyFont="1" applyBorder="1" applyAlignment="1" applyProtection="1">
      <alignment vertical="center"/>
      <protection locked="0"/>
    </xf>
    <xf numFmtId="10" fontId="7" fillId="0" borderId="33" xfId="1" applyNumberFormat="1" applyFont="1" applyFill="1" applyBorder="1" applyAlignment="1" applyProtection="1">
      <alignment vertical="center"/>
    </xf>
    <xf numFmtId="0" fontId="6" fillId="0" borderId="33" xfId="0" applyFont="1" applyBorder="1"/>
    <xf numFmtId="0" fontId="6" fillId="0" borderId="21" xfId="0" applyFont="1" applyBorder="1"/>
    <xf numFmtId="44" fontId="0" fillId="0" borderId="0" xfId="0" applyNumberFormat="1"/>
    <xf numFmtId="44" fontId="0" fillId="0" borderId="0" xfId="3" applyFont="1" applyAlignment="1">
      <alignment horizontal="center" wrapText="1"/>
    </xf>
    <xf numFmtId="4" fontId="0" fillId="0" borderId="0" xfId="0" applyNumberFormat="1"/>
    <xf numFmtId="0" fontId="11" fillId="0" borderId="23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2" fillId="0" borderId="10" xfId="0" applyFont="1" applyBorder="1" applyAlignment="1">
      <alignment horizontal="left" wrapText="1"/>
    </xf>
    <xf numFmtId="0" fontId="12" fillId="0" borderId="11" xfId="0" applyFont="1" applyBorder="1" applyAlignment="1">
      <alignment wrapText="1"/>
    </xf>
    <xf numFmtId="0" fontId="11" fillId="0" borderId="11" xfId="0" applyFont="1" applyBorder="1" applyAlignment="1">
      <alignment horizontal="center" wrapText="1"/>
    </xf>
    <xf numFmtId="44" fontId="12" fillId="0" borderId="11" xfId="3" applyFont="1" applyBorder="1" applyAlignment="1">
      <alignment wrapText="1"/>
    </xf>
    <xf numFmtId="0" fontId="12" fillId="0" borderId="12" xfId="0" applyFont="1" applyBorder="1" applyAlignment="1">
      <alignment wrapText="1"/>
    </xf>
    <xf numFmtId="0" fontId="12" fillId="0" borderId="0" xfId="0" applyFont="1"/>
    <xf numFmtId="0" fontId="12" fillId="0" borderId="4" xfId="0" applyFont="1" applyBorder="1"/>
    <xf numFmtId="0" fontId="12" fillId="0" borderId="4" xfId="0" applyFont="1" applyBorder="1" applyAlignment="1">
      <alignment horizontal="center"/>
    </xf>
    <xf numFmtId="44" fontId="12" fillId="0" borderId="4" xfId="3" applyFont="1" applyBorder="1"/>
    <xf numFmtId="164" fontId="11" fillId="0" borderId="22" xfId="0" applyNumberFormat="1" applyFont="1" applyBorder="1"/>
    <xf numFmtId="0" fontId="11" fillId="0" borderId="4" xfId="0" applyFont="1" applyBorder="1" applyAlignment="1">
      <alignment vertical="center" wrapText="1"/>
    </xf>
    <xf numFmtId="2" fontId="12" fillId="0" borderId="4" xfId="0" applyNumberFormat="1" applyFont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11" xfId="0" applyBorder="1" applyAlignment="1">
      <alignment wrapText="1"/>
    </xf>
    <xf numFmtId="44" fontId="0" fillId="0" borderId="11" xfId="0" applyNumberFormat="1" applyBorder="1" applyAlignment="1">
      <alignment wrapText="1"/>
    </xf>
    <xf numFmtId="44" fontId="0" fillId="0" borderId="12" xfId="0" applyNumberFormat="1" applyBorder="1" applyAlignment="1">
      <alignment wrapText="1"/>
    </xf>
    <xf numFmtId="44" fontId="0" fillId="0" borderId="14" xfId="0" applyNumberFormat="1" applyBorder="1" applyAlignment="1">
      <alignment wrapText="1"/>
    </xf>
    <xf numFmtId="0" fontId="12" fillId="0" borderId="34" xfId="0" applyFont="1" applyBorder="1" applyAlignment="1">
      <alignment horizontal="left" wrapText="1"/>
    </xf>
    <xf numFmtId="0" fontId="12" fillId="0" borderId="13" xfId="0" applyFont="1" applyBorder="1" applyAlignment="1">
      <alignment horizontal="left" wrapText="1"/>
    </xf>
    <xf numFmtId="0" fontId="12" fillId="0" borderId="35" xfId="0" applyFont="1" applyBorder="1" applyAlignment="1">
      <alignment horizontal="left" wrapText="1"/>
    </xf>
    <xf numFmtId="0" fontId="12" fillId="0" borderId="36" xfId="0" applyFont="1" applyBorder="1" applyAlignment="1">
      <alignment horizontal="center" vertical="center" wrapText="1"/>
    </xf>
    <xf numFmtId="0" fontId="11" fillId="0" borderId="36" xfId="0" applyFont="1" applyBorder="1" applyAlignment="1">
      <alignment vertical="center" wrapText="1"/>
    </xf>
    <xf numFmtId="0" fontId="12" fillId="0" borderId="36" xfId="0" applyFont="1" applyBorder="1" applyAlignment="1">
      <alignment wrapText="1"/>
    </xf>
    <xf numFmtId="0" fontId="0" fillId="0" borderId="36" xfId="0" applyBorder="1"/>
    <xf numFmtId="2" fontId="0" fillId="0" borderId="36" xfId="0" applyNumberFormat="1" applyBorder="1"/>
    <xf numFmtId="44" fontId="0" fillId="0" borderId="37" xfId="0" applyNumberFormat="1" applyBorder="1" applyAlignment="1">
      <alignment wrapText="1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0" borderId="24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wrapText="1"/>
    </xf>
    <xf numFmtId="0" fontId="0" fillId="0" borderId="4" xfId="0" applyBorder="1" applyAlignment="1">
      <alignment horizontal="center" wrapText="1"/>
    </xf>
    <xf numFmtId="44" fontId="10" fillId="0" borderId="4" xfId="3" applyFont="1" applyBorder="1" applyAlignment="1">
      <alignment wrapText="1"/>
    </xf>
    <xf numFmtId="44" fontId="12" fillId="0" borderId="4" xfId="3" applyFont="1" applyBorder="1" applyAlignment="1">
      <alignment wrapText="1"/>
    </xf>
    <xf numFmtId="0" fontId="12" fillId="0" borderId="4" xfId="0" applyFont="1" applyBorder="1" applyAlignment="1">
      <alignment horizontal="center" wrapText="1"/>
    </xf>
    <xf numFmtId="8" fontId="12" fillId="0" borderId="4" xfId="3" applyNumberFormat="1" applyFont="1" applyBorder="1" applyAlignment="1">
      <alignment wrapText="1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  <xf numFmtId="44" fontId="1" fillId="0" borderId="11" xfId="3" applyFont="1" applyBorder="1" applyAlignment="1">
      <alignment horizontal="center" vertical="center" wrapText="1"/>
    </xf>
    <xf numFmtId="44" fontId="1" fillId="0" borderId="12" xfId="3" applyFont="1" applyBorder="1" applyAlignment="1">
      <alignment horizontal="center" vertical="center" wrapText="1"/>
    </xf>
    <xf numFmtId="0" fontId="0" fillId="0" borderId="35" xfId="0" applyBorder="1"/>
    <xf numFmtId="0" fontId="0" fillId="0" borderId="36" xfId="0" applyBorder="1" applyAlignment="1">
      <alignment vertical="center"/>
    </xf>
    <xf numFmtId="0" fontId="0" fillId="0" borderId="36" xfId="0" applyBorder="1" applyAlignment="1">
      <alignment wrapText="1"/>
    </xf>
    <xf numFmtId="2" fontId="0" fillId="0" borderId="37" xfId="0" applyNumberFormat="1" applyBorder="1"/>
    <xf numFmtId="2" fontId="1" fillId="0" borderId="11" xfId="0" applyNumberFormat="1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0" fillId="0" borderId="13" xfId="0" applyFill="1" applyBorder="1"/>
    <xf numFmtId="0" fontId="0" fillId="0" borderId="35" xfId="0" applyFill="1" applyBorder="1"/>
    <xf numFmtId="0" fontId="0" fillId="0" borderId="10" xfId="0" applyBorder="1" applyAlignment="1">
      <alignment horizontal="left" wrapText="1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2" fontId="1" fillId="0" borderId="37" xfId="0" applyNumberFormat="1" applyFont="1" applyBorder="1"/>
    <xf numFmtId="44" fontId="12" fillId="0" borderId="14" xfId="0" applyNumberFormat="1" applyFont="1" applyBorder="1" applyAlignment="1">
      <alignment wrapText="1"/>
    </xf>
    <xf numFmtId="8" fontId="12" fillId="0" borderId="14" xfId="0" applyNumberFormat="1" applyFont="1" applyBorder="1" applyAlignment="1">
      <alignment wrapText="1"/>
    </xf>
    <xf numFmtId="0" fontId="12" fillId="0" borderId="35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2" fontId="12" fillId="0" borderId="37" xfId="0" applyNumberFormat="1" applyFont="1" applyBorder="1"/>
  </cellXfs>
  <cellStyles count="4">
    <cellStyle name="Moeda" xfId="3" builtinId="4"/>
    <cellStyle name="Normal" xfId="0" builtinId="0"/>
    <cellStyle name="Normal 2" xfId="2" xr:uid="{00000000-0005-0000-0000-000002000000}"/>
    <cellStyle name="Porcentagem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469953</xdr:colOff>
      <xdr:row>2</xdr:row>
      <xdr:rowOff>44823</xdr:rowOff>
    </xdr:from>
    <xdr:to>
      <xdr:col>7</xdr:col>
      <xdr:colOff>573207</xdr:colOff>
      <xdr:row>5</xdr:row>
      <xdr:rowOff>38100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3EF893-D771-4747-B181-999B07E7F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7903" y="435348"/>
          <a:ext cx="3151254" cy="5647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workbookViewId="0">
      <selection activeCell="C5" sqref="C5"/>
    </sheetView>
  </sheetViews>
  <sheetFormatPr defaultRowHeight="15" x14ac:dyDescent="0.25"/>
  <cols>
    <col min="3" max="3" width="45.28515625" customWidth="1"/>
    <col min="5" max="5" width="12.85546875" bestFit="1" customWidth="1"/>
    <col min="6" max="6" width="14" customWidth="1"/>
    <col min="7" max="7" width="15.85546875" bestFit="1" customWidth="1"/>
    <col min="8" max="8" width="13" customWidth="1"/>
    <col min="9" max="9" width="13.85546875" customWidth="1"/>
    <col min="10" max="10" width="14.28515625" bestFit="1" customWidth="1"/>
  </cols>
  <sheetData>
    <row r="1" spans="1:10" ht="18" thickBot="1" x14ac:dyDescent="0.3">
      <c r="A1" s="96" t="s">
        <v>6</v>
      </c>
      <c r="B1" s="97"/>
      <c r="C1" s="97"/>
      <c r="D1" s="97"/>
      <c r="E1" s="97"/>
      <c r="F1" s="97"/>
      <c r="G1" s="98"/>
    </row>
    <row r="2" spans="1:10" ht="30.75" customHeight="1" thickBot="1" x14ac:dyDescent="0.3">
      <c r="A2" s="99" t="s">
        <v>82</v>
      </c>
      <c r="B2" s="100"/>
      <c r="C2" s="100"/>
      <c r="D2" s="100"/>
      <c r="E2" s="100"/>
      <c r="F2" s="100"/>
      <c r="G2" s="101"/>
    </row>
    <row r="3" spans="1:10" ht="30.7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38</v>
      </c>
      <c r="H3" s="105"/>
      <c r="I3" s="105"/>
    </row>
    <row r="4" spans="1:10" ht="30.75" thickBot="1" x14ac:dyDescent="0.3">
      <c r="A4" s="29">
        <v>1</v>
      </c>
      <c r="B4" s="30"/>
      <c r="C4" s="64" t="s">
        <v>117</v>
      </c>
      <c r="D4" s="30"/>
      <c r="E4" s="30"/>
      <c r="F4" s="30"/>
      <c r="G4" s="79"/>
      <c r="H4" s="106"/>
      <c r="I4" s="106"/>
    </row>
    <row r="5" spans="1:10" ht="90" x14ac:dyDescent="0.25">
      <c r="A5" s="29" t="s">
        <v>56</v>
      </c>
      <c r="B5" s="35" t="s">
        <v>40</v>
      </c>
      <c r="C5" s="64" t="str">
        <f>'COMPOSIÇÕES-'!C4</f>
        <v>RETROESCAVADEIRA SOBRE RODAS COM CARREGADEIRA, TRAÇÃO 4X4, POTÊNCIA LÍQ. 88 HP, CAÇAMBA CARREG. CAP. MÍN. 1 M3, CAÇAMBA RETRO CAP. 0,26 M3, PESO OPERACIONAL MÍN. 6.674 KG, PROFUNDIDADE ESCAVAÇÃO MÁX. 4,37 M, INCLUSIVE OPERADOR</v>
      </c>
      <c r="D5" s="30" t="str">
        <f>'COMPOSIÇÕES-'!D4</f>
        <v>DIÁRIO</v>
      </c>
      <c r="E5" s="80">
        <f>12*22*3</f>
        <v>792</v>
      </c>
      <c r="F5" s="81">
        <f>'COMPOSIÇÕES-'!G5+'COMPOSIÇÕES-'!G6</f>
        <v>1274.97</v>
      </c>
      <c r="G5" s="82">
        <f>F5*E5</f>
        <v>1009776.24</v>
      </c>
      <c r="H5" s="61"/>
      <c r="I5" s="61"/>
    </row>
    <row r="6" spans="1:10" ht="75" x14ac:dyDescent="0.25">
      <c r="A6" s="33" t="s">
        <v>7</v>
      </c>
      <c r="B6" s="36" t="s">
        <v>55</v>
      </c>
      <c r="C6" s="65" t="str">
        <f>'COMPOSIÇÕES-'!C7</f>
        <v xml:space="preserve"> ROLO COMPACTADOR VIBRATÓRIO PÉ DE CARNEIRO, OPERADO POR CONTROLE REMOTO, POTÊNCIA 12,5 KW, PESO OPERACIONAL 1,675 T, LARGURA DE TRABALHO 0,85 M - INCLUSIVE OPERADOR</v>
      </c>
      <c r="D6" s="31" t="s">
        <v>50</v>
      </c>
      <c r="E6" s="31">
        <f>12*22*3</f>
        <v>792</v>
      </c>
      <c r="F6" s="32">
        <f>'COMPOSIÇÕES-'!G8+'COMPOSIÇÕES-'!G9</f>
        <v>458.4</v>
      </c>
      <c r="G6" s="83">
        <f t="shared" ref="G6:G13" si="0">F6*E6</f>
        <v>363052.79999999999</v>
      </c>
      <c r="H6" s="61"/>
      <c r="I6" s="61"/>
    </row>
    <row r="7" spans="1:10" ht="75" x14ac:dyDescent="0.25">
      <c r="A7" s="33" t="s">
        <v>39</v>
      </c>
      <c r="B7" s="37" t="s">
        <v>70</v>
      </c>
      <c r="C7" s="65" t="str">
        <f>'COMPOSIÇÕES-'!C10</f>
        <v>COMPOSIÇÃO 3 - CAMINHÃO BASCULANTE 14 M3, COM CAVALO MECÂNICO DE CAPACIDADE MÁXIMA DE TRAÇÃO COMBINADO DE 36000 KG, POTÊNCIA 286 CV, INCLUSIVE SEMIREBOQUE COM CAÇAMBA METÁLICA E MOTORISTA</v>
      </c>
      <c r="D7" s="31" t="s">
        <v>50</v>
      </c>
      <c r="E7" s="31">
        <f>264*3</f>
        <v>792</v>
      </c>
      <c r="F7" s="32">
        <f>'COMPOSIÇÕES-'!G11+'COMPOSIÇÕES-'!G12</f>
        <v>1568.37</v>
      </c>
      <c r="G7" s="83">
        <f t="shared" si="0"/>
        <v>1242149.0399999998</v>
      </c>
      <c r="H7" s="61"/>
      <c r="I7" s="61"/>
    </row>
    <row r="8" spans="1:10" ht="30" x14ac:dyDescent="0.25">
      <c r="A8" s="33" t="s">
        <v>60</v>
      </c>
      <c r="B8" s="37" t="s">
        <v>71</v>
      </c>
      <c r="C8" s="65" t="str">
        <f>'COMPOSIÇÕES-'!C18</f>
        <v>COMPOSIÇÃO 5 - REPARO NA REDE PREDIAL DE ÁGUA DE 85MM A 300MM (ADUTORAS)</v>
      </c>
      <c r="D8" s="31" t="s">
        <v>3</v>
      </c>
      <c r="E8" s="31">
        <v>1200</v>
      </c>
      <c r="F8" s="32">
        <f>'COMPOSIÇÕES-'!G23</f>
        <v>285.285664</v>
      </c>
      <c r="G8" s="83">
        <f t="shared" si="0"/>
        <v>342342.79680000001</v>
      </c>
      <c r="H8" s="61"/>
      <c r="I8" s="61"/>
      <c r="J8" s="60"/>
    </row>
    <row r="9" spans="1:10" ht="30" x14ac:dyDescent="0.25">
      <c r="A9" s="33" t="s">
        <v>83</v>
      </c>
      <c r="B9" s="37" t="s">
        <v>78</v>
      </c>
      <c r="C9" s="66" t="str">
        <f>'COMPOSIÇÕES-'!C24</f>
        <v>COMPOSIÇÃO 6 - REPARO NA REDE PREDIAL DE ÁGUA DE 20MM (RAMAL)</v>
      </c>
      <c r="D9" s="31" t="s">
        <v>3</v>
      </c>
      <c r="E9" s="31">
        <v>1200</v>
      </c>
      <c r="F9" s="32">
        <f>'COMPOSIÇÕES-'!G29</f>
        <v>187.08975999999998</v>
      </c>
      <c r="G9" s="83">
        <f t="shared" si="0"/>
        <v>224507.71199999997</v>
      </c>
      <c r="H9" s="61"/>
      <c r="I9" s="61"/>
      <c r="J9" s="60"/>
    </row>
    <row r="10" spans="1:10" x14ac:dyDescent="0.25">
      <c r="A10" s="84" t="s">
        <v>84</v>
      </c>
      <c r="B10" s="38" t="s">
        <v>81</v>
      </c>
      <c r="C10" s="63" t="s">
        <v>79</v>
      </c>
      <c r="D10" s="39" t="s">
        <v>3</v>
      </c>
      <c r="E10" s="24">
        <v>3000</v>
      </c>
      <c r="F10" s="78">
        <f>'COMPOSIÇÕES-'!G35</f>
        <v>187.08975999999998</v>
      </c>
      <c r="G10" s="83">
        <f t="shared" si="0"/>
        <v>561269.27999999991</v>
      </c>
      <c r="H10" s="22"/>
      <c r="I10" s="23"/>
    </row>
    <row r="11" spans="1:10" ht="30" x14ac:dyDescent="0.25">
      <c r="A11" s="84" t="s">
        <v>89</v>
      </c>
      <c r="B11" s="38" t="s">
        <v>90</v>
      </c>
      <c r="C11" s="63" t="s">
        <v>94</v>
      </c>
      <c r="D11" s="39" t="s">
        <v>91</v>
      </c>
      <c r="E11" s="24">
        <v>500</v>
      </c>
      <c r="F11" s="78">
        <f>'COMPOSIÇÕES-'!G39</f>
        <v>42.283999999999992</v>
      </c>
      <c r="G11" s="83">
        <f t="shared" si="0"/>
        <v>21141.999999999996</v>
      </c>
      <c r="H11" s="22"/>
      <c r="I11" s="23"/>
    </row>
    <row r="12" spans="1:10" x14ac:dyDescent="0.25">
      <c r="A12" s="85" t="s">
        <v>97</v>
      </c>
      <c r="B12" s="37" t="s">
        <v>98</v>
      </c>
      <c r="C12" s="77" t="s">
        <v>99</v>
      </c>
      <c r="D12" s="24" t="s">
        <v>3</v>
      </c>
      <c r="E12" s="24">
        <v>2000</v>
      </c>
      <c r="F12" s="78">
        <f>'COMPOSIÇÕES-'!G44</f>
        <v>41.17</v>
      </c>
      <c r="G12" s="83">
        <f t="shared" si="0"/>
        <v>82340</v>
      </c>
      <c r="H12" s="22"/>
      <c r="I12" s="23"/>
    </row>
    <row r="13" spans="1:10" ht="15.75" thickBot="1" x14ac:dyDescent="0.3">
      <c r="A13" s="86" t="s">
        <v>111</v>
      </c>
      <c r="B13" s="87" t="s">
        <v>112</v>
      </c>
      <c r="C13" s="88" t="s">
        <v>113</v>
      </c>
      <c r="D13" s="89" t="s">
        <v>3</v>
      </c>
      <c r="E13" s="90">
        <v>2000</v>
      </c>
      <c r="F13" s="91">
        <f>'COMPOSIÇÕES-'!G48</f>
        <v>29.996000000000002</v>
      </c>
      <c r="G13" s="92">
        <f t="shared" si="0"/>
        <v>59992.000000000007</v>
      </c>
      <c r="H13" s="22"/>
      <c r="I13" s="23"/>
    </row>
    <row r="14" spans="1:10" ht="15.75" thickBot="1" x14ac:dyDescent="0.3">
      <c r="A14" s="102" t="s">
        <v>9</v>
      </c>
      <c r="B14" s="103"/>
      <c r="C14" s="103"/>
      <c r="D14" s="103"/>
      <c r="E14" s="103"/>
      <c r="F14" s="104"/>
      <c r="G14" s="76">
        <f>SUM(G5:G13)</f>
        <v>3906571.8687999998</v>
      </c>
    </row>
    <row r="15" spans="1:10" ht="15.75" thickBot="1" x14ac:dyDescent="0.3">
      <c r="A15" s="93" t="s">
        <v>87</v>
      </c>
      <c r="B15" s="94"/>
      <c r="C15" s="94"/>
      <c r="D15" s="94"/>
      <c r="E15" s="94"/>
      <c r="F15" s="95"/>
      <c r="G15" s="40">
        <f>G14*1.2315</f>
        <v>4810943.2564271996</v>
      </c>
      <c r="H15" s="62"/>
    </row>
  </sheetData>
  <mergeCells count="6">
    <mergeCell ref="A15:F15"/>
    <mergeCell ref="A1:G1"/>
    <mergeCell ref="A2:G2"/>
    <mergeCell ref="A14:F14"/>
    <mergeCell ref="H3:I3"/>
    <mergeCell ref="H4:I4"/>
  </mergeCells>
  <phoneticPr fontId="3" type="noConversion"/>
  <pageMargins left="0.51181102362204722" right="0.51181102362204722" top="0.78740157480314965" bottom="0.78740157480314965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"/>
  <sheetViews>
    <sheetView workbookViewId="0">
      <selection activeCell="G44" sqref="G44"/>
    </sheetView>
  </sheetViews>
  <sheetFormatPr defaultRowHeight="15" x14ac:dyDescent="0.25"/>
  <cols>
    <col min="2" max="2" width="9.140625" style="21"/>
    <col min="3" max="3" width="49.7109375" customWidth="1"/>
    <col min="5" max="5" width="14.140625" customWidth="1"/>
    <col min="6" max="6" width="13.7109375" customWidth="1"/>
    <col min="7" max="7" width="19.140625" customWidth="1"/>
  </cols>
  <sheetData>
    <row r="1" spans="1:7" ht="18" thickBot="1" x14ac:dyDescent="0.3">
      <c r="A1" s="96" t="s">
        <v>42</v>
      </c>
      <c r="B1" s="97"/>
      <c r="C1" s="97"/>
      <c r="D1" s="97"/>
      <c r="E1" s="97"/>
      <c r="F1" s="97"/>
      <c r="G1" s="98"/>
    </row>
    <row r="2" spans="1:7" ht="20.25" customHeight="1" thickBot="1" x14ac:dyDescent="0.3">
      <c r="A2" s="107" t="s">
        <v>88</v>
      </c>
      <c r="B2" s="108"/>
      <c r="C2" s="108"/>
      <c r="D2" s="108"/>
      <c r="E2" s="108"/>
      <c r="F2" s="108"/>
      <c r="G2" s="109"/>
    </row>
    <row r="3" spans="1:7" ht="30.75" thickBot="1" x14ac:dyDescent="0.3">
      <c r="A3" s="1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8" t="s">
        <v>5</v>
      </c>
      <c r="G3" s="17" t="s">
        <v>41</v>
      </c>
    </row>
    <row r="4" spans="1:7" ht="90" x14ac:dyDescent="0.25">
      <c r="A4" s="126">
        <v>1</v>
      </c>
      <c r="B4" s="127"/>
      <c r="C4" s="128" t="s">
        <v>49</v>
      </c>
      <c r="D4" s="129" t="s">
        <v>50</v>
      </c>
      <c r="E4" s="130">
        <f>G5+G6</f>
        <v>1274.97</v>
      </c>
      <c r="F4" s="130"/>
      <c r="G4" s="131"/>
    </row>
    <row r="5" spans="1:7" ht="90" x14ac:dyDescent="0.25">
      <c r="A5" s="14" t="s">
        <v>43</v>
      </c>
      <c r="B5" s="20">
        <v>5678</v>
      </c>
      <c r="C5" s="31" t="s">
        <v>47</v>
      </c>
      <c r="D5" s="15" t="s">
        <v>45</v>
      </c>
      <c r="E5" s="15">
        <f>8*0.75</f>
        <v>6</v>
      </c>
      <c r="F5" s="15">
        <f>173.5</f>
        <v>173.5</v>
      </c>
      <c r="G5" s="16">
        <f>F5*E5</f>
        <v>1041</v>
      </c>
    </row>
    <row r="6" spans="1:7" ht="90.75" thickBot="1" x14ac:dyDescent="0.3">
      <c r="A6" s="132" t="s">
        <v>44</v>
      </c>
      <c r="B6" s="133">
        <v>5679</v>
      </c>
      <c r="C6" s="134" t="s">
        <v>48</v>
      </c>
      <c r="D6" s="90" t="s">
        <v>46</v>
      </c>
      <c r="E6" s="90">
        <f>8*0.25+1</f>
        <v>3</v>
      </c>
      <c r="F6" s="91">
        <v>77.989999999999995</v>
      </c>
      <c r="G6" s="135">
        <f>F6*E6</f>
        <v>233.96999999999997</v>
      </c>
    </row>
    <row r="7" spans="1:7" ht="60" x14ac:dyDescent="0.25">
      <c r="A7" s="126">
        <v>2</v>
      </c>
      <c r="B7" s="127"/>
      <c r="C7" s="128" t="s">
        <v>52</v>
      </c>
      <c r="D7" s="129" t="s">
        <v>51</v>
      </c>
      <c r="E7" s="136">
        <f>G8+G9</f>
        <v>458.4</v>
      </c>
      <c r="F7" s="137"/>
      <c r="G7" s="138"/>
    </row>
    <row r="8" spans="1:7" ht="75" x14ac:dyDescent="0.25">
      <c r="A8" s="14" t="s">
        <v>105</v>
      </c>
      <c r="B8" s="20">
        <v>5879</v>
      </c>
      <c r="C8" s="31" t="s">
        <v>54</v>
      </c>
      <c r="D8" s="15" t="s">
        <v>45</v>
      </c>
      <c r="E8" s="15">
        <f>8*0.35</f>
        <v>2.8</v>
      </c>
      <c r="F8" s="15">
        <f>139.8</f>
        <v>139.80000000000001</v>
      </c>
      <c r="G8" s="16">
        <f>F8*E8</f>
        <v>391.44</v>
      </c>
    </row>
    <row r="9" spans="1:7" ht="60.75" thickBot="1" x14ac:dyDescent="0.3">
      <c r="A9" s="132" t="s">
        <v>106</v>
      </c>
      <c r="B9" s="133">
        <v>5865</v>
      </c>
      <c r="C9" s="134" t="s">
        <v>53</v>
      </c>
      <c r="D9" s="90" t="s">
        <v>46</v>
      </c>
      <c r="E9" s="90">
        <f>8*0.65+1</f>
        <v>6.2</v>
      </c>
      <c r="F9" s="90">
        <f>10.8</f>
        <v>10.8</v>
      </c>
      <c r="G9" s="135">
        <f>F9*E9</f>
        <v>66.960000000000008</v>
      </c>
    </row>
    <row r="10" spans="1:7" ht="75" x14ac:dyDescent="0.25">
      <c r="A10" s="126">
        <v>3</v>
      </c>
      <c r="B10" s="127"/>
      <c r="C10" s="128" t="s">
        <v>116</v>
      </c>
      <c r="D10" s="129" t="s">
        <v>51</v>
      </c>
      <c r="E10" s="136">
        <f>G11+G12</f>
        <v>1568.37</v>
      </c>
      <c r="F10" s="137"/>
      <c r="G10" s="138"/>
    </row>
    <row r="11" spans="1:7" ht="75" x14ac:dyDescent="0.25">
      <c r="A11" s="139" t="s">
        <v>118</v>
      </c>
      <c r="B11" s="20">
        <v>89876</v>
      </c>
      <c r="C11" s="31" t="s">
        <v>114</v>
      </c>
      <c r="D11" s="15" t="s">
        <v>45</v>
      </c>
      <c r="E11" s="15">
        <f>8*0.3</f>
        <v>2.4</v>
      </c>
      <c r="F11" s="15">
        <v>381.76</v>
      </c>
      <c r="G11" s="16">
        <f>F11*E11</f>
        <v>916.22399999999993</v>
      </c>
    </row>
    <row r="12" spans="1:7" ht="75.75" thickBot="1" x14ac:dyDescent="0.3">
      <c r="A12" s="140" t="s">
        <v>119</v>
      </c>
      <c r="B12" s="133">
        <v>89877</v>
      </c>
      <c r="C12" s="134" t="s">
        <v>115</v>
      </c>
      <c r="D12" s="90" t="s">
        <v>46</v>
      </c>
      <c r="E12" s="90">
        <f>8*0.7+1</f>
        <v>6.6</v>
      </c>
      <c r="F12" s="90">
        <v>98.81</v>
      </c>
      <c r="G12" s="135">
        <f>F12*E12</f>
        <v>652.14599999999996</v>
      </c>
    </row>
    <row r="13" spans="1:7" x14ac:dyDescent="0.25">
      <c r="A13" s="141">
        <v>4</v>
      </c>
      <c r="B13" s="80"/>
      <c r="C13" s="69" t="s">
        <v>72</v>
      </c>
      <c r="D13" s="137" t="s">
        <v>66</v>
      </c>
      <c r="E13" s="137"/>
      <c r="F13" s="137"/>
      <c r="G13" s="138"/>
    </row>
    <row r="14" spans="1:7" ht="75" x14ac:dyDescent="0.25">
      <c r="A14" s="33" t="s">
        <v>120</v>
      </c>
      <c r="B14" s="31">
        <v>5901</v>
      </c>
      <c r="C14" s="120" t="s">
        <v>67</v>
      </c>
      <c r="D14" s="121" t="s">
        <v>45</v>
      </c>
      <c r="E14" s="31">
        <v>5.4000000000000003E-3</v>
      </c>
      <c r="F14" s="122">
        <v>311.85000000000002</v>
      </c>
      <c r="G14" s="83">
        <f>F14*E14</f>
        <v>1.6839900000000003</v>
      </c>
    </row>
    <row r="15" spans="1:7" ht="75" x14ac:dyDescent="0.25">
      <c r="A15" s="33" t="s">
        <v>121</v>
      </c>
      <c r="B15" s="31">
        <v>5903</v>
      </c>
      <c r="C15" s="120" t="s">
        <v>68</v>
      </c>
      <c r="D15" s="121" t="s">
        <v>46</v>
      </c>
      <c r="E15" s="31">
        <v>5.9999999999999995E-4</v>
      </c>
      <c r="F15" s="122">
        <v>71.63</v>
      </c>
      <c r="G15" s="83">
        <f t="shared" ref="G15:G16" si="0">F15*E15</f>
        <v>4.2977999999999995E-2</v>
      </c>
    </row>
    <row r="16" spans="1:7" x14ac:dyDescent="0.25">
      <c r="A16" s="33" t="s">
        <v>122</v>
      </c>
      <c r="B16" s="15">
        <v>88316</v>
      </c>
      <c r="C16" s="24" t="s">
        <v>69</v>
      </c>
      <c r="D16" s="25" t="s">
        <v>8</v>
      </c>
      <c r="E16" s="15">
        <v>0.78</v>
      </c>
      <c r="F16" s="28">
        <v>18.75</v>
      </c>
      <c r="G16" s="83">
        <f t="shared" si="0"/>
        <v>14.625</v>
      </c>
    </row>
    <row r="17" spans="1:7" s="34" customFormat="1" ht="15.75" thickBot="1" x14ac:dyDescent="0.3">
      <c r="A17" s="142" t="s">
        <v>73</v>
      </c>
      <c r="B17" s="143"/>
      <c r="C17" s="143"/>
      <c r="D17" s="143"/>
      <c r="E17" s="143"/>
      <c r="F17" s="143"/>
      <c r="G17" s="144">
        <f>SUM(G14:G16)</f>
        <v>16.351967999999999</v>
      </c>
    </row>
    <row r="18" spans="1:7" ht="30" x14ac:dyDescent="0.25">
      <c r="A18" s="141">
        <v>5</v>
      </c>
      <c r="B18" s="80"/>
      <c r="C18" s="69" t="s">
        <v>74</v>
      </c>
      <c r="D18" s="137" t="s">
        <v>3</v>
      </c>
      <c r="E18" s="137"/>
      <c r="F18" s="137"/>
      <c r="G18" s="138"/>
    </row>
    <row r="19" spans="1:7" x14ac:dyDescent="0.25">
      <c r="A19" s="14" t="s">
        <v>123</v>
      </c>
      <c r="B19" s="15" t="s">
        <v>58</v>
      </c>
      <c r="C19" s="24" t="s">
        <v>59</v>
      </c>
      <c r="D19" s="25" t="s">
        <v>57</v>
      </c>
      <c r="E19" s="15">
        <f>7*1*1.5</f>
        <v>10.5</v>
      </c>
      <c r="F19" s="26">
        <f>G17</f>
        <v>16.351967999999999</v>
      </c>
      <c r="G19" s="27">
        <f t="shared" ref="G19:G22" si="1">E19*F19</f>
        <v>171.69566399999999</v>
      </c>
    </row>
    <row r="20" spans="1:7" ht="30" x14ac:dyDescent="0.25">
      <c r="A20" s="14" t="s">
        <v>124</v>
      </c>
      <c r="B20" s="15">
        <v>88246</v>
      </c>
      <c r="C20" s="24" t="s">
        <v>61</v>
      </c>
      <c r="D20" s="25" t="s">
        <v>62</v>
      </c>
      <c r="E20" s="15">
        <v>2.5</v>
      </c>
      <c r="F20" s="26">
        <v>20.260000000000002</v>
      </c>
      <c r="G20" s="27">
        <f t="shared" si="1"/>
        <v>50.650000000000006</v>
      </c>
    </row>
    <row r="21" spans="1:7" x14ac:dyDescent="0.25">
      <c r="A21" s="14" t="s">
        <v>125</v>
      </c>
      <c r="B21" s="15">
        <v>88316</v>
      </c>
      <c r="C21" s="24" t="s">
        <v>63</v>
      </c>
      <c r="D21" s="25" t="s">
        <v>62</v>
      </c>
      <c r="E21" s="15">
        <f>0.12*2+2</f>
        <v>2.2400000000000002</v>
      </c>
      <c r="F21" s="26">
        <v>18.75</v>
      </c>
      <c r="G21" s="27">
        <f t="shared" si="1"/>
        <v>42.000000000000007</v>
      </c>
    </row>
    <row r="22" spans="1:7" ht="33.75" customHeight="1" x14ac:dyDescent="0.25">
      <c r="A22" s="14" t="s">
        <v>126</v>
      </c>
      <c r="B22" s="15" t="s">
        <v>64</v>
      </c>
      <c r="C22" s="24" t="s">
        <v>65</v>
      </c>
      <c r="D22" s="25" t="s">
        <v>57</v>
      </c>
      <c r="E22" s="15">
        <f>5*1*0.1</f>
        <v>0.5</v>
      </c>
      <c r="F22" s="26">
        <v>41.88</v>
      </c>
      <c r="G22" s="27">
        <f t="shared" si="1"/>
        <v>20.94</v>
      </c>
    </row>
    <row r="23" spans="1:7" s="34" customFormat="1" ht="15.75" thickBot="1" x14ac:dyDescent="0.3">
      <c r="A23" s="142" t="s">
        <v>77</v>
      </c>
      <c r="B23" s="143"/>
      <c r="C23" s="143"/>
      <c r="D23" s="143"/>
      <c r="E23" s="143"/>
      <c r="F23" s="143"/>
      <c r="G23" s="144">
        <f>SUM(G19:G22)</f>
        <v>285.285664</v>
      </c>
    </row>
    <row r="24" spans="1:7" ht="30" x14ac:dyDescent="0.25">
      <c r="A24" s="141">
        <v>6</v>
      </c>
      <c r="B24" s="80"/>
      <c r="C24" s="69" t="s">
        <v>75</v>
      </c>
      <c r="D24" s="137" t="s">
        <v>3</v>
      </c>
      <c r="E24" s="137"/>
      <c r="F24" s="137"/>
      <c r="G24" s="138"/>
    </row>
    <row r="25" spans="1:7" x14ac:dyDescent="0.25">
      <c r="A25" s="14" t="s">
        <v>127</v>
      </c>
      <c r="B25" s="15" t="s">
        <v>58</v>
      </c>
      <c r="C25" s="24" t="s">
        <v>59</v>
      </c>
      <c r="D25" s="25" t="s">
        <v>57</v>
      </c>
      <c r="E25" s="15">
        <f>5*1*1.5</f>
        <v>7.5</v>
      </c>
      <c r="F25" s="26">
        <f>G17</f>
        <v>16.351967999999999</v>
      </c>
      <c r="G25" s="27">
        <f>E25*F25</f>
        <v>122.63976</v>
      </c>
    </row>
    <row r="26" spans="1:7" ht="30" x14ac:dyDescent="0.25">
      <c r="A26" s="14" t="s">
        <v>128</v>
      </c>
      <c r="B26" s="15">
        <v>88246</v>
      </c>
      <c r="C26" s="24" t="s">
        <v>61</v>
      </c>
      <c r="D26" s="25" t="s">
        <v>62</v>
      </c>
      <c r="E26" s="15">
        <v>1</v>
      </c>
      <c r="F26" s="26">
        <v>20.260000000000002</v>
      </c>
      <c r="G26" s="27">
        <f>E26*F26</f>
        <v>20.260000000000002</v>
      </c>
    </row>
    <row r="27" spans="1:7" x14ac:dyDescent="0.25">
      <c r="A27" s="14" t="s">
        <v>129</v>
      </c>
      <c r="B27" s="15">
        <v>88316</v>
      </c>
      <c r="C27" s="24" t="s">
        <v>63</v>
      </c>
      <c r="D27" s="25" t="s">
        <v>62</v>
      </c>
      <c r="E27" s="15">
        <f>0.12*2+1</f>
        <v>1.24</v>
      </c>
      <c r="F27" s="26">
        <v>18.75</v>
      </c>
      <c r="G27" s="27">
        <f>E27*F27</f>
        <v>23.25</v>
      </c>
    </row>
    <row r="28" spans="1:7" ht="32.25" customHeight="1" x14ac:dyDescent="0.25">
      <c r="A28" s="14" t="s">
        <v>130</v>
      </c>
      <c r="B28" s="15" t="s">
        <v>64</v>
      </c>
      <c r="C28" s="24" t="s">
        <v>65</v>
      </c>
      <c r="D28" s="25" t="s">
        <v>57</v>
      </c>
      <c r="E28" s="15">
        <f>5*1*0.1</f>
        <v>0.5</v>
      </c>
      <c r="F28" s="26">
        <v>41.88</v>
      </c>
      <c r="G28" s="27">
        <f>E28*F28</f>
        <v>20.94</v>
      </c>
    </row>
    <row r="29" spans="1:7" s="34" customFormat="1" ht="15.75" thickBot="1" x14ac:dyDescent="0.3">
      <c r="A29" s="142" t="s">
        <v>76</v>
      </c>
      <c r="B29" s="143"/>
      <c r="C29" s="143"/>
      <c r="D29" s="143"/>
      <c r="E29" s="143"/>
      <c r="F29" s="143"/>
      <c r="G29" s="144">
        <f>SUM(G25:G28)</f>
        <v>187.08975999999998</v>
      </c>
    </row>
    <row r="30" spans="1:7" ht="30" x14ac:dyDescent="0.25">
      <c r="A30" s="141">
        <v>7</v>
      </c>
      <c r="B30" s="80"/>
      <c r="C30" s="69" t="s">
        <v>80</v>
      </c>
      <c r="D30" s="137" t="s">
        <v>3</v>
      </c>
      <c r="E30" s="137"/>
      <c r="F30" s="137"/>
      <c r="G30" s="138"/>
    </row>
    <row r="31" spans="1:7" x14ac:dyDescent="0.25">
      <c r="A31" s="14" t="s">
        <v>131</v>
      </c>
      <c r="B31" s="15" t="s">
        <v>58</v>
      </c>
      <c r="C31" s="24" t="s">
        <v>59</v>
      </c>
      <c r="D31" s="25" t="s">
        <v>57</v>
      </c>
      <c r="E31" s="15">
        <f>5*1*1.5</f>
        <v>7.5</v>
      </c>
      <c r="F31" s="26">
        <f>G17</f>
        <v>16.351967999999999</v>
      </c>
      <c r="G31" s="27">
        <f>E31*F31</f>
        <v>122.63976</v>
      </c>
    </row>
    <row r="32" spans="1:7" ht="30" x14ac:dyDescent="0.25">
      <c r="A32" s="14" t="s">
        <v>132</v>
      </c>
      <c r="B32" s="15">
        <v>88246</v>
      </c>
      <c r="C32" s="24" t="s">
        <v>61</v>
      </c>
      <c r="D32" s="25" t="s">
        <v>62</v>
      </c>
      <c r="E32" s="15">
        <v>1</v>
      </c>
      <c r="F32" s="26">
        <v>20.260000000000002</v>
      </c>
      <c r="G32" s="27">
        <f>E32*F32</f>
        <v>20.260000000000002</v>
      </c>
    </row>
    <row r="33" spans="1:7" x14ac:dyDescent="0.25">
      <c r="A33" s="14" t="s">
        <v>133</v>
      </c>
      <c r="B33" s="15">
        <v>88316</v>
      </c>
      <c r="C33" s="24" t="s">
        <v>63</v>
      </c>
      <c r="D33" s="25" t="s">
        <v>62</v>
      </c>
      <c r="E33" s="15">
        <f>0.12*2+1</f>
        <v>1.24</v>
      </c>
      <c r="F33" s="26">
        <v>18.75</v>
      </c>
      <c r="G33" s="27">
        <f>E33*F33</f>
        <v>23.25</v>
      </c>
    </row>
    <row r="34" spans="1:7" ht="32.25" customHeight="1" x14ac:dyDescent="0.25">
      <c r="A34" s="14" t="s">
        <v>134</v>
      </c>
      <c r="B34" s="15" t="s">
        <v>64</v>
      </c>
      <c r="C34" s="24" t="s">
        <v>65</v>
      </c>
      <c r="D34" s="25" t="s">
        <v>57</v>
      </c>
      <c r="E34" s="15">
        <f>5*1*0.1</f>
        <v>0.5</v>
      </c>
      <c r="F34" s="26">
        <v>41.88</v>
      </c>
      <c r="G34" s="27">
        <f>E34*F34</f>
        <v>20.94</v>
      </c>
    </row>
    <row r="35" spans="1:7" s="34" customFormat="1" ht="15.75" thickBot="1" x14ac:dyDescent="0.3">
      <c r="A35" s="142" t="s">
        <v>92</v>
      </c>
      <c r="B35" s="143"/>
      <c r="C35" s="143"/>
      <c r="D35" s="143"/>
      <c r="E35" s="143"/>
      <c r="F35" s="143"/>
      <c r="G35" s="144">
        <f>SUM(G31:G34)</f>
        <v>187.08975999999998</v>
      </c>
    </row>
    <row r="36" spans="1:7" ht="30" x14ac:dyDescent="0.25">
      <c r="A36" s="141">
        <v>8</v>
      </c>
      <c r="B36" s="80"/>
      <c r="C36" s="69" t="s">
        <v>93</v>
      </c>
      <c r="D36" s="137" t="s">
        <v>3</v>
      </c>
      <c r="E36" s="137"/>
      <c r="F36" s="137"/>
      <c r="G36" s="138"/>
    </row>
    <row r="37" spans="1:7" x14ac:dyDescent="0.25">
      <c r="A37" s="14" t="s">
        <v>135</v>
      </c>
      <c r="B37" s="15">
        <v>88309</v>
      </c>
      <c r="C37" s="24" t="s">
        <v>95</v>
      </c>
      <c r="D37" s="25" t="s">
        <v>8</v>
      </c>
      <c r="E37" s="15">
        <v>0.7</v>
      </c>
      <c r="F37" s="26">
        <v>33.619999999999997</v>
      </c>
      <c r="G37" s="27">
        <f>F37*E37</f>
        <v>23.533999999999995</v>
      </c>
    </row>
    <row r="38" spans="1:7" x14ac:dyDescent="0.25">
      <c r="A38" s="14" t="s">
        <v>136</v>
      </c>
      <c r="B38" s="15">
        <v>88316</v>
      </c>
      <c r="C38" s="24" t="s">
        <v>63</v>
      </c>
      <c r="D38" s="25" t="s">
        <v>8</v>
      </c>
      <c r="E38" s="15">
        <v>1</v>
      </c>
      <c r="F38" s="26">
        <v>18.75</v>
      </c>
      <c r="G38" s="27">
        <f>F38*E38</f>
        <v>18.75</v>
      </c>
    </row>
    <row r="39" spans="1:7" ht="15.75" thickBot="1" x14ac:dyDescent="0.3">
      <c r="A39" s="142" t="s">
        <v>96</v>
      </c>
      <c r="B39" s="143"/>
      <c r="C39" s="143"/>
      <c r="D39" s="143"/>
      <c r="E39" s="143"/>
      <c r="F39" s="143"/>
      <c r="G39" s="144">
        <f>SUM(G37:G38)</f>
        <v>42.283999999999992</v>
      </c>
    </row>
    <row r="40" spans="1:7" s="72" customFormat="1" ht="30" x14ac:dyDescent="0.25">
      <c r="A40" s="67">
        <v>9</v>
      </c>
      <c r="B40" s="68"/>
      <c r="C40" s="69" t="s">
        <v>107</v>
      </c>
      <c r="D40" s="69" t="s">
        <v>100</v>
      </c>
      <c r="E40" s="68"/>
      <c r="F40" s="70"/>
      <c r="G40" s="71"/>
    </row>
    <row r="41" spans="1:7" s="72" customFormat="1" x14ac:dyDescent="0.25">
      <c r="A41" s="85" t="s">
        <v>137</v>
      </c>
      <c r="B41" s="73">
        <v>88316</v>
      </c>
      <c r="C41" s="24" t="s">
        <v>69</v>
      </c>
      <c r="D41" s="74" t="s">
        <v>8</v>
      </c>
      <c r="E41" s="73">
        <v>0.5</v>
      </c>
      <c r="F41" s="75">
        <v>18.75</v>
      </c>
      <c r="G41" s="145">
        <f t="shared" ref="G41:G42" si="2">F41*E41</f>
        <v>9.375</v>
      </c>
    </row>
    <row r="42" spans="1:7" s="72" customFormat="1" ht="30" x14ac:dyDescent="0.25">
      <c r="A42" s="85" t="s">
        <v>138</v>
      </c>
      <c r="B42" s="24">
        <v>88267</v>
      </c>
      <c r="C42" s="120" t="s">
        <v>101</v>
      </c>
      <c r="D42" s="124" t="s">
        <v>8</v>
      </c>
      <c r="E42" s="24">
        <v>0.5</v>
      </c>
      <c r="F42" s="123">
        <v>32.99</v>
      </c>
      <c r="G42" s="145">
        <f t="shared" si="2"/>
        <v>16.495000000000001</v>
      </c>
    </row>
    <row r="43" spans="1:7" ht="120" x14ac:dyDescent="0.25">
      <c r="A43" s="85" t="s">
        <v>139</v>
      </c>
      <c r="B43" s="24" t="s">
        <v>102</v>
      </c>
      <c r="C43" s="124" t="s">
        <v>103</v>
      </c>
      <c r="D43" s="124" t="s">
        <v>104</v>
      </c>
      <c r="E43" s="24">
        <v>15</v>
      </c>
      <c r="F43" s="125">
        <v>1.02</v>
      </c>
      <c r="G43" s="146">
        <f>F43*E43</f>
        <v>15.3</v>
      </c>
    </row>
    <row r="44" spans="1:7" ht="15.75" thickBot="1" x14ac:dyDescent="0.3">
      <c r="A44" s="147" t="s">
        <v>109</v>
      </c>
      <c r="B44" s="148"/>
      <c r="C44" s="148"/>
      <c r="D44" s="148"/>
      <c r="E44" s="148"/>
      <c r="F44" s="148"/>
      <c r="G44" s="149">
        <f xml:space="preserve"> SUM(G41:G43)</f>
        <v>41.17</v>
      </c>
    </row>
    <row r="45" spans="1:7" x14ac:dyDescent="0.25">
      <c r="A45" s="67">
        <v>10</v>
      </c>
      <c r="B45" s="68"/>
      <c r="C45" s="69" t="s">
        <v>108</v>
      </c>
      <c r="D45" s="69" t="s">
        <v>100</v>
      </c>
      <c r="E45" s="68"/>
      <c r="F45" s="70"/>
      <c r="G45" s="71"/>
    </row>
    <row r="46" spans="1:7" ht="30" x14ac:dyDescent="0.25">
      <c r="A46" s="85" t="s">
        <v>140</v>
      </c>
      <c r="B46" s="24">
        <v>88267</v>
      </c>
      <c r="C46" s="120" t="s">
        <v>101</v>
      </c>
      <c r="D46" s="124" t="s">
        <v>8</v>
      </c>
      <c r="E46" s="24">
        <v>0.4</v>
      </c>
      <c r="F46" s="123">
        <v>32.99</v>
      </c>
      <c r="G46" s="145">
        <f t="shared" ref="G46" si="3">F46*E46</f>
        <v>13.196000000000002</v>
      </c>
    </row>
    <row r="47" spans="1:7" ht="120" x14ac:dyDescent="0.25">
      <c r="A47" s="85" t="s">
        <v>141</v>
      </c>
      <c r="B47" s="24" t="s">
        <v>102</v>
      </c>
      <c r="C47" s="124" t="s">
        <v>103</v>
      </c>
      <c r="D47" s="124" t="s">
        <v>104</v>
      </c>
      <c r="E47" s="24">
        <v>15</v>
      </c>
      <c r="F47" s="125">
        <v>1.1200000000000001</v>
      </c>
      <c r="G47" s="146">
        <f>E47*F47</f>
        <v>16.8</v>
      </c>
    </row>
    <row r="48" spans="1:7" ht="15.75" thickBot="1" x14ac:dyDescent="0.3">
      <c r="A48" s="147" t="s">
        <v>110</v>
      </c>
      <c r="B48" s="148"/>
      <c r="C48" s="148"/>
      <c r="D48" s="148"/>
      <c r="E48" s="148"/>
      <c r="F48" s="148"/>
      <c r="G48" s="149">
        <f xml:space="preserve"> SUM(G46:G47)</f>
        <v>29.996000000000002</v>
      </c>
    </row>
  </sheetData>
  <mergeCells count="17">
    <mergeCell ref="A1:G1"/>
    <mergeCell ref="E4:G4"/>
    <mergeCell ref="A23:F23"/>
    <mergeCell ref="A29:F29"/>
    <mergeCell ref="A17:F17"/>
    <mergeCell ref="E10:G10"/>
    <mergeCell ref="D13:G13"/>
    <mergeCell ref="D18:G18"/>
    <mergeCell ref="D24:G24"/>
    <mergeCell ref="A35:F35"/>
    <mergeCell ref="E7:G7"/>
    <mergeCell ref="A44:F44"/>
    <mergeCell ref="A48:F48"/>
    <mergeCell ref="A2:G2"/>
    <mergeCell ref="D36:G36"/>
    <mergeCell ref="A39:F39"/>
    <mergeCell ref="D30:G30"/>
  </mergeCells>
  <phoneticPr fontId="3" type="noConversion"/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76557-9CBB-4645-A750-B8ED5D85EE83}">
  <sheetPr>
    <pageSetUpPr fitToPage="1"/>
  </sheetPr>
  <dimension ref="A1:H23"/>
  <sheetViews>
    <sheetView tabSelected="1" workbookViewId="0">
      <selection activeCell="C12" sqref="C12"/>
    </sheetView>
  </sheetViews>
  <sheetFormatPr defaultRowHeight="15" x14ac:dyDescent="0.25"/>
  <cols>
    <col min="1" max="1" width="31.28515625" customWidth="1"/>
    <col min="2" max="2" width="14.85546875" customWidth="1"/>
  </cols>
  <sheetData>
    <row r="1" spans="1:8" ht="15.75" thickBot="1" x14ac:dyDescent="0.3">
      <c r="A1" s="114" t="s">
        <v>10</v>
      </c>
      <c r="B1" s="115"/>
      <c r="C1" s="115"/>
      <c r="D1" s="115"/>
      <c r="E1" s="115"/>
      <c r="F1" s="115"/>
      <c r="G1" s="115"/>
      <c r="H1" s="116"/>
    </row>
    <row r="2" spans="1:8" x14ac:dyDescent="0.25">
      <c r="A2" s="41"/>
      <c r="B2" s="4"/>
      <c r="C2" s="4"/>
      <c r="D2" s="4"/>
      <c r="E2" s="42"/>
      <c r="F2" s="42"/>
      <c r="G2" s="42"/>
      <c r="H2" s="43"/>
    </row>
    <row r="3" spans="1:8" x14ac:dyDescent="0.25">
      <c r="A3" s="41" t="s">
        <v>85</v>
      </c>
      <c r="B3" s="4"/>
      <c r="C3" s="4"/>
      <c r="D3" s="4"/>
      <c r="E3" s="42"/>
      <c r="F3" s="42"/>
      <c r="G3" s="42"/>
      <c r="H3" s="43"/>
    </row>
    <row r="4" spans="1:8" x14ac:dyDescent="0.25">
      <c r="A4" s="41"/>
      <c r="B4" s="4"/>
      <c r="C4" s="4"/>
      <c r="D4" s="4"/>
      <c r="E4" s="42"/>
      <c r="F4" s="42"/>
      <c r="G4" s="42"/>
      <c r="H4" s="43"/>
    </row>
    <row r="5" spans="1:8" x14ac:dyDescent="0.25">
      <c r="A5" s="41"/>
      <c r="B5" s="4"/>
      <c r="C5" s="4"/>
      <c r="D5" s="4"/>
      <c r="E5" s="42"/>
      <c r="F5" s="42"/>
      <c r="G5" s="42"/>
      <c r="H5" s="43"/>
    </row>
    <row r="6" spans="1:8" ht="15.75" thickBot="1" x14ac:dyDescent="0.3">
      <c r="A6" s="41"/>
      <c r="B6" s="4"/>
      <c r="C6" s="4"/>
      <c r="D6" s="4"/>
      <c r="E6" s="42"/>
      <c r="F6" s="42"/>
      <c r="G6" s="42"/>
      <c r="H6" s="43"/>
    </row>
    <row r="7" spans="1:8" x14ac:dyDescent="0.25">
      <c r="A7" s="44" t="s">
        <v>11</v>
      </c>
      <c r="B7" s="45">
        <v>3.7999999999999999E-2</v>
      </c>
      <c r="C7" s="5"/>
      <c r="D7" s="6"/>
      <c r="E7" s="42"/>
      <c r="F7" s="42"/>
      <c r="G7" s="42"/>
      <c r="H7" s="43"/>
    </row>
    <row r="8" spans="1:8" x14ac:dyDescent="0.25">
      <c r="A8" s="46" t="s">
        <v>12</v>
      </c>
      <c r="B8" s="47">
        <v>4.8999999999999998E-3</v>
      </c>
      <c r="C8" s="7"/>
      <c r="D8" s="8"/>
      <c r="E8" s="42"/>
      <c r="F8" s="42"/>
      <c r="G8" s="42"/>
      <c r="H8" s="43"/>
    </row>
    <row r="9" spans="1:8" x14ac:dyDescent="0.25">
      <c r="A9" s="46" t="s">
        <v>13</v>
      </c>
      <c r="B9" s="47">
        <v>8.0000000000000002E-3</v>
      </c>
      <c r="C9" s="7"/>
      <c r="D9" s="8"/>
      <c r="E9" s="42"/>
      <c r="F9" s="42"/>
      <c r="G9" s="42"/>
      <c r="H9" s="43"/>
    </row>
    <row r="10" spans="1:8" x14ac:dyDescent="0.25">
      <c r="A10" s="46" t="s">
        <v>14</v>
      </c>
      <c r="B10" s="47">
        <v>9.9000000000000008E-3</v>
      </c>
      <c r="C10" s="7"/>
      <c r="D10" s="8"/>
      <c r="E10" s="117" t="s">
        <v>15</v>
      </c>
      <c r="F10" s="117"/>
      <c r="G10" s="117"/>
      <c r="H10" s="118"/>
    </row>
    <row r="11" spans="1:8" x14ac:dyDescent="0.25">
      <c r="A11" s="46" t="s">
        <v>16</v>
      </c>
      <c r="B11" s="47">
        <v>0.06</v>
      </c>
      <c r="C11" s="48"/>
      <c r="D11" s="8"/>
      <c r="E11" s="9" t="s">
        <v>17</v>
      </c>
      <c r="F11" s="110" t="s">
        <v>18</v>
      </c>
      <c r="G11" s="110"/>
      <c r="H11" s="111"/>
    </row>
    <row r="12" spans="1:8" ht="51" x14ac:dyDescent="0.25">
      <c r="A12" s="49" t="s">
        <v>19</v>
      </c>
      <c r="B12" s="47">
        <v>3.6499999999999998E-2</v>
      </c>
      <c r="C12" s="5"/>
      <c r="D12" s="7"/>
      <c r="E12" s="9" t="s">
        <v>20</v>
      </c>
      <c r="F12" s="110" t="s">
        <v>21</v>
      </c>
      <c r="G12" s="110"/>
      <c r="H12" s="111"/>
    </row>
    <row r="13" spans="1:8" x14ac:dyDescent="0.25">
      <c r="A13" s="46" t="s">
        <v>22</v>
      </c>
      <c r="B13" s="47">
        <v>0.05</v>
      </c>
      <c r="C13" s="5"/>
      <c r="D13" s="6"/>
      <c r="E13" s="9" t="s">
        <v>23</v>
      </c>
      <c r="F13" s="110" t="s">
        <v>24</v>
      </c>
      <c r="G13" s="110"/>
      <c r="H13" s="111"/>
    </row>
    <row r="14" spans="1:8" ht="15.75" thickBot="1" x14ac:dyDescent="0.3">
      <c r="A14" s="50" t="s">
        <v>25</v>
      </c>
      <c r="B14" s="51">
        <f>(((1+B7+B8+B9)*(1+B10)*(1+B11))/((1-(B12+B13))))-1</f>
        <v>0.23150754745484403</v>
      </c>
      <c r="C14" s="7"/>
      <c r="D14" s="8"/>
      <c r="E14" s="9" t="s">
        <v>26</v>
      </c>
      <c r="F14" s="110" t="s">
        <v>27</v>
      </c>
      <c r="G14" s="110"/>
      <c r="H14" s="111"/>
    </row>
    <row r="15" spans="1:8" x14ac:dyDescent="0.25">
      <c r="A15" s="52"/>
      <c r="B15" s="10"/>
      <c r="C15" s="7"/>
      <c r="D15" s="7"/>
      <c r="E15" s="9" t="s">
        <v>28</v>
      </c>
      <c r="F15" s="110" t="s">
        <v>29</v>
      </c>
      <c r="G15" s="110"/>
      <c r="H15" s="111"/>
    </row>
    <row r="16" spans="1:8" x14ac:dyDescent="0.25">
      <c r="A16" s="52"/>
      <c r="B16" s="11"/>
      <c r="C16" s="5"/>
      <c r="D16" s="6"/>
      <c r="E16" s="9" t="s">
        <v>30</v>
      </c>
      <c r="F16" s="110" t="s">
        <v>31</v>
      </c>
      <c r="G16" s="110"/>
      <c r="H16" s="111"/>
    </row>
    <row r="17" spans="1:8" x14ac:dyDescent="0.25">
      <c r="A17" s="53"/>
      <c r="B17" s="10"/>
      <c r="C17" s="7"/>
      <c r="D17" s="12"/>
      <c r="E17" s="9" t="s">
        <v>32</v>
      </c>
      <c r="F17" s="112" t="s">
        <v>33</v>
      </c>
      <c r="G17" s="112"/>
      <c r="H17" s="113"/>
    </row>
    <row r="18" spans="1:8" x14ac:dyDescent="0.25">
      <c r="A18" s="53"/>
      <c r="B18" s="10"/>
      <c r="C18" s="7"/>
      <c r="D18" s="12"/>
      <c r="E18" s="42"/>
      <c r="F18" s="112"/>
      <c r="G18" s="112"/>
      <c r="H18" s="113"/>
    </row>
    <row r="19" spans="1:8" x14ac:dyDescent="0.25">
      <c r="A19" s="53"/>
      <c r="B19" s="10"/>
      <c r="C19" s="7"/>
      <c r="D19" s="12"/>
      <c r="E19" s="9" t="s">
        <v>34</v>
      </c>
      <c r="F19" s="112" t="s">
        <v>35</v>
      </c>
      <c r="G19" s="112"/>
      <c r="H19" s="113"/>
    </row>
    <row r="20" spans="1:8" x14ac:dyDescent="0.25">
      <c r="A20" s="52"/>
      <c r="B20" s="13"/>
      <c r="C20" s="7"/>
      <c r="D20" s="12"/>
      <c r="E20" s="42"/>
      <c r="F20" s="112"/>
      <c r="G20" s="112"/>
      <c r="H20" s="113"/>
    </row>
    <row r="21" spans="1:8" x14ac:dyDescent="0.25">
      <c r="A21" s="54" t="s">
        <v>36</v>
      </c>
      <c r="B21" s="13"/>
      <c r="C21" s="7"/>
      <c r="D21" s="7"/>
      <c r="E21" s="42"/>
      <c r="F21" s="42"/>
      <c r="G21" s="42"/>
      <c r="H21" s="43"/>
    </row>
    <row r="22" spans="1:8" x14ac:dyDescent="0.25">
      <c r="A22" s="54" t="s">
        <v>86</v>
      </c>
      <c r="B22" s="7"/>
      <c r="C22" s="7"/>
      <c r="D22" s="7"/>
      <c r="E22" s="42"/>
      <c r="F22" s="42"/>
      <c r="G22" s="42"/>
      <c r="H22" s="43"/>
    </row>
    <row r="23" spans="1:8" ht="15.75" thickBot="1" x14ac:dyDescent="0.3">
      <c r="A23" s="55" t="s">
        <v>37</v>
      </c>
      <c r="B23" s="56"/>
      <c r="C23" s="56"/>
      <c r="D23" s="57"/>
      <c r="E23" s="58"/>
      <c r="F23" s="58"/>
      <c r="G23" s="58"/>
      <c r="H23" s="59"/>
    </row>
  </sheetData>
  <mergeCells count="10">
    <mergeCell ref="F15:H15"/>
    <mergeCell ref="F16:H16"/>
    <mergeCell ref="F17:H18"/>
    <mergeCell ref="F19:H20"/>
    <mergeCell ref="A1:H1"/>
    <mergeCell ref="E10:H10"/>
    <mergeCell ref="F11:H11"/>
    <mergeCell ref="F12:H12"/>
    <mergeCell ref="F13:H13"/>
    <mergeCell ref="F14:H14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 L1</vt:lpstr>
      <vt:lpstr>COMPOSIÇÕES-</vt:lpstr>
      <vt:lpstr>BDI DES.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Usuário</cp:lastModifiedBy>
  <cp:lastPrinted>2026-06-19T17:31:42Z</cp:lastPrinted>
  <dcterms:created xsi:type="dcterms:W3CDTF">2024-02-16T18:31:26Z</dcterms:created>
  <dcterms:modified xsi:type="dcterms:W3CDTF">2026-06-19T17:32:03Z</dcterms:modified>
</cp:coreProperties>
</file>