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3.xml" ContentType="application/vnd.openxmlformats-officedocument.spreadsheetml.comment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E:\Area de trabalho 2025\LICITAÇÃO 2026\055 CONCORRENCIA E. 008 CALÇAMENTO VIAS GOIABEIRA\"/>
    </mc:Choice>
  </mc:AlternateContent>
  <xr:revisionPtr revIDLastSave="0" documentId="8_{988C7A88-3E52-4197-9824-9D4F499E7D34}" xr6:coauthVersionLast="47" xr6:coauthVersionMax="47" xr10:uidLastSave="{00000000-0000-0000-0000-000000000000}"/>
  <bookViews>
    <workbookView xWindow="-120" yWindow="-120" windowWidth="20730" windowHeight="11160" tabRatio="732" firstSheet="1" activeTab="1" xr2:uid="{0B4A181A-5703-4DF6-9BC3-4628922DC543}"/>
  </bookViews>
  <sheets>
    <sheet name="PLANILHA ORÇAMENTARIA EXT" sheetId="34" state="hidden" r:id="rId1"/>
    <sheet name="PLANILHA ORÇAMENTARIA" sheetId="29" r:id="rId2"/>
    <sheet name="MEMORIA DE CÁLCULO" sheetId="15" r:id="rId3"/>
    <sheet name="MOB E DESMOB" sheetId="33" r:id="rId4"/>
    <sheet name="CPU" sheetId="32" r:id="rId5"/>
    <sheet name="BDI DESONERADO" sheetId="28" r:id="rId6"/>
    <sheet name="CRONOGRAMA" sheetId="30" r:id="rId7"/>
    <sheet name="DMT'S" sheetId="27" state="hidden" r:id="rId8"/>
    <sheet name="MEMORIA DE CÁLCULO (2)" sheetId="25" state="hidden" r:id="rId9"/>
  </sheets>
  <externalReferences>
    <externalReference r:id="rId10"/>
    <externalReference r:id="rId11"/>
  </externalReferences>
  <definedNames>
    <definedName name="_xlnm.Print_Area" localSheetId="5">'BDI DESONERADO'!$A$1:$G$41</definedName>
    <definedName name="_xlnm.Print_Area" localSheetId="4">CPU!$A$1:$G$16</definedName>
    <definedName name="_xlnm.Print_Area" localSheetId="6">CRONOGRAMA!$A$1:$H$32</definedName>
    <definedName name="_xlnm.Print_Area" localSheetId="7">'DMT''S'!$A$1:$F$13</definedName>
    <definedName name="_xlnm.Print_Area" localSheetId="2">'MEMORIA DE CÁLCULO'!$A$1:$J$152</definedName>
    <definedName name="_xlnm.Print_Area" localSheetId="8">'MEMORIA DE CÁLCULO (2)'!$A$1:$J$204</definedName>
    <definedName name="_xlnm.Print_Area" localSheetId="3">'MOB E DESMOB'!$A$1:$M$44</definedName>
    <definedName name="_xlnm.Print_Area" localSheetId="1">'PLANILHA ORÇAMENTARIA'!$A$1:$J$44</definedName>
    <definedName name="_xlnm.Print_Area" localSheetId="0">'PLANILHA ORÇAMENTARIA EXT'!$A$1:$J$44</definedName>
    <definedName name="_xlnm.Print_Titles" localSheetId="7">'DMT''S'!$1:$1</definedName>
    <definedName name="_xlnm.Print_Titles" localSheetId="2">'MEMORIA DE CÁLCULO'!$1:$8</definedName>
    <definedName name="_xlnm.Print_Titles" localSheetId="8">'MEMORIA DE CÁLCULO (2)'!$1:$5</definedName>
    <definedName name="_xlnm.Print_Titles" localSheetId="1">'PLANILHA ORÇAMENTARIA'!$1:$11</definedName>
    <definedName name="_xlnm.Print_Titles" localSheetId="0">'PLANILHA ORÇAMENTARIA EXT'!$1:$11</definedName>
  </definedNames>
  <calcPr calcId="181029"/>
</workbook>
</file>

<file path=xl/calcChain.xml><?xml version="1.0" encoding="utf-8"?>
<calcChain xmlns="http://schemas.openxmlformats.org/spreadsheetml/2006/main">
  <c r="D130" i="15" l="1"/>
  <c r="D140" i="15"/>
  <c r="H34" i="29"/>
  <c r="I144" i="15"/>
  <c r="I145" i="15" s="1"/>
  <c r="F34" i="29" s="1"/>
  <c r="I18" i="30"/>
  <c r="I16" i="30"/>
  <c r="I14" i="30"/>
  <c r="I12" i="30"/>
  <c r="I10" i="30"/>
  <c r="D137" i="15"/>
  <c r="I130" i="15"/>
  <c r="I131" i="15"/>
  <c r="D49" i="15"/>
  <c r="D56" i="15" s="1"/>
  <c r="F16" i="29"/>
  <c r="E56" i="15"/>
  <c r="E70" i="15" s="1"/>
  <c r="H32" i="29"/>
  <c r="H34" i="34"/>
  <c r="H33" i="34"/>
  <c r="H32" i="34"/>
  <c r="H30" i="34"/>
  <c r="H27" i="34"/>
  <c r="H26" i="34"/>
  <c r="H25" i="34"/>
  <c r="H24" i="34"/>
  <c r="H23" i="34"/>
  <c r="H22" i="34"/>
  <c r="H21" i="34"/>
  <c r="H20" i="34"/>
  <c r="H19" i="34"/>
  <c r="H18" i="34"/>
  <c r="F16" i="34"/>
  <c r="C16" i="34"/>
  <c r="K13" i="34"/>
  <c r="H13" i="34"/>
  <c r="B11" i="34"/>
  <c r="A5" i="34"/>
  <c r="J2" i="34"/>
  <c r="G49" i="15"/>
  <c r="G32" i="30"/>
  <c r="G31" i="30"/>
  <c r="B18" i="30"/>
  <c r="B16" i="30"/>
  <c r="B14" i="30"/>
  <c r="B12" i="30"/>
  <c r="B10" i="30"/>
  <c r="B4" i="30"/>
  <c r="B3" i="30"/>
  <c r="B2" i="30"/>
  <c r="B8" i="30"/>
  <c r="C16" i="29"/>
  <c r="D28" i="15" s="1"/>
  <c r="A2" i="28"/>
  <c r="B3" i="33"/>
  <c r="B2" i="33"/>
  <c r="I137" i="15"/>
  <c r="I138" i="15" s="1"/>
  <c r="F33" i="34" s="1"/>
  <c r="F84" i="15"/>
  <c r="F98" i="15"/>
  <c r="A49" i="15"/>
  <c r="A56" i="15"/>
  <c r="A63" i="15" s="1"/>
  <c r="A70" i="15" s="1"/>
  <c r="A77" i="15" s="1"/>
  <c r="A84" i="15"/>
  <c r="A91" i="15" s="1"/>
  <c r="A98" i="15" s="1"/>
  <c r="A105" i="15" s="1"/>
  <c r="A112" i="15" s="1"/>
  <c r="A121" i="15" s="1"/>
  <c r="A130" i="15" s="1"/>
  <c r="A137" i="15" s="1"/>
  <c r="A144" i="15" s="1"/>
  <c r="I42" i="15"/>
  <c r="I43" i="15" s="1"/>
  <c r="H10" i="33"/>
  <c r="M33" i="33"/>
  <c r="P33" i="33" s="1"/>
  <c r="Q33" i="33" s="1"/>
  <c r="M32" i="33"/>
  <c r="P32" i="33" s="1"/>
  <c r="Q32" i="33" s="1"/>
  <c r="M31" i="33"/>
  <c r="M20" i="33"/>
  <c r="P20" i="33" s="1"/>
  <c r="Q20" i="33" s="1"/>
  <c r="M19" i="33"/>
  <c r="P19" i="33"/>
  <c r="Q19" i="33" s="1"/>
  <c r="L10" i="33"/>
  <c r="M9" i="33"/>
  <c r="P9" i="33"/>
  <c r="Q9" i="33" s="1"/>
  <c r="L11" i="33"/>
  <c r="L12" i="33"/>
  <c r="L13" i="33"/>
  <c r="L14" i="33" s="1"/>
  <c r="L15" i="33" s="1"/>
  <c r="L16" i="33" s="1"/>
  <c r="L17" i="33" s="1"/>
  <c r="L18" i="33" s="1"/>
  <c r="B26" i="15"/>
  <c r="D19" i="15"/>
  <c r="I24" i="15"/>
  <c r="F14" i="34" s="1"/>
  <c r="D133" i="15"/>
  <c r="D126" i="15"/>
  <c r="D117" i="15"/>
  <c r="D108" i="15"/>
  <c r="D101" i="15"/>
  <c r="D94" i="15"/>
  <c r="D87" i="15"/>
  <c r="D80" i="15"/>
  <c r="D73" i="15"/>
  <c r="D66" i="15"/>
  <c r="D59" i="15"/>
  <c r="D52" i="15"/>
  <c r="D45" i="15"/>
  <c r="D38" i="15"/>
  <c r="I33" i="15"/>
  <c r="E6" i="32" s="1"/>
  <c r="G6" i="32" s="1"/>
  <c r="I32" i="15"/>
  <c r="E5" i="32"/>
  <c r="G5" i="32" s="1"/>
  <c r="D12" i="15"/>
  <c r="B124" i="15"/>
  <c r="B115" i="15"/>
  <c r="B36" i="15"/>
  <c r="B4" i="15"/>
  <c r="B3" i="15"/>
  <c r="B2" i="15"/>
  <c r="B6" i="15"/>
  <c r="B8" i="15"/>
  <c r="B11" i="29"/>
  <c r="J128" i="15"/>
  <c r="J135" i="15"/>
  <c r="J142" i="15"/>
  <c r="A122" i="15"/>
  <c r="I17" i="15"/>
  <c r="F13" i="29"/>
  <c r="F13" i="34"/>
  <c r="B32" i="30"/>
  <c r="B31" i="30"/>
  <c r="F25" i="30"/>
  <c r="A25" i="30"/>
  <c r="A5" i="29"/>
  <c r="D23" i="28"/>
  <c r="G16" i="28"/>
  <c r="D5" i="27"/>
  <c r="D6" i="27"/>
  <c r="D191" i="15"/>
  <c r="H191" i="15"/>
  <c r="D190" i="15"/>
  <c r="H190" i="15" s="1"/>
  <c r="D189" i="15"/>
  <c r="H189" i="15"/>
  <c r="D188" i="15"/>
  <c r="H188" i="15" s="1"/>
  <c r="D187" i="15"/>
  <c r="H187" i="15"/>
  <c r="D186" i="15"/>
  <c r="H186" i="15"/>
  <c r="D185" i="15"/>
  <c r="H185" i="15"/>
  <c r="D3" i="27"/>
  <c r="D4" i="27"/>
  <c r="D184" i="15"/>
  <c r="H184" i="15"/>
  <c r="D183" i="15"/>
  <c r="H183" i="15"/>
  <c r="E11" i="27"/>
  <c r="D191" i="25"/>
  <c r="I191" i="25" s="1"/>
  <c r="I192" i="25" s="1"/>
  <c r="I183" i="25"/>
  <c r="I182" i="25"/>
  <c r="I181" i="25"/>
  <c r="I184" i="25" s="1"/>
  <c r="I175" i="25"/>
  <c r="I176" i="25"/>
  <c r="D101" i="25"/>
  <c r="D113" i="25" s="1"/>
  <c r="D125" i="25" s="1"/>
  <c r="I125" i="25" s="1"/>
  <c r="I101" i="25"/>
  <c r="C101" i="25"/>
  <c r="C113" i="25" s="1"/>
  <c r="C125" i="25" s="1"/>
  <c r="C137" i="25" s="1"/>
  <c r="C149" i="25" s="1"/>
  <c r="D100" i="25"/>
  <c r="I100" i="25"/>
  <c r="D112" i="25"/>
  <c r="C100" i="25"/>
  <c r="C112" i="25" s="1"/>
  <c r="C124" i="25" s="1"/>
  <c r="C136" i="25" s="1"/>
  <c r="C148" i="25"/>
  <c r="D99" i="25"/>
  <c r="D111" i="25" s="1"/>
  <c r="I111" i="25" s="1"/>
  <c r="I99" i="25"/>
  <c r="C99" i="25"/>
  <c r="C111" i="25" s="1"/>
  <c r="C123" i="25" s="1"/>
  <c r="C135" i="25" s="1"/>
  <c r="C147" i="25"/>
  <c r="D98" i="25"/>
  <c r="C98" i="25"/>
  <c r="C110" i="25"/>
  <c r="C122" i="25"/>
  <c r="C134" i="25" s="1"/>
  <c r="C146" i="25" s="1"/>
  <c r="D97" i="25"/>
  <c r="I97" i="25" s="1"/>
  <c r="D109" i="25"/>
  <c r="C97" i="25"/>
  <c r="C109" i="25"/>
  <c r="C121" i="25"/>
  <c r="C133" i="25" s="1"/>
  <c r="C145" i="25" s="1"/>
  <c r="D96" i="25"/>
  <c r="I96" i="25"/>
  <c r="C96" i="25"/>
  <c r="C108" i="25" s="1"/>
  <c r="C120" i="25" s="1"/>
  <c r="C132" i="25" s="1"/>
  <c r="C144" i="25" s="1"/>
  <c r="D95" i="25"/>
  <c r="I95" i="25"/>
  <c r="I102" i="25"/>
  <c r="D107" i="25"/>
  <c r="D119" i="25" s="1"/>
  <c r="C95" i="25"/>
  <c r="C107" i="25"/>
  <c r="C119" i="25" s="1"/>
  <c r="C131" i="25" s="1"/>
  <c r="C143" i="25" s="1"/>
  <c r="I89" i="25"/>
  <c r="A89" i="25"/>
  <c r="A101" i="25" s="1"/>
  <c r="A113" i="25" s="1"/>
  <c r="A125" i="25" s="1"/>
  <c r="A137" i="25" s="1"/>
  <c r="A149" i="25" s="1"/>
  <c r="A183" i="25" s="1"/>
  <c r="I88" i="25"/>
  <c r="A88" i="25"/>
  <c r="A100" i="25" s="1"/>
  <c r="A112" i="25" s="1"/>
  <c r="A124" i="25" s="1"/>
  <c r="A136" i="25" s="1"/>
  <c r="A148" i="25" s="1"/>
  <c r="I87" i="25"/>
  <c r="A87" i="25"/>
  <c r="A99" i="25" s="1"/>
  <c r="A111" i="25" s="1"/>
  <c r="A123" i="25" s="1"/>
  <c r="A135" i="25"/>
  <c r="A147" i="25" s="1"/>
  <c r="I86" i="25"/>
  <c r="A86" i="25"/>
  <c r="A98" i="25"/>
  <c r="A110" i="25" s="1"/>
  <c r="A122" i="25" s="1"/>
  <c r="A134" i="25" s="1"/>
  <c r="A146" i="25"/>
  <c r="A182" i="25" s="1"/>
  <c r="I85" i="25"/>
  <c r="A85" i="25"/>
  <c r="A97" i="25"/>
  <c r="A109" i="25" s="1"/>
  <c r="A121" i="25" s="1"/>
  <c r="A133" i="25" s="1"/>
  <c r="A145" i="25"/>
  <c r="I84" i="25"/>
  <c r="A84" i="25"/>
  <c r="A96" i="25"/>
  <c r="A108" i="25"/>
  <c r="A120" i="25" s="1"/>
  <c r="A132" i="25" s="1"/>
  <c r="A144" i="25" s="1"/>
  <c r="I83" i="25"/>
  <c r="I90" i="25" s="1"/>
  <c r="A83" i="25"/>
  <c r="A95" i="25"/>
  <c r="A107" i="25"/>
  <c r="A119" i="25" s="1"/>
  <c r="A131" i="25" s="1"/>
  <c r="A143" i="25" s="1"/>
  <c r="D51" i="25"/>
  <c r="I51" i="25" s="1"/>
  <c r="I52" i="25" s="1"/>
  <c r="C51" i="25"/>
  <c r="C69" i="25"/>
  <c r="C75" i="25" s="1"/>
  <c r="I45" i="25"/>
  <c r="I46" i="25"/>
  <c r="D57" i="25"/>
  <c r="I57" i="25" s="1"/>
  <c r="A45" i="25"/>
  <c r="A51" i="25" s="1"/>
  <c r="A57" i="25" s="1"/>
  <c r="A63" i="25"/>
  <c r="A69" i="25" s="1"/>
  <c r="A75" i="25" s="1"/>
  <c r="I37" i="25"/>
  <c r="I36" i="25"/>
  <c r="I35" i="25"/>
  <c r="D34" i="25"/>
  <c r="I34" i="25"/>
  <c r="I33" i="25"/>
  <c r="D32" i="25"/>
  <c r="I32" i="25" s="1"/>
  <c r="I31" i="25"/>
  <c r="I25" i="25"/>
  <c r="I24" i="25"/>
  <c r="I23" i="25"/>
  <c r="D22" i="25"/>
  <c r="I22" i="25"/>
  <c r="I21" i="25"/>
  <c r="D20" i="25"/>
  <c r="I20" i="25"/>
  <c r="I26" i="25"/>
  <c r="I19" i="25"/>
  <c r="I13" i="25"/>
  <c r="I14" i="25"/>
  <c r="J4" i="25"/>
  <c r="D108" i="25"/>
  <c r="I108" i="25" s="1"/>
  <c r="D120" i="25"/>
  <c r="I120" i="25"/>
  <c r="A190" i="15"/>
  <c r="A191" i="15"/>
  <c r="A185" i="15"/>
  <c r="A184" i="15"/>
  <c r="A183" i="15"/>
  <c r="A186" i="15"/>
  <c r="A188" i="15"/>
  <c r="A189" i="15"/>
  <c r="A187" i="15"/>
  <c r="H33" i="29"/>
  <c r="H19" i="29"/>
  <c r="H18" i="29"/>
  <c r="K13" i="29"/>
  <c r="H13" i="29"/>
  <c r="H22" i="29"/>
  <c r="H30" i="29"/>
  <c r="H27" i="29"/>
  <c r="H26" i="29"/>
  <c r="H25" i="29"/>
  <c r="H24" i="29"/>
  <c r="H23" i="29"/>
  <c r="H21" i="29"/>
  <c r="H20" i="29"/>
  <c r="I113" i="25"/>
  <c r="D63" i="25"/>
  <c r="I63" i="25" s="1"/>
  <c r="I64" i="25" s="1"/>
  <c r="I58" i="25"/>
  <c r="D132" i="25"/>
  <c r="I132" i="25"/>
  <c r="D144" i="25" s="1"/>
  <c r="I144" i="25" s="1"/>
  <c r="I107" i="25"/>
  <c r="I38" i="25"/>
  <c r="D110" i="25"/>
  <c r="I98" i="25"/>
  <c r="D137" i="25"/>
  <c r="I137" i="25" s="1"/>
  <c r="D149" i="25" s="1"/>
  <c r="I149" i="25" s="1"/>
  <c r="D69" i="25"/>
  <c r="D122" i="25"/>
  <c r="I110" i="25"/>
  <c r="D134" i="25"/>
  <c r="I134" i="25"/>
  <c r="D146" i="25" s="1"/>
  <c r="I146" i="25" s="1"/>
  <c r="I122" i="25"/>
  <c r="F56" i="15"/>
  <c r="F34" i="34"/>
  <c r="I49" i="15"/>
  <c r="I50" i="15"/>
  <c r="F19" i="29"/>
  <c r="I19" i="29" s="1"/>
  <c r="K45" i="15"/>
  <c r="F32" i="29"/>
  <c r="J32" i="29" s="1"/>
  <c r="F32" i="34"/>
  <c r="I32" i="34" s="1"/>
  <c r="J13" i="29"/>
  <c r="I13" i="29"/>
  <c r="J19" i="29"/>
  <c r="F14" i="29"/>
  <c r="F19" i="34"/>
  <c r="I32" i="29"/>
  <c r="J19" i="34"/>
  <c r="I19" i="34"/>
  <c r="A175" i="25" l="1"/>
  <c r="A181" i="25"/>
  <c r="I34" i="29"/>
  <c r="J34" i="29"/>
  <c r="I69" i="25"/>
  <c r="I70" i="25" s="1"/>
  <c r="D75" i="25"/>
  <c r="I75" i="25" s="1"/>
  <c r="I76" i="25" s="1"/>
  <c r="G7" i="32"/>
  <c r="G8" i="32" s="1"/>
  <c r="F18" i="29"/>
  <c r="F18" i="34"/>
  <c r="F33" i="29"/>
  <c r="E84" i="15"/>
  <c r="E77" i="15"/>
  <c r="I13" i="34"/>
  <c r="J13" i="34"/>
  <c r="M10" i="33"/>
  <c r="H11" i="33"/>
  <c r="J32" i="34"/>
  <c r="J34" i="34"/>
  <c r="I34" i="34"/>
  <c r="D123" i="25"/>
  <c r="D121" i="25"/>
  <c r="I109" i="25"/>
  <c r="I33" i="34"/>
  <c r="J33" i="34"/>
  <c r="I31" i="34"/>
  <c r="I119" i="25"/>
  <c r="D131" i="25"/>
  <c r="I131" i="25" s="1"/>
  <c r="I112" i="25"/>
  <c r="D124" i="25"/>
  <c r="H192" i="15"/>
  <c r="M34" i="33"/>
  <c r="M35" i="33" s="1"/>
  <c r="M36" i="33" s="1"/>
  <c r="P31" i="33"/>
  <c r="Q31" i="33" s="1"/>
  <c r="Q34" i="33" s="1"/>
  <c r="I56" i="15"/>
  <c r="D70" i="15"/>
  <c r="I114" i="25" l="1"/>
  <c r="M112" i="25" s="1"/>
  <c r="E105" i="15"/>
  <c r="E112" i="15" s="1"/>
  <c r="E98" i="15"/>
  <c r="D143" i="25"/>
  <c r="D133" i="25"/>
  <c r="I133" i="25" s="1"/>
  <c r="D145" i="25" s="1"/>
  <c r="I145" i="25" s="1"/>
  <c r="I121" i="25"/>
  <c r="J31" i="34"/>
  <c r="I33" i="29"/>
  <c r="I31" i="29" s="1"/>
  <c r="J33" i="29"/>
  <c r="J31" i="29" s="1"/>
  <c r="D84" i="15"/>
  <c r="D77" i="15"/>
  <c r="I77" i="15" s="1"/>
  <c r="I78" i="15" s="1"/>
  <c r="I70" i="15"/>
  <c r="I71" i="15" s="1"/>
  <c r="D135" i="25"/>
  <c r="I135" i="25" s="1"/>
  <c r="D147" i="25" s="1"/>
  <c r="I147" i="25" s="1"/>
  <c r="I123" i="25"/>
  <c r="I126" i="25" s="1"/>
  <c r="M11" i="33"/>
  <c r="P11" i="33" s="1"/>
  <c r="Q11" i="33" s="1"/>
  <c r="H12" i="33"/>
  <c r="I18" i="34"/>
  <c r="J18" i="34"/>
  <c r="G16" i="34"/>
  <c r="G16" i="29"/>
  <c r="D63" i="15"/>
  <c r="I63" i="15" s="1"/>
  <c r="I64" i="15" s="1"/>
  <c r="I57" i="15"/>
  <c r="I124" i="25"/>
  <c r="D136" i="25"/>
  <c r="I136" i="25" s="1"/>
  <c r="D148" i="25" s="1"/>
  <c r="I148" i="25" s="1"/>
  <c r="P10" i="33"/>
  <c r="Q10" i="33" s="1"/>
  <c r="J18" i="29"/>
  <c r="I18" i="29"/>
  <c r="I16" i="34" l="1"/>
  <c r="I15" i="34" s="1"/>
  <c r="H16" i="34"/>
  <c r="J16" i="34" s="1"/>
  <c r="J15" i="34" s="1"/>
  <c r="F20" i="29"/>
  <c r="F20" i="34"/>
  <c r="K73" i="15"/>
  <c r="F23" i="34"/>
  <c r="F23" i="29"/>
  <c r="I138" i="25"/>
  <c r="F21" i="29"/>
  <c r="F21" i="34"/>
  <c r="I84" i="15"/>
  <c r="D98" i="15"/>
  <c r="I98" i="15" s="1"/>
  <c r="I99" i="15" s="1"/>
  <c r="D105" i="15"/>
  <c r="D155" i="25"/>
  <c r="I143" i="25"/>
  <c r="I150" i="25" s="1"/>
  <c r="F22" i="34"/>
  <c r="F22" i="29"/>
  <c r="I16" i="29"/>
  <c r="I15" i="29" s="1"/>
  <c r="H16" i="29"/>
  <c r="J16" i="29" s="1"/>
  <c r="J15" i="29" s="1"/>
  <c r="F13" i="30" s="1"/>
  <c r="M12" i="33"/>
  <c r="P12" i="33" s="1"/>
  <c r="Q12" i="33" s="1"/>
  <c r="H13" i="33"/>
  <c r="F19" i="30"/>
  <c r="G13" i="30" l="1"/>
  <c r="H13" i="30"/>
  <c r="D121" i="15"/>
  <c r="I121" i="15" s="1"/>
  <c r="I122" i="15" s="1"/>
  <c r="D112" i="15"/>
  <c r="I112" i="15" s="1"/>
  <c r="I113" i="15" s="1"/>
  <c r="I105" i="15"/>
  <c r="I106" i="15" s="1"/>
  <c r="J22" i="29"/>
  <c r="I22" i="29"/>
  <c r="H19" i="30"/>
  <c r="G19" i="30"/>
  <c r="I21" i="34"/>
  <c r="J21" i="34"/>
  <c r="F26" i="34"/>
  <c r="F26" i="29"/>
  <c r="J21" i="29"/>
  <c r="I21" i="29"/>
  <c r="J23" i="29"/>
  <c r="I23" i="29"/>
  <c r="J20" i="34"/>
  <c r="I20" i="34"/>
  <c r="J22" i="34"/>
  <c r="I22" i="34"/>
  <c r="M13" i="33"/>
  <c r="P13" i="33" s="1"/>
  <c r="Q13" i="33" s="1"/>
  <c r="H14" i="33"/>
  <c r="D161" i="25"/>
  <c r="I155" i="25"/>
  <c r="I156" i="25" s="1"/>
  <c r="I85" i="15"/>
  <c r="D91" i="15"/>
  <c r="I91" i="15" s="1"/>
  <c r="I92" i="15" s="1"/>
  <c r="J23" i="34"/>
  <c r="I23" i="34"/>
  <c r="J20" i="29"/>
  <c r="I20" i="29"/>
  <c r="J26" i="29" l="1"/>
  <c r="I26" i="29"/>
  <c r="F25" i="29"/>
  <c r="F25" i="34"/>
  <c r="H15" i="33"/>
  <c r="M14" i="33"/>
  <c r="P14" i="33" s="1"/>
  <c r="Q14" i="33" s="1"/>
  <c r="I26" i="34"/>
  <c r="J26" i="34"/>
  <c r="F27" i="34"/>
  <c r="F27" i="29"/>
  <c r="F24" i="29"/>
  <c r="F24" i="34"/>
  <c r="F28" i="29"/>
  <c r="F28" i="34"/>
  <c r="I161" i="25"/>
  <c r="I162" i="25" s="1"/>
  <c r="D167" i="25"/>
  <c r="I167" i="25" s="1"/>
  <c r="I168" i="25" s="1"/>
  <c r="F30" i="34"/>
  <c r="F30" i="29"/>
  <c r="M15" i="33" l="1"/>
  <c r="P15" i="33" s="1"/>
  <c r="Q15" i="33" s="1"/>
  <c r="H16" i="33"/>
  <c r="I30" i="29"/>
  <c r="I29" i="29" s="1"/>
  <c r="J30" i="29"/>
  <c r="J29" i="29" s="1"/>
  <c r="I25" i="34"/>
  <c r="J25" i="34"/>
  <c r="I24" i="29"/>
  <c r="J24" i="29"/>
  <c r="I27" i="34"/>
  <c r="J27" i="34"/>
  <c r="J30" i="34"/>
  <c r="J29" i="34" s="1"/>
  <c r="I30" i="34"/>
  <c r="I29" i="34" s="1"/>
  <c r="J24" i="34"/>
  <c r="I24" i="34"/>
  <c r="I17" i="34" s="1"/>
  <c r="J27" i="29"/>
  <c r="I27" i="29"/>
  <c r="J25" i="29"/>
  <c r="I25" i="29"/>
  <c r="J17" i="29" l="1"/>
  <c r="F15" i="30" s="1"/>
  <c r="I17" i="29"/>
  <c r="H17" i="33"/>
  <c r="M16" i="33"/>
  <c r="P16" i="33" s="1"/>
  <c r="Q16" i="33" s="1"/>
  <c r="F17" i="30"/>
  <c r="J17" i="34"/>
  <c r="M17" i="33" l="1"/>
  <c r="P17" i="33" s="1"/>
  <c r="Q17" i="33" s="1"/>
  <c r="H18" i="33"/>
  <c r="M18" i="33" s="1"/>
  <c r="H15" i="30"/>
  <c r="G15" i="30"/>
  <c r="H17" i="30"/>
  <c r="G17" i="30"/>
  <c r="P18" i="33" l="1"/>
  <c r="Q18" i="33" s="1"/>
  <c r="Q21" i="33" s="1"/>
  <c r="M21" i="33"/>
  <c r="M23" i="33" s="1"/>
  <c r="M25" i="33" s="1"/>
  <c r="N36" i="33" l="1"/>
  <c r="Q41" i="33"/>
  <c r="G14" i="34" l="1"/>
  <c r="G14" i="29"/>
  <c r="H14" i="29" l="1"/>
  <c r="J14" i="29" s="1"/>
  <c r="I14" i="29"/>
  <c r="I12" i="29" s="1"/>
  <c r="H14" i="34"/>
  <c r="J14" i="34" s="1"/>
  <c r="I14" i="34"/>
  <c r="I12" i="34" s="1"/>
  <c r="J12" i="34" l="1"/>
  <c r="L19" i="34"/>
  <c r="I11" i="29"/>
  <c r="J36" i="29"/>
  <c r="I11" i="34"/>
  <c r="J36" i="34"/>
  <c r="J12" i="29"/>
  <c r="L19" i="29"/>
  <c r="F11" i="30" l="1"/>
  <c r="J11" i="29"/>
  <c r="N15" i="29" s="1"/>
  <c r="J37" i="29"/>
  <c r="J11" i="34"/>
  <c r="N15" i="34" s="1"/>
  <c r="J37" i="34"/>
  <c r="H4" i="30" l="1"/>
  <c r="F9" i="30" s="1"/>
  <c r="J35" i="29"/>
  <c r="L36" i="29"/>
  <c r="L36" i="34"/>
  <c r="J35" i="34"/>
  <c r="F10" i="30"/>
  <c r="H11" i="30"/>
  <c r="F21" i="30"/>
  <c r="F20" i="30" s="1"/>
  <c r="G11" i="30"/>
  <c r="L23" i="34"/>
  <c r="L23" i="29"/>
  <c r="H9" i="30" l="1"/>
  <c r="H8" i="30" s="1"/>
  <c r="H21" i="30"/>
  <c r="G21" i="30"/>
  <c r="G9" i="30"/>
  <c r="F8" i="30"/>
  <c r="F18" i="30"/>
  <c r="F12" i="30"/>
  <c r="F14" i="30"/>
  <c r="F16" i="30"/>
  <c r="J9" i="30" l="1"/>
  <c r="G8" i="30"/>
  <c r="H20" i="30"/>
  <c r="H23" i="30"/>
  <c r="H22" i="30" s="1"/>
  <c r="G20" i="30"/>
  <c r="G23" i="30"/>
  <c r="G22" i="30" s="1"/>
  <c r="I20" i="3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</author>
  </authors>
  <commentList>
    <comment ref="H5" authorId="0" shapeId="0" xr:uid="{D774D04B-0DD1-4C63-A9B6-F9F155CF939A}">
      <text>
        <r>
          <rPr>
            <b/>
            <sz val="9"/>
            <color indexed="81"/>
            <rFont val="Segoe UI"/>
            <family val="2"/>
          </rPr>
          <t>Adm:</t>
        </r>
        <r>
          <rPr>
            <sz val="9"/>
            <color indexed="81"/>
            <rFont val="Segoe UI"/>
            <family val="2"/>
          </rPr>
          <t xml:space="preserve">
DIGITA O BDI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</author>
  </authors>
  <commentList>
    <comment ref="H5" authorId="0" shapeId="0" xr:uid="{7C6EA51D-212F-4376-8656-7A48B5F79DB6}">
      <text>
        <r>
          <rPr>
            <b/>
            <sz val="9"/>
            <color indexed="81"/>
            <rFont val="Segoe UI"/>
            <family val="2"/>
          </rPr>
          <t>Adm:</t>
        </r>
        <r>
          <rPr>
            <sz val="9"/>
            <color indexed="81"/>
            <rFont val="Segoe UI"/>
            <family val="2"/>
          </rPr>
          <t xml:space="preserve">
DIGITA O BDI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LF</author>
  </authors>
  <commentList>
    <comment ref="B7" authorId="0" shapeId="0" xr:uid="{F9F5E592-6797-4478-B17F-4F790D61DA2A}">
      <text>
        <r>
          <rPr>
            <b/>
            <sz val="9"/>
            <color indexed="81"/>
            <rFont val="Segoe UI"/>
            <family val="2"/>
          </rPr>
          <t>LF:</t>
        </r>
        <r>
          <rPr>
            <sz val="9"/>
            <color indexed="81"/>
            <rFont val="Segoe UI"/>
            <family val="2"/>
          </rPr>
          <t xml:space="preserve">
DATA BASE REFERENTE AO ANO DO ORÇAMENTO POIS ALTERA CPRB NA PLANILHA DE CALCULO DO BDI DA CAIXA QUE USAMOS COMO REFERENCIA.</t>
        </r>
      </text>
    </comment>
  </commentList>
</comments>
</file>

<file path=xl/sharedStrings.xml><?xml version="1.0" encoding="utf-8"?>
<sst xmlns="http://schemas.openxmlformats.org/spreadsheetml/2006/main" count="974" uniqueCount="365">
  <si>
    <t>TOTAL</t>
  </si>
  <si>
    <t>TERRAPLENAGEM</t>
  </si>
  <si>
    <t>1.1</t>
  </si>
  <si>
    <t>1.2</t>
  </si>
  <si>
    <t>1.3</t>
  </si>
  <si>
    <t>DESCRIÇÃO:</t>
  </si>
  <si>
    <t>CÓDIGO:</t>
  </si>
  <si>
    <t>Repet.</t>
  </si>
  <si>
    <t>DMTs</t>
  </si>
  <si>
    <t>SINALIZAÇÃO</t>
  </si>
  <si>
    <t>MEIO FIO E DRENAGEM</t>
  </si>
  <si>
    <t>MEMÓRIA DE CÁLCULO</t>
  </si>
  <si>
    <t>REGULARIZAÇÃO DO SUBLEITO COM PROCTOR NORMAL</t>
  </si>
  <si>
    <t>MEIO-FIO COM SARJETA, EXECUTADO C/EXTRUSORA (SARJETA 30X8CM MEIO-FIO 15X10CM X H=23CM), INCLUI ESCAVAÇÃO E ACERTO FAIXA 0,45M</t>
  </si>
  <si>
    <t>LOCAÇÃO TOPOGRÁFICA DE 20 A 50 PONTOS</t>
  </si>
  <si>
    <t>GUIA DE MEIO-FIO, EM CONCRETO COM FCK 20MPA, PRÉMOLDADA, MFC-01 PADRÃO DEER-MG, DIMENSÕES (12X16,7X35)CM, EXCLUSIVE SARJETA, INCLUSIVE ESCAVAÇÃO, APILOAMENTO E TRANSPORTE COM RETIRADA DO MATERIAL ESCAVADO (EM CAÇAMBA)</t>
  </si>
  <si>
    <t xml:space="preserve">TRANSPORTE COM CAMINHÃO BASCULANTE DE 18 M3, EM VIA URBANA EM LEITO NATURAL (UNIDADE: TXKM). AF_09/2016   (BOTA FORA)       </t>
  </si>
  <si>
    <t>OBJETO:</t>
  </si>
  <si>
    <t>LOCAL:</t>
  </si>
  <si>
    <t>SEINFRA JANEIRO 2021 COM DESONERAÇÃO FISCAL</t>
  </si>
  <si>
    <t>DATA BASE:</t>
  </si>
  <si>
    <t>PRAZO DE EXECUÇÃO:</t>
  </si>
  <si>
    <t>DATA:</t>
  </si>
  <si>
    <t>90 DIAS</t>
  </si>
  <si>
    <t xml:space="preserve">SERVIÇOS PRELIMINARES </t>
  </si>
  <si>
    <t>FORNECIMENTO E COLOCAÇÃO DE PLACA DE OBRA EM CHAPA GALVANIZADA (3,00 X 1,5 0 M) - EM CHAPA GALVANIZADA 0,26 AFIXADAS COM REBITES 540 E PARAFUSOS 3/8, EM ESTRUTURA METÁLICA VIGA U 2" ENRIJECIDA COM METALON 20 X 20, SUPORTE EM EUCALIPTO AUTOCLAVADO PINTADAS</t>
  </si>
  <si>
    <t>OBS:</t>
  </si>
  <si>
    <t>Comp. (m)</t>
  </si>
  <si>
    <t>Estaqueamento (m)</t>
  </si>
  <si>
    <t>Quantidade (un)</t>
  </si>
  <si>
    <t>Quant. Total (un)</t>
  </si>
  <si>
    <t>Espessura (m)</t>
  </si>
  <si>
    <t>Volume Total (m³)</t>
  </si>
  <si>
    <t>Área Total (m²)</t>
  </si>
  <si>
    <t>DMT (Km)</t>
  </si>
  <si>
    <t>Peso específico (Kg)</t>
  </si>
  <si>
    <t>Transporte Total (TXKm)</t>
  </si>
  <si>
    <t>Transporte Total (M³XKm)</t>
  </si>
  <si>
    <t>,</t>
  </si>
  <si>
    <t>1.4</t>
  </si>
  <si>
    <t>Localização</t>
  </si>
  <si>
    <t>Descrição</t>
  </si>
  <si>
    <t>Estrada do Cocal</t>
  </si>
  <si>
    <t>Rua Miguel Braga</t>
  </si>
  <si>
    <t>Rua Cosme Damião</t>
  </si>
  <si>
    <t>Rua Francelino Ribeiro</t>
  </si>
  <si>
    <t>Rua Itatiaia</t>
  </si>
  <si>
    <t>Rua Doná Guiomar</t>
  </si>
  <si>
    <t>TRANSPORTE DE MATERIAL DE JAZIDA PARA CONSERVAÇÃO. DISTÂNCIA MÉDIA DE TRANSPORTE &lt;= 10,00 KM</t>
  </si>
  <si>
    <t>PAVIMENTAÇÃO EM PMF</t>
  </si>
  <si>
    <t>IMPRIMACAO DE BASE DE PAVIMENTACAO COM ADP CM-30</t>
  </si>
  <si>
    <t>CM-30 (t/m²)</t>
  </si>
  <si>
    <t>Volume (m³)</t>
  </si>
  <si>
    <t>RR-2C (t/m²)</t>
  </si>
  <si>
    <t>PINTURA DE LIGAÇÃO (EXECUÇÃO E FORNECIMENTO DO MATERIAL BETUMINOSO, EXCLUSIVE TRANSPORTE DO MATERIAL BETUMINOSO) (RR-2C).</t>
  </si>
  <si>
    <t>TRANSPORTE COM CAMINHÃO TANQUE DE TRANSPORTE DE MATERIAL ASFÁLTICO DE 30000 L, EM VIA URBANA EM REVESTIMENTO PRIMÁRIO (UNIDADE: TXKM). AF_07/2020 (RR-2C)</t>
  </si>
  <si>
    <t>PRÉ-MISTURADO A FRIO - PMF (EXECUÇÃO, INCLUINDO USINAGEM, APLICAÇÃO, ESPALHAMENTO E COMPACTAÇÃO, FORNECIMENTO DOS AGREGADOS E MATERIAL BETUMINOSO, EXCLUI TRANSPORTE DOS AGREGADOS E DO MATERIAL BETUMINOSO ATÉ USINA E DA MASSA PRONTA ATÉ A PISTA)</t>
  </si>
  <si>
    <t>TRANSPORTE DE PRÉ-MISTURADO A FRIO. DISTÂNCIA MÉDIA DE TRANSPORTE &gt; 50,00 KM (DENSIDADE DE MATERIAL SOLTO) (USINA MONTES CLAROS ATÉ O LOCAL DA OBRA)</t>
  </si>
  <si>
    <t>TRANSPORTE DE MATERIAL DE QUALQUER NATUREZA DMT ACIMA DE 50 KM (CM-30).</t>
  </si>
  <si>
    <t>TRANSPORTE COM CAMINHÃO BASCULANTE DE 14 M³, EM VIA URBANA PAVIMENTADA, DMT ATÉ 30 KM (UNIDADE: M3XKM). AF_07/2020 (AREIA)</t>
  </si>
  <si>
    <t>TRANSPORTE COM CAMINHÃO BASCULANTE DE 14 M³, EM VIA URBANA PAVIMENTADA, DMT ATÉ 30 KM (UNIDADE: M3XKM). AF_07/2020 (BRITA)</t>
  </si>
  <si>
    <t>TRANSPORTE COM CAMINHÃO BASCULANTE DE 14 M³, EM VIA URBANA PAVIMENTADA, DMT ATÉ 30 KM (UNIDADE: M3XKM). AF_07/2020 (BRITA 1)</t>
  </si>
  <si>
    <t>Coeficiente (m3/m3)</t>
  </si>
  <si>
    <t>1.5</t>
  </si>
  <si>
    <t>PINTURA DE FAIXA DE PEDESTRE OU ZEBRADA TINTARETROR REFLETIVA A BASE DE RESINA ACRÍLICA COM MICROESFERAS DE VIDRO, E = 30 CM, APLICAÇÃO MANUAL. AF_05/2021</t>
  </si>
  <si>
    <t>Largura (m)</t>
  </si>
  <si>
    <t>Quantidade de faixas</t>
  </si>
  <si>
    <t>LWAN MATHEUS COSTA SOUZA</t>
  </si>
  <si>
    <t>ENGº CIVIL CREA-MG: 255.542/D</t>
  </si>
  <si>
    <t xml:space="preserve">PREFEITO MUNICIPAL DE LAGOA DOS PATOS-MG </t>
  </si>
  <si>
    <t>HERCULES VANDY DURÃES DA FONSECA</t>
  </si>
  <si>
    <t>Área c/ sarj e mf (m²)</t>
  </si>
  <si>
    <t>Área conforme projeto geométrico</t>
  </si>
  <si>
    <t>BASE DE SOLO SEM MISTURA, COMPACTADA NA ENERGIA DO PROCTOR INTERMEDIÁRIO (EXECUÇÃO, INCLUINDO ESCAVAÇÃO, CARGA, DESCARGA, ESPALHAMENTO, UMIDECIMENTO E COMPACTAÇÃO DO MATERIAL; EXCLUI AQUISIÇÃO E TRANSPORTE DO MATERIAL)</t>
  </si>
  <si>
    <t>Área s/ sarj e mf (m)</t>
  </si>
  <si>
    <t xml:space="preserve">Todas as ruas </t>
  </si>
  <si>
    <t>ESTRADA DO COCAL, RUA MIGUEL BRAGA, RUA COSME DAMIÃO, RUA FRANCELINO RIBEIRO, RUA ITATIAIA, RUA DONÁ GUIOMAR E RUA TRINTA E UM NO MUNICÍPIO DE LAGOA DOS PATOS/MG</t>
  </si>
  <si>
    <t>Rua Trinta e um</t>
  </si>
  <si>
    <t>PAVIMENTAÇÃO E RECAPEAMENTO ASFÁLTICO EM PMF EM VIAS PÚBLICAS DO MUNICÍPIO SEDE DE LAGOA DOS PATOS/MG</t>
  </si>
  <si>
    <t>PAVIMENTAÇÃO E RECAPEAMENTO ASFÁLTICO EM PMF</t>
  </si>
  <si>
    <t>LOCAÇÃO DE PAVIMENTAÇÃO. AF_10/2018</t>
  </si>
  <si>
    <t>ESCAVAÇÃO HORIZONTAL EM SOLO DE 1A CATEGORIA COM TRATOR DE ESTEIRAS (170HP/LÂMINA: 5,20M3). AF_07/2020</t>
  </si>
  <si>
    <t>CASCALHO DE CAVA</t>
  </si>
  <si>
    <t>OBJETO</t>
  </si>
  <si>
    <t>DISTÂNCIA</t>
  </si>
  <si>
    <t>DESCRIÇÃO</t>
  </si>
  <si>
    <t>REFINARIA BH ATÉ LOCAL DA OBRA</t>
  </si>
  <si>
    <r>
      <t xml:space="preserve">DMT DA PINTURA DE LIGAÇÃO COM </t>
    </r>
    <r>
      <rPr>
        <sz val="8"/>
        <color indexed="10"/>
        <rFont val="Arial"/>
        <family val="2"/>
      </rPr>
      <t>RR-2C</t>
    </r>
  </si>
  <si>
    <r>
      <t xml:space="preserve">DMT DO MAT. BETUMINOSO PARA EXECUÇÃO DA MASSA ASFÁLTICA </t>
    </r>
    <r>
      <rPr>
        <sz val="8"/>
        <color indexed="10"/>
        <rFont val="Arial"/>
        <family val="2"/>
      </rPr>
      <t>RL-1C</t>
    </r>
  </si>
  <si>
    <t>REFINARIA BH ATÉ USINA MONTES CLAROS</t>
  </si>
  <si>
    <r>
      <t xml:space="preserve">DMT DO </t>
    </r>
    <r>
      <rPr>
        <sz val="8"/>
        <color indexed="10"/>
        <rFont val="Arial"/>
        <family val="2"/>
      </rPr>
      <t xml:space="preserve">PMF </t>
    </r>
  </si>
  <si>
    <t>USINA EM MONTES CLAROS ATÉ O LOCAL DA OBRA</t>
  </si>
  <si>
    <t>SERVIÇOS PRELIMINARES</t>
  </si>
  <si>
    <t>PREFEITO MUNICIPAL DE LAGOA DOS PATOS-MG</t>
  </si>
  <si>
    <t>JAZIDA/DEPÓSITO ATÉ USINA EM MONTES CLAROS</t>
  </si>
  <si>
    <r>
      <t xml:space="preserve">DMT </t>
    </r>
    <r>
      <rPr>
        <sz val="8"/>
        <color indexed="10"/>
        <rFont val="Arial"/>
        <family val="2"/>
      </rPr>
      <t>(BRITA/ AREIA)</t>
    </r>
  </si>
  <si>
    <t>Comprimento (m)</t>
  </si>
  <si>
    <t>1.3 SARJETA</t>
  </si>
  <si>
    <t>EXECUÇÃO DE SARJETA DE CONCRETO USINADO, MOLDADA IN LOCO EM TRECHO RETO, 30 CM BASE X 10 CM ALTURA. AF_01/2024</t>
  </si>
  <si>
    <t>46,73+86,75+46,75+83,13</t>
  </si>
  <si>
    <t>124,03+11,16+21,43+16,11+104,04+7,98+25,26</t>
  </si>
  <si>
    <t>Comprimento Total (m)</t>
  </si>
  <si>
    <t>74,02+71,48+1,34+1,5</t>
  </si>
  <si>
    <t>57+123</t>
  </si>
  <si>
    <t>80,12+80</t>
  </si>
  <si>
    <t>81,40+81,2</t>
  </si>
  <si>
    <t>122,5+113,61</t>
  </si>
  <si>
    <t>90,12+82,73</t>
  </si>
  <si>
    <t>55,02+13,74+49,13</t>
  </si>
  <si>
    <t>________________________________________________________</t>
  </si>
  <si>
    <t>_________________________________________________</t>
  </si>
  <si>
    <t>MICHELLE TIEZZI VIEIRA GOMES</t>
  </si>
  <si>
    <t>ENGENHEIRA CIVIL -  CREA: 245.292/D - MG</t>
  </si>
  <si>
    <t>COMPOSIÇÃO</t>
  </si>
  <si>
    <t>Área (m²)</t>
  </si>
  <si>
    <t>Compr. (m)</t>
  </si>
  <si>
    <t>ENCARREGADO GERAL</t>
  </si>
  <si>
    <t>GUIA DE MEIO-FIO, EM CONCRETO COM FCK 15MPA, MOLDADA IN-LOCO, SEÇÃO 15X45CM, FORMA EM MADEIRA, EXCLUSIVE SARJETA, INCLUSIVE ESCAVAÇÃO, APILOAMENTO E TRANSPORTE COM RETIRADA DO MATERIAL ESCAVADO (EM CAÇAMBA)</t>
  </si>
  <si>
    <t>MAX HENRIQUE VELOSO DA SILVA</t>
  </si>
  <si>
    <t>ENGENHEIRO CIVIL -  CREA: 248.998/D - MG</t>
  </si>
  <si>
    <t>DETALHAMENTO DO BDI COM DESONERAÇÃO</t>
  </si>
  <si>
    <t xml:space="preserve"> </t>
  </si>
  <si>
    <r>
      <t xml:space="preserve">Tipo de obra: </t>
    </r>
    <r>
      <rPr>
        <sz val="10"/>
        <rFont val="Arial"/>
        <family val="2"/>
      </rPr>
      <t>Construção de Praças Urbanas, Rodovias, Ferrovias e recapeamento e pavimentação de vias urbanas</t>
    </r>
  </si>
  <si>
    <t xml:space="preserve">Conforme legislação tributária municipal, definir estimativa de percentual da base de cálculo para o ISS: </t>
  </si>
  <si>
    <t>Sobre a base de cálculo, definir a respectiva alíquota do ISS (entre 2% e 5%):</t>
  </si>
  <si>
    <t xml:space="preserve">Base: </t>
  </si>
  <si>
    <t>TAXA DE TRIBUTOS</t>
  </si>
  <si>
    <t>SIGLA</t>
  </si>
  <si>
    <t>COMPOSIÇÃO DO BDI:</t>
  </si>
  <si>
    <t>PERCENTUAIS (%)</t>
  </si>
  <si>
    <t>PIS =</t>
  </si>
  <si>
    <t>CONFINS =</t>
  </si>
  <si>
    <t>AC</t>
  </si>
  <si>
    <t xml:space="preserve">ADMINISTRAÇÃO CENTRAL </t>
  </si>
  <si>
    <t>ISS=</t>
  </si>
  <si>
    <t>S</t>
  </si>
  <si>
    <t>TAXA DE SEGUROS / GARANTIAS</t>
  </si>
  <si>
    <t>SG</t>
  </si>
  <si>
    <t>SEGURO E GARANTIA</t>
  </si>
  <si>
    <t>R</t>
  </si>
  <si>
    <t xml:space="preserve">TAXA DE RISCOS </t>
  </si>
  <si>
    <t>I =</t>
  </si>
  <si>
    <t>DF</t>
  </si>
  <si>
    <t xml:space="preserve">TAXA DE DESPESAS/FINANCEIRAS </t>
  </si>
  <si>
    <t>L</t>
  </si>
  <si>
    <t>TAXA DE LUCROS/REMUNERAÇÃO</t>
  </si>
  <si>
    <t>CP</t>
  </si>
  <si>
    <t>ISS</t>
  </si>
  <si>
    <t>TRIBUTOS ISS</t>
  </si>
  <si>
    <t>CPRB</t>
  </si>
  <si>
    <t>BDI CALCULADO=</t>
  </si>
  <si>
    <t>BDI % = (1+(AC+S+R+G))*(1+DF)*(1+L)/(1-I)-1</t>
  </si>
  <si>
    <t>ENG. CIVIL CREA/MG 248.998/D</t>
  </si>
  <si>
    <t>PLANILHA ORÇAMENTÁRIA DE CUSTOS</t>
  </si>
  <si>
    <t>FORMA DE EXECUÇÃO:  ( ) DIRETA   (X) INDIRETA</t>
  </si>
  <si>
    <t>*DEMONSTRATIVO DE BDI EXTRAÍDO DA ABA CALCULO DE BDI*</t>
  </si>
  <si>
    <t>% ISS MUNICIPAL:</t>
  </si>
  <si>
    <t>ITEM</t>
  </si>
  <si>
    <t>CÓDIGO</t>
  </si>
  <si>
    <t>FONTE</t>
  </si>
  <si>
    <t>UNID</t>
  </si>
  <si>
    <t>QUANTIDADE</t>
  </si>
  <si>
    <t xml:space="preserve">PREÇO UNITÁRIO </t>
  </si>
  <si>
    <t>PREÇO TOTAL R$</t>
  </si>
  <si>
    <t>SEM BDI</t>
  </si>
  <si>
    <t>COM BDI</t>
  </si>
  <si>
    <t>PREFEITURA MUNICIPAL DE LAGOA DOS PATOS - MG</t>
  </si>
  <si>
    <t>BDI 1</t>
  </si>
  <si>
    <t>1</t>
  </si>
  <si>
    <t>1.1.1</t>
  </si>
  <si>
    <t>SICOR</t>
  </si>
  <si>
    <t>1.1.2</t>
  </si>
  <si>
    <t>1.2.1</t>
  </si>
  <si>
    <t>COMPOSIÇÃO 01</t>
  </si>
  <si>
    <t>Composições Próprias</t>
  </si>
  <si>
    <t>1.3.1</t>
  </si>
  <si>
    <t>m2</t>
  </si>
  <si>
    <t>1.3.2</t>
  </si>
  <si>
    <t>SINAPI</t>
  </si>
  <si>
    <t>1.3.3</t>
  </si>
  <si>
    <t>M</t>
  </si>
  <si>
    <t>1.3.4</t>
  </si>
  <si>
    <t>m3</t>
  </si>
  <si>
    <t>1.3.5</t>
  </si>
  <si>
    <t>1.3.6</t>
  </si>
  <si>
    <t>1.3.7</t>
  </si>
  <si>
    <t>UN</t>
  </si>
  <si>
    <t>1.3.8</t>
  </si>
  <si>
    <t>1.3.9</t>
  </si>
  <si>
    <t>1.3.10</t>
  </si>
  <si>
    <t>1.3.11</t>
  </si>
  <si>
    <t>1.4.1</t>
  </si>
  <si>
    <t>1.5.1</t>
  </si>
  <si>
    <t>1.5.2</t>
  </si>
  <si>
    <t>1.5.3</t>
  </si>
  <si>
    <t>1.5.4</t>
  </si>
  <si>
    <t>ED-51141</t>
  </si>
  <si>
    <t>COMPOSIÇÃO 02</t>
  </si>
  <si>
    <t>VALOR BDI TOTAL:</t>
  </si>
  <si>
    <t>VALOR ORÇAMENTO:</t>
  </si>
  <si>
    <t>VALOR TOTAL:</t>
  </si>
  <si>
    <t>CRONOGRAMA FÍSICO-FINANCEIRO</t>
  </si>
  <si>
    <t xml:space="preserve">LOCAL: </t>
  </si>
  <si>
    <t>(ALTERAR CONFORME O ORÇAMENTO)</t>
  </si>
  <si>
    <t>ETAPA</t>
  </si>
  <si>
    <t>FÍSICO/FINANCEIRO GLOBAL</t>
  </si>
  <si>
    <t>FÍSICO/FINANCEIRO</t>
  </si>
  <si>
    <t>MÊS 1</t>
  </si>
  <si>
    <t>MÊS 2</t>
  </si>
  <si>
    <t>Físico %</t>
  </si>
  <si>
    <t>Financeiro</t>
  </si>
  <si>
    <t xml:space="preserve">TOTAL </t>
  </si>
  <si>
    <t>ACUMULADO</t>
  </si>
  <si>
    <t>OBRA:</t>
  </si>
  <si>
    <t>Mão de Obra com Encargos Complementares</t>
  </si>
  <si>
    <t>COEFICIENTE</t>
  </si>
  <si>
    <t>PREÇO UNITÁRIO</t>
  </si>
  <si>
    <t>ENCARREGADO GERAL COM ENCARGOS COMPLEMENTARES</t>
  </si>
  <si>
    <t>H</t>
  </si>
  <si>
    <t>TOTAL Mão de Obra com Encargos Complementares:</t>
  </si>
  <si>
    <t>VALOR:</t>
  </si>
  <si>
    <t xml:space="preserve">COMPOSIÇÕES PROPRIAS </t>
  </si>
  <si>
    <t>LOGRADOURO</t>
  </si>
  <si>
    <t>PLACA DE OBRA</t>
  </si>
  <si>
    <t>Espaçamemto Estaca (m)</t>
  </si>
  <si>
    <t xml:space="preserve">Quantidade total </t>
  </si>
  <si>
    <t>Logradouro</t>
  </si>
  <si>
    <t>Espessura</t>
  </si>
  <si>
    <t>Volume (m3)</t>
  </si>
  <si>
    <t>CARGA, MANOBRA E DESCARGA DE SOLOS E MATERIAIS GRANULARES EM CAMINHÃO BASCULANTE 14 M³ - CARGA COM ESCAVADEIRA HIDRÁULICA (CAÇAMBA DE 1,20 M³ / 155 HP) E DESCARGA LIVRE (UNIDADE: M3). AF_02/2026</t>
  </si>
  <si>
    <t>Empolamento (25%)</t>
  </si>
  <si>
    <t>DMT (km)</t>
  </si>
  <si>
    <t>Transporte (M3XKM)</t>
  </si>
  <si>
    <t>BOTA FORA</t>
  </si>
  <si>
    <t>Regularização do subleito - 100% Proctor intermediário</t>
  </si>
  <si>
    <t>ESPALHAMENTO DE MATERIAL COM TRATOR DE ESTEIRAS. AF_09/2024</t>
  </si>
  <si>
    <t>Base de solo estabilizado granulometricamente sem mistura com material de jazida - 100% Proctor modificado</t>
  </si>
  <si>
    <t>CALÇAMENTO EM BLOCO SEXTAVADO EM TRECHOS DA ESTRADA DA SERRA DO BARRO NO MUNICIPIO DE LAGOA DOS PATOS - MG.</t>
  </si>
  <si>
    <t xml:space="preserve">OBRA: </t>
  </si>
  <si>
    <t xml:space="preserve"> ESTRADA SERRA DO BARRO, MUNICIPIO DE LAGOA DOS PATOS - MG</t>
  </si>
  <si>
    <t>ED-50152</t>
  </si>
  <si>
    <t>TERRAPLANAGEM</t>
  </si>
  <si>
    <t>2.2</t>
  </si>
  <si>
    <t>2.3</t>
  </si>
  <si>
    <t>M3XKM</t>
  </si>
  <si>
    <t>ADMINISTRAÇÃO LOCAL DE OBRAS</t>
  </si>
  <si>
    <t>ENGENHEIRO CIVIL</t>
  </si>
  <si>
    <t>MEIO-FIO E DRENAGEM SUPERFICIAL</t>
  </si>
  <si>
    <t>SOB RESPONSABILIDADE DO MUNICIPIO</t>
  </si>
  <si>
    <t>EXECUÇÃO DE PAVIMENTO EM PISO INTERTRAVADO, COM BLOCO SEXTAVADO DE 25 X 25 CM, ESPESSURA 8 CM. AF_10/2022</t>
  </si>
  <si>
    <t>HORAS</t>
  </si>
  <si>
    <t>DIAS</t>
  </si>
  <si>
    <t>SEMANAS</t>
  </si>
  <si>
    <t>MESES</t>
  </si>
  <si>
    <r>
      <t xml:space="preserve">CASCALHO DE CAVA </t>
    </r>
    <r>
      <rPr>
        <b/>
        <sz val="10"/>
        <color indexed="10"/>
        <rFont val="Arial"/>
        <family val="2"/>
      </rPr>
      <t>(A CARGO DO MUNICIPIO)</t>
    </r>
  </si>
  <si>
    <t>MOBILIZAÇÃO E DESMOBILIZAÇÃO DE OBRA</t>
  </si>
  <si>
    <t>MOB E DESMOB</t>
  </si>
  <si>
    <t>ENGENHEIRO CIVIL DE OBRA PLENO COM ENCARGOS COMPLEMENTARES</t>
  </si>
  <si>
    <t>PLANILHA DE MOBILIZAÇÃO E DESMOBILIZAÇÃO</t>
  </si>
  <si>
    <t>PROPR.:</t>
  </si>
  <si>
    <t xml:space="preserve">FONTE: </t>
  </si>
  <si>
    <t>TRANSPORTE DE EQUIPAMENTOS NÃO RODANTES</t>
  </si>
  <si>
    <t>CÓDIGO DNIT</t>
  </si>
  <si>
    <t>EQUIPAMENTO</t>
  </si>
  <si>
    <t>QUANT. DE EQUIP.</t>
  </si>
  <si>
    <t>ORIGEM</t>
  </si>
  <si>
    <r>
      <rPr>
        <b/>
        <sz val="8"/>
        <rFont val="Arial"/>
        <family val="2"/>
      </rPr>
      <t>REVESTIMENTO
PRIMÁRIO</t>
    </r>
  </si>
  <si>
    <t>PAVIMENTADO</t>
  </si>
  <si>
    <t>K</t>
  </si>
  <si>
    <t>FU</t>
  </si>
  <si>
    <t>CH E9665</t>
  </si>
  <si>
    <t>CMob</t>
  </si>
  <si>
    <t>DMT (KM)</t>
  </si>
  <si>
    <t>V</t>
  </si>
  <si>
    <t>E9541</t>
  </si>
  <si>
    <t>Trator sobre esteiras com lâmina - 259 kW</t>
  </si>
  <si>
    <t>Montes Claros</t>
  </si>
  <si>
    <r>
      <t>1.2</t>
    </r>
    <r>
      <rPr>
        <sz val="11"/>
        <color indexed="8"/>
        <rFont val="Calibri"/>
        <family val="2"/>
      </rPr>
      <t/>
    </r>
  </si>
  <si>
    <t>E9577</t>
  </si>
  <si>
    <t>Trator agrícola sobre pneus - 77 kW</t>
  </si>
  <si>
    <r>
      <t>1.3</t>
    </r>
    <r>
      <rPr>
        <sz val="11"/>
        <color indexed="8"/>
        <rFont val="Calibri"/>
        <family val="2"/>
      </rPr>
      <t/>
    </r>
  </si>
  <si>
    <t>E9515</t>
  </si>
  <si>
    <t xml:space="preserve"> Escavadeira hidráulica sobre esteiras com caçamba com capacidade de 1,56 m³ - 118 kW</t>
  </si>
  <si>
    <r>
      <t>1.4</t>
    </r>
    <r>
      <rPr>
        <sz val="11"/>
        <color indexed="8"/>
        <rFont val="Calibri"/>
        <family val="2"/>
      </rPr>
      <t/>
    </r>
  </si>
  <si>
    <t>E9583</t>
  </si>
  <si>
    <t xml:space="preserve"> Distribuidor de agregados rebocável com capacidade de 1,9 m³ </t>
  </si>
  <si>
    <r>
      <t>1.5</t>
    </r>
    <r>
      <rPr>
        <sz val="11"/>
        <color indexed="8"/>
        <rFont val="Calibri"/>
        <family val="2"/>
      </rPr>
      <t/>
    </r>
  </si>
  <si>
    <t>E9762</t>
  </si>
  <si>
    <t xml:space="preserve"> Rolo compactador de pneus autopropelido de 27 t - 85 kW</t>
  </si>
  <si>
    <r>
      <t>1.6</t>
    </r>
    <r>
      <rPr>
        <sz val="11"/>
        <color indexed="8"/>
        <rFont val="Calibri"/>
        <family val="2"/>
      </rPr>
      <t/>
    </r>
  </si>
  <si>
    <t>E9685</t>
  </si>
  <si>
    <t>Rolo compactador pé de carneiro vibratório autopropelido por pneus de 11,6 t - 82 kW</t>
  </si>
  <si>
    <r>
      <t>1.7</t>
    </r>
    <r>
      <rPr>
        <sz val="11"/>
        <color indexed="8"/>
        <rFont val="Calibri"/>
        <family val="2"/>
      </rPr>
      <t/>
    </r>
  </si>
  <si>
    <t>E9681</t>
  </si>
  <si>
    <t xml:space="preserve">Rolo compactador liso tandem vibratório autopropelido de 10,4 t - 82 kW </t>
  </si>
  <si>
    <r>
      <t>1.8</t>
    </r>
    <r>
      <rPr>
        <sz val="11"/>
        <color indexed="8"/>
        <rFont val="Calibri"/>
        <family val="2"/>
      </rPr>
      <t/>
    </r>
  </si>
  <si>
    <t>E9524</t>
  </si>
  <si>
    <t>Motoniveladora - 93 kW</t>
  </si>
  <si>
    <r>
      <t>1.9</t>
    </r>
    <r>
      <rPr>
        <sz val="11"/>
        <color indexed="8"/>
        <rFont val="Calibri"/>
        <family val="2"/>
      </rPr>
      <t/>
    </r>
  </si>
  <si>
    <t>E9518</t>
  </si>
  <si>
    <t>Grade de 24 discos rebocável de D = 60 cm (24")</t>
  </si>
  <si>
    <r>
      <t>1.10</t>
    </r>
    <r>
      <rPr>
        <sz val="11"/>
        <color indexed="8"/>
        <rFont val="Calibri"/>
        <family val="2"/>
      </rPr>
      <t/>
    </r>
  </si>
  <si>
    <t>E9511</t>
  </si>
  <si>
    <t>Carregadeira de pneus com capacidade de 3,40 m³ - 195 kW</t>
  </si>
  <si>
    <r>
      <t>1.11</t>
    </r>
    <r>
      <rPr>
        <sz val="11"/>
        <color indexed="8"/>
        <rFont val="Calibri"/>
        <family val="2"/>
      </rPr>
      <t/>
    </r>
  </si>
  <si>
    <t>E9544</t>
  </si>
  <si>
    <t>Vassoura mecânica rebocável com largura de 2,44 m</t>
  </si>
  <si>
    <r>
      <t>1.12</t>
    </r>
    <r>
      <rPr>
        <sz val="11"/>
        <color indexed="8"/>
        <rFont val="Calibri"/>
        <family val="2"/>
      </rPr>
      <t/>
    </r>
  </si>
  <si>
    <t>E9545</t>
  </si>
  <si>
    <t xml:space="preserve"> Vibroacabadora de asfalto sobre esteiras - 97 kW </t>
  </si>
  <si>
    <t>TOTAL DE MOBILIZAÇÃO</t>
  </si>
  <si>
    <t>TOTAL DE DESMOBILIZAÇÃO</t>
  </si>
  <si>
    <t>TOTAL DE MOBILIZAÇÃO E DESMOBILIZAÇÃO - EQUIPAMENTOS NÃO RODANTES</t>
  </si>
  <si>
    <t>E9665</t>
  </si>
  <si>
    <t>Cavalo mecânico com semirreboque com capacidade de 22 t - 240 Kw</t>
  </si>
  <si>
    <t>DESLOCAMENTOS DE VEICULOS - RODANTES</t>
  </si>
  <si>
    <t>REVESTIMENTO PRIMÁRIO</t>
  </si>
  <si>
    <t>CH</t>
  </si>
  <si>
    <t>E9667</t>
  </si>
  <si>
    <t xml:space="preserve">Caminhão basculante com capacidade de 14 m³ - 210 kW </t>
  </si>
  <si>
    <t>E9571</t>
  </si>
  <si>
    <t xml:space="preserve">Caminhão tanque com capacidade de 10.000 l - 188 kW </t>
  </si>
  <si>
    <t>E9509</t>
  </si>
  <si>
    <t>Caminhão tanque distribuidor de asfalto com capacidade de 6.000 l - 7 kW/136 kW</t>
  </si>
  <si>
    <t>TOTAL DE MOBILIZAÇÃO E DESMOBILIZAÇÃO - EQUIPAMENTOS RODANTES</t>
  </si>
  <si>
    <t>___________________________________</t>
  </si>
  <si>
    <t>ENGENHEIRO CIVIL CREA-MG 248.998/D</t>
  </si>
  <si>
    <t>LOCAÇÃO TOPOGRÁFICA ACIMA DE CINQUENTA (50) PONTOS REFERENCIAIS, INCLUSIVE ESTACA (PIQUETE) DE MARCAÇÃO</t>
  </si>
  <si>
    <t>ED-50276</t>
  </si>
  <si>
    <t>Larg. c/sarj. + mf (m)</t>
  </si>
  <si>
    <t>VIA</t>
  </si>
  <si>
    <t>Larg. s/sarj. + mf (m)</t>
  </si>
  <si>
    <t>Area total (m2)</t>
  </si>
  <si>
    <t>Volume total (m3)</t>
  </si>
  <si>
    <t>SICRO 04/2026</t>
  </si>
  <si>
    <t>PREFEITURA MUNICIPAL DE LAGOA DOS PATOS-MG</t>
  </si>
  <si>
    <t xml:space="preserve">MATERIAL DA JAZIDA </t>
  </si>
  <si>
    <r>
      <t xml:space="preserve">Local: </t>
    </r>
    <r>
      <rPr>
        <sz val="10"/>
        <rFont val="Arial"/>
        <family val="2"/>
      </rPr>
      <t>Município de Lagoa dos Patos /MG</t>
    </r>
  </si>
  <si>
    <t>BDI:</t>
  </si>
  <si>
    <t>SICRO/DNIT</t>
  </si>
  <si>
    <t>PROPRIA</t>
  </si>
  <si>
    <t>PAVIMENTAÇÃO EM BLOCO SEXTAVADO</t>
  </si>
  <si>
    <t xml:space="preserve">SINAPI -06/2026 - DESONERADO / SICOR - 04/2026 - NORTE DESONERADO  / SICRO/DNIT - 04/2026 - DESONERADO </t>
  </si>
  <si>
    <r>
      <t xml:space="preserve">Nota: </t>
    </r>
    <r>
      <rPr>
        <sz val="12"/>
        <rFont val="Arial"/>
        <family val="2"/>
      </rPr>
      <t>O fornecimento do cascalho para a execução da base será de</t>
    </r>
    <r>
      <rPr>
        <b/>
        <sz val="12"/>
        <rFont val="Arial"/>
        <family val="2"/>
      </rPr>
      <t xml:space="preserve"> responsabilidade da Prefeitura Municipal de Lagoa dos Patos</t>
    </r>
    <r>
      <rPr>
        <sz val="12"/>
        <rFont val="Arial"/>
        <family val="2"/>
      </rPr>
      <t>. Caberá à contratada a execução dos serviços de escavação, carga e transporte do material até a via que receberá o calçamento, bem como a execução dos demais serviços previstos no contrato.</t>
    </r>
  </si>
  <si>
    <t>PRAZO DE EXECUÇÃO: 3 MESES</t>
  </si>
  <si>
    <t xml:space="preserve">ADMINISTRAÇÃO LOCAL DE OBRAS, COMPOSTO DE ENGENHEIRO CIVIL E ENCARREGADO GERAL​ </t>
  </si>
  <si>
    <t xml:space="preserve">​COMPOSIÇÃO 01​ </t>
  </si>
  <si>
    <r>
      <t xml:space="preserve">ESCAVAÇÃO HORIZONTAL, INCLUINDO CARGA E DESCARGA EM SOLO DE 1A CATEGORIA COM TRATOR DE ESTEIRAS (170HP/LÂMINA: 5,20M3). AF_07/2020 </t>
    </r>
    <r>
      <rPr>
        <i/>
        <sz val="10"/>
        <color indexed="8"/>
        <rFont val="Arial"/>
        <family val="2"/>
      </rPr>
      <t>(ESCAVAÇÃO NA VIA)</t>
    </r>
  </si>
  <si>
    <r>
      <t>ESCAVAÇÃO HORIZONTAL, INCLUINDO CARGA E DESCARGA EM SOLO DE 1A CATEGORIA COM TRATOR DE ESTEIRAS (170HP/LÂMINA: 5,20M3). AF_07/2020</t>
    </r>
    <r>
      <rPr>
        <u/>
        <sz val="10"/>
        <color indexed="8"/>
        <rFont val="Arial"/>
        <family val="2"/>
      </rPr>
      <t xml:space="preserve"> </t>
    </r>
    <r>
      <rPr>
        <sz val="10"/>
        <color indexed="8"/>
        <rFont val="Arial"/>
        <family val="2"/>
      </rPr>
      <t>(</t>
    </r>
    <r>
      <rPr>
        <i/>
        <sz val="10"/>
        <color indexed="8"/>
        <rFont val="Arial"/>
        <family val="2"/>
      </rPr>
      <t>ESCAVAÇÃO NA JAZIDA</t>
    </r>
    <r>
      <rPr>
        <sz val="10"/>
        <color indexed="8"/>
        <rFont val="Arial"/>
        <family val="2"/>
      </rPr>
      <t>)</t>
    </r>
  </si>
  <si>
    <t>COMPOSIÇÃO 02 DE MOBILIZAÇÃO E DESMOBILIZAÇÃO</t>
  </si>
  <si>
    <t>VALOR TOTAL DA OBRA:</t>
  </si>
  <si>
    <t>Compr. total (m)</t>
  </si>
  <si>
    <t>Entrada para descida d'água - EDA 03 A - areia e brita comerciais</t>
  </si>
  <si>
    <t>TRANSPORTE COM CAMINHÃO BASCULANTE DE 14 M³, EM VIA URBANA EM REVESTIMENTO PRIMÁRIO (UNIDADE: M3XKM). AF_02/2026</t>
  </si>
  <si>
    <t>GUIA (MEIO-FIO) E SARJETA CONJUGADOS DE CONCRETO, MOLDADA IN LOCO EM TRECHO RETO COM EXTRUSORA, 45 CM BASE (15 CM BASE DA GUIA + 30 CM BASE DA SARJETA) X 22 CM ALTURA. AF_01/2024</t>
  </si>
  <si>
    <t>CALÇAMENTO EM BLOCO SEXTAVADO DE VIA NA COMUNIDADE GOIABEIRAS, MUNICIPIO DE LAGOA DOS PATOS - MG.</t>
  </si>
  <si>
    <t xml:space="preserve"> RUA PROJETA, COMUNIDADE GOIABEIRAS, MUNICIPIO DE LAGOA DOS PATOS - MG</t>
  </si>
  <si>
    <t>RUA PROJETADA</t>
  </si>
  <si>
    <t>10,77+9,81+6,90</t>
  </si>
  <si>
    <t>2 MESES</t>
  </si>
  <si>
    <t>PRAZO DE EXECUÇÃO: 2 MESES</t>
  </si>
  <si>
    <t>ED-51142</t>
  </si>
  <si>
    <t>EXECUÇÃO DE SARJETA DE CONCRETO USINADO, MOLDADA IN LOCO EM TRECHO RETO, 30 CM BASE X 15 CM ALTURA. AF_01/2024</t>
  </si>
  <si>
    <t>16,20+41,10+8,26+8,21+16,61+5,17+14,50+24,21+19,85+15,16+20,02+9,82+11,32+25,25</t>
  </si>
  <si>
    <t>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</si>
</sst>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0.000"/>
    <numFmt numFmtId="167" formatCode="&quot;R$&quot;\ #,##0.00"/>
    <numFmt numFmtId="168" formatCode="#,##0.000"/>
    <numFmt numFmtId="169" formatCode="#,##0.0000"/>
    <numFmt numFmtId="170" formatCode="&quot;R$ &quot;#,##0.00_);[Red]\(&quot;R$ &quot;#,##0.00\)"/>
    <numFmt numFmtId="171" formatCode="#,##0.00\ &quot;KM&quot;"/>
    <numFmt numFmtId="172" formatCode="&quot;R$&quot;#,##0.00"/>
    <numFmt numFmtId="173" formatCode="\R\$\ #,##0.00"/>
    <numFmt numFmtId="174" formatCode="#,##0.00000000"/>
    <numFmt numFmtId="175" formatCode="&quot;R$&quot;\ #,##0.0000"/>
  </numFmts>
  <fonts count="51">
    <font>
      <sz val="10"/>
      <name val="Arial"/>
    </font>
    <font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sz val="9"/>
      <name val="Arial "/>
    </font>
    <font>
      <sz val="9"/>
      <color indexed="8"/>
      <name val="Arial "/>
    </font>
    <font>
      <b/>
      <sz val="12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8"/>
      <color indexed="10"/>
      <name val="Arial"/>
      <family val="2"/>
    </font>
    <font>
      <b/>
      <sz val="10"/>
      <name val="Arial"/>
      <family val="2"/>
    </font>
    <font>
      <sz val="7.5"/>
      <name val="Arial"/>
      <family val="2"/>
    </font>
    <font>
      <sz val="10"/>
      <color indexed="8"/>
      <name val="Arial"/>
      <family val="2"/>
    </font>
    <font>
      <b/>
      <sz val="12"/>
      <name val="Arial"/>
      <family val="2"/>
    </font>
    <font>
      <b/>
      <sz val="10"/>
      <color indexed="8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b/>
      <sz val="14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b/>
      <sz val="10"/>
      <color indexed="10"/>
      <name val="Arial"/>
      <family val="2"/>
    </font>
    <font>
      <sz val="12"/>
      <name val="Arial"/>
      <family val="2"/>
    </font>
    <font>
      <i/>
      <sz val="10"/>
      <color indexed="8"/>
      <name val="Arial"/>
      <family val="2"/>
    </font>
    <font>
      <u/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9"/>
      <color rgb="FFFF0000"/>
      <name val="Times New Roman"/>
      <family val="1"/>
    </font>
    <font>
      <b/>
      <sz val="9"/>
      <color theme="1"/>
      <name val="Times New Roman"/>
      <family val="1"/>
    </font>
    <font>
      <sz val="8"/>
      <color theme="1"/>
      <name val="Arial"/>
      <family val="2"/>
    </font>
    <font>
      <sz val="7.5"/>
      <color theme="1"/>
      <name val="Arial"/>
      <family val="2"/>
    </font>
    <font>
      <b/>
      <sz val="8"/>
      <color theme="0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sz val="11"/>
      <color theme="1"/>
      <name val="Arial"/>
      <family val="2"/>
    </font>
    <font>
      <b/>
      <sz val="10"/>
      <color rgb="FF000000"/>
      <name val="Arial"/>
      <family val="2"/>
    </font>
    <font>
      <sz val="10"/>
      <color rgb="FFEE000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sz val="10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0"/>
      <name val="Arial"/>
      <family val="2"/>
    </font>
    <font>
      <sz val="8"/>
      <color rgb="FFFF0000"/>
      <name val="Arial"/>
      <family val="2"/>
    </font>
    <font>
      <b/>
      <sz val="10"/>
      <color theme="1"/>
      <name val="Calibri"/>
      <family val="2"/>
      <scheme val="minor"/>
    </font>
    <font>
      <b/>
      <sz val="10"/>
      <color theme="4"/>
      <name val="Arial"/>
      <family val="2"/>
    </font>
    <font>
      <b/>
      <sz val="16"/>
      <color theme="0"/>
      <name val="Arial"/>
      <family val="2"/>
    </font>
    <font>
      <b/>
      <sz val="14"/>
      <color theme="4" tint="-0.499984740745262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2F2F2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89CDA"/>
        <bgColor indexed="64"/>
      </patternFill>
    </fill>
    <fill>
      <patternFill patternType="solid">
        <fgColor rgb="FF689CDA"/>
        <bgColor rgb="FF000000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rgb="FF00000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CCCCCC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</borders>
  <cellStyleXfs count="29">
    <xf numFmtId="0" fontId="0" fillId="0" borderId="0"/>
    <xf numFmtId="164" fontId="1" fillId="0" borderId="0" applyFont="0" applyFill="0" applyBorder="0" applyAlignment="0" applyProtection="0"/>
    <xf numFmtId="164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25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26" fillId="0" borderId="0"/>
    <xf numFmtId="0" fontId="25" fillId="0" borderId="0"/>
    <xf numFmtId="0" fontId="1" fillId="0" borderId="0"/>
    <xf numFmtId="9" fontId="2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/>
    <xf numFmtId="9" fontId="25" fillId="0" borderId="0" applyFont="0" applyFill="0" applyBorder="0" applyAlignment="0" applyProtection="0"/>
    <xf numFmtId="9" fontId="26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699">
    <xf numFmtId="0" fontId="0" fillId="0" borderId="0" xfId="0"/>
    <xf numFmtId="0" fontId="4" fillId="0" borderId="1" xfId="0" applyFont="1" applyBorder="1"/>
    <xf numFmtId="0" fontId="4" fillId="0" borderId="0" xfId="0" applyFont="1"/>
    <xf numFmtId="0" fontId="4" fillId="0" borderId="2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/>
    <xf numFmtId="0" fontId="5" fillId="0" borderId="1" xfId="0" applyFont="1" applyBorder="1"/>
    <xf numFmtId="0" fontId="2" fillId="0" borderId="0" xfId="0" applyFont="1"/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4" fontId="7" fillId="4" borderId="3" xfId="0" applyNumberFormat="1" applyFont="1" applyFill="1" applyBorder="1" applyAlignment="1">
      <alignment horizontal="center"/>
    </xf>
    <xf numFmtId="0" fontId="7" fillId="5" borderId="3" xfId="0" applyFont="1" applyFill="1" applyBorder="1"/>
    <xf numFmtId="0" fontId="9" fillId="5" borderId="3" xfId="0" applyFont="1" applyFill="1" applyBorder="1" applyAlignment="1">
      <alignment horizontal="left"/>
    </xf>
    <xf numFmtId="0" fontId="7" fillId="0" borderId="3" xfId="0" applyFont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4" fontId="9" fillId="6" borderId="3" xfId="0" applyNumberFormat="1" applyFont="1" applyFill="1" applyBorder="1" applyAlignment="1">
      <alignment horizontal="center" wrapText="1"/>
    </xf>
    <xf numFmtId="4" fontId="9" fillId="6" borderId="3" xfId="0" applyNumberFormat="1" applyFont="1" applyFill="1" applyBorder="1" applyAlignment="1">
      <alignment horizontal="center"/>
    </xf>
    <xf numFmtId="4" fontId="27" fillId="6" borderId="3" xfId="0" applyNumberFormat="1" applyFont="1" applyFill="1" applyBorder="1" applyAlignment="1">
      <alignment horizontal="center"/>
    </xf>
    <xf numFmtId="169" fontId="9" fillId="6" borderId="3" xfId="0" applyNumberFormat="1" applyFont="1" applyFill="1" applyBorder="1" applyAlignment="1">
      <alignment horizontal="center"/>
    </xf>
    <xf numFmtId="168" fontId="9" fillId="6" borderId="3" xfId="0" applyNumberFormat="1" applyFont="1" applyFill="1" applyBorder="1" applyAlignment="1">
      <alignment horizontal="center"/>
    </xf>
    <xf numFmtId="4" fontId="2" fillId="0" borderId="0" xfId="0" applyNumberFormat="1" applyFont="1"/>
    <xf numFmtId="0" fontId="9" fillId="7" borderId="4" xfId="0" applyFont="1" applyFill="1" applyBorder="1" applyAlignment="1">
      <alignment vertical="center"/>
    </xf>
    <xf numFmtId="0" fontId="7" fillId="7" borderId="5" xfId="0" applyFont="1" applyFill="1" applyBorder="1" applyAlignment="1">
      <alignment horizontal="right" vertical="center" indent="1"/>
    </xf>
    <xf numFmtId="0" fontId="7" fillId="7" borderId="6" xfId="0" applyFont="1" applyFill="1" applyBorder="1" applyAlignment="1">
      <alignment horizontal="right" vertical="center" indent="1"/>
    </xf>
    <xf numFmtId="49" fontId="7" fillId="7" borderId="7" xfId="0" applyNumberFormat="1" applyFont="1" applyFill="1" applyBorder="1" applyAlignment="1">
      <alignment horizontal="right" vertical="center" indent="1"/>
    </xf>
    <xf numFmtId="49" fontId="7" fillId="7" borderId="8" xfId="0" applyNumberFormat="1" applyFont="1" applyFill="1" applyBorder="1" applyAlignment="1">
      <alignment horizontal="right" vertical="center" indent="1"/>
    </xf>
    <xf numFmtId="14" fontId="9" fillId="7" borderId="9" xfId="0" applyNumberFormat="1" applyFont="1" applyFill="1" applyBorder="1" applyAlignment="1">
      <alignment horizontal="left" vertical="center"/>
    </xf>
    <xf numFmtId="0" fontId="7" fillId="8" borderId="10" xfId="0" applyFont="1" applyFill="1" applyBorder="1" applyAlignment="1">
      <alignment horizontal="center" vertical="center"/>
    </xf>
    <xf numFmtId="0" fontId="7" fillId="7" borderId="11" xfId="0" applyFont="1" applyFill="1" applyBorder="1" applyAlignment="1">
      <alignment horizontal="center" vertical="justify" wrapText="1"/>
    </xf>
    <xf numFmtId="0" fontId="7" fillId="5" borderId="11" xfId="0" applyFont="1" applyFill="1" applyBorder="1" applyAlignment="1">
      <alignment horizontal="left" vertical="center"/>
    </xf>
    <xf numFmtId="0" fontId="7" fillId="5" borderId="11" xfId="0" applyFont="1" applyFill="1" applyBorder="1"/>
    <xf numFmtId="0" fontId="7" fillId="0" borderId="12" xfId="0" applyFont="1" applyBorder="1" applyAlignment="1">
      <alignment horizontal="center" vertical="center" wrapText="1"/>
    </xf>
    <xf numFmtId="0" fontId="28" fillId="7" borderId="11" xfId="0" applyFont="1" applyFill="1" applyBorder="1" applyAlignment="1">
      <alignment horizontal="center" vertical="justify" wrapText="1"/>
    </xf>
    <xf numFmtId="0" fontId="5" fillId="0" borderId="13" xfId="0" applyFont="1" applyBorder="1"/>
    <xf numFmtId="0" fontId="5" fillId="0" borderId="14" xfId="0" applyFont="1" applyBorder="1" applyAlignment="1">
      <alignment horizontal="center"/>
    </xf>
    <xf numFmtId="0" fontId="5" fillId="0" borderId="14" xfId="0" applyFont="1" applyBorder="1"/>
    <xf numFmtId="0" fontId="5" fillId="0" borderId="15" xfId="0" applyFont="1" applyBorder="1"/>
    <xf numFmtId="0" fontId="1" fillId="0" borderId="0" xfId="10"/>
    <xf numFmtId="0" fontId="1" fillId="0" borderId="2" xfId="10" applyBorder="1"/>
    <xf numFmtId="0" fontId="1" fillId="0" borderId="1" xfId="10" applyBorder="1"/>
    <xf numFmtId="0" fontId="1" fillId="0" borderId="13" xfId="10" applyBorder="1"/>
    <xf numFmtId="0" fontId="1" fillId="0" borderId="14" xfId="10" applyBorder="1"/>
    <xf numFmtId="0" fontId="1" fillId="0" borderId="15" xfId="10" applyBorder="1"/>
    <xf numFmtId="171" fontId="29" fillId="0" borderId="16" xfId="10" applyNumberFormat="1" applyFont="1" applyBorder="1" applyAlignment="1">
      <alignment horizontal="right" vertical="center" indent="2"/>
    </xf>
    <xf numFmtId="0" fontId="1" fillId="0" borderId="0" xfId="0" applyFont="1"/>
    <xf numFmtId="0" fontId="11" fillId="0" borderId="0" xfId="9" applyFont="1" applyAlignment="1">
      <alignment horizontal="right"/>
    </xf>
    <xf numFmtId="0" fontId="12" fillId="0" borderId="0" xfId="10" applyFont="1"/>
    <xf numFmtId="0" fontId="12" fillId="0" borderId="2" xfId="10" applyFont="1" applyBorder="1"/>
    <xf numFmtId="0" fontId="12" fillId="0" borderId="17" xfId="10" applyFont="1" applyBorder="1"/>
    <xf numFmtId="10" fontId="30" fillId="0" borderId="0" xfId="10" applyNumberFormat="1" applyFont="1" applyAlignment="1">
      <alignment horizontal="center"/>
    </xf>
    <xf numFmtId="10" fontId="30" fillId="0" borderId="0" xfId="10" applyNumberFormat="1" applyFont="1" applyAlignment="1" applyProtection="1">
      <alignment vertical="center"/>
      <protection locked="0"/>
    </xf>
    <xf numFmtId="0" fontId="31" fillId="9" borderId="17" xfId="10" applyFont="1" applyFill="1" applyBorder="1" applyAlignment="1">
      <alignment horizontal="center" vertical="center"/>
    </xf>
    <xf numFmtId="0" fontId="32" fillId="0" borderId="0" xfId="0" applyFont="1"/>
    <xf numFmtId="0" fontId="11" fillId="6" borderId="0" xfId="0" applyFont="1" applyFill="1" applyAlignment="1">
      <alignment horizontal="right" vertical="center"/>
    </xf>
    <xf numFmtId="4" fontId="11" fillId="0" borderId="0" xfId="9" applyNumberFormat="1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11" fillId="5" borderId="0" xfId="9" applyFont="1" applyFill="1"/>
    <xf numFmtId="0" fontId="32" fillId="5" borderId="0" xfId="9" applyFont="1" applyFill="1" applyAlignment="1">
      <alignment horizontal="left" vertical="center" wrapText="1"/>
    </xf>
    <xf numFmtId="0" fontId="1" fillId="0" borderId="0" xfId="9" applyFont="1" applyAlignment="1">
      <alignment horizontal="center"/>
    </xf>
    <xf numFmtId="2" fontId="1" fillId="0" borderId="0" xfId="9" applyNumberFormat="1" applyFont="1" applyAlignment="1">
      <alignment horizontal="center" vertical="center" wrapText="1"/>
    </xf>
    <xf numFmtId="2" fontId="1" fillId="0" borderId="0" xfId="9" applyNumberFormat="1" applyFont="1" applyAlignment="1">
      <alignment horizontal="center" vertical="center"/>
    </xf>
    <xf numFmtId="2" fontId="32" fillId="0" borderId="0" xfId="9" applyNumberFormat="1" applyFont="1" applyAlignment="1">
      <alignment horizontal="center" vertical="center"/>
    </xf>
    <xf numFmtId="0" fontId="1" fillId="0" borderId="0" xfId="9" applyFont="1" applyAlignment="1">
      <alignment horizontal="center" wrapText="1"/>
    </xf>
    <xf numFmtId="4" fontId="11" fillId="10" borderId="0" xfId="9" applyNumberFormat="1" applyFont="1" applyFill="1" applyAlignment="1">
      <alignment horizontal="center" vertical="center"/>
    </xf>
    <xf numFmtId="0" fontId="1" fillId="0" borderId="0" xfId="9" applyFont="1" applyAlignment="1">
      <alignment horizontal="center" vertical="center" wrapText="1"/>
    </xf>
    <xf numFmtId="0" fontId="33" fillId="11" borderId="1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right" vertical="center"/>
    </xf>
    <xf numFmtId="0" fontId="1" fillId="0" borderId="2" xfId="0" applyFont="1" applyBorder="1"/>
    <xf numFmtId="0" fontId="1" fillId="0" borderId="14" xfId="0" applyFont="1" applyBorder="1" applyAlignment="1">
      <alignment vertical="center"/>
    </xf>
    <xf numFmtId="0" fontId="1" fillId="0" borderId="14" xfId="0" applyFont="1" applyBorder="1"/>
    <xf numFmtId="0" fontId="11" fillId="6" borderId="11" xfId="0" applyFont="1" applyFill="1" applyBorder="1" applyAlignment="1">
      <alignment horizontal="left" vertical="center"/>
    </xf>
    <xf numFmtId="49" fontId="11" fillId="6" borderId="11" xfId="0" applyNumberFormat="1" applyFont="1" applyFill="1" applyBorder="1" applyAlignment="1">
      <alignment horizontal="left" vertical="center" wrapText="1"/>
    </xf>
    <xf numFmtId="49" fontId="11" fillId="6" borderId="11" xfId="0" applyNumberFormat="1" applyFont="1" applyFill="1" applyBorder="1" applyAlignment="1">
      <alignment horizontal="left" vertical="center"/>
    </xf>
    <xf numFmtId="0" fontId="1" fillId="0" borderId="1" xfId="0" applyFont="1" applyBorder="1"/>
    <xf numFmtId="0" fontId="1" fillId="0" borderId="13" xfId="0" applyFont="1" applyBorder="1"/>
    <xf numFmtId="0" fontId="1" fillId="0" borderId="18" xfId="18" applyBorder="1"/>
    <xf numFmtId="0" fontId="1" fillId="0" borderId="4" xfId="18" applyBorder="1"/>
    <xf numFmtId="0" fontId="1" fillId="0" borderId="0" xfId="18"/>
    <xf numFmtId="0" fontId="11" fillId="0" borderId="1" xfId="18" applyFont="1" applyBorder="1" applyAlignment="1">
      <alignment horizontal="left" vertical="center" wrapText="1"/>
    </xf>
    <xf numFmtId="0" fontId="11" fillId="0" borderId="19" xfId="18" applyFont="1" applyBorder="1" applyAlignment="1">
      <alignment horizontal="center"/>
    </xf>
    <xf numFmtId="0" fontId="1" fillId="0" borderId="19" xfId="18" applyBorder="1"/>
    <xf numFmtId="0" fontId="11" fillId="0" borderId="2" xfId="18" applyFont="1" applyBorder="1" applyAlignment="1">
      <alignment horizontal="left" vertical="center"/>
    </xf>
    <xf numFmtId="2" fontId="1" fillId="12" borderId="2" xfId="18" applyNumberFormat="1" applyFill="1" applyBorder="1" applyAlignment="1">
      <alignment horizontal="center" vertical="center"/>
    </xf>
    <xf numFmtId="9" fontId="1" fillId="12" borderId="2" xfId="20" applyFont="1" applyFill="1" applyBorder="1" applyAlignment="1">
      <alignment horizontal="center" vertical="center"/>
    </xf>
    <xf numFmtId="0" fontId="1" fillId="0" borderId="1" xfId="18" applyBorder="1"/>
    <xf numFmtId="0" fontId="1" fillId="0" borderId="2" xfId="18" applyBorder="1"/>
    <xf numFmtId="0" fontId="31" fillId="13" borderId="3" xfId="15" applyFont="1" applyFill="1" applyBorder="1" applyAlignment="1">
      <alignment horizontal="center" vertical="center" wrapText="1"/>
    </xf>
    <xf numFmtId="0" fontId="34" fillId="0" borderId="2" xfId="15" applyFont="1" applyBorder="1" applyAlignment="1">
      <alignment vertical="center" wrapText="1"/>
    </xf>
    <xf numFmtId="0" fontId="34" fillId="14" borderId="0" xfId="15" applyFont="1" applyFill="1" applyAlignment="1">
      <alignment vertical="center" wrapText="1"/>
    </xf>
    <xf numFmtId="0" fontId="1" fillId="0" borderId="3" xfId="18" applyBorder="1"/>
    <xf numFmtId="10" fontId="32" fillId="0" borderId="20" xfId="22" applyNumberFormat="1" applyFont="1" applyBorder="1" applyAlignment="1">
      <alignment horizontal="right"/>
    </xf>
    <xf numFmtId="10" fontId="32" fillId="0" borderId="3" xfId="22" applyNumberFormat="1" applyFont="1" applyBorder="1"/>
    <xf numFmtId="10" fontId="1" fillId="6" borderId="3" xfId="22" applyNumberFormat="1" applyFont="1" applyFill="1" applyBorder="1" applyAlignment="1">
      <alignment horizontal="right"/>
    </xf>
    <xf numFmtId="10" fontId="1" fillId="0" borderId="19" xfId="18" applyNumberFormat="1" applyBorder="1"/>
    <xf numFmtId="10" fontId="1" fillId="0" borderId="3" xfId="22" applyNumberFormat="1" applyFont="1" applyBorder="1"/>
    <xf numFmtId="10" fontId="1" fillId="0" borderId="3" xfId="18" applyNumberFormat="1" applyBorder="1"/>
    <xf numFmtId="10" fontId="32" fillId="0" borderId="3" xfId="22" applyNumberFormat="1" applyFont="1" applyFill="1" applyBorder="1"/>
    <xf numFmtId="10" fontId="31" fillId="13" borderId="21" xfId="21" applyNumberFormat="1" applyFont="1" applyFill="1" applyBorder="1" applyAlignment="1">
      <alignment horizontal="center" vertical="center" wrapText="1"/>
    </xf>
    <xf numFmtId="0" fontId="13" fillId="0" borderId="0" xfId="18" applyFont="1" applyAlignment="1">
      <alignment vertical="center" wrapText="1"/>
    </xf>
    <xf numFmtId="0" fontId="13" fillId="0" borderId="19" xfId="18" applyFont="1" applyBorder="1" applyAlignment="1">
      <alignment vertical="center" wrapText="1"/>
    </xf>
    <xf numFmtId="0" fontId="13" fillId="0" borderId="0" xfId="18" applyFont="1" applyAlignment="1">
      <alignment vertical="center"/>
    </xf>
    <xf numFmtId="0" fontId="13" fillId="0" borderId="0" xfId="18" applyFont="1"/>
    <xf numFmtId="0" fontId="13" fillId="0" borderId="1" xfId="18" applyFont="1" applyBorder="1" applyAlignment="1">
      <alignment vertical="center"/>
    </xf>
    <xf numFmtId="0" fontId="13" fillId="0" borderId="2" xfId="18" applyFont="1" applyBorder="1" applyAlignment="1">
      <alignment vertical="center" wrapText="1"/>
    </xf>
    <xf numFmtId="0" fontId="13" fillId="0" borderId="19" xfId="18" applyFont="1" applyBorder="1"/>
    <xf numFmtId="4" fontId="13" fillId="0" borderId="0" xfId="18" applyNumberFormat="1" applyFont="1"/>
    <xf numFmtId="0" fontId="13" fillId="0" borderId="1" xfId="18" applyFont="1" applyBorder="1"/>
    <xf numFmtId="0" fontId="13" fillId="0" borderId="0" xfId="18" applyFont="1" applyAlignment="1">
      <alignment horizontal="center"/>
    </xf>
    <xf numFmtId="0" fontId="13" fillId="0" borderId="2" xfId="18" applyFont="1" applyBorder="1"/>
    <xf numFmtId="0" fontId="13" fillId="0" borderId="2" xfId="18" applyFont="1" applyBorder="1" applyAlignment="1">
      <alignment horizontal="center"/>
    </xf>
    <xf numFmtId="0" fontId="13" fillId="0" borderId="13" xfId="18" applyFont="1" applyBorder="1" applyAlignment="1">
      <alignment vertical="center"/>
    </xf>
    <xf numFmtId="0" fontId="13" fillId="0" borderId="14" xfId="18" applyFont="1" applyBorder="1" applyAlignment="1">
      <alignment vertical="center"/>
    </xf>
    <xf numFmtId="0" fontId="13" fillId="0" borderId="15" xfId="18" applyFont="1" applyBorder="1" applyAlignment="1">
      <alignment vertical="center"/>
    </xf>
    <xf numFmtId="0" fontId="1" fillId="0" borderId="0" xfId="17" applyFont="1"/>
    <xf numFmtId="2" fontId="11" fillId="6" borderId="22" xfId="17" applyNumberFormat="1" applyFont="1" applyFill="1" applyBorder="1" applyAlignment="1">
      <alignment horizontal="center" vertical="center"/>
    </xf>
    <xf numFmtId="14" fontId="1" fillId="6" borderId="23" xfId="17" applyNumberFormat="1" applyFont="1" applyFill="1" applyBorder="1" applyAlignment="1">
      <alignment horizontal="center" vertical="center"/>
    </xf>
    <xf numFmtId="0" fontId="11" fillId="0" borderId="24" xfId="17" applyFont="1" applyBorder="1" applyAlignment="1">
      <alignment horizontal="center" vertical="center" wrapText="1"/>
    </xf>
    <xf numFmtId="0" fontId="11" fillId="0" borderId="11" xfId="17" applyFont="1" applyBorder="1" applyAlignment="1">
      <alignment horizontal="center" vertical="center" wrapText="1"/>
    </xf>
    <xf numFmtId="0" fontId="35" fillId="0" borderId="0" xfId="0" applyFont="1"/>
    <xf numFmtId="4" fontId="34" fillId="13" borderId="3" xfId="0" applyNumberFormat="1" applyFont="1" applyFill="1" applyBorder="1" applyAlignment="1">
      <alignment horizontal="center" vertical="center" wrapText="1"/>
    </xf>
    <xf numFmtId="0" fontId="34" fillId="13" borderId="3" xfId="0" applyFont="1" applyFill="1" applyBorder="1" applyAlignment="1">
      <alignment horizontal="center" vertical="center" wrapText="1"/>
    </xf>
    <xf numFmtId="0" fontId="1" fillId="15" borderId="0" xfId="0" applyFont="1" applyFill="1"/>
    <xf numFmtId="0" fontId="1" fillId="0" borderId="0" xfId="0" applyFont="1" applyAlignment="1">
      <alignment vertical="center"/>
    </xf>
    <xf numFmtId="0" fontId="36" fillId="15" borderId="47" xfId="0" applyFont="1" applyFill="1" applyBorder="1" applyAlignment="1">
      <alignment horizontal="left" vertical="center" wrapText="1"/>
    </xf>
    <xf numFmtId="173" fontId="36" fillId="15" borderId="48" xfId="0" applyNumberFormat="1" applyFont="1" applyFill="1" applyBorder="1" applyAlignment="1">
      <alignment horizontal="right" vertical="center" wrapText="1"/>
    </xf>
    <xf numFmtId="0" fontId="0" fillId="0" borderId="1" xfId="0" applyBorder="1"/>
    <xf numFmtId="0" fontId="0" fillId="0" borderId="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11" fillId="6" borderId="11" xfId="18" applyFont="1" applyFill="1" applyBorder="1" applyAlignment="1">
      <alignment horizontal="left" vertical="center"/>
    </xf>
    <xf numFmtId="0" fontId="11" fillId="6" borderId="22" xfId="18" applyFont="1" applyFill="1" applyBorder="1" applyAlignment="1">
      <alignment horizontal="left" vertical="center"/>
    </xf>
    <xf numFmtId="0" fontId="11" fillId="6" borderId="16" xfId="18" applyFont="1" applyFill="1" applyBorder="1" applyAlignment="1">
      <alignment horizontal="left" vertical="center"/>
    </xf>
    <xf numFmtId="0" fontId="11" fillId="0" borderId="11" xfId="18" applyFont="1" applyBorder="1" applyAlignment="1">
      <alignment horizontal="left" wrapText="1"/>
    </xf>
    <xf numFmtId="0" fontId="37" fillId="0" borderId="0" xfId="18" applyFont="1"/>
    <xf numFmtId="0" fontId="33" fillId="13" borderId="3" xfId="10" applyFont="1" applyFill="1" applyBorder="1" applyAlignment="1">
      <alignment horizontal="center" vertical="center"/>
    </xf>
    <xf numFmtId="0" fontId="33" fillId="13" borderId="12" xfId="10" applyFont="1" applyFill="1" applyBorder="1" applyAlignment="1">
      <alignment horizontal="center" vertical="center"/>
    </xf>
    <xf numFmtId="49" fontId="33" fillId="13" borderId="3" xfId="10" applyNumberFormat="1" applyFont="1" applyFill="1" applyBorder="1" applyAlignment="1">
      <alignment horizontal="center" vertical="center" wrapText="1"/>
    </xf>
    <xf numFmtId="10" fontId="33" fillId="13" borderId="3" xfId="10" applyNumberFormat="1" applyFont="1" applyFill="1" applyBorder="1" applyAlignment="1">
      <alignment horizontal="center" vertical="center" wrapText="1"/>
    </xf>
    <xf numFmtId="10" fontId="33" fillId="13" borderId="3" xfId="10" applyNumberFormat="1" applyFont="1" applyFill="1" applyBorder="1" applyAlignment="1">
      <alignment horizontal="center" vertical="center"/>
    </xf>
    <xf numFmtId="10" fontId="33" fillId="13" borderId="12" xfId="10" applyNumberFormat="1" applyFont="1" applyFill="1" applyBorder="1" applyAlignment="1">
      <alignment horizontal="center" vertical="center"/>
    </xf>
    <xf numFmtId="49" fontId="1" fillId="15" borderId="3" xfId="10" applyNumberFormat="1" applyFill="1" applyBorder="1" applyAlignment="1">
      <alignment horizontal="center" vertical="center" wrapText="1"/>
    </xf>
    <xf numFmtId="172" fontId="1" fillId="15" borderId="3" xfId="7" applyNumberFormat="1" applyFont="1" applyFill="1" applyBorder="1" applyAlignment="1">
      <alignment horizontal="center" vertical="center" wrapText="1"/>
    </xf>
    <xf numFmtId="167" fontId="1" fillId="0" borderId="0" xfId="18" applyNumberFormat="1"/>
    <xf numFmtId="49" fontId="11" fillId="0" borderId="3" xfId="10" applyNumberFormat="1" applyFont="1" applyBorder="1" applyAlignment="1">
      <alignment horizontal="center" vertical="center" wrapText="1"/>
    </xf>
    <xf numFmtId="10" fontId="1" fillId="0" borderId="3" xfId="18" applyNumberFormat="1" applyBorder="1" applyAlignment="1">
      <alignment horizontal="center"/>
    </xf>
    <xf numFmtId="10" fontId="1" fillId="6" borderId="3" xfId="18" applyNumberFormat="1" applyFill="1" applyBorder="1" applyAlignment="1">
      <alignment horizontal="center"/>
    </xf>
    <xf numFmtId="10" fontId="1" fillId="0" borderId="0" xfId="18" applyNumberFormat="1"/>
    <xf numFmtId="49" fontId="1" fillId="0" borderId="3" xfId="10" applyNumberFormat="1" applyBorder="1" applyAlignment="1">
      <alignment horizontal="center" vertical="center" wrapText="1"/>
    </xf>
    <xf numFmtId="172" fontId="1" fillId="0" borderId="3" xfId="7" applyNumberFormat="1" applyFont="1" applyFill="1" applyBorder="1" applyAlignment="1">
      <alignment horizontal="center" vertical="center" wrapText="1"/>
    </xf>
    <xf numFmtId="167" fontId="1" fillId="6" borderId="3" xfId="18" applyNumberFormat="1" applyFill="1" applyBorder="1" applyAlignment="1">
      <alignment horizontal="center"/>
    </xf>
    <xf numFmtId="49" fontId="15" fillId="2" borderId="3" xfId="10" applyNumberFormat="1" applyFont="1" applyFill="1" applyBorder="1" applyAlignment="1">
      <alignment horizontal="center" vertical="center" wrapText="1"/>
    </xf>
    <xf numFmtId="10" fontId="33" fillId="15" borderId="3" xfId="10" applyNumberFormat="1" applyFont="1" applyFill="1" applyBorder="1" applyAlignment="1">
      <alignment horizontal="center" vertical="center" wrapText="1"/>
    </xf>
    <xf numFmtId="10" fontId="33" fillId="15" borderId="3" xfId="10" applyNumberFormat="1" applyFont="1" applyFill="1" applyBorder="1" applyAlignment="1">
      <alignment horizontal="center" vertical="center"/>
    </xf>
    <xf numFmtId="172" fontId="33" fillId="15" borderId="3" xfId="10" applyNumberFormat="1" applyFont="1" applyFill="1" applyBorder="1" applyAlignment="1">
      <alignment horizontal="center" vertical="center" wrapText="1"/>
    </xf>
    <xf numFmtId="172" fontId="33" fillId="13" borderId="3" xfId="7" applyNumberFormat="1" applyFont="1" applyFill="1" applyBorder="1" applyAlignment="1">
      <alignment horizontal="center" vertical="center" wrapText="1"/>
    </xf>
    <xf numFmtId="172" fontId="33" fillId="13" borderId="12" xfId="7" applyNumberFormat="1" applyFont="1" applyFill="1" applyBorder="1" applyAlignment="1">
      <alignment horizontal="center" vertical="center" wrapText="1"/>
    </xf>
    <xf numFmtId="0" fontId="11" fillId="0" borderId="0" xfId="18" applyFont="1"/>
    <xf numFmtId="0" fontId="11" fillId="6" borderId="1" xfId="18" applyFont="1" applyFill="1" applyBorder="1" applyAlignment="1">
      <alignment wrapText="1"/>
    </xf>
    <xf numFmtId="0" fontId="11" fillId="6" borderId="17" xfId="18" applyFont="1" applyFill="1" applyBorder="1" applyAlignment="1">
      <alignment wrapText="1"/>
    </xf>
    <xf numFmtId="2" fontId="1" fillId="0" borderId="0" xfId="18" applyNumberFormat="1"/>
    <xf numFmtId="0" fontId="11" fillId="6" borderId="13" xfId="18" applyFont="1" applyFill="1" applyBorder="1" applyAlignment="1">
      <alignment wrapText="1"/>
    </xf>
    <xf numFmtId="0" fontId="11" fillId="6" borderId="14" xfId="18" applyFont="1" applyFill="1" applyBorder="1" applyAlignment="1">
      <alignment wrapText="1"/>
    </xf>
    <xf numFmtId="0" fontId="11" fillId="5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6" borderId="0" xfId="18" applyFont="1" applyFill="1" applyAlignment="1">
      <alignment wrapText="1"/>
    </xf>
    <xf numFmtId="0" fontId="3" fillId="0" borderId="0" xfId="0" applyFont="1"/>
    <xf numFmtId="0" fontId="38" fillId="16" borderId="49" xfId="0" applyFont="1" applyFill="1" applyBorder="1" applyAlignment="1">
      <alignment horizontal="center" vertical="center" wrapText="1"/>
    </xf>
    <xf numFmtId="0" fontId="39" fillId="0" borderId="49" xfId="0" applyFont="1" applyBorder="1" applyAlignment="1">
      <alignment horizontal="center" vertical="top" wrapText="1"/>
    </xf>
    <xf numFmtId="0" fontId="39" fillId="0" borderId="49" xfId="0" applyFont="1" applyBorder="1" applyAlignment="1">
      <alignment horizontal="justify" vertical="top" wrapText="1"/>
    </xf>
    <xf numFmtId="174" fontId="39" fillId="0" borderId="49" xfId="0" applyNumberFormat="1" applyFont="1" applyBorder="1" applyAlignment="1">
      <alignment horizontal="right" vertical="top" wrapText="1"/>
    </xf>
    <xf numFmtId="173" fontId="39" fillId="0" borderId="49" xfId="0" applyNumberFormat="1" applyFont="1" applyBorder="1" applyAlignment="1">
      <alignment horizontal="right" vertical="top" wrapText="1"/>
    </xf>
    <xf numFmtId="0" fontId="3" fillId="0" borderId="1" xfId="0" applyFont="1" applyBorder="1" applyAlignment="1" applyProtection="1">
      <alignment wrapText="1"/>
      <protection locked="0"/>
    </xf>
    <xf numFmtId="0" fontId="3" fillId="0" borderId="0" xfId="0" applyFont="1" applyAlignment="1" applyProtection="1">
      <alignment wrapText="1"/>
      <protection locked="0"/>
    </xf>
    <xf numFmtId="0" fontId="38" fillId="16" borderId="48" xfId="0" applyFont="1" applyFill="1" applyBorder="1" applyAlignment="1">
      <alignment horizontal="center" vertical="center" wrapText="1"/>
    </xf>
    <xf numFmtId="0" fontId="39" fillId="0" borderId="47" xfId="0" applyFont="1" applyBorder="1" applyAlignment="1">
      <alignment horizontal="center" vertical="top" wrapText="1"/>
    </xf>
    <xf numFmtId="173" fontId="39" fillId="0" borderId="48" xfId="0" applyNumberFormat="1" applyFont="1" applyBorder="1" applyAlignment="1">
      <alignment horizontal="right" vertical="top" wrapText="1"/>
    </xf>
    <xf numFmtId="173" fontId="38" fillId="0" borderId="48" xfId="0" applyNumberFormat="1" applyFont="1" applyBorder="1" applyAlignment="1">
      <alignment horizontal="right" vertical="top" wrapText="1"/>
    </xf>
    <xf numFmtId="4" fontId="38" fillId="0" borderId="48" xfId="0" applyNumberFormat="1" applyFont="1" applyBorder="1" applyAlignment="1">
      <alignment horizontal="right" vertical="center" wrapText="1"/>
    </xf>
    <xf numFmtId="0" fontId="3" fillId="0" borderId="1" xfId="0" applyFont="1" applyBorder="1"/>
    <xf numFmtId="0" fontId="3" fillId="0" borderId="2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11" fillId="0" borderId="0" xfId="18" applyFont="1" applyAlignment="1">
      <alignment horizontal="left" vertical="center"/>
    </xf>
    <xf numFmtId="17" fontId="1" fillId="0" borderId="0" xfId="18" applyNumberFormat="1" applyAlignment="1">
      <alignment horizontal="left" vertical="center"/>
    </xf>
    <xf numFmtId="0" fontId="11" fillId="0" borderId="0" xfId="18" applyFont="1" applyAlignment="1">
      <alignment horizontal="right"/>
    </xf>
    <xf numFmtId="0" fontId="1" fillId="0" borderId="14" xfId="18" applyBorder="1"/>
    <xf numFmtId="10" fontId="11" fillId="6" borderId="24" xfId="17" applyNumberFormat="1" applyFont="1" applyFill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" fillId="6" borderId="16" xfId="18" applyFill="1" applyBorder="1" applyAlignment="1">
      <alignment horizontal="left" vertical="center" wrapText="1"/>
    </xf>
    <xf numFmtId="0" fontId="40" fillId="17" borderId="11" xfId="14" applyFont="1" applyFill="1" applyBorder="1" applyAlignment="1">
      <alignment horizontal="center" vertical="center" wrapText="1"/>
    </xf>
    <xf numFmtId="0" fontId="11" fillId="5" borderId="11" xfId="14" applyFont="1" applyFill="1" applyBorder="1"/>
    <xf numFmtId="0" fontId="11" fillId="5" borderId="22" xfId="14" applyFont="1" applyFill="1" applyBorder="1"/>
    <xf numFmtId="0" fontId="32" fillId="5" borderId="22" xfId="14" applyFont="1" applyFill="1" applyBorder="1" applyAlignment="1">
      <alignment horizontal="left" vertical="center" wrapText="1"/>
    </xf>
    <xf numFmtId="0" fontId="11" fillId="0" borderId="4" xfId="14" applyFont="1" applyBorder="1" applyAlignment="1">
      <alignment horizontal="center"/>
    </xf>
    <xf numFmtId="0" fontId="11" fillId="0" borderId="25" xfId="14" applyFont="1" applyBorder="1" applyAlignment="1">
      <alignment horizontal="center"/>
    </xf>
    <xf numFmtId="4" fontId="11" fillId="4" borderId="3" xfId="14" applyNumberFormat="1" applyFont="1" applyFill="1" applyBorder="1" applyAlignment="1">
      <alignment horizontal="center"/>
    </xf>
    <xf numFmtId="0" fontId="11" fillId="0" borderId="1" xfId="14" applyFont="1" applyBorder="1" applyAlignment="1">
      <alignment horizontal="center"/>
    </xf>
    <xf numFmtId="4" fontId="11" fillId="0" borderId="2" xfId="14" applyNumberFormat="1" applyFont="1" applyBorder="1" applyAlignment="1">
      <alignment horizontal="center"/>
    </xf>
    <xf numFmtId="0" fontId="11" fillId="5" borderId="5" xfId="14" applyFont="1" applyFill="1" applyBorder="1"/>
    <xf numFmtId="0" fontId="11" fillId="0" borderId="26" xfId="14" applyFont="1" applyBorder="1" applyAlignment="1">
      <alignment horizontal="center"/>
    </xf>
    <xf numFmtId="0" fontId="11" fillId="0" borderId="5" xfId="14" applyFont="1" applyBorder="1" applyAlignment="1">
      <alignment horizontal="center" vertical="center"/>
    </xf>
    <xf numFmtId="0" fontId="11" fillId="0" borderId="20" xfId="14" applyFont="1" applyBorder="1" applyAlignment="1">
      <alignment horizontal="center"/>
    </xf>
    <xf numFmtId="0" fontId="11" fillId="0" borderId="27" xfId="14" applyFont="1" applyBorder="1" applyAlignment="1">
      <alignment horizontal="center" vertical="center"/>
    </xf>
    <xf numFmtId="0" fontId="11" fillId="6" borderId="3" xfId="14" applyFont="1" applyFill="1" applyBorder="1" applyAlignment="1">
      <alignment horizontal="center" vertical="center"/>
    </xf>
    <xf numFmtId="0" fontId="11" fillId="0" borderId="7" xfId="14" applyFont="1" applyBorder="1" applyAlignment="1">
      <alignment horizontal="right"/>
    </xf>
    <xf numFmtId="0" fontId="11" fillId="0" borderId="16" xfId="14" applyFont="1" applyBorder="1" applyAlignment="1">
      <alignment horizontal="right"/>
    </xf>
    <xf numFmtId="0" fontId="11" fillId="5" borderId="3" xfId="14" applyFont="1" applyFill="1" applyBorder="1"/>
    <xf numFmtId="2" fontId="1" fillId="6" borderId="3" xfId="21" applyNumberFormat="1" applyFont="1" applyFill="1" applyBorder="1" applyAlignment="1">
      <alignment horizontal="center" vertical="center"/>
    </xf>
    <xf numFmtId="4" fontId="41" fillId="6" borderId="3" xfId="14" applyNumberFormat="1" applyFont="1" applyFill="1" applyBorder="1" applyAlignment="1">
      <alignment horizontal="center" vertical="center"/>
    </xf>
    <xf numFmtId="0" fontId="42" fillId="5" borderId="5" xfId="14" applyFont="1" applyFill="1" applyBorder="1"/>
    <xf numFmtId="0" fontId="11" fillId="6" borderId="11" xfId="17" applyFont="1" applyFill="1" applyBorder="1" applyAlignment="1">
      <alignment vertical="center" wrapText="1"/>
    </xf>
    <xf numFmtId="173" fontId="33" fillId="13" borderId="49" xfId="17" applyNumberFormat="1" applyFont="1" applyFill="1" applyBorder="1" applyAlignment="1">
      <alignment horizontal="left" vertical="center" wrapText="1"/>
    </xf>
    <xf numFmtId="0" fontId="43" fillId="0" borderId="0" xfId="17" applyFont="1"/>
    <xf numFmtId="0" fontId="44" fillId="0" borderId="49" xfId="17" applyFont="1" applyBorder="1" applyAlignment="1">
      <alignment horizontal="left" vertical="center" wrapText="1"/>
    </xf>
    <xf numFmtId="0" fontId="44" fillId="0" borderId="49" xfId="17" applyFont="1" applyBorder="1" applyAlignment="1">
      <alignment horizontal="center" vertical="center" wrapText="1"/>
    </xf>
    <xf numFmtId="173" fontId="44" fillId="0" borderId="49" xfId="17" applyNumberFormat="1" applyFont="1" applyBorder="1" applyAlignment="1">
      <alignment horizontal="right" vertical="center" wrapText="1"/>
    </xf>
    <xf numFmtId="4" fontId="43" fillId="0" borderId="0" xfId="17" applyNumberFormat="1" applyFont="1"/>
    <xf numFmtId="0" fontId="40" fillId="0" borderId="7" xfId="14" applyFont="1" applyBorder="1" applyAlignment="1">
      <alignment vertical="center" wrapText="1"/>
    </xf>
    <xf numFmtId="0" fontId="40" fillId="0" borderId="16" xfId="14" applyFont="1" applyBorder="1" applyAlignment="1">
      <alignment vertical="center" wrapText="1"/>
    </xf>
    <xf numFmtId="0" fontId="40" fillId="0" borderId="23" xfId="14" applyFont="1" applyBorder="1" applyAlignment="1">
      <alignment vertical="center" wrapText="1"/>
    </xf>
    <xf numFmtId="0" fontId="11" fillId="0" borderId="7" xfId="14" applyFont="1" applyBorder="1"/>
    <xf numFmtId="0" fontId="11" fillId="0" borderId="16" xfId="14" applyFont="1" applyBorder="1"/>
    <xf numFmtId="0" fontId="11" fillId="0" borderId="23" xfId="14" applyFont="1" applyBorder="1"/>
    <xf numFmtId="0" fontId="1" fillId="0" borderId="0" xfId="14"/>
    <xf numFmtId="0" fontId="1" fillId="0" borderId="1" xfId="14" applyBorder="1" applyAlignment="1">
      <alignment vertical="center"/>
    </xf>
    <xf numFmtId="0" fontId="1" fillId="0" borderId="2" xfId="14" applyBorder="1" applyAlignment="1">
      <alignment vertical="center"/>
    </xf>
    <xf numFmtId="2" fontId="1" fillId="6" borderId="28" xfId="14" applyNumberFormat="1" applyFill="1" applyBorder="1" applyAlignment="1">
      <alignment horizontal="center"/>
    </xf>
    <xf numFmtId="2" fontId="1" fillId="0" borderId="3" xfId="14" applyNumberFormat="1" applyBorder="1" applyAlignment="1">
      <alignment horizontal="center" vertical="center"/>
    </xf>
    <xf numFmtId="4" fontId="1" fillId="0" borderId="3" xfId="14" applyNumberFormat="1" applyBorder="1" applyAlignment="1">
      <alignment horizontal="center" vertical="center"/>
    </xf>
    <xf numFmtId="0" fontId="1" fillId="0" borderId="3" xfId="14" applyBorder="1"/>
    <xf numFmtId="0" fontId="1" fillId="5" borderId="27" xfId="14" applyFill="1" applyBorder="1" applyAlignment="1">
      <alignment horizontal="center"/>
    </xf>
    <xf numFmtId="0" fontId="1" fillId="6" borderId="3" xfId="14" applyFill="1" applyBorder="1" applyAlignment="1">
      <alignment horizontal="center"/>
    </xf>
    <xf numFmtId="2" fontId="1" fillId="6" borderId="3" xfId="14" applyNumberFormat="1" applyFill="1" applyBorder="1" applyAlignment="1">
      <alignment horizontal="center" vertical="center"/>
    </xf>
    <xf numFmtId="4" fontId="1" fillId="6" borderId="3" xfId="14" applyNumberFormat="1" applyFill="1" applyBorder="1" applyAlignment="1">
      <alignment horizontal="center" vertical="center"/>
    </xf>
    <xf numFmtId="0" fontId="1" fillId="6" borderId="3" xfId="14" applyFill="1" applyBorder="1" applyAlignment="1">
      <alignment horizontal="center" vertical="center"/>
    </xf>
    <xf numFmtId="0" fontId="11" fillId="0" borderId="1" xfId="9" applyFont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/>
    </xf>
    <xf numFmtId="0" fontId="13" fillId="0" borderId="1" xfId="0" applyFont="1" applyBorder="1"/>
    <xf numFmtId="0" fontId="13" fillId="0" borderId="13" xfId="0" applyFont="1" applyBorder="1"/>
    <xf numFmtId="0" fontId="13" fillId="0" borderId="14" xfId="0" applyFont="1" applyBorder="1" applyAlignment="1">
      <alignment horizontal="center"/>
    </xf>
    <xf numFmtId="0" fontId="13" fillId="0" borderId="14" xfId="0" applyFont="1" applyBorder="1"/>
    <xf numFmtId="4" fontId="1" fillId="6" borderId="22" xfId="0" applyNumberFormat="1" applyFont="1" applyFill="1" applyBorder="1" applyAlignment="1">
      <alignment horizontal="center" vertical="center" wrapText="1"/>
    </xf>
    <xf numFmtId="2" fontId="1" fillId="6" borderId="22" xfId="0" applyNumberFormat="1" applyFont="1" applyFill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4" fontId="11" fillId="4" borderId="3" xfId="0" applyNumberFormat="1" applyFont="1" applyFill="1" applyBorder="1" applyAlignment="1">
      <alignment horizontal="center" vertical="center"/>
    </xf>
    <xf numFmtId="0" fontId="32" fillId="0" borderId="0" xfId="12" applyFont="1"/>
    <xf numFmtId="0" fontId="45" fillId="0" borderId="11" xfId="14" applyFont="1" applyBorder="1"/>
    <xf numFmtId="0" fontId="45" fillId="0" borderId="22" xfId="14" applyFont="1" applyBorder="1" applyAlignment="1">
      <alignment horizontal="center"/>
    </xf>
    <xf numFmtId="0" fontId="45" fillId="0" borderId="16" xfId="14" applyFont="1" applyBorder="1" applyAlignment="1">
      <alignment horizontal="center"/>
    </xf>
    <xf numFmtId="2" fontId="45" fillId="0" borderId="16" xfId="14" applyNumberFormat="1" applyFont="1" applyBorder="1" applyAlignment="1">
      <alignment horizontal="center"/>
    </xf>
    <xf numFmtId="0" fontId="45" fillId="0" borderId="23" xfId="14" applyFont="1" applyBorder="1" applyAlignment="1">
      <alignment horizontal="center"/>
    </xf>
    <xf numFmtId="2" fontId="11" fillId="0" borderId="26" xfId="0" applyNumberFormat="1" applyFont="1" applyBorder="1" applyAlignment="1">
      <alignment horizontal="center" vertical="center" wrapText="1"/>
    </xf>
    <xf numFmtId="0" fontId="43" fillId="0" borderId="0" xfId="17" applyFont="1" applyAlignment="1" applyProtection="1">
      <alignment horizontal="center" wrapText="1"/>
      <protection locked="0"/>
    </xf>
    <xf numFmtId="0" fontId="11" fillId="0" borderId="18" xfId="14" applyFont="1" applyBorder="1" applyAlignment="1">
      <alignment horizontal="right"/>
    </xf>
    <xf numFmtId="0" fontId="1" fillId="6" borderId="22" xfId="14" applyFill="1" applyBorder="1" applyAlignment="1">
      <alignment horizontal="center"/>
    </xf>
    <xf numFmtId="0" fontId="1" fillId="0" borderId="0" xfId="14" applyAlignment="1">
      <alignment vertical="center"/>
    </xf>
    <xf numFmtId="2" fontId="1" fillId="0" borderId="0" xfId="14" applyNumberFormat="1" applyAlignment="1">
      <alignment vertical="center"/>
    </xf>
    <xf numFmtId="0" fontId="11" fillId="0" borderId="0" xfId="14" applyFont="1" applyAlignment="1">
      <alignment horizontal="center"/>
    </xf>
    <xf numFmtId="2" fontId="11" fillId="0" borderId="0" xfId="14" applyNumberFormat="1" applyFont="1" applyAlignment="1">
      <alignment horizontal="center"/>
    </xf>
    <xf numFmtId="4" fontId="11" fillId="0" borderId="0" xfId="14" applyNumberFormat="1" applyFont="1" applyAlignment="1">
      <alignment horizontal="center"/>
    </xf>
    <xf numFmtId="4" fontId="11" fillId="0" borderId="0" xfId="14" applyNumberFormat="1" applyFont="1" applyAlignment="1">
      <alignment horizontal="right"/>
    </xf>
    <xf numFmtId="0" fontId="1" fillId="0" borderId="15" xfId="0" applyFont="1" applyBorder="1"/>
    <xf numFmtId="0" fontId="11" fillId="0" borderId="27" xfId="14" applyFont="1" applyBorder="1" applyAlignment="1">
      <alignment vertical="center"/>
    </xf>
    <xf numFmtId="0" fontId="1" fillId="5" borderId="29" xfId="14" applyFill="1" applyBorder="1" applyAlignment="1">
      <alignment horizontal="center"/>
    </xf>
    <xf numFmtId="0" fontId="11" fillId="0" borderId="20" xfId="14" applyFont="1" applyBorder="1" applyAlignment="1">
      <alignment vertical="center"/>
    </xf>
    <xf numFmtId="0" fontId="1" fillId="0" borderId="3" xfId="14" applyBorder="1" applyAlignment="1">
      <alignment horizontal="center"/>
    </xf>
    <xf numFmtId="0" fontId="39" fillId="0" borderId="0" xfId="0" applyFont="1" applyAlignment="1">
      <alignment horizontal="left" wrapText="1"/>
    </xf>
    <xf numFmtId="0" fontId="39" fillId="0" borderId="0" xfId="0" applyFont="1" applyAlignment="1">
      <alignment horizontal="left" vertical="top"/>
    </xf>
    <xf numFmtId="0" fontId="19" fillId="0" borderId="47" xfId="0" applyFont="1" applyBorder="1" applyAlignment="1">
      <alignment horizontal="left" vertical="center" wrapText="1"/>
    </xf>
    <xf numFmtId="0" fontId="3" fillId="0" borderId="50" xfId="0" applyFont="1" applyBorder="1" applyAlignment="1">
      <alignment vertical="center" wrapText="1"/>
    </xf>
    <xf numFmtId="0" fontId="39" fillId="0" borderId="0" xfId="0" applyFont="1" applyAlignment="1">
      <alignment horizontal="left" vertical="center" wrapText="1"/>
    </xf>
    <xf numFmtId="0" fontId="19" fillId="0" borderId="49" xfId="0" applyFont="1" applyBorder="1" applyAlignment="1">
      <alignment horizontal="center" vertical="center"/>
    </xf>
    <xf numFmtId="0" fontId="19" fillId="0" borderId="49" xfId="0" applyFont="1" applyBorder="1" applyAlignment="1">
      <alignment horizontal="center" vertical="center" wrapText="1"/>
    </xf>
    <xf numFmtId="0" fontId="19" fillId="0" borderId="51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left" vertical="center" wrapText="1"/>
    </xf>
    <xf numFmtId="166" fontId="39" fillId="0" borderId="49" xfId="0" applyNumberFormat="1" applyFont="1" applyBorder="1" applyAlignment="1">
      <alignment horizontal="center" vertical="center" shrinkToFit="1"/>
    </xf>
    <xf numFmtId="0" fontId="3" fillId="0" borderId="49" xfId="0" applyFont="1" applyBorder="1" applyAlignment="1">
      <alignment horizontal="center" vertical="center"/>
    </xf>
    <xf numFmtId="2" fontId="46" fillId="0" borderId="49" xfId="0" applyNumberFormat="1" applyFont="1" applyBorder="1" applyAlignment="1">
      <alignment horizontal="center" vertical="center" shrinkToFit="1"/>
    </xf>
    <xf numFmtId="166" fontId="39" fillId="0" borderId="51" xfId="0" applyNumberFormat="1" applyFont="1" applyBorder="1" applyAlignment="1">
      <alignment horizontal="center" vertical="center" shrinkToFit="1"/>
    </xf>
    <xf numFmtId="166" fontId="3" fillId="0" borderId="49" xfId="0" applyNumberFormat="1" applyFont="1" applyBorder="1" applyAlignment="1">
      <alignment horizontal="center" vertical="center" shrinkToFit="1"/>
    </xf>
    <xf numFmtId="175" fontId="39" fillId="3" borderId="49" xfId="1" applyNumberFormat="1" applyFont="1" applyFill="1" applyBorder="1" applyAlignment="1">
      <alignment horizontal="center" vertical="center" shrinkToFit="1"/>
    </xf>
    <xf numFmtId="167" fontId="39" fillId="0" borderId="48" xfId="1" applyNumberFormat="1" applyFont="1" applyBorder="1" applyAlignment="1">
      <alignment horizontal="right" vertical="center" shrinkToFit="1"/>
    </xf>
    <xf numFmtId="175" fontId="39" fillId="0" borderId="0" xfId="0" applyNumberFormat="1" applyFont="1" applyAlignment="1">
      <alignment horizontal="left" vertical="top"/>
    </xf>
    <xf numFmtId="0" fontId="3" fillId="0" borderId="52" xfId="0" applyFont="1" applyBorder="1" applyAlignment="1">
      <alignment horizontal="left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166" fontId="39" fillId="0" borderId="53" xfId="0" applyNumberFormat="1" applyFont="1" applyBorder="1" applyAlignment="1">
      <alignment horizontal="center" vertical="center" shrinkToFit="1"/>
    </xf>
    <xf numFmtId="0" fontId="3" fillId="0" borderId="54" xfId="0" applyFont="1" applyBorder="1" applyAlignment="1">
      <alignment horizontal="center" vertical="center" wrapText="1"/>
    </xf>
    <xf numFmtId="166" fontId="46" fillId="0" borderId="49" xfId="0" applyNumberFormat="1" applyFont="1" applyBorder="1" applyAlignment="1">
      <alignment horizontal="center" vertical="center" shrinkToFit="1"/>
    </xf>
    <xf numFmtId="164" fontId="38" fillId="18" borderId="48" xfId="1" applyFont="1" applyFill="1" applyBorder="1" applyAlignment="1">
      <alignment horizontal="right" vertical="center" shrinkToFit="1"/>
    </xf>
    <xf numFmtId="0" fontId="39" fillId="0" borderId="1" xfId="0" applyFont="1" applyBorder="1" applyAlignment="1">
      <alignment horizontal="left" vertical="center" wrapText="1"/>
    </xf>
    <xf numFmtId="0" fontId="39" fillId="0" borderId="2" xfId="0" applyFont="1" applyBorder="1" applyAlignment="1">
      <alignment horizontal="left" vertical="center" wrapText="1"/>
    </xf>
    <xf numFmtId="44" fontId="39" fillId="0" borderId="0" xfId="0" applyNumberFormat="1" applyFont="1" applyAlignment="1">
      <alignment horizontal="left" vertical="center" wrapText="1"/>
    </xf>
    <xf numFmtId="0" fontId="39" fillId="0" borderId="1" xfId="0" applyFont="1" applyBorder="1" applyAlignment="1">
      <alignment vertical="center" wrapText="1"/>
    </xf>
    <xf numFmtId="0" fontId="39" fillId="0" borderId="0" xfId="0" applyFont="1" applyAlignment="1">
      <alignment vertical="center" wrapText="1"/>
    </xf>
    <xf numFmtId="0" fontId="39" fillId="0" borderId="2" xfId="0" applyFont="1" applyBorder="1" applyAlignment="1">
      <alignment vertical="center" wrapText="1"/>
    </xf>
    <xf numFmtId="0" fontId="39" fillId="0" borderId="0" xfId="0" applyFont="1" applyAlignment="1">
      <alignment wrapText="1"/>
    </xf>
    <xf numFmtId="0" fontId="39" fillId="0" borderId="0" xfId="0" applyFont="1" applyAlignment="1">
      <alignment vertical="top" wrapText="1"/>
    </xf>
    <xf numFmtId="0" fontId="39" fillId="0" borderId="1" xfId="0" applyFont="1" applyBorder="1" applyAlignment="1">
      <alignment horizontal="left" vertical="center"/>
    </xf>
    <xf numFmtId="0" fontId="39" fillId="0" borderId="0" xfId="0" applyFont="1" applyAlignment="1">
      <alignment horizontal="left" vertical="center"/>
    </xf>
    <xf numFmtId="0" fontId="39" fillId="0" borderId="2" xfId="0" applyFont="1" applyBorder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2" xfId="0" applyFont="1" applyBorder="1" applyAlignment="1">
      <alignment horizontal="left" vertical="top"/>
    </xf>
    <xf numFmtId="168" fontId="39" fillId="0" borderId="0" xfId="0" applyNumberFormat="1" applyFont="1" applyAlignment="1">
      <alignment horizontal="right" vertical="center"/>
    </xf>
    <xf numFmtId="0" fontId="39" fillId="0" borderId="1" xfId="0" applyFont="1" applyBorder="1" applyAlignment="1">
      <alignment horizontal="left" vertical="top"/>
    </xf>
    <xf numFmtId="0" fontId="38" fillId="0" borderId="0" xfId="0" applyFont="1" applyAlignment="1">
      <alignment horizontal="center" vertical="center"/>
    </xf>
    <xf numFmtId="0" fontId="39" fillId="0" borderId="13" xfId="0" applyFont="1" applyBorder="1" applyAlignment="1">
      <alignment horizontal="left" vertical="top"/>
    </xf>
    <xf numFmtId="0" fontId="39" fillId="0" borderId="14" xfId="0" applyFont="1" applyBorder="1" applyAlignment="1">
      <alignment horizontal="left" vertical="top"/>
    </xf>
    <xf numFmtId="0" fontId="39" fillId="0" borderId="15" xfId="0" applyFont="1" applyBorder="1" applyAlignment="1">
      <alignment horizontal="left" vertical="top"/>
    </xf>
    <xf numFmtId="9" fontId="1" fillId="6" borderId="3" xfId="20" applyFont="1" applyFill="1" applyBorder="1" applyAlignment="1">
      <alignment horizontal="center" vertical="center"/>
    </xf>
    <xf numFmtId="2" fontId="1" fillId="0" borderId="3" xfId="14" applyNumberFormat="1" applyBorder="1" applyAlignment="1">
      <alignment horizontal="center"/>
    </xf>
    <xf numFmtId="0" fontId="1" fillId="6" borderId="22" xfId="14" applyFill="1" applyBorder="1" applyAlignment="1">
      <alignment horizontal="center" wrapText="1"/>
    </xf>
    <xf numFmtId="164" fontId="43" fillId="0" borderId="0" xfId="1" applyFont="1"/>
    <xf numFmtId="4" fontId="36" fillId="0" borderId="49" xfId="17" applyNumberFormat="1" applyFont="1" applyBorder="1" applyAlignment="1">
      <alignment horizontal="center" vertical="center" wrapText="1"/>
    </xf>
    <xf numFmtId="0" fontId="33" fillId="13" borderId="47" xfId="17" applyFont="1" applyFill="1" applyBorder="1" applyAlignment="1">
      <alignment horizontal="left" vertical="center" wrapText="1"/>
    </xf>
    <xf numFmtId="173" fontId="33" fillId="13" borderId="48" xfId="17" applyNumberFormat="1" applyFont="1" applyFill="1" applyBorder="1" applyAlignment="1">
      <alignment horizontal="left" vertical="center" wrapText="1"/>
    </xf>
    <xf numFmtId="0" fontId="44" fillId="0" borderId="47" xfId="17" applyFont="1" applyBorder="1" applyAlignment="1">
      <alignment horizontal="left" vertical="center" wrapText="1"/>
    </xf>
    <xf numFmtId="173" fontId="44" fillId="0" borderId="48" xfId="17" applyNumberFormat="1" applyFont="1" applyBorder="1" applyAlignment="1">
      <alignment horizontal="right" vertical="center" wrapText="1"/>
    </xf>
    <xf numFmtId="0" fontId="43" fillId="0" borderId="1" xfId="17" applyFont="1" applyBorder="1" applyAlignment="1" applyProtection="1">
      <alignment wrapText="1"/>
      <protection locked="0"/>
    </xf>
    <xf numFmtId="0" fontId="43" fillId="0" borderId="0" xfId="17" applyFont="1" applyAlignment="1" applyProtection="1">
      <alignment wrapText="1"/>
      <protection locked="0"/>
    </xf>
    <xf numFmtId="0" fontId="47" fillId="0" borderId="0" xfId="17" applyFont="1" applyAlignment="1" applyProtection="1">
      <alignment horizontal="center" wrapText="1"/>
      <protection locked="0"/>
    </xf>
    <xf numFmtId="173" fontId="36" fillId="0" borderId="48" xfId="17" applyNumberFormat="1" applyFont="1" applyBorder="1" applyAlignment="1">
      <alignment horizontal="right" vertical="center" wrapText="1"/>
    </xf>
    <xf numFmtId="0" fontId="47" fillId="0" borderId="0" xfId="17" applyFont="1"/>
    <xf numFmtId="0" fontId="14" fillId="0" borderId="8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31" fillId="13" borderId="47" xfId="0" applyFont="1" applyFill="1" applyBorder="1" applyAlignment="1">
      <alignment vertical="center" wrapText="1"/>
    </xf>
    <xf numFmtId="0" fontId="33" fillId="13" borderId="11" xfId="14" applyFont="1" applyFill="1" applyBorder="1" applyAlignment="1">
      <alignment horizontal="center"/>
    </xf>
    <xf numFmtId="0" fontId="11" fillId="0" borderId="0" xfId="14" applyFont="1"/>
    <xf numFmtId="0" fontId="1" fillId="0" borderId="0" xfId="14" applyAlignment="1">
      <alignment horizontal="center"/>
    </xf>
    <xf numFmtId="173" fontId="11" fillId="4" borderId="48" xfId="17" applyNumberFormat="1" applyFont="1" applyFill="1" applyBorder="1" applyAlignment="1">
      <alignment horizontal="right" vertical="center" wrapText="1"/>
    </xf>
    <xf numFmtId="0" fontId="34" fillId="13" borderId="22" xfId="0" applyFont="1" applyFill="1" applyBorder="1" applyAlignment="1">
      <alignment horizontal="center" vertical="center" wrapText="1"/>
    </xf>
    <xf numFmtId="0" fontId="34" fillId="13" borderId="23" xfId="0" applyFont="1" applyFill="1" applyBorder="1" applyAlignment="1">
      <alignment horizontal="center" vertical="center" wrapText="1"/>
    </xf>
    <xf numFmtId="173" fontId="33" fillId="13" borderId="55" xfId="17" applyNumberFormat="1" applyFont="1" applyFill="1" applyBorder="1" applyAlignment="1">
      <alignment horizontal="left" vertical="center" wrapText="1"/>
    </xf>
    <xf numFmtId="173" fontId="33" fillId="13" borderId="56" xfId="17" applyNumberFormat="1" applyFont="1" applyFill="1" applyBorder="1" applyAlignment="1">
      <alignment horizontal="left" vertical="center" wrapText="1"/>
    </xf>
    <xf numFmtId="173" fontId="36" fillId="15" borderId="3" xfId="0" applyNumberFormat="1" applyFont="1" applyFill="1" applyBorder="1" applyAlignment="1">
      <alignment horizontal="right" vertical="center" wrapText="1"/>
    </xf>
    <xf numFmtId="173" fontId="36" fillId="15" borderId="12" xfId="0" applyNumberFormat="1" applyFont="1" applyFill="1" applyBorder="1" applyAlignment="1">
      <alignment horizontal="right" vertical="center" wrapText="1"/>
    </xf>
    <xf numFmtId="2" fontId="11" fillId="0" borderId="3" xfId="0" applyNumberFormat="1" applyFont="1" applyBorder="1" applyAlignment="1">
      <alignment horizontal="center" vertical="center"/>
    </xf>
    <xf numFmtId="167" fontId="11" fillId="0" borderId="22" xfId="18" applyNumberFormat="1" applyFont="1" applyBorder="1" applyAlignment="1">
      <alignment horizontal="right" vertical="center" wrapText="1"/>
    </xf>
    <xf numFmtId="0" fontId="1" fillId="6" borderId="20" xfId="14" applyFill="1" applyBorder="1" applyAlignment="1">
      <alignment horizontal="center"/>
    </xf>
    <xf numFmtId="167" fontId="11" fillId="4" borderId="16" xfId="18" applyNumberFormat="1" applyFont="1" applyFill="1" applyBorder="1" applyAlignment="1">
      <alignment horizontal="center" vertical="center" wrapText="1"/>
    </xf>
    <xf numFmtId="0" fontId="36" fillId="0" borderId="49" xfId="17" applyFont="1" applyBorder="1" applyAlignment="1">
      <alignment horizontal="right" vertical="center" wrapText="1"/>
    </xf>
    <xf numFmtId="0" fontId="11" fillId="6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3" fillId="13" borderId="49" xfId="17" applyFont="1" applyFill="1" applyBorder="1" applyAlignment="1">
      <alignment horizontal="left" vertical="center" wrapText="1"/>
    </xf>
    <xf numFmtId="173" fontId="36" fillId="0" borderId="51" xfId="17" applyNumberFormat="1" applyFont="1" applyBorder="1" applyAlignment="1">
      <alignment horizontal="center" vertical="center" wrapText="1"/>
    </xf>
    <xf numFmtId="173" fontId="36" fillId="0" borderId="54" xfId="17" applyNumberFormat="1" applyFont="1" applyBorder="1" applyAlignment="1">
      <alignment horizontal="center" vertical="center" wrapText="1"/>
    </xf>
    <xf numFmtId="173" fontId="36" fillId="0" borderId="50" xfId="17" applyNumberFormat="1" applyFont="1" applyBorder="1" applyAlignment="1">
      <alignment horizontal="center" vertical="center" wrapText="1"/>
    </xf>
    <xf numFmtId="0" fontId="34" fillId="13" borderId="26" xfId="0" applyFont="1" applyFill="1" applyBorder="1" applyAlignment="1">
      <alignment horizontal="center" vertical="center"/>
    </xf>
    <xf numFmtId="0" fontId="34" fillId="13" borderId="20" xfId="0" applyFont="1" applyFill="1" applyBorder="1" applyAlignment="1">
      <alignment horizontal="center" vertical="center"/>
    </xf>
    <xf numFmtId="0" fontId="34" fillId="13" borderId="22" xfId="0" applyFont="1" applyFill="1" applyBorder="1" applyAlignment="1">
      <alignment horizontal="center" vertical="center" wrapText="1"/>
    </xf>
    <xf numFmtId="0" fontId="34" fillId="13" borderId="28" xfId="0" applyFont="1" applyFill="1" applyBorder="1" applyAlignment="1">
      <alignment horizontal="center" vertical="center" wrapText="1"/>
    </xf>
    <xf numFmtId="0" fontId="34" fillId="13" borderId="5" xfId="0" applyFont="1" applyFill="1" applyBorder="1" applyAlignment="1">
      <alignment horizontal="center" vertical="center" wrapText="1"/>
    </xf>
    <xf numFmtId="0" fontId="34" fillId="13" borderId="23" xfId="0" applyFont="1" applyFill="1" applyBorder="1" applyAlignment="1">
      <alignment horizontal="center" vertical="center" wrapText="1"/>
    </xf>
    <xf numFmtId="0" fontId="36" fillId="15" borderId="49" xfId="0" applyFont="1" applyFill="1" applyBorder="1" applyAlignment="1">
      <alignment horizontal="left" vertical="center" wrapText="1"/>
    </xf>
    <xf numFmtId="0" fontId="1" fillId="6" borderId="22" xfId="17" applyFont="1" applyFill="1" applyBorder="1" applyAlignment="1">
      <alignment horizontal="left" vertical="center" wrapText="1"/>
    </xf>
    <xf numFmtId="0" fontId="1" fillId="6" borderId="16" xfId="17" applyFont="1" applyFill="1" applyBorder="1" applyAlignment="1">
      <alignment horizontal="left" vertical="center" wrapText="1"/>
    </xf>
    <xf numFmtId="0" fontId="1" fillId="6" borderId="28" xfId="17" applyFont="1" applyFill="1" applyBorder="1" applyAlignment="1">
      <alignment horizontal="left" vertical="center" wrapText="1"/>
    </xf>
    <xf numFmtId="0" fontId="11" fillId="6" borderId="26" xfId="17" applyFont="1" applyFill="1" applyBorder="1" applyAlignment="1">
      <alignment horizontal="right" vertical="center" wrapText="1"/>
    </xf>
    <xf numFmtId="10" fontId="48" fillId="6" borderId="26" xfId="17" applyNumberFormat="1" applyFont="1" applyFill="1" applyBorder="1" applyAlignment="1">
      <alignment horizontal="center" vertical="center" wrapText="1"/>
    </xf>
    <xf numFmtId="0" fontId="48" fillId="6" borderId="26" xfId="17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left" vertical="center" wrapText="1"/>
    </xf>
    <xf numFmtId="0" fontId="14" fillId="0" borderId="16" xfId="0" applyFont="1" applyBorder="1" applyAlignment="1">
      <alignment horizontal="left" vertical="center" wrapText="1"/>
    </xf>
    <xf numFmtId="0" fontId="14" fillId="0" borderId="23" xfId="0" applyFont="1" applyBorder="1" applyAlignment="1">
      <alignment horizontal="left" vertical="center" wrapText="1"/>
    </xf>
    <xf numFmtId="0" fontId="34" fillId="13" borderId="30" xfId="0" applyFont="1" applyFill="1" applyBorder="1" applyAlignment="1">
      <alignment horizontal="center" vertical="center"/>
    </xf>
    <xf numFmtId="0" fontId="34" fillId="13" borderId="10" xfId="0" applyFont="1" applyFill="1" applyBorder="1" applyAlignment="1">
      <alignment horizontal="center" vertical="center"/>
    </xf>
    <xf numFmtId="0" fontId="18" fillId="6" borderId="31" xfId="17" applyFont="1" applyFill="1" applyBorder="1" applyAlignment="1">
      <alignment horizontal="center" vertical="center"/>
    </xf>
    <xf numFmtId="0" fontId="18" fillId="6" borderId="32" xfId="17" applyFont="1" applyFill="1" applyBorder="1" applyAlignment="1">
      <alignment horizontal="center" vertical="center"/>
    </xf>
    <xf numFmtId="0" fontId="18" fillId="6" borderId="33" xfId="17" applyFont="1" applyFill="1" applyBorder="1" applyAlignment="1">
      <alignment horizontal="center" vertical="center"/>
    </xf>
    <xf numFmtId="0" fontId="11" fillId="0" borderId="11" xfId="17" applyFont="1" applyBorder="1" applyAlignment="1">
      <alignment horizontal="center" vertical="center"/>
    </xf>
    <xf numFmtId="0" fontId="11" fillId="0" borderId="3" xfId="17" applyFont="1" applyBorder="1" applyAlignment="1">
      <alignment horizontal="center" vertical="center"/>
    </xf>
    <xf numFmtId="0" fontId="11" fillId="0" borderId="22" xfId="17" applyFont="1" applyBorder="1" applyAlignment="1">
      <alignment horizontal="center" vertical="center"/>
    </xf>
    <xf numFmtId="0" fontId="11" fillId="0" borderId="16" xfId="17" applyFont="1" applyBorder="1" applyAlignment="1">
      <alignment horizontal="center" vertical="center"/>
    </xf>
    <xf numFmtId="0" fontId="11" fillId="0" borderId="28" xfId="17" applyFont="1" applyBorder="1" applyAlignment="1">
      <alignment horizontal="center" vertical="center"/>
    </xf>
    <xf numFmtId="0" fontId="11" fillId="6" borderId="22" xfId="17" applyFont="1" applyFill="1" applyBorder="1" applyAlignment="1">
      <alignment horizontal="center" vertical="center" wrapText="1"/>
    </xf>
    <xf numFmtId="0" fontId="11" fillId="6" borderId="16" xfId="17" applyFont="1" applyFill="1" applyBorder="1" applyAlignment="1">
      <alignment horizontal="center" vertical="center" wrapText="1"/>
    </xf>
    <xf numFmtId="0" fontId="11" fillId="6" borderId="23" xfId="17" applyFont="1" applyFill="1" applyBorder="1" applyAlignment="1">
      <alignment horizontal="center" vertical="center" wrapText="1"/>
    </xf>
    <xf numFmtId="0" fontId="1" fillId="6" borderId="22" xfId="17" applyFont="1" applyFill="1" applyBorder="1" applyAlignment="1">
      <alignment horizontal="center" vertical="center" wrapText="1"/>
    </xf>
    <xf numFmtId="0" fontId="1" fillId="6" borderId="16" xfId="17" applyFont="1" applyFill="1" applyBorder="1" applyAlignment="1">
      <alignment horizontal="center" vertical="center" wrapText="1"/>
    </xf>
    <xf numFmtId="0" fontId="1" fillId="6" borderId="28" xfId="17" applyFont="1" applyFill="1" applyBorder="1" applyAlignment="1">
      <alignment horizontal="center" vertical="center" wrapText="1"/>
    </xf>
    <xf numFmtId="0" fontId="36" fillId="15" borderId="51" xfId="0" applyFont="1" applyFill="1" applyBorder="1" applyAlignment="1">
      <alignment horizontal="left" vertical="center" wrapText="1"/>
    </xf>
    <xf numFmtId="0" fontId="49" fillId="13" borderId="34" xfId="0" applyFont="1" applyFill="1" applyBorder="1" applyAlignment="1">
      <alignment horizontal="center" vertical="center"/>
    </xf>
    <xf numFmtId="0" fontId="49" fillId="13" borderId="35" xfId="0" applyFont="1" applyFill="1" applyBorder="1" applyAlignment="1">
      <alignment horizontal="center" vertical="center"/>
    </xf>
    <xf numFmtId="0" fontId="49" fillId="13" borderId="36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left" vertical="center" wrapText="1"/>
    </xf>
    <xf numFmtId="0" fontId="1" fillId="6" borderId="12" xfId="0" applyFont="1" applyFill="1" applyBorder="1" applyAlignment="1">
      <alignment horizontal="left" vertical="center" wrapText="1"/>
    </xf>
    <xf numFmtId="14" fontId="1" fillId="0" borderId="3" xfId="0" applyNumberFormat="1" applyFont="1" applyBorder="1" applyAlignment="1">
      <alignment horizontal="left" vertical="center"/>
    </xf>
    <xf numFmtId="14" fontId="1" fillId="0" borderId="12" xfId="0" applyNumberFormat="1" applyFont="1" applyBorder="1" applyAlignment="1">
      <alignment horizontal="left" vertical="center"/>
    </xf>
    <xf numFmtId="49" fontId="11" fillId="0" borderId="1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/>
    </xf>
    <xf numFmtId="0" fontId="1" fillId="5" borderId="18" xfId="14" applyFill="1" applyBorder="1" applyAlignment="1">
      <alignment horizontal="left" vertical="center" wrapText="1"/>
    </xf>
    <xf numFmtId="0" fontId="1" fillId="5" borderId="9" xfId="14" applyFill="1" applyBorder="1" applyAlignment="1">
      <alignment horizontal="left" vertical="center" wrapText="1"/>
    </xf>
    <xf numFmtId="0" fontId="1" fillId="5" borderId="17" xfId="14" applyFill="1" applyBorder="1" applyAlignment="1">
      <alignment horizontal="left" vertical="center" wrapText="1"/>
    </xf>
    <xf numFmtId="0" fontId="1" fillId="5" borderId="37" xfId="14" applyFill="1" applyBorder="1" applyAlignment="1">
      <alignment horizontal="left" vertical="center" wrapText="1"/>
    </xf>
    <xf numFmtId="0" fontId="11" fillId="0" borderId="5" xfId="14" applyFont="1" applyBorder="1" applyAlignment="1">
      <alignment horizontal="center" vertical="center"/>
    </xf>
    <xf numFmtId="0" fontId="11" fillId="0" borderId="27" xfId="14" applyFont="1" applyBorder="1" applyAlignment="1">
      <alignment horizontal="center" vertical="center"/>
    </xf>
    <xf numFmtId="0" fontId="11" fillId="0" borderId="24" xfId="14" applyFont="1" applyBorder="1" applyAlignment="1">
      <alignment horizontal="center" vertical="center"/>
    </xf>
    <xf numFmtId="0" fontId="11" fillId="0" borderId="38" xfId="14" applyFont="1" applyBorder="1" applyAlignment="1">
      <alignment horizontal="center" vertical="center"/>
    </xf>
    <xf numFmtId="2" fontId="1" fillId="6" borderId="7" xfId="14" applyNumberFormat="1" applyFill="1" applyBorder="1" applyAlignment="1">
      <alignment horizontal="left"/>
    </xf>
    <xf numFmtId="2" fontId="1" fillId="6" borderId="28" xfId="14" applyNumberFormat="1" applyFill="1" applyBorder="1" applyAlignment="1">
      <alignment horizontal="left"/>
    </xf>
    <xf numFmtId="0" fontId="1" fillId="0" borderId="26" xfId="14" applyBorder="1" applyAlignment="1">
      <alignment horizontal="center"/>
    </xf>
    <xf numFmtId="0" fontId="1" fillId="0" borderId="20" xfId="14" applyBorder="1" applyAlignment="1">
      <alignment horizontal="center"/>
    </xf>
    <xf numFmtId="0" fontId="33" fillId="13" borderId="29" xfId="0" applyFont="1" applyFill="1" applyBorder="1" applyAlignment="1">
      <alignment horizontal="center" vertical="center"/>
    </xf>
    <xf numFmtId="0" fontId="33" fillId="13" borderId="0" xfId="0" applyFont="1" applyFill="1" applyAlignment="1">
      <alignment horizontal="center" vertical="center"/>
    </xf>
    <xf numFmtId="0" fontId="33" fillId="13" borderId="2" xfId="0" applyFont="1" applyFill="1" applyBorder="1" applyAlignment="1">
      <alignment horizontal="center" vertical="center"/>
    </xf>
    <xf numFmtId="2" fontId="11" fillId="0" borderId="26" xfId="14" applyNumberFormat="1" applyFont="1" applyBorder="1" applyAlignment="1">
      <alignment horizontal="center" vertical="center"/>
    </xf>
    <xf numFmtId="2" fontId="11" fillId="0" borderId="20" xfId="14" applyNumberFormat="1" applyFont="1" applyBorder="1" applyAlignment="1">
      <alignment horizontal="center" vertical="center"/>
    </xf>
    <xf numFmtId="0" fontId="11" fillId="0" borderId="26" xfId="14" applyFont="1" applyBorder="1" applyAlignment="1">
      <alignment horizontal="center" vertical="center"/>
    </xf>
    <xf numFmtId="0" fontId="11" fillId="0" borderId="20" xfId="14" applyFont="1" applyBorder="1" applyAlignment="1">
      <alignment horizontal="center" vertical="center"/>
    </xf>
    <xf numFmtId="0" fontId="11" fillId="0" borderId="3" xfId="14" applyFont="1" applyBorder="1" applyAlignment="1">
      <alignment horizontal="center" vertical="center"/>
    </xf>
    <xf numFmtId="0" fontId="11" fillId="0" borderId="8" xfId="14" applyFont="1" applyBorder="1" applyAlignment="1">
      <alignment horizontal="center"/>
    </xf>
    <xf numFmtId="0" fontId="11" fillId="0" borderId="4" xfId="14" applyFont="1" applyBorder="1" applyAlignment="1">
      <alignment horizontal="center"/>
    </xf>
    <xf numFmtId="0" fontId="11" fillId="0" borderId="6" xfId="14" applyFont="1" applyBorder="1" applyAlignment="1">
      <alignment horizontal="center"/>
    </xf>
    <xf numFmtId="0" fontId="11" fillId="0" borderId="25" xfId="14" applyFont="1" applyBorder="1" applyAlignment="1">
      <alignment horizontal="center"/>
    </xf>
    <xf numFmtId="0" fontId="11" fillId="0" borderId="26" xfId="14" applyFont="1" applyBorder="1" applyAlignment="1">
      <alignment horizontal="center" vertical="center" wrapText="1"/>
    </xf>
    <xf numFmtId="0" fontId="11" fillId="0" borderId="20" xfId="14" applyFont="1" applyBorder="1" applyAlignment="1">
      <alignment horizontal="center" vertical="center" wrapText="1"/>
    </xf>
    <xf numFmtId="0" fontId="11" fillId="6" borderId="5" xfId="14" applyFont="1" applyFill="1" applyBorder="1" applyAlignment="1">
      <alignment horizontal="center" vertical="center"/>
    </xf>
    <xf numFmtId="0" fontId="11" fillId="6" borderId="27" xfId="14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4" fontId="1" fillId="0" borderId="24" xfId="14" applyNumberFormat="1" applyBorder="1" applyAlignment="1">
      <alignment horizontal="center" vertical="center"/>
    </xf>
    <xf numFmtId="4" fontId="1" fillId="0" borderId="38" xfId="14" applyNumberFormat="1" applyBorder="1" applyAlignment="1">
      <alignment horizontal="center" vertical="center"/>
    </xf>
    <xf numFmtId="0" fontId="11" fillId="0" borderId="7" xfId="14" applyFont="1" applyBorder="1" applyAlignment="1">
      <alignment horizontal="right"/>
    </xf>
    <xf numFmtId="0" fontId="11" fillId="0" borderId="16" xfId="14" applyFont="1" applyBorder="1" applyAlignment="1">
      <alignment horizontal="right"/>
    </xf>
    <xf numFmtId="0" fontId="11" fillId="0" borderId="28" xfId="14" applyFont="1" applyBorder="1" applyAlignment="1">
      <alignment horizontal="right"/>
    </xf>
    <xf numFmtId="0" fontId="1" fillId="5" borderId="26" xfId="14" applyFill="1" applyBorder="1" applyAlignment="1">
      <alignment horizontal="center"/>
    </xf>
    <xf numFmtId="0" fontId="1" fillId="5" borderId="20" xfId="14" applyFill="1" applyBorder="1" applyAlignment="1">
      <alignment horizontal="center"/>
    </xf>
    <xf numFmtId="4" fontId="1" fillId="6" borderId="11" xfId="14" applyNumberFormat="1" applyFill="1" applyBorder="1" applyAlignment="1">
      <alignment horizontal="left" vertical="center"/>
    </xf>
    <xf numFmtId="4" fontId="1" fillId="6" borderId="3" xfId="14" applyNumberFormat="1" applyFill="1" applyBorder="1" applyAlignment="1">
      <alignment horizontal="left" vertical="center"/>
    </xf>
    <xf numFmtId="4" fontId="1" fillId="0" borderId="39" xfId="14" applyNumberFormat="1" applyBorder="1" applyAlignment="1">
      <alignment horizontal="center" vertical="center"/>
    </xf>
    <xf numFmtId="4" fontId="11" fillId="0" borderId="39" xfId="14" applyNumberFormat="1" applyFont="1" applyBorder="1" applyAlignment="1">
      <alignment horizontal="center" vertical="center" wrapText="1"/>
    </xf>
    <xf numFmtId="4" fontId="11" fillId="0" borderId="38" xfId="14" applyNumberFormat="1" applyFont="1" applyBorder="1" applyAlignment="1">
      <alignment horizontal="center" vertical="center" wrapText="1"/>
    </xf>
    <xf numFmtId="0" fontId="1" fillId="5" borderId="5" xfId="14" applyFill="1" applyBorder="1" applyAlignment="1">
      <alignment horizontal="left" vertical="center" wrapText="1"/>
    </xf>
    <xf numFmtId="0" fontId="1" fillId="5" borderId="18" xfId="14" applyFill="1" applyBorder="1" applyAlignment="1">
      <alignment horizontal="left" vertical="center"/>
    </xf>
    <xf numFmtId="0" fontId="1" fillId="5" borderId="9" xfId="14" applyFill="1" applyBorder="1" applyAlignment="1">
      <alignment horizontal="left" vertical="center"/>
    </xf>
    <xf numFmtId="0" fontId="1" fillId="5" borderId="27" xfId="14" applyFill="1" applyBorder="1" applyAlignment="1">
      <alignment horizontal="left" vertical="center"/>
    </xf>
    <xf numFmtId="0" fontId="1" fillId="5" borderId="17" xfId="14" applyFill="1" applyBorder="1" applyAlignment="1">
      <alignment horizontal="left" vertical="center"/>
    </xf>
    <xf numFmtId="0" fontId="1" fillId="5" borderId="37" xfId="14" applyFill="1" applyBorder="1" applyAlignment="1">
      <alignment horizontal="left" vertical="center"/>
    </xf>
    <xf numFmtId="0" fontId="1" fillId="5" borderId="5" xfId="14" applyFill="1" applyBorder="1" applyAlignment="1">
      <alignment horizontal="left" vertical="center"/>
    </xf>
    <xf numFmtId="4" fontId="1" fillId="6" borderId="7" xfId="14" applyNumberFormat="1" applyFill="1" applyBorder="1" applyAlignment="1">
      <alignment horizontal="left" vertical="center"/>
    </xf>
    <xf numFmtId="4" fontId="1" fillId="6" borderId="28" xfId="14" applyNumberFormat="1" applyFill="1" applyBorder="1" applyAlignment="1">
      <alignment horizontal="left" vertical="center"/>
    </xf>
    <xf numFmtId="4" fontId="11" fillId="0" borderId="39" xfId="14" applyNumberFormat="1" applyFont="1" applyBorder="1" applyAlignment="1">
      <alignment horizontal="center" vertical="center"/>
    </xf>
    <xf numFmtId="4" fontId="11" fillId="0" borderId="38" xfId="14" applyNumberFormat="1" applyFont="1" applyBorder="1" applyAlignment="1">
      <alignment horizontal="center" vertical="center"/>
    </xf>
    <xf numFmtId="0" fontId="11" fillId="0" borderId="11" xfId="14" applyFont="1" applyBorder="1" applyAlignment="1">
      <alignment horizontal="right"/>
    </xf>
    <xf numFmtId="0" fontId="11" fillId="0" borderId="3" xfId="14" applyFont="1" applyBorder="1" applyAlignment="1">
      <alignment horizontal="right"/>
    </xf>
    <xf numFmtId="0" fontId="1" fillId="0" borderId="7" xfId="14" applyBorder="1" applyAlignment="1">
      <alignment horizontal="center"/>
    </xf>
    <xf numFmtId="0" fontId="1" fillId="0" borderId="16" xfId="14" applyBorder="1" applyAlignment="1">
      <alignment horizontal="center"/>
    </xf>
    <xf numFmtId="0" fontId="1" fillId="0" borderId="23" xfId="14" applyBorder="1" applyAlignment="1">
      <alignment horizontal="center"/>
    </xf>
    <xf numFmtId="0" fontId="11" fillId="0" borderId="24" xfId="14" applyFont="1" applyBorder="1" applyAlignment="1">
      <alignment horizontal="center" vertical="center" wrapText="1"/>
    </xf>
    <xf numFmtId="0" fontId="11" fillId="0" borderId="38" xfId="14" applyFont="1" applyBorder="1" applyAlignment="1">
      <alignment horizontal="center" vertical="center" wrapText="1"/>
    </xf>
    <xf numFmtId="4" fontId="11" fillId="0" borderId="12" xfId="14" applyNumberFormat="1" applyFont="1" applyBorder="1" applyAlignment="1">
      <alignment horizontal="center" vertical="center"/>
    </xf>
    <xf numFmtId="0" fontId="1" fillId="5" borderId="5" xfId="14" applyFill="1" applyBorder="1" applyAlignment="1">
      <alignment horizontal="left" vertical="justify"/>
    </xf>
    <xf numFmtId="0" fontId="1" fillId="5" borderId="18" xfId="14" applyFill="1" applyBorder="1" applyAlignment="1">
      <alignment horizontal="left" vertical="justify"/>
    </xf>
    <xf numFmtId="0" fontId="1" fillId="5" borderId="9" xfId="14" applyFill="1" applyBorder="1" applyAlignment="1">
      <alignment horizontal="left" vertical="justify"/>
    </xf>
    <xf numFmtId="0" fontId="1" fillId="5" borderId="27" xfId="14" applyFill="1" applyBorder="1" applyAlignment="1">
      <alignment horizontal="left" vertical="justify"/>
    </xf>
    <xf numFmtId="0" fontId="1" fillId="5" borderId="17" xfId="14" applyFill="1" applyBorder="1" applyAlignment="1">
      <alignment horizontal="left" vertical="justify"/>
    </xf>
    <xf numFmtId="0" fontId="1" fillId="5" borderId="37" xfId="14" applyFill="1" applyBorder="1" applyAlignment="1">
      <alignment horizontal="left" vertical="justify"/>
    </xf>
    <xf numFmtId="0" fontId="11" fillId="0" borderId="5" xfId="14" applyFont="1" applyBorder="1" applyAlignment="1">
      <alignment horizontal="center" vertical="center" wrapText="1"/>
    </xf>
    <xf numFmtId="0" fontId="11" fillId="0" borderId="27" xfId="14" applyFont="1" applyBorder="1" applyAlignment="1">
      <alignment horizontal="center" vertical="center" wrapText="1"/>
    </xf>
    <xf numFmtId="0" fontId="40" fillId="17" borderId="3" xfId="14" applyFont="1" applyFill="1" applyBorder="1" applyAlignment="1">
      <alignment horizontal="left" vertical="center"/>
    </xf>
    <xf numFmtId="0" fontId="40" fillId="17" borderId="12" xfId="14" applyFont="1" applyFill="1" applyBorder="1" applyAlignment="1">
      <alignment horizontal="left" vertical="center"/>
    </xf>
    <xf numFmtId="0" fontId="11" fillId="0" borderId="18" xfId="14" applyFont="1" applyBorder="1" applyAlignment="1">
      <alignment horizontal="center"/>
    </xf>
    <xf numFmtId="0" fontId="11" fillId="0" borderId="9" xfId="14" applyFont="1" applyBorder="1" applyAlignment="1">
      <alignment horizontal="center"/>
    </xf>
    <xf numFmtId="0" fontId="40" fillId="17" borderId="22" xfId="14" applyFont="1" applyFill="1" applyBorder="1" applyAlignment="1">
      <alignment horizontal="left" vertical="center"/>
    </xf>
    <xf numFmtId="0" fontId="40" fillId="17" borderId="16" xfId="14" applyFont="1" applyFill="1" applyBorder="1" applyAlignment="1">
      <alignment horizontal="left" vertical="center"/>
    </xf>
    <xf numFmtId="0" fontId="40" fillId="17" borderId="23" xfId="14" applyFont="1" applyFill="1" applyBorder="1" applyAlignment="1">
      <alignment horizontal="left" vertical="center"/>
    </xf>
    <xf numFmtId="0" fontId="40" fillId="0" borderId="7" xfId="14" applyFont="1" applyBorder="1" applyAlignment="1">
      <alignment horizontal="center" vertical="center" wrapText="1"/>
    </xf>
    <xf numFmtId="0" fontId="40" fillId="0" borderId="16" xfId="14" applyFont="1" applyBorder="1" applyAlignment="1">
      <alignment horizontal="center" vertical="center" wrapText="1"/>
    </xf>
    <xf numFmtId="0" fontId="40" fillId="0" borderId="23" xfId="14" applyFont="1" applyBorder="1" applyAlignment="1">
      <alignment horizontal="center" vertical="center" wrapText="1"/>
    </xf>
    <xf numFmtId="4" fontId="1" fillId="0" borderId="39" xfId="12" applyNumberFormat="1" applyBorder="1" applyAlignment="1">
      <alignment horizontal="center" vertical="center"/>
    </xf>
    <xf numFmtId="4" fontId="1" fillId="0" borderId="38" xfId="12" applyNumberFormat="1" applyBorder="1" applyAlignment="1">
      <alignment horizontal="center" vertical="center"/>
    </xf>
    <xf numFmtId="4" fontId="11" fillId="6" borderId="7" xfId="14" applyNumberFormat="1" applyFont="1" applyFill="1" applyBorder="1" applyAlignment="1">
      <alignment horizontal="right" vertical="center"/>
    </xf>
    <xf numFmtId="4" fontId="11" fillId="6" borderId="16" xfId="14" applyNumberFormat="1" applyFont="1" applyFill="1" applyBorder="1" applyAlignment="1">
      <alignment horizontal="right" vertical="center"/>
    </xf>
    <xf numFmtId="4" fontId="11" fillId="6" borderId="28" xfId="14" applyNumberFormat="1" applyFont="1" applyFill="1" applyBorder="1" applyAlignment="1">
      <alignment horizontal="right" vertical="center"/>
    </xf>
    <xf numFmtId="0" fontId="11" fillId="0" borderId="17" xfId="14" applyFont="1" applyBorder="1" applyAlignment="1">
      <alignment horizontal="center"/>
    </xf>
    <xf numFmtId="0" fontId="11" fillId="0" borderId="7" xfId="14" applyFont="1" applyBorder="1" applyAlignment="1">
      <alignment horizontal="center"/>
    </xf>
    <xf numFmtId="0" fontId="11" fillId="0" borderId="16" xfId="14" applyFont="1" applyBorder="1" applyAlignment="1">
      <alignment horizontal="center"/>
    </xf>
    <xf numFmtId="0" fontId="11" fillId="0" borderId="23" xfId="14" applyFont="1" applyBorder="1" applyAlignment="1">
      <alignment horizontal="center"/>
    </xf>
    <xf numFmtId="2" fontId="11" fillId="0" borderId="3" xfId="14" applyNumberFormat="1" applyFont="1" applyBorder="1" applyAlignment="1">
      <alignment horizontal="center" vertical="center"/>
    </xf>
    <xf numFmtId="0" fontId="11" fillId="0" borderId="3" xfId="14" applyFont="1" applyBorder="1" applyAlignment="1">
      <alignment horizontal="center" vertical="center" wrapText="1"/>
    </xf>
    <xf numFmtId="49" fontId="1" fillId="0" borderId="7" xfId="14" applyNumberFormat="1" applyBorder="1" applyAlignment="1">
      <alignment horizontal="center" vertical="center"/>
    </xf>
    <xf numFmtId="49" fontId="1" fillId="0" borderId="16" xfId="14" applyNumberFormat="1" applyBorder="1" applyAlignment="1">
      <alignment horizontal="center" vertical="center"/>
    </xf>
    <xf numFmtId="49" fontId="1" fillId="0" borderId="23" xfId="14" applyNumberFormat="1" applyBorder="1" applyAlignment="1">
      <alignment horizontal="center" vertical="center"/>
    </xf>
    <xf numFmtId="4" fontId="11" fillId="6" borderId="39" xfId="14" applyNumberFormat="1" applyFont="1" applyFill="1" applyBorder="1" applyAlignment="1">
      <alignment horizontal="center" vertical="center" wrapText="1"/>
    </xf>
    <xf numFmtId="4" fontId="11" fillId="6" borderId="38" xfId="14" applyNumberFormat="1" applyFont="1" applyFill="1" applyBorder="1" applyAlignment="1">
      <alignment horizontal="center" vertical="center" wrapText="1"/>
    </xf>
    <xf numFmtId="0" fontId="1" fillId="5" borderId="27" xfId="14" applyFill="1" applyBorder="1" applyAlignment="1">
      <alignment horizontal="left" vertical="center" wrapText="1"/>
    </xf>
    <xf numFmtId="0" fontId="1" fillId="5" borderId="5" xfId="14" applyFill="1" applyBorder="1" applyAlignment="1">
      <alignment horizontal="left" vertical="justify" wrapText="1"/>
    </xf>
    <xf numFmtId="0" fontId="11" fillId="0" borderId="3" xfId="14" applyFont="1" applyBorder="1" applyAlignment="1">
      <alignment horizontal="center"/>
    </xf>
    <xf numFmtId="0" fontId="11" fillId="6" borderId="39" xfId="14" applyFont="1" applyFill="1" applyBorder="1" applyAlignment="1">
      <alignment horizontal="center" vertical="center"/>
    </xf>
    <xf numFmtId="0" fontId="11" fillId="6" borderId="38" xfId="14" applyFont="1" applyFill="1" applyBorder="1" applyAlignment="1">
      <alignment horizontal="center" vertical="center"/>
    </xf>
    <xf numFmtId="0" fontId="11" fillId="0" borderId="8" xfId="14" applyFont="1" applyBorder="1" applyAlignment="1">
      <alignment horizontal="center" vertical="center"/>
    </xf>
    <xf numFmtId="0" fontId="1" fillId="0" borderId="4" xfId="14" applyBorder="1" applyAlignment="1">
      <alignment vertical="center"/>
    </xf>
    <xf numFmtId="0" fontId="1" fillId="0" borderId="6" xfId="14" applyBorder="1" applyAlignment="1">
      <alignment vertical="center"/>
    </xf>
    <xf numFmtId="0" fontId="1" fillId="0" borderId="25" xfId="14" applyBorder="1" applyAlignment="1">
      <alignment vertical="center"/>
    </xf>
    <xf numFmtId="0" fontId="11" fillId="0" borderId="26" xfId="14" applyFont="1" applyBorder="1" applyAlignment="1">
      <alignment horizontal="center"/>
    </xf>
    <xf numFmtId="0" fontId="11" fillId="0" borderId="20" xfId="14" applyFont="1" applyBorder="1" applyAlignment="1">
      <alignment horizontal="center"/>
    </xf>
    <xf numFmtId="0" fontId="1" fillId="6" borderId="7" xfId="0" applyFont="1" applyFill="1" applyBorder="1" applyAlignment="1">
      <alignment horizontal="left" vertical="center"/>
    </xf>
    <xf numFmtId="0" fontId="1" fillId="6" borderId="28" xfId="0" applyFont="1" applyFill="1" applyBorder="1" applyAlignment="1">
      <alignment horizontal="left" vertical="center"/>
    </xf>
    <xf numFmtId="0" fontId="11" fillId="0" borderId="24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6" borderId="7" xfId="0" applyFont="1" applyFill="1" applyBorder="1" applyAlignment="1">
      <alignment horizontal="right" vertical="center"/>
    </xf>
    <xf numFmtId="0" fontId="11" fillId="6" borderId="16" xfId="0" applyFont="1" applyFill="1" applyBorder="1" applyAlignment="1">
      <alignment horizontal="right" vertical="center"/>
    </xf>
    <xf numFmtId="0" fontId="11" fillId="6" borderId="28" xfId="0" applyFont="1" applyFill="1" applyBorder="1" applyAlignment="1">
      <alignment horizontal="right" vertical="center"/>
    </xf>
    <xf numFmtId="0" fontId="33" fillId="13" borderId="22" xfId="14" applyFont="1" applyFill="1" applyBorder="1" applyAlignment="1">
      <alignment horizontal="left"/>
    </xf>
    <xf numFmtId="0" fontId="33" fillId="13" borderId="16" xfId="14" applyFont="1" applyFill="1" applyBorder="1" applyAlignment="1">
      <alignment horizontal="left"/>
    </xf>
    <xf numFmtId="0" fontId="33" fillId="13" borderId="23" xfId="14" applyFont="1" applyFill="1" applyBorder="1" applyAlignment="1">
      <alignment horizontal="left"/>
    </xf>
    <xf numFmtId="0" fontId="45" fillId="0" borderId="7" xfId="14" applyFont="1" applyBorder="1" applyAlignment="1">
      <alignment horizontal="center"/>
    </xf>
    <xf numFmtId="0" fontId="45" fillId="0" borderId="16" xfId="14" applyFont="1" applyBorder="1" applyAlignment="1">
      <alignment horizontal="center"/>
    </xf>
    <xf numFmtId="0" fontId="45" fillId="0" borderId="23" xfId="14" applyFont="1" applyBorder="1" applyAlignment="1">
      <alignment horizontal="center"/>
    </xf>
    <xf numFmtId="0" fontId="19" fillId="0" borderId="26" xfId="9" applyFont="1" applyBorder="1" applyAlignment="1">
      <alignment horizontal="center" vertical="center"/>
    </xf>
    <xf numFmtId="0" fontId="19" fillId="0" borderId="20" xfId="9" applyFont="1" applyBorder="1" applyAlignment="1">
      <alignment horizontal="center" vertical="center"/>
    </xf>
    <xf numFmtId="0" fontId="11" fillId="0" borderId="0" xfId="9" applyFont="1" applyAlignment="1">
      <alignment horizontal="center"/>
    </xf>
    <xf numFmtId="0" fontId="1" fillId="0" borderId="0" xfId="0" applyFont="1" applyAlignment="1">
      <alignment horizontal="center"/>
    </xf>
    <xf numFmtId="0" fontId="32" fillId="0" borderId="14" xfId="0" applyFont="1" applyBorder="1" applyAlignment="1">
      <alignment horizontal="center" vertical="center"/>
    </xf>
    <xf numFmtId="0" fontId="33" fillId="9" borderId="0" xfId="9" applyFont="1" applyFill="1" applyAlignment="1">
      <alignment horizontal="left"/>
    </xf>
    <xf numFmtId="0" fontId="11" fillId="0" borderId="0" xfId="9" applyFont="1" applyAlignment="1">
      <alignment horizontal="center" vertical="center"/>
    </xf>
    <xf numFmtId="0" fontId="1" fillId="0" borderId="0" xfId="9" applyFont="1" applyAlignment="1">
      <alignment horizontal="left"/>
    </xf>
    <xf numFmtId="0" fontId="11" fillId="0" borderId="0" xfId="9" applyFont="1" applyAlignment="1">
      <alignment horizontal="center" vertical="center" wrapText="1"/>
    </xf>
    <xf numFmtId="0" fontId="11" fillId="0" borderId="0" xfId="9" applyFont="1" applyAlignment="1">
      <alignment horizontal="right"/>
    </xf>
    <xf numFmtId="0" fontId="1" fillId="0" borderId="0" xfId="0" applyFont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5" borderId="0" xfId="9" applyFont="1" applyFill="1" applyAlignment="1">
      <alignment horizontal="left" vertical="center" wrapText="1"/>
    </xf>
    <xf numFmtId="0" fontId="36" fillId="0" borderId="6" xfId="14" applyFont="1" applyBorder="1" applyAlignment="1">
      <alignment horizontal="center"/>
    </xf>
    <xf numFmtId="0" fontId="36" fillId="0" borderId="17" xfId="14" applyFont="1" applyBorder="1" applyAlignment="1">
      <alignment horizontal="center"/>
    </xf>
    <xf numFmtId="0" fontId="36" fillId="0" borderId="37" xfId="14" applyFont="1" applyBorder="1" applyAlignment="1">
      <alignment horizontal="center"/>
    </xf>
    <xf numFmtId="0" fontId="36" fillId="0" borderId="7" xfId="14" applyFont="1" applyBorder="1" applyAlignment="1">
      <alignment horizontal="center"/>
    </xf>
    <xf numFmtId="0" fontId="36" fillId="0" borderId="16" xfId="14" applyFont="1" applyBorder="1" applyAlignment="1">
      <alignment horizontal="center"/>
    </xf>
    <xf numFmtId="0" fontId="36" fillId="0" borderId="23" xfId="14" applyFont="1" applyBorder="1" applyAlignment="1">
      <alignment horizont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9" fillId="0" borderId="57" xfId="0" applyFont="1" applyBorder="1" applyAlignment="1">
      <alignment horizontal="right" vertical="center" wrapText="1"/>
    </xf>
    <xf numFmtId="0" fontId="19" fillId="0" borderId="54" xfId="0" applyFont="1" applyBorder="1" applyAlignment="1">
      <alignment horizontal="right" vertical="center" wrapText="1"/>
    </xf>
    <xf numFmtId="0" fontId="19" fillId="0" borderId="53" xfId="0" applyFont="1" applyBorder="1" applyAlignment="1">
      <alignment horizontal="right" vertical="center" wrapText="1"/>
    </xf>
    <xf numFmtId="0" fontId="19" fillId="0" borderId="51" xfId="0" applyFont="1" applyBorder="1" applyAlignment="1">
      <alignment horizontal="center" vertical="center" wrapText="1"/>
    </xf>
    <xf numFmtId="0" fontId="19" fillId="0" borderId="54" xfId="0" applyFont="1" applyBorder="1" applyAlignment="1">
      <alignment horizontal="center" vertical="center" wrapText="1"/>
    </xf>
    <xf numFmtId="0" fontId="19" fillId="0" borderId="52" xfId="0" applyFont="1" applyBorder="1" applyAlignment="1">
      <alignment horizontal="center" vertical="center" wrapText="1"/>
    </xf>
    <xf numFmtId="0" fontId="19" fillId="0" borderId="55" xfId="0" applyFont="1" applyBorder="1" applyAlignment="1">
      <alignment horizontal="center" vertical="center" wrapText="1"/>
    </xf>
    <xf numFmtId="0" fontId="19" fillId="0" borderId="58" xfId="0" applyFont="1" applyBorder="1" applyAlignment="1">
      <alignment horizontal="center" vertical="center" wrapText="1"/>
    </xf>
    <xf numFmtId="0" fontId="19" fillId="0" borderId="56" xfId="0" applyFont="1" applyBorder="1" applyAlignment="1">
      <alignment horizontal="center" vertical="center" wrapText="1"/>
    </xf>
    <xf numFmtId="0" fontId="19" fillId="0" borderId="59" xfId="0" applyFont="1" applyBorder="1" applyAlignment="1">
      <alignment horizontal="center" vertical="center" wrapText="1"/>
    </xf>
    <xf numFmtId="0" fontId="19" fillId="0" borderId="60" xfId="0" applyFont="1" applyBorder="1" applyAlignment="1">
      <alignment horizontal="center" vertical="center" wrapText="1"/>
    </xf>
    <xf numFmtId="0" fontId="19" fillId="0" borderId="53" xfId="0" applyFont="1" applyBorder="1" applyAlignment="1">
      <alignment horizontal="center" vertical="center" wrapText="1"/>
    </xf>
    <xf numFmtId="0" fontId="39" fillId="0" borderId="57" xfId="0" applyFont="1" applyBorder="1" applyAlignment="1">
      <alignment horizontal="left" vertical="center" wrapText="1"/>
    </xf>
    <xf numFmtId="0" fontId="39" fillId="0" borderId="54" xfId="0" applyFont="1" applyBorder="1" applyAlignment="1">
      <alignment horizontal="left" vertical="center" wrapText="1"/>
    </xf>
    <xf numFmtId="0" fontId="39" fillId="0" borderId="50" xfId="0" applyFont="1" applyBorder="1" applyAlignment="1">
      <alignment horizontal="left" vertical="center" wrapText="1"/>
    </xf>
    <xf numFmtId="164" fontId="38" fillId="18" borderId="58" xfId="1" applyFont="1" applyFill="1" applyBorder="1" applyAlignment="1">
      <alignment horizontal="right" vertical="center" shrinkToFit="1"/>
    </xf>
    <xf numFmtId="164" fontId="38" fillId="18" borderId="56" xfId="1" applyFont="1" applyFill="1" applyBorder="1" applyAlignment="1">
      <alignment horizontal="right" vertical="center" shrinkToFit="1"/>
    </xf>
    <xf numFmtId="0" fontId="19" fillId="0" borderId="57" xfId="0" applyFont="1" applyBorder="1" applyAlignment="1">
      <alignment horizontal="center" vertical="center" wrapText="1"/>
    </xf>
    <xf numFmtId="0" fontId="19" fillId="0" borderId="51" xfId="0" applyFont="1" applyBorder="1" applyAlignment="1">
      <alignment horizontal="right" vertical="center" wrapText="1"/>
    </xf>
    <xf numFmtId="0" fontId="31" fillId="13" borderId="57" xfId="0" applyFont="1" applyFill="1" applyBorder="1" applyAlignment="1">
      <alignment horizontal="center" vertical="center" wrapText="1"/>
    </xf>
    <xf numFmtId="0" fontId="31" fillId="13" borderId="54" xfId="0" applyFont="1" applyFill="1" applyBorder="1" applyAlignment="1">
      <alignment horizontal="center" vertical="center" wrapText="1"/>
    </xf>
    <xf numFmtId="0" fontId="31" fillId="13" borderId="50" xfId="0" applyFont="1" applyFill="1" applyBorder="1" applyAlignment="1">
      <alignment horizontal="center" vertical="center" wrapText="1"/>
    </xf>
    <xf numFmtId="0" fontId="19" fillId="0" borderId="61" xfId="0" applyFont="1" applyBorder="1" applyAlignment="1">
      <alignment horizontal="right" vertical="center" wrapText="1"/>
    </xf>
    <xf numFmtId="0" fontId="19" fillId="0" borderId="50" xfId="0" applyFont="1" applyBorder="1" applyAlignment="1">
      <alignment horizontal="center" vertical="center" wrapText="1"/>
    </xf>
    <xf numFmtId="0" fontId="39" fillId="0" borderId="51" xfId="0" applyFont="1" applyBorder="1" applyAlignment="1">
      <alignment horizontal="center" vertical="center" wrapText="1"/>
    </xf>
    <xf numFmtId="0" fontId="39" fillId="0" borderId="53" xfId="0" applyFont="1" applyBorder="1" applyAlignment="1">
      <alignment horizontal="center" vertical="center" wrapText="1"/>
    </xf>
    <xf numFmtId="0" fontId="14" fillId="0" borderId="62" xfId="0" applyFont="1" applyBorder="1" applyAlignment="1">
      <alignment horizontal="center" vertical="center" wrapText="1"/>
    </xf>
    <xf numFmtId="0" fontId="14" fillId="0" borderId="63" xfId="0" applyFont="1" applyBorder="1" applyAlignment="1">
      <alignment horizontal="center" vertical="center" wrapText="1"/>
    </xf>
    <xf numFmtId="0" fontId="14" fillId="0" borderId="64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left" vertical="center" wrapText="1"/>
    </xf>
    <xf numFmtId="0" fontId="3" fillId="0" borderId="54" xfId="0" applyFont="1" applyBorder="1" applyAlignment="1">
      <alignment horizontal="left" vertical="center" wrapText="1"/>
    </xf>
    <xf numFmtId="0" fontId="3" fillId="0" borderId="50" xfId="0" applyFont="1" applyBorder="1" applyAlignment="1">
      <alignment horizontal="left" vertical="center" wrapText="1"/>
    </xf>
    <xf numFmtId="0" fontId="3" fillId="0" borderId="54" xfId="0" applyFont="1" applyBorder="1" applyAlignment="1">
      <alignment horizontal="center" vertical="center" wrapText="1"/>
    </xf>
    <xf numFmtId="0" fontId="39" fillId="0" borderId="0" xfId="0" applyFont="1" applyAlignment="1">
      <alignment horizontal="left" vertical="top" wrapText="1"/>
    </xf>
    <xf numFmtId="0" fontId="39" fillId="0" borderId="2" xfId="0" applyFont="1" applyBorder="1" applyAlignment="1">
      <alignment horizontal="left" vertical="top" wrapText="1"/>
    </xf>
    <xf numFmtId="0" fontId="19" fillId="6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9" fillId="0" borderId="40" xfId="0" applyFont="1" applyBorder="1" applyAlignment="1" applyProtection="1">
      <alignment horizontal="center" vertical="center" wrapText="1"/>
      <protection locked="0"/>
    </xf>
    <xf numFmtId="0" fontId="19" fillId="0" borderId="41" xfId="0" applyFont="1" applyBorder="1" applyAlignment="1" applyProtection="1">
      <alignment horizontal="center" vertical="center" wrapText="1"/>
      <protection locked="0"/>
    </xf>
    <xf numFmtId="0" fontId="19" fillId="0" borderId="42" xfId="0" applyFont="1" applyBorder="1" applyAlignment="1" applyProtection="1">
      <alignment horizontal="center" vertical="center" wrapText="1"/>
      <protection locked="0"/>
    </xf>
    <xf numFmtId="0" fontId="38" fillId="16" borderId="47" xfId="0" applyFont="1" applyFill="1" applyBorder="1" applyAlignment="1">
      <alignment horizontal="left" vertical="center" wrapText="1"/>
    </xf>
    <xf numFmtId="0" fontId="38" fillId="16" borderId="49" xfId="0" applyFont="1" applyFill="1" applyBorder="1" applyAlignment="1">
      <alignment horizontal="left" vertical="center" wrapText="1"/>
    </xf>
    <xf numFmtId="0" fontId="38" fillId="0" borderId="49" xfId="0" applyFont="1" applyBorder="1" applyAlignment="1">
      <alignment horizontal="right" vertical="top" wrapText="1"/>
    </xf>
    <xf numFmtId="0" fontId="38" fillId="0" borderId="49" xfId="0" applyFont="1" applyBorder="1" applyAlignment="1">
      <alignment horizontal="right" vertical="center" wrapText="1"/>
    </xf>
    <xf numFmtId="0" fontId="31" fillId="13" borderId="51" xfId="0" applyFont="1" applyFill="1" applyBorder="1" applyAlignment="1">
      <alignment horizontal="left" vertical="center" wrapText="1"/>
    </xf>
    <xf numFmtId="0" fontId="31" fillId="13" borderId="54" xfId="0" applyFont="1" applyFill="1" applyBorder="1" applyAlignment="1">
      <alignment horizontal="left" vertical="center" wrapText="1"/>
    </xf>
    <xf numFmtId="0" fontId="31" fillId="13" borderId="50" xfId="0" applyFont="1" applyFill="1" applyBorder="1" applyAlignment="1">
      <alignment horizontal="left" vertical="center" wrapText="1"/>
    </xf>
    <xf numFmtId="0" fontId="1" fillId="0" borderId="0" xfId="18" applyAlignment="1">
      <alignment horizontal="left"/>
    </xf>
    <xf numFmtId="0" fontId="1" fillId="0" borderId="17" xfId="18" applyBorder="1" applyAlignment="1">
      <alignment horizontal="center"/>
    </xf>
    <xf numFmtId="0" fontId="15" fillId="0" borderId="18" xfId="18" applyFont="1" applyBorder="1" applyAlignment="1">
      <alignment horizontal="center" vertical="center" wrapText="1"/>
    </xf>
    <xf numFmtId="0" fontId="13" fillId="0" borderId="0" xfId="18" applyFont="1" applyAlignment="1">
      <alignment horizontal="center"/>
    </xf>
    <xf numFmtId="0" fontId="33" fillId="13" borderId="3" xfId="18" applyFont="1" applyFill="1" applyBorder="1" applyAlignment="1">
      <alignment horizontal="center" vertical="center"/>
    </xf>
    <xf numFmtId="0" fontId="34" fillId="13" borderId="40" xfId="15" applyFont="1" applyFill="1" applyBorder="1" applyAlignment="1">
      <alignment horizontal="center" vertical="center" wrapText="1"/>
    </xf>
    <xf numFmtId="0" fontId="34" fillId="13" borderId="41" xfId="15" applyFont="1" applyFill="1" applyBorder="1" applyAlignment="1">
      <alignment horizontal="center" vertical="center" wrapText="1"/>
    </xf>
    <xf numFmtId="0" fontId="34" fillId="13" borderId="42" xfId="15" applyFont="1" applyFill="1" applyBorder="1" applyAlignment="1">
      <alignment horizontal="center" vertical="center" wrapText="1"/>
    </xf>
    <xf numFmtId="0" fontId="11" fillId="0" borderId="1" xfId="18" applyFont="1" applyBorder="1" applyAlignment="1">
      <alignment horizontal="left" vertical="center" wrapText="1"/>
    </xf>
    <xf numFmtId="0" fontId="11" fillId="0" borderId="0" xfId="18" applyFont="1" applyAlignment="1">
      <alignment horizontal="left" vertical="center" wrapText="1"/>
    </xf>
    <xf numFmtId="0" fontId="11" fillId="0" borderId="2" xfId="18" applyFont="1" applyBorder="1" applyAlignment="1">
      <alignment horizontal="left" vertical="center" wrapText="1"/>
    </xf>
    <xf numFmtId="0" fontId="11" fillId="0" borderId="1" xfId="18" applyFont="1" applyBorder="1" applyAlignment="1">
      <alignment horizontal="left"/>
    </xf>
    <xf numFmtId="0" fontId="11" fillId="0" borderId="0" xfId="18" applyFont="1" applyAlignment="1">
      <alignment horizontal="left"/>
    </xf>
    <xf numFmtId="0" fontId="11" fillId="0" borderId="2" xfId="18" applyFont="1" applyBorder="1" applyAlignment="1">
      <alignment horizontal="left"/>
    </xf>
    <xf numFmtId="0" fontId="11" fillId="0" borderId="0" xfId="18" applyFont="1" applyAlignment="1">
      <alignment horizontal="left" vertical="center"/>
    </xf>
    <xf numFmtId="0" fontId="11" fillId="0" borderId="2" xfId="18" applyFont="1" applyBorder="1" applyAlignment="1">
      <alignment horizontal="left" vertical="center"/>
    </xf>
    <xf numFmtId="0" fontId="11" fillId="0" borderId="1" xfId="18" applyFont="1" applyBorder="1" applyAlignment="1">
      <alignment horizontal="right" vertical="center" wrapText="1"/>
    </xf>
    <xf numFmtId="0" fontId="11" fillId="0" borderId="0" xfId="18" applyFont="1" applyAlignment="1">
      <alignment horizontal="right" vertical="center" wrapText="1"/>
    </xf>
    <xf numFmtId="49" fontId="15" fillId="2" borderId="26" xfId="10" applyNumberFormat="1" applyFont="1" applyFill="1" applyBorder="1" applyAlignment="1">
      <alignment horizontal="center" vertical="center" wrapText="1"/>
    </xf>
    <xf numFmtId="49" fontId="15" fillId="2" borderId="20" xfId="10" applyNumberFormat="1" applyFont="1" applyFill="1" applyBorder="1" applyAlignment="1">
      <alignment horizontal="center" vertical="center" wrapText="1"/>
    </xf>
    <xf numFmtId="0" fontId="11" fillId="6" borderId="8" xfId="10" applyFont="1" applyFill="1" applyBorder="1" applyAlignment="1">
      <alignment horizontal="center" vertical="center" wrapText="1"/>
    </xf>
    <xf numFmtId="0" fontId="11" fillId="6" borderId="18" xfId="10" applyFont="1" applyFill="1" applyBorder="1" applyAlignment="1">
      <alignment horizontal="center" vertical="center" wrapText="1"/>
    </xf>
    <xf numFmtId="0" fontId="11" fillId="6" borderId="1" xfId="18" applyFont="1" applyFill="1" applyBorder="1" applyAlignment="1">
      <alignment horizontal="left"/>
    </xf>
    <xf numFmtId="0" fontId="11" fillId="6" borderId="0" xfId="18" applyFont="1" applyFill="1" applyAlignment="1">
      <alignment horizontal="left"/>
    </xf>
    <xf numFmtId="0" fontId="11" fillId="6" borderId="0" xfId="18" applyFont="1" applyFill="1" applyAlignment="1">
      <alignment horizontal="center" wrapText="1"/>
    </xf>
    <xf numFmtId="0" fontId="1" fillId="6" borderId="14" xfId="18" applyFill="1" applyBorder="1" applyAlignment="1">
      <alignment horizontal="center" wrapText="1"/>
    </xf>
    <xf numFmtId="0" fontId="11" fillId="6" borderId="11" xfId="10" applyFont="1" applyFill="1" applyBorder="1" applyAlignment="1">
      <alignment horizontal="center" vertical="center" wrapText="1"/>
    </xf>
    <xf numFmtId="0" fontId="11" fillId="6" borderId="3" xfId="10" applyFont="1" applyFill="1" applyBorder="1" applyAlignment="1">
      <alignment horizontal="center" vertical="center" wrapText="1"/>
    </xf>
    <xf numFmtId="0" fontId="11" fillId="6" borderId="3" xfId="10" applyFont="1" applyFill="1" applyBorder="1" applyAlignment="1">
      <alignment horizontal="left" vertical="center"/>
    </xf>
    <xf numFmtId="0" fontId="33" fillId="13" borderId="11" xfId="10" applyFont="1" applyFill="1" applyBorder="1" applyAlignment="1">
      <alignment horizontal="center" vertical="center" wrapText="1"/>
    </xf>
    <xf numFmtId="0" fontId="33" fillId="13" borderId="3" xfId="10" applyFont="1" applyFill="1" applyBorder="1" applyAlignment="1">
      <alignment horizontal="left" vertical="center" wrapText="1"/>
    </xf>
    <xf numFmtId="0" fontId="11" fillId="0" borderId="40" xfId="18" applyFont="1" applyBorder="1" applyAlignment="1">
      <alignment horizontal="center" vertical="center"/>
    </xf>
    <xf numFmtId="0" fontId="11" fillId="0" borderId="41" xfId="18" applyFont="1" applyBorder="1" applyAlignment="1">
      <alignment horizontal="center" vertical="center"/>
    </xf>
    <xf numFmtId="0" fontId="11" fillId="0" borderId="43" xfId="18" applyFont="1" applyBorder="1" applyAlignment="1">
      <alignment horizontal="center" vertical="center"/>
    </xf>
    <xf numFmtId="0" fontId="1" fillId="6" borderId="22" xfId="18" applyFill="1" applyBorder="1" applyAlignment="1">
      <alignment horizontal="left" vertical="center" wrapText="1"/>
    </xf>
    <xf numFmtId="0" fontId="1" fillId="6" borderId="16" xfId="18" applyFill="1" applyBorder="1" applyAlignment="1">
      <alignment horizontal="left" vertical="center" wrapText="1"/>
    </xf>
    <xf numFmtId="0" fontId="1" fillId="6" borderId="28" xfId="18" applyFill="1" applyBorder="1" applyAlignment="1">
      <alignment horizontal="left" vertical="center" wrapText="1"/>
    </xf>
    <xf numFmtId="0" fontId="1" fillId="0" borderId="22" xfId="18" applyBorder="1" applyAlignment="1">
      <alignment horizontal="left" wrapText="1"/>
    </xf>
    <xf numFmtId="0" fontId="1" fillId="0" borderId="16" xfId="18" applyBorder="1" applyAlignment="1">
      <alignment horizontal="left" wrapText="1"/>
    </xf>
    <xf numFmtId="0" fontId="1" fillId="0" borderId="28" xfId="18" applyBorder="1" applyAlignment="1">
      <alignment horizontal="left" wrapText="1"/>
    </xf>
    <xf numFmtId="0" fontId="1" fillId="0" borderId="11" xfId="18" applyBorder="1" applyAlignment="1">
      <alignment horizontal="center"/>
    </xf>
    <xf numFmtId="0" fontId="1" fillId="0" borderId="3" xfId="18" applyBorder="1" applyAlignment="1">
      <alignment horizontal="center"/>
    </xf>
    <xf numFmtId="0" fontId="1" fillId="0" borderId="22" xfId="18" applyBorder="1" applyAlignment="1">
      <alignment horizontal="center"/>
    </xf>
    <xf numFmtId="0" fontId="11" fillId="6" borderId="3" xfId="10" applyFont="1" applyFill="1" applyBorder="1" applyAlignment="1">
      <alignment horizontal="center" vertical="center"/>
    </xf>
    <xf numFmtId="0" fontId="11" fillId="2" borderId="22" xfId="10" applyFont="1" applyFill="1" applyBorder="1" applyAlignment="1">
      <alignment horizontal="center" vertical="center" wrapText="1"/>
    </xf>
    <xf numFmtId="0" fontId="11" fillId="2" borderId="16" xfId="10" applyFont="1" applyFill="1" applyBorder="1" applyAlignment="1">
      <alignment horizontal="center" vertical="center" wrapText="1"/>
    </xf>
    <xf numFmtId="0" fontId="50" fillId="0" borderId="44" xfId="10" applyFont="1" applyBorder="1" applyAlignment="1">
      <alignment horizontal="center" vertical="center"/>
    </xf>
    <xf numFmtId="0" fontId="50" fillId="0" borderId="45" xfId="10" applyFont="1" applyBorder="1" applyAlignment="1">
      <alignment horizontal="center" vertical="center"/>
    </xf>
    <xf numFmtId="0" fontId="50" fillId="0" borderId="46" xfId="10" applyFont="1" applyBorder="1" applyAlignment="1">
      <alignment horizontal="center" vertical="center"/>
    </xf>
    <xf numFmtId="0" fontId="31" fillId="9" borderId="6" xfId="10" applyFont="1" applyFill="1" applyBorder="1" applyAlignment="1">
      <alignment horizontal="center" vertical="center"/>
    </xf>
    <xf numFmtId="0" fontId="31" fillId="9" borderId="17" xfId="10" applyFont="1" applyFill="1" applyBorder="1" applyAlignment="1">
      <alignment horizontal="center" vertical="center"/>
    </xf>
    <xf numFmtId="0" fontId="31" fillId="9" borderId="37" xfId="10" applyFont="1" applyFill="1" applyBorder="1" applyAlignment="1">
      <alignment horizontal="center" vertical="center"/>
    </xf>
    <xf numFmtId="0" fontId="29" fillId="0" borderId="7" xfId="10" applyFont="1" applyBorder="1" applyAlignment="1">
      <alignment horizontal="left" vertical="center" indent="3"/>
    </xf>
    <xf numFmtId="0" fontId="29" fillId="0" borderId="16" xfId="10" applyFont="1" applyBorder="1" applyAlignment="1">
      <alignment horizontal="left" vertical="center" indent="3"/>
    </xf>
    <xf numFmtId="0" fontId="29" fillId="0" borderId="16" xfId="10" applyFont="1" applyBorder="1" applyAlignment="1">
      <alignment horizontal="left" vertical="center" indent="2"/>
    </xf>
    <xf numFmtId="0" fontId="29" fillId="0" borderId="23" xfId="10" applyFont="1" applyBorder="1" applyAlignment="1">
      <alignment horizontal="left" vertical="center" indent="2"/>
    </xf>
    <xf numFmtId="0" fontId="8" fillId="0" borderId="0" xfId="10" applyFont="1" applyAlignment="1">
      <alignment horizontal="center" vertical="center" wrapText="1"/>
    </xf>
    <xf numFmtId="0" fontId="12" fillId="0" borderId="17" xfId="10" applyFont="1" applyBorder="1" applyAlignment="1">
      <alignment horizontal="center"/>
    </xf>
    <xf numFmtId="0" fontId="12" fillId="0" borderId="37" xfId="10" applyFont="1" applyBorder="1" applyAlignment="1">
      <alignment horizontal="center"/>
    </xf>
    <xf numFmtId="10" fontId="30" fillId="0" borderId="0" xfId="10" applyNumberFormat="1" applyFont="1" applyAlignment="1">
      <alignment horizontal="center" vertical="center"/>
    </xf>
    <xf numFmtId="10" fontId="30" fillId="0" borderId="2" xfId="10" applyNumberFormat="1" applyFont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7" fillId="6" borderId="12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7" borderId="3" xfId="0" applyFont="1" applyFill="1" applyBorder="1" applyAlignment="1">
      <alignment horizontal="left" vertical="justify"/>
    </xf>
    <xf numFmtId="0" fontId="7" fillId="7" borderId="12" xfId="0" applyFont="1" applyFill="1" applyBorder="1" applyAlignment="1">
      <alignment horizontal="left" vertical="justify"/>
    </xf>
    <xf numFmtId="0" fontId="9" fillId="0" borderId="11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5" borderId="3" xfId="0" applyFont="1" applyFill="1" applyBorder="1" applyAlignment="1">
      <alignment horizontal="left" vertical="justify" wrapText="1"/>
    </xf>
    <xf numFmtId="0" fontId="9" fillId="5" borderId="12" xfId="0" applyFont="1" applyFill="1" applyBorder="1" applyAlignment="1">
      <alignment horizontal="left" vertical="justify" wrapText="1"/>
    </xf>
    <xf numFmtId="0" fontId="7" fillId="0" borderId="1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9" fillId="6" borderId="11" xfId="0" applyFont="1" applyFill="1" applyBorder="1" applyAlignment="1">
      <alignment horizontal="left" vertical="center"/>
    </xf>
    <xf numFmtId="0" fontId="9" fillId="6" borderId="3" xfId="0" applyFont="1" applyFill="1" applyBorder="1" applyAlignment="1">
      <alignment horizontal="left" vertical="center"/>
    </xf>
    <xf numFmtId="0" fontId="7" fillId="0" borderId="12" xfId="0" applyFont="1" applyBorder="1" applyAlignment="1">
      <alignment horizontal="center"/>
    </xf>
    <xf numFmtId="0" fontId="7" fillId="6" borderId="11" xfId="0" applyFont="1" applyFill="1" applyBorder="1" applyAlignment="1">
      <alignment horizontal="right" vertical="center"/>
    </xf>
    <xf numFmtId="0" fontId="7" fillId="6" borderId="3" xfId="0" applyFont="1" applyFill="1" applyBorder="1" applyAlignment="1">
      <alignment horizontal="right" vertical="center"/>
    </xf>
    <xf numFmtId="0" fontId="9" fillId="6" borderId="7" xfId="0" applyFont="1" applyFill="1" applyBorder="1" applyAlignment="1">
      <alignment horizontal="left" vertical="center"/>
    </xf>
    <xf numFmtId="0" fontId="9" fillId="6" borderId="28" xfId="0" applyFont="1" applyFill="1" applyBorder="1" applyAlignment="1">
      <alignment horizontal="left" vertical="center"/>
    </xf>
    <xf numFmtId="0" fontId="9" fillId="5" borderId="3" xfId="0" applyFont="1" applyFill="1" applyBorder="1" applyAlignment="1">
      <alignment horizontal="left" vertical="top" wrapText="1"/>
    </xf>
    <xf numFmtId="0" fontId="9" fillId="5" borderId="12" xfId="0" applyFont="1" applyFill="1" applyBorder="1" applyAlignment="1">
      <alignment horizontal="left" vertical="top" wrapText="1"/>
    </xf>
    <xf numFmtId="0" fontId="28" fillId="7" borderId="3" xfId="0" applyFont="1" applyFill="1" applyBorder="1" applyAlignment="1">
      <alignment horizontal="left" vertical="justify"/>
    </xf>
    <xf numFmtId="0" fontId="28" fillId="7" borderId="12" xfId="0" applyFont="1" applyFill="1" applyBorder="1" applyAlignment="1">
      <alignment horizontal="left" vertical="justify"/>
    </xf>
    <xf numFmtId="0" fontId="7" fillId="7" borderId="20" xfId="0" applyFont="1" applyFill="1" applyBorder="1" applyAlignment="1">
      <alignment horizontal="left" vertical="center"/>
    </xf>
    <xf numFmtId="0" fontId="7" fillId="7" borderId="38" xfId="0" applyFont="1" applyFill="1" applyBorder="1" applyAlignment="1">
      <alignment horizontal="left" vertical="center"/>
    </xf>
    <xf numFmtId="0" fontId="6" fillId="0" borderId="44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9" fillId="7" borderId="17" xfId="0" applyFont="1" applyFill="1" applyBorder="1" applyAlignment="1">
      <alignment horizontal="left" vertical="center"/>
    </xf>
    <xf numFmtId="0" fontId="9" fillId="7" borderId="37" xfId="0" applyFont="1" applyFill="1" applyBorder="1" applyAlignment="1">
      <alignment horizontal="left" vertical="center"/>
    </xf>
    <xf numFmtId="0" fontId="9" fillId="7" borderId="16" xfId="0" applyFont="1" applyFill="1" applyBorder="1" applyAlignment="1">
      <alignment horizontal="left" vertical="center" wrapText="1"/>
    </xf>
    <xf numFmtId="0" fontId="9" fillId="7" borderId="23" xfId="0" applyFont="1" applyFill="1" applyBorder="1" applyAlignment="1">
      <alignment horizontal="left" vertical="center" wrapText="1"/>
    </xf>
    <xf numFmtId="0" fontId="27" fillId="7" borderId="18" xfId="0" applyFont="1" applyFill="1" applyBorder="1" applyAlignment="1">
      <alignment horizontal="left" vertical="center"/>
    </xf>
    <xf numFmtId="0" fontId="27" fillId="7" borderId="4" xfId="0" applyFont="1" applyFill="1" applyBorder="1" applyAlignment="1">
      <alignment horizontal="left" vertical="center"/>
    </xf>
    <xf numFmtId="0" fontId="7" fillId="7" borderId="5" xfId="0" applyFont="1" applyFill="1" applyBorder="1" applyAlignment="1">
      <alignment horizontal="right" vertical="center" indent="1"/>
    </xf>
    <xf numFmtId="0" fontId="7" fillId="7" borderId="18" xfId="0" applyFont="1" applyFill="1" applyBorder="1" applyAlignment="1">
      <alignment horizontal="right" vertical="center" indent="1"/>
    </xf>
    <xf numFmtId="49" fontId="7" fillId="0" borderId="44" xfId="0" applyNumberFormat="1" applyFont="1" applyBorder="1" applyAlignment="1">
      <alignment horizontal="center" vertical="center"/>
    </xf>
    <xf numFmtId="49" fontId="7" fillId="0" borderId="45" xfId="0" applyNumberFormat="1" applyFont="1" applyBorder="1" applyAlignment="1">
      <alignment horizontal="center" vertical="center"/>
    </xf>
    <xf numFmtId="49" fontId="7" fillId="0" borderId="46" xfId="0" applyNumberFormat="1" applyFont="1" applyBorder="1" applyAlignment="1">
      <alignment horizontal="center" vertical="center"/>
    </xf>
  </cellXfs>
  <cellStyles count="29">
    <cellStyle name="Moeda" xfId="1" builtinId="4"/>
    <cellStyle name="Moeda 2" xfId="2" xr:uid="{7B7437A1-8679-4A2E-8FD4-9AFDA4D7778D}"/>
    <cellStyle name="Moeda 3" xfId="3" xr:uid="{F1E376CE-67A6-4B73-BA79-06C0745C9788}"/>
    <cellStyle name="Moeda 3 2" xfId="4" xr:uid="{5106674C-95C0-4636-B892-51F2FF2ACD5D}"/>
    <cellStyle name="Moeda 3 3" xfId="5" xr:uid="{231A3DD6-3A07-446F-9DCF-17B85B60AF2B}"/>
    <cellStyle name="Moeda 4" xfId="6" xr:uid="{375FC9E6-55C8-4C6B-81E2-6D9D591C49AB}"/>
    <cellStyle name="Moeda 5" xfId="7" xr:uid="{154DA4FC-A288-4EA7-AD78-CFE88C86A8E6}"/>
    <cellStyle name="Normal" xfId="0" builtinId="0"/>
    <cellStyle name="Normal 10" xfId="8" xr:uid="{B3E81BFA-0BD7-484D-9276-5AF42EAA4F87}"/>
    <cellStyle name="Normal 2" xfId="9" xr:uid="{077CCA58-8676-4B49-89B9-CC716DB66B89}"/>
    <cellStyle name="Normal 2 2" xfId="10" xr:uid="{549C449F-02F3-4F22-892B-371B6B2EBB6B}"/>
    <cellStyle name="Normal 2 2 2" xfId="11" xr:uid="{8491F938-27DF-4E03-9F76-6EFC590EC1DB}"/>
    <cellStyle name="Normal 2 2 3" xfId="12" xr:uid="{CC3B4699-C902-4EAF-9A64-40C5A06D1DB0}"/>
    <cellStyle name="Normal 3" xfId="13" xr:uid="{52577A8A-C5DE-422F-8A60-F3EA33374DF9}"/>
    <cellStyle name="Normal 3 2" xfId="14" xr:uid="{0450A37C-ECA3-4789-9235-4B3A020782B8}"/>
    <cellStyle name="Normal 4" xfId="15" xr:uid="{728CC41E-BE33-4A53-922D-E1A6EBBA6E8B}"/>
    <cellStyle name="Normal 4 2" xfId="16" xr:uid="{9CC82398-FB81-4931-B12D-189680825A94}"/>
    <cellStyle name="Normal 5" xfId="17" xr:uid="{FCA9A1A2-5C5B-4130-B89C-7ED26F6C423B}"/>
    <cellStyle name="Normal 65" xfId="18" xr:uid="{41D1EF94-F701-40A2-916E-1591867FAD0E}"/>
    <cellStyle name="Percentagem 2" xfId="19" xr:uid="{67FAFFC4-6033-4551-BBA7-5C52119B340C}"/>
    <cellStyle name="Porcentagem" xfId="20" builtinId="5"/>
    <cellStyle name="Porcentagem 2" xfId="21" xr:uid="{DA537B48-649C-4494-B1DA-80098E12FA02}"/>
    <cellStyle name="Porcentagem 2 2" xfId="22" xr:uid="{8D0D494E-6FB4-4A18-AE89-35341A485106}"/>
    <cellStyle name="Porcentagem 2 2 2" xfId="23" xr:uid="{F48278BA-4A2C-4D73-8B73-D8F6516DA00E}"/>
    <cellStyle name="Porcentagem 2 3" xfId="24" xr:uid="{1BA74B1B-CECD-443E-91B2-79E1E7A3AE57}"/>
    <cellStyle name="Porcentagem 3" xfId="25" xr:uid="{EA522806-E16D-4779-93B2-65DDDDDDAB47}"/>
    <cellStyle name="Vírgula 2" xfId="26" xr:uid="{7AAE3152-1997-486D-BB5A-341A50CA1FD7}"/>
    <cellStyle name="Vírgula 3" xfId="27" xr:uid="{57D19B42-B248-4CBD-83C3-2A80E5195311}"/>
    <cellStyle name="Vírgula 5" xfId="28" xr:uid="{5817D8B9-E1D3-40EC-B913-E6520318A27A}"/>
  </cellStyles>
  <dxfs count="1">
    <dxf>
      <fill>
        <patternFill>
          <bgColor theme="0" tint="-0.1499679555650502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9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jpeg"/><Relationship Id="rId1" Type="http://schemas.openxmlformats.org/officeDocument/2006/relationships/image" Target="../media/image1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</xdr:colOff>
      <xdr:row>0</xdr:row>
      <xdr:rowOff>91440</xdr:rowOff>
    </xdr:from>
    <xdr:to>
      <xdr:col>1</xdr:col>
      <xdr:colOff>777240</xdr:colOff>
      <xdr:row>1</xdr:row>
      <xdr:rowOff>0</xdr:rowOff>
    </xdr:to>
    <xdr:pic>
      <xdr:nvPicPr>
        <xdr:cNvPr id="55354" name="Imagem 1">
          <a:extLst>
            <a:ext uri="{FF2B5EF4-FFF2-40B4-BE49-F238E27FC236}">
              <a16:creationId xmlns:a16="http://schemas.microsoft.com/office/drawing/2014/main" id="{2C0B6A31-252C-EFD1-7169-5118B55931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" y="91440"/>
          <a:ext cx="1287780" cy="640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121920</xdr:colOff>
      <xdr:row>0</xdr:row>
      <xdr:rowOff>45720</xdr:rowOff>
    </xdr:from>
    <xdr:to>
      <xdr:col>9</xdr:col>
      <xdr:colOff>1028700</xdr:colOff>
      <xdr:row>0</xdr:row>
      <xdr:rowOff>579120</xdr:rowOff>
    </xdr:to>
    <xdr:pic>
      <xdr:nvPicPr>
        <xdr:cNvPr id="55355" name="Imagem 3">
          <a:extLst>
            <a:ext uri="{FF2B5EF4-FFF2-40B4-BE49-F238E27FC236}">
              <a16:creationId xmlns:a16="http://schemas.microsoft.com/office/drawing/2014/main" id="{203671E2-1AB4-234F-D298-4D453F139B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54300" y="45720"/>
          <a:ext cx="90678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</xdr:colOff>
      <xdr:row>0</xdr:row>
      <xdr:rowOff>91440</xdr:rowOff>
    </xdr:from>
    <xdr:to>
      <xdr:col>1</xdr:col>
      <xdr:colOff>704850</xdr:colOff>
      <xdr:row>1</xdr:row>
      <xdr:rowOff>0</xdr:rowOff>
    </xdr:to>
    <xdr:pic>
      <xdr:nvPicPr>
        <xdr:cNvPr id="50472" name="Imagem 1">
          <a:extLst>
            <a:ext uri="{FF2B5EF4-FFF2-40B4-BE49-F238E27FC236}">
              <a16:creationId xmlns:a16="http://schemas.microsoft.com/office/drawing/2014/main" id="{A9B0A01E-1C9F-E031-9FB6-0637DDA759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" y="91440"/>
          <a:ext cx="1303020" cy="640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121920</xdr:colOff>
      <xdr:row>0</xdr:row>
      <xdr:rowOff>45720</xdr:rowOff>
    </xdr:from>
    <xdr:to>
      <xdr:col>9</xdr:col>
      <xdr:colOff>1028700</xdr:colOff>
      <xdr:row>0</xdr:row>
      <xdr:rowOff>590550</xdr:rowOff>
    </xdr:to>
    <xdr:pic>
      <xdr:nvPicPr>
        <xdr:cNvPr id="50473" name="Imagem 3">
          <a:extLst>
            <a:ext uri="{FF2B5EF4-FFF2-40B4-BE49-F238E27FC236}">
              <a16:creationId xmlns:a16="http://schemas.microsoft.com/office/drawing/2014/main" id="{A2F2AB03-0B30-3D42-A90B-BB787E37A5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45740" y="45720"/>
          <a:ext cx="906780" cy="5486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60960</xdr:colOff>
      <xdr:row>0</xdr:row>
      <xdr:rowOff>38100</xdr:rowOff>
    </xdr:from>
    <xdr:to>
      <xdr:col>1</xdr:col>
      <xdr:colOff>708660</xdr:colOff>
      <xdr:row>0</xdr:row>
      <xdr:rowOff>662940</xdr:rowOff>
    </xdr:to>
    <xdr:pic>
      <xdr:nvPicPr>
        <xdr:cNvPr id="46515" name="Imagem 1">
          <a:extLst>
            <a:ext uri="{FF2B5EF4-FFF2-40B4-BE49-F238E27FC236}">
              <a16:creationId xmlns:a16="http://schemas.microsoft.com/office/drawing/2014/main" id="{043397A1-3592-2025-8F35-4EFBD0DEF4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" y="38100"/>
          <a:ext cx="1821180" cy="624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1059180</xdr:colOff>
      <xdr:row>0</xdr:row>
      <xdr:rowOff>30480</xdr:rowOff>
    </xdr:from>
    <xdr:to>
      <xdr:col>9</xdr:col>
      <xdr:colOff>815340</xdr:colOff>
      <xdr:row>0</xdr:row>
      <xdr:rowOff>685800</xdr:rowOff>
    </xdr:to>
    <xdr:pic>
      <xdr:nvPicPr>
        <xdr:cNvPr id="46516" name="Imagem 2">
          <a:extLst>
            <a:ext uri="{FF2B5EF4-FFF2-40B4-BE49-F238E27FC236}">
              <a16:creationId xmlns:a16="http://schemas.microsoft.com/office/drawing/2014/main" id="{80099F3F-B3EC-B1F1-61E4-0427FFE48B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64840" y="30480"/>
          <a:ext cx="1386840" cy="655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60960</xdr:colOff>
      <xdr:row>0</xdr:row>
      <xdr:rowOff>30480</xdr:rowOff>
    </xdr:from>
    <xdr:to>
      <xdr:col>2</xdr:col>
      <xdr:colOff>0</xdr:colOff>
      <xdr:row>0</xdr:row>
      <xdr:rowOff>472440</xdr:rowOff>
    </xdr:to>
    <xdr:pic>
      <xdr:nvPicPr>
        <xdr:cNvPr id="54405" name="Imagem 1">
          <a:extLst>
            <a:ext uri="{FF2B5EF4-FFF2-40B4-BE49-F238E27FC236}">
              <a16:creationId xmlns:a16="http://schemas.microsoft.com/office/drawing/2014/main" id="{CB23A964-24D8-B67F-0CC0-2316CBD923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" y="30480"/>
          <a:ext cx="142494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464820</xdr:colOff>
      <xdr:row>0</xdr:row>
      <xdr:rowOff>30480</xdr:rowOff>
    </xdr:from>
    <xdr:to>
      <xdr:col>12</xdr:col>
      <xdr:colOff>640080</xdr:colOff>
      <xdr:row>0</xdr:row>
      <xdr:rowOff>464820</xdr:rowOff>
    </xdr:to>
    <xdr:pic>
      <xdr:nvPicPr>
        <xdr:cNvPr id="54406" name="Imagem 3">
          <a:extLst>
            <a:ext uri="{FF2B5EF4-FFF2-40B4-BE49-F238E27FC236}">
              <a16:creationId xmlns:a16="http://schemas.microsoft.com/office/drawing/2014/main" id="{528238A5-B894-4C4C-EF44-25B5734D0C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66320" y="30480"/>
          <a:ext cx="876300" cy="4343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38100</xdr:rowOff>
    </xdr:from>
    <xdr:to>
      <xdr:col>0</xdr:col>
      <xdr:colOff>708660</xdr:colOff>
      <xdr:row>0</xdr:row>
      <xdr:rowOff>304800</xdr:rowOff>
    </xdr:to>
    <xdr:pic>
      <xdr:nvPicPr>
        <xdr:cNvPr id="53465" name="Imagem 1">
          <a:extLst>
            <a:ext uri="{FF2B5EF4-FFF2-40B4-BE49-F238E27FC236}">
              <a16:creationId xmlns:a16="http://schemas.microsoft.com/office/drawing/2014/main" id="{CA07850B-1B18-945F-2A2D-D24B2B8C2E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67056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38100</xdr:colOff>
      <xdr:row>0</xdr:row>
      <xdr:rowOff>38100</xdr:rowOff>
    </xdr:from>
    <xdr:to>
      <xdr:col>6</xdr:col>
      <xdr:colOff>510540</xdr:colOff>
      <xdr:row>0</xdr:row>
      <xdr:rowOff>312420</xdr:rowOff>
    </xdr:to>
    <xdr:pic>
      <xdr:nvPicPr>
        <xdr:cNvPr id="53466" name="Imagem 2">
          <a:extLst>
            <a:ext uri="{FF2B5EF4-FFF2-40B4-BE49-F238E27FC236}">
              <a16:creationId xmlns:a16="http://schemas.microsoft.com/office/drawing/2014/main" id="{74F735B8-1C2A-00A2-F8A8-E1EFFA4554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50480" y="38100"/>
          <a:ext cx="472440" cy="274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60960</xdr:colOff>
      <xdr:row>0</xdr:row>
      <xdr:rowOff>45720</xdr:rowOff>
    </xdr:from>
    <xdr:to>
      <xdr:col>2</xdr:col>
      <xdr:colOff>160020</xdr:colOff>
      <xdr:row>0</xdr:row>
      <xdr:rowOff>548640</xdr:rowOff>
    </xdr:to>
    <xdr:pic>
      <xdr:nvPicPr>
        <xdr:cNvPr id="49448" name="Imagem 1">
          <a:extLst>
            <a:ext uri="{FF2B5EF4-FFF2-40B4-BE49-F238E27FC236}">
              <a16:creationId xmlns:a16="http://schemas.microsoft.com/office/drawing/2014/main" id="{2E927059-3675-6688-9E89-7EDA09CC95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" y="45720"/>
          <a:ext cx="155448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662940</xdr:colOff>
      <xdr:row>27</xdr:row>
      <xdr:rowOff>76200</xdr:rowOff>
    </xdr:from>
    <xdr:to>
      <xdr:col>3</xdr:col>
      <xdr:colOff>160020</xdr:colOff>
      <xdr:row>32</xdr:row>
      <xdr:rowOff>15240</xdr:rowOff>
    </xdr:to>
    <xdr:pic>
      <xdr:nvPicPr>
        <xdr:cNvPr id="49449" name="Imagem 2">
          <a:extLst>
            <a:ext uri="{FF2B5EF4-FFF2-40B4-BE49-F238E27FC236}">
              <a16:creationId xmlns:a16="http://schemas.microsoft.com/office/drawing/2014/main" id="{755B0EFA-C85E-6F38-241D-AB6E32DC30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8360" y="7162800"/>
          <a:ext cx="3337560" cy="739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83820</xdr:colOff>
      <xdr:row>0</xdr:row>
      <xdr:rowOff>68580</xdr:rowOff>
    </xdr:from>
    <xdr:to>
      <xdr:col>2</xdr:col>
      <xdr:colOff>15240</xdr:colOff>
      <xdr:row>0</xdr:row>
      <xdr:rowOff>556260</xdr:rowOff>
    </xdr:to>
    <xdr:pic>
      <xdr:nvPicPr>
        <xdr:cNvPr id="52497" name="Imagem 1">
          <a:extLst>
            <a:ext uri="{FF2B5EF4-FFF2-40B4-BE49-F238E27FC236}">
              <a16:creationId xmlns:a16="http://schemas.microsoft.com/office/drawing/2014/main" id="{D2F0335D-C92B-5497-3FF7-B4F8CCA9A2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" y="68580"/>
          <a:ext cx="1516380" cy="487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38100</xdr:rowOff>
    </xdr:from>
    <xdr:to>
      <xdr:col>9</xdr:col>
      <xdr:colOff>91440</xdr:colOff>
      <xdr:row>0</xdr:row>
      <xdr:rowOff>594360</xdr:rowOff>
    </xdr:to>
    <xdr:pic>
      <xdr:nvPicPr>
        <xdr:cNvPr id="52498" name="Imagem 2">
          <a:extLst>
            <a:ext uri="{FF2B5EF4-FFF2-40B4-BE49-F238E27FC236}">
              <a16:creationId xmlns:a16="http://schemas.microsoft.com/office/drawing/2014/main" id="{DD4DACB8-FDD4-AE5B-A002-CC8C6C48C7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92740" y="38100"/>
          <a:ext cx="113538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693420</xdr:colOff>
      <xdr:row>0</xdr:row>
      <xdr:rowOff>30480</xdr:rowOff>
    </xdr:from>
    <xdr:to>
      <xdr:col>4</xdr:col>
      <xdr:colOff>1082040</xdr:colOff>
      <xdr:row>0</xdr:row>
      <xdr:rowOff>396240</xdr:rowOff>
    </xdr:to>
    <xdr:pic>
      <xdr:nvPicPr>
        <xdr:cNvPr id="47508" name="Imagem 1">
          <a:extLst>
            <a:ext uri="{FF2B5EF4-FFF2-40B4-BE49-F238E27FC236}">
              <a16:creationId xmlns:a16="http://schemas.microsoft.com/office/drawing/2014/main" id="{8BCA47A7-A68F-12FE-1745-57DF62D457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5080" y="30480"/>
          <a:ext cx="38862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304800</xdr:colOff>
      <xdr:row>0</xdr:row>
      <xdr:rowOff>22860</xdr:rowOff>
    </xdr:from>
    <xdr:to>
      <xdr:col>1</xdr:col>
      <xdr:colOff>1607820</xdr:colOff>
      <xdr:row>0</xdr:row>
      <xdr:rowOff>381000</xdr:rowOff>
    </xdr:to>
    <xdr:pic>
      <xdr:nvPicPr>
        <xdr:cNvPr id="47509" name="Imagem 1">
          <a:extLst>
            <a:ext uri="{FF2B5EF4-FFF2-40B4-BE49-F238E27FC236}">
              <a16:creationId xmlns:a16="http://schemas.microsoft.com/office/drawing/2014/main" id="{735705D6-1FEA-81CA-E37F-FA3631AED1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" y="22860"/>
          <a:ext cx="1303020" cy="358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601980</xdr:colOff>
      <xdr:row>0</xdr:row>
      <xdr:rowOff>22860</xdr:rowOff>
    </xdr:from>
    <xdr:to>
      <xdr:col>9</xdr:col>
      <xdr:colOff>38100</xdr:colOff>
      <xdr:row>0</xdr:row>
      <xdr:rowOff>480060</xdr:rowOff>
    </xdr:to>
    <xdr:pic>
      <xdr:nvPicPr>
        <xdr:cNvPr id="48532" name="Imagem 1">
          <a:extLst>
            <a:ext uri="{FF2B5EF4-FFF2-40B4-BE49-F238E27FC236}">
              <a16:creationId xmlns:a16="http://schemas.microsoft.com/office/drawing/2014/main" id="{762FB8D7-00A4-A418-7C7D-86CC77442A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4960" y="22860"/>
          <a:ext cx="160020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617220</xdr:colOff>
      <xdr:row>0</xdr:row>
      <xdr:rowOff>38100</xdr:rowOff>
    </xdr:from>
    <xdr:to>
      <xdr:col>2</xdr:col>
      <xdr:colOff>114300</xdr:colOff>
      <xdr:row>0</xdr:row>
      <xdr:rowOff>480060</xdr:rowOff>
    </xdr:to>
    <xdr:pic>
      <xdr:nvPicPr>
        <xdr:cNvPr id="48533" name="Imagem 1">
          <a:extLst>
            <a:ext uri="{FF2B5EF4-FFF2-40B4-BE49-F238E27FC236}">
              <a16:creationId xmlns:a16="http://schemas.microsoft.com/office/drawing/2014/main" id="{695DD6DC-F9FD-7006-173E-CCB793669B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7220" y="38100"/>
          <a:ext cx="166116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00.163\cae-continental\15-JEQUITA&#205;\JEQ-0086-%20CONSTRU&#199;&#195;O%20DA%20PONTE-%20VIGAS%20MET&#193;LICAS%2018M-%20(SEI%201490.01.0003970-2025-91)\2-%20ESTRUTURAL%20DE%20CONSTRU&#199;&#195;O\PLANILHA\JEQ-0086%20PLANILHA%20MULTIPLA%20PONTE%2018M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00.163\cae-continental\4-LAGOA%20DOS%20PATOS\LPT-0187-%20RECAPEAMENTO%20ASF&#193;LTICO%20EM%20PR&#201;-MISTURADO%20A%20FRIO%20(PMF),%20EM%20DIVERSAS%20VIAS%20DA%20SEDE%20(ETAPA%201)\PLANILHA\PLANILHA%20MULTIPLA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ORÇAMENTARIA "/>
      <sheetName val="MEMORIA DE CALCULO"/>
      <sheetName val="CPU"/>
      <sheetName val="CRONOGRAMA"/>
      <sheetName val="BDI-DESONERADO"/>
      <sheetName val="RESUMO"/>
    </sheetNames>
    <sheetDataSet>
      <sheetData sheetId="0"/>
      <sheetData sheetId="1"/>
      <sheetData sheetId="2"/>
      <sheetData sheetId="3">
        <row r="4">
          <cell r="A4" t="str">
            <v>DATA BASE:</v>
          </cell>
        </row>
      </sheetData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AMENTO"/>
      <sheetName val="RESUMO"/>
      <sheetName val="COMPOSIÇÕES"/>
      <sheetName val="BDI-DESONERADO"/>
      <sheetName val="CRONOGRAMA"/>
    </sheetNames>
    <sheetDataSet>
      <sheetData sheetId="0">
        <row r="91">
          <cell r="A91" t="str">
            <v>RESPOSÁVEL TÉCNICO:</v>
          </cell>
          <cell r="F91" t="str">
            <v>RESPONSÁVEL LEGAL:</v>
          </cell>
        </row>
        <row r="98">
          <cell r="B98" t="str">
            <v>MAX HENRIQUE VELOSO DA SILVA</v>
          </cell>
        </row>
        <row r="99">
          <cell r="B99" t="str">
            <v>ENGENHEIRO CIVIL -  CREA: 248.998/D - MG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3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58863-AB5F-482D-911C-68074EBE56EA}">
  <sheetPr>
    <tabColor theme="9" tint="0.59999389629810485"/>
    <pageSetUpPr fitToPage="1"/>
  </sheetPr>
  <dimension ref="A1:N44"/>
  <sheetViews>
    <sheetView showGridLines="0" view="pageBreakPreview" topLeftCell="A17" zoomScale="60" zoomScaleNormal="60" workbookViewId="0">
      <selection activeCell="M25" sqref="M25"/>
    </sheetView>
  </sheetViews>
  <sheetFormatPr defaultRowHeight="12.75"/>
  <cols>
    <col min="1" max="1" width="7.85546875" bestFit="1" customWidth="1"/>
    <col min="2" max="2" width="18.28515625" customWidth="1"/>
    <col min="3" max="3" width="89.28515625" customWidth="1"/>
    <col min="4" max="4" width="15.7109375" customWidth="1"/>
    <col min="5" max="5" width="16.28515625" customWidth="1"/>
    <col min="6" max="6" width="16.7109375" style="166" bestFit="1" customWidth="1"/>
    <col min="7" max="7" width="19.28515625" customWidth="1"/>
    <col min="8" max="8" width="19.7109375" customWidth="1"/>
    <col min="9" max="9" width="18.85546875" customWidth="1"/>
    <col min="10" max="10" width="19.7109375" customWidth="1"/>
    <col min="14" max="14" width="12.7109375" bestFit="1" customWidth="1"/>
  </cols>
  <sheetData>
    <row r="1" spans="1:14" s="116" customFormat="1" ht="57.75" customHeight="1">
      <c r="A1" s="381" t="s">
        <v>153</v>
      </c>
      <c r="B1" s="382"/>
      <c r="C1" s="382"/>
      <c r="D1" s="382"/>
      <c r="E1" s="382"/>
      <c r="F1" s="382"/>
      <c r="G1" s="382"/>
      <c r="H1" s="382"/>
      <c r="I1" s="382"/>
      <c r="J1" s="383"/>
    </row>
    <row r="2" spans="1:14" s="116" customFormat="1" ht="15" customHeight="1">
      <c r="A2" s="384" t="s">
        <v>166</v>
      </c>
      <c r="B2" s="385"/>
      <c r="C2" s="385"/>
      <c r="D2" s="385"/>
      <c r="E2" s="385"/>
      <c r="F2" s="386" t="s">
        <v>344</v>
      </c>
      <c r="G2" s="387"/>
      <c r="H2" s="388"/>
      <c r="I2" s="117" t="s">
        <v>22</v>
      </c>
      <c r="J2" s="118">
        <f ca="1">TODAY()</f>
        <v>46262</v>
      </c>
    </row>
    <row r="3" spans="1:14" s="116" customFormat="1">
      <c r="A3" s="217" t="s">
        <v>238</v>
      </c>
      <c r="B3" s="367" t="s">
        <v>237</v>
      </c>
      <c r="C3" s="368"/>
      <c r="D3" s="368"/>
      <c r="E3" s="369"/>
      <c r="F3" s="389" t="s">
        <v>154</v>
      </c>
      <c r="G3" s="390"/>
      <c r="H3" s="390"/>
      <c r="I3" s="390"/>
      <c r="J3" s="391"/>
    </row>
    <row r="4" spans="1:14" s="116" customFormat="1">
      <c r="A4" s="217" t="s">
        <v>202</v>
      </c>
      <c r="B4" s="367" t="s">
        <v>239</v>
      </c>
      <c r="C4" s="368"/>
      <c r="D4" s="368"/>
      <c r="E4" s="369"/>
      <c r="F4" s="392" t="s">
        <v>155</v>
      </c>
      <c r="G4" s="393"/>
      <c r="H4" s="393"/>
      <c r="I4" s="394"/>
      <c r="J4" s="119" t="s">
        <v>156</v>
      </c>
    </row>
    <row r="5" spans="1:14" s="116" customFormat="1" ht="25.5">
      <c r="A5" s="120" t="str">
        <f>[1]CRONOGRAMA!A4</f>
        <v>DATA BASE:</v>
      </c>
      <c r="B5" s="367" t="s">
        <v>342</v>
      </c>
      <c r="C5" s="368"/>
      <c r="D5" s="368"/>
      <c r="E5" s="369"/>
      <c r="F5" s="370" t="s">
        <v>338</v>
      </c>
      <c r="G5" s="370"/>
      <c r="H5" s="371">
        <v>0.27129999999999999</v>
      </c>
      <c r="I5" s="372"/>
      <c r="J5" s="192">
        <v>0.05</v>
      </c>
    </row>
    <row r="6" spans="1:14" s="121" customFormat="1" ht="10.15" customHeight="1">
      <c r="A6" s="373"/>
      <c r="B6" s="374"/>
      <c r="C6" s="374"/>
      <c r="D6" s="374"/>
      <c r="E6" s="374"/>
      <c r="F6" s="374"/>
      <c r="G6" s="374"/>
      <c r="H6" s="374"/>
      <c r="I6" s="374"/>
      <c r="J6" s="375"/>
    </row>
    <row r="7" spans="1:14" s="121" customFormat="1" ht="32.450000000000003" customHeight="1">
      <c r="A7" s="376" t="s">
        <v>343</v>
      </c>
      <c r="B7" s="377"/>
      <c r="C7" s="377"/>
      <c r="D7" s="377"/>
      <c r="E7" s="377"/>
      <c r="F7" s="377"/>
      <c r="G7" s="377"/>
      <c r="H7" s="377"/>
      <c r="I7" s="377"/>
      <c r="J7" s="378"/>
    </row>
    <row r="8" spans="1:14" s="121" customFormat="1" ht="10.15" customHeight="1">
      <c r="A8" s="333"/>
      <c r="B8" s="334"/>
      <c r="C8" s="334"/>
      <c r="D8" s="334"/>
      <c r="E8" s="334"/>
      <c r="F8" s="334"/>
      <c r="G8" s="193"/>
      <c r="H8" s="193"/>
      <c r="I8" s="334"/>
      <c r="J8" s="194"/>
    </row>
    <row r="9" spans="1:14" s="121" customFormat="1" ht="30.4" customHeight="1">
      <c r="A9" s="379" t="s">
        <v>157</v>
      </c>
      <c r="B9" s="360" t="s">
        <v>158</v>
      </c>
      <c r="C9" s="360" t="s">
        <v>85</v>
      </c>
      <c r="D9" s="360" t="s">
        <v>159</v>
      </c>
      <c r="E9" s="360" t="s">
        <v>160</v>
      </c>
      <c r="F9" s="360" t="s">
        <v>161</v>
      </c>
      <c r="G9" s="362" t="s">
        <v>162</v>
      </c>
      <c r="H9" s="363"/>
      <c r="I9" s="364" t="s">
        <v>163</v>
      </c>
      <c r="J9" s="365"/>
    </row>
    <row r="10" spans="1:14" s="121" customFormat="1" ht="15.75">
      <c r="A10" s="380"/>
      <c r="B10" s="361"/>
      <c r="C10" s="361"/>
      <c r="D10" s="361"/>
      <c r="E10" s="361"/>
      <c r="F10" s="361"/>
      <c r="G10" s="122" t="s">
        <v>164</v>
      </c>
      <c r="H10" s="340" t="s">
        <v>165</v>
      </c>
      <c r="I10" s="123" t="s">
        <v>164</v>
      </c>
      <c r="J10" s="341" t="s">
        <v>165</v>
      </c>
    </row>
    <row r="11" spans="1:14" s="124" customFormat="1" ht="20.100000000000001" customHeight="1">
      <c r="A11" s="126" t="s">
        <v>168</v>
      </c>
      <c r="B11" s="366" t="str">
        <f>B3</f>
        <v>CALÇAMENTO EM BLOCO SEXTAVADO EM TRECHOS DA ESTRADA DA SERRA DO BARRO NO MUNICIPIO DE LAGOA DOS PATOS - MG.</v>
      </c>
      <c r="C11" s="366"/>
      <c r="D11" s="366"/>
      <c r="E11" s="366"/>
      <c r="F11" s="366"/>
      <c r="G11" s="366"/>
      <c r="H11" s="366"/>
      <c r="I11" s="127" t="e">
        <f>ROUND(SUM(I12+I15+I17+I29+I31),2)</f>
        <v>#REF!</v>
      </c>
      <c r="J11" s="127" t="e">
        <f>ROUND(SUM(J12+J15+J17+J29+J31),2)</f>
        <v>#REF!</v>
      </c>
    </row>
    <row r="12" spans="1:14" s="219" customFormat="1">
      <c r="A12" s="324" t="s">
        <v>2</v>
      </c>
      <c r="B12" s="356" t="s">
        <v>92</v>
      </c>
      <c r="C12" s="356"/>
      <c r="D12" s="356"/>
      <c r="E12" s="356"/>
      <c r="F12" s="356"/>
      <c r="G12" s="356"/>
      <c r="H12" s="356"/>
      <c r="I12" s="218">
        <f>ROUND(SUM(I13:I14),2)</f>
        <v>17874.669999999998</v>
      </c>
      <c r="J12" s="325">
        <f>ROUND(SUM(J13:J14),2)</f>
        <v>22724.07</v>
      </c>
    </row>
    <row r="13" spans="1:14" s="219" customFormat="1" ht="51">
      <c r="A13" s="326" t="s">
        <v>169</v>
      </c>
      <c r="B13" s="221" t="s">
        <v>240</v>
      </c>
      <c r="C13" s="220" t="s">
        <v>25</v>
      </c>
      <c r="D13" s="221" t="s">
        <v>170</v>
      </c>
      <c r="E13" s="221" t="s">
        <v>186</v>
      </c>
      <c r="F13" s="323">
        <f>'MEMORIA DE CÁLCULO'!I17</f>
        <v>1</v>
      </c>
      <c r="G13" s="222">
        <v>1569.69</v>
      </c>
      <c r="H13" s="222">
        <f>ROUND(G13*(1+$H$5),2)</f>
        <v>1995.55</v>
      </c>
      <c r="I13" s="222">
        <f>ROUND(F13*G13,2)</f>
        <v>1569.69</v>
      </c>
      <c r="J13" s="327">
        <f>ROUND(F13*H13,2)</f>
        <v>1995.55</v>
      </c>
      <c r="K13" s="219">
        <f>ROUND(G13+(G13*$H$5),2)</f>
        <v>1995.55</v>
      </c>
    </row>
    <row r="14" spans="1:14" s="219" customFormat="1" ht="25.5">
      <c r="A14" s="326" t="s">
        <v>171</v>
      </c>
      <c r="B14" s="221" t="s">
        <v>197</v>
      </c>
      <c r="C14" s="220" t="s">
        <v>255</v>
      </c>
      <c r="D14" s="221" t="s">
        <v>174</v>
      </c>
      <c r="E14" s="221" t="s">
        <v>186</v>
      </c>
      <c r="F14" s="323">
        <f>'MEMORIA DE CÁLCULO'!I24</f>
        <v>1</v>
      </c>
      <c r="G14" s="222">
        <f>'MOB E DESMOB'!N36</f>
        <v>16304.98</v>
      </c>
      <c r="H14" s="222">
        <f>ROUND(G14*(1+$H$5),2)</f>
        <v>20728.52</v>
      </c>
      <c r="I14" s="222">
        <f>ROUND(F14*G14,2)</f>
        <v>16304.98</v>
      </c>
      <c r="J14" s="327">
        <f>ROUND(F14*H14,2)</f>
        <v>20728.52</v>
      </c>
    </row>
    <row r="15" spans="1:14" s="219" customFormat="1">
      <c r="A15" s="324" t="s">
        <v>3</v>
      </c>
      <c r="B15" s="356" t="s">
        <v>245</v>
      </c>
      <c r="C15" s="356"/>
      <c r="D15" s="356"/>
      <c r="E15" s="356"/>
      <c r="F15" s="356"/>
      <c r="G15" s="356"/>
      <c r="H15" s="356"/>
      <c r="I15" s="218">
        <f>ROUND(SUM(I16:I16),2)</f>
        <v>8851.7999999999993</v>
      </c>
      <c r="J15" s="325">
        <f>ROUND(SUM(J16:J16),2)</f>
        <v>11253.29</v>
      </c>
      <c r="N15" s="322" t="e">
        <f>(4/100)*J11</f>
        <v>#REF!</v>
      </c>
    </row>
    <row r="16" spans="1:14" s="219" customFormat="1" ht="25.5">
      <c r="A16" s="326" t="s">
        <v>172</v>
      </c>
      <c r="B16" s="221" t="s">
        <v>173</v>
      </c>
      <c r="C16" s="220" t="str">
        <f>CPU!B3</f>
        <v xml:space="preserve">ADMINISTRAÇÃO LOCAL DE OBRAS, COMPOSTO DE ENGENHEIRO CIVIL E ENCARREGADO GERAL​ </v>
      </c>
      <c r="D16" s="221" t="s">
        <v>174</v>
      </c>
      <c r="E16" s="221" t="s">
        <v>186</v>
      </c>
      <c r="F16" s="323">
        <f>'MEMORIA DE CÁLCULO'!I34</f>
        <v>1</v>
      </c>
      <c r="G16" s="222">
        <f>CPU!G8</f>
        <v>8851.7999999999993</v>
      </c>
      <c r="H16" s="222">
        <f>ROUND(G16*(1+$H$5),2)</f>
        <v>11253.29</v>
      </c>
      <c r="I16" s="222">
        <f>ROUND(F16*G16,2)</f>
        <v>8851.7999999999993</v>
      </c>
      <c r="J16" s="327">
        <f>ROUND(F16*H16,2)</f>
        <v>11253.29</v>
      </c>
    </row>
    <row r="17" spans="1:12" s="219" customFormat="1">
      <c r="A17" s="324" t="s">
        <v>4</v>
      </c>
      <c r="B17" s="356" t="s">
        <v>241</v>
      </c>
      <c r="C17" s="356"/>
      <c r="D17" s="356"/>
      <c r="E17" s="356"/>
      <c r="F17" s="356"/>
      <c r="G17" s="356"/>
      <c r="H17" s="356"/>
      <c r="I17" s="218">
        <f>ROUND(SUM(I18:I27),2)</f>
        <v>40636.31</v>
      </c>
      <c r="J17" s="325">
        <f>ROUND(SUM(J18:J27),2)</f>
        <v>51634.23</v>
      </c>
    </row>
    <row r="18" spans="1:12" s="219" customFormat="1" ht="25.5">
      <c r="A18" s="326" t="s">
        <v>175</v>
      </c>
      <c r="B18" s="221" t="s">
        <v>328</v>
      </c>
      <c r="C18" s="220" t="s">
        <v>327</v>
      </c>
      <c r="D18" s="221" t="s">
        <v>170</v>
      </c>
      <c r="E18" s="221" t="s">
        <v>186</v>
      </c>
      <c r="F18" s="323">
        <f>'MEMORIA DE CÁLCULO'!I43</f>
        <v>23</v>
      </c>
      <c r="G18" s="222">
        <v>47.36</v>
      </c>
      <c r="H18" s="222">
        <f t="shared" ref="H18:H27" si="0">ROUND(G18*(1+$H$5),2)</f>
        <v>60.21</v>
      </c>
      <c r="I18" s="222">
        <f t="shared" ref="I18:I27" si="1">ROUND(F18*G18,2)</f>
        <v>1089.28</v>
      </c>
      <c r="J18" s="327">
        <f>ROUND(F18*H18,2)</f>
        <v>1384.83</v>
      </c>
    </row>
    <row r="19" spans="1:12" s="219" customFormat="1" ht="25.5">
      <c r="A19" s="326" t="s">
        <v>177</v>
      </c>
      <c r="B19" s="221">
        <v>101126</v>
      </c>
      <c r="C19" s="220" t="s">
        <v>347</v>
      </c>
      <c r="D19" s="221" t="s">
        <v>178</v>
      </c>
      <c r="E19" s="221" t="s">
        <v>182</v>
      </c>
      <c r="F19" s="323">
        <f>'MEMORIA DE CÁLCULO'!I50</f>
        <v>217.35</v>
      </c>
      <c r="G19" s="222">
        <v>13.17</v>
      </c>
      <c r="H19" s="222">
        <f t="shared" si="0"/>
        <v>16.739999999999998</v>
      </c>
      <c r="I19" s="222">
        <f t="shared" si="1"/>
        <v>2862.5</v>
      </c>
      <c r="J19" s="327">
        <f>ROUND(F19*H19,2)</f>
        <v>3638.44</v>
      </c>
      <c r="L19" s="223" t="e">
        <f>ROUND(SUM(J13+J14+J18+J19+J20+J21+J22+J25+J27+J26+J28+J30+J32+#REF!),2)</f>
        <v>#REF!</v>
      </c>
    </row>
    <row r="20" spans="1:12" s="219" customFormat="1" ht="38.25">
      <c r="A20" s="326" t="s">
        <v>179</v>
      </c>
      <c r="B20" s="221">
        <v>100978</v>
      </c>
      <c r="C20" s="220" t="s">
        <v>229</v>
      </c>
      <c r="D20" s="221" t="s">
        <v>178</v>
      </c>
      <c r="E20" s="221" t="s">
        <v>182</v>
      </c>
      <c r="F20" s="323">
        <f>'MEMORIA DE CÁLCULO'!I57</f>
        <v>271.69</v>
      </c>
      <c r="G20" s="222">
        <v>7.39</v>
      </c>
      <c r="H20" s="222">
        <f t="shared" si="0"/>
        <v>9.39</v>
      </c>
      <c r="I20" s="222">
        <f t="shared" si="1"/>
        <v>2007.79</v>
      </c>
      <c r="J20" s="327">
        <f t="shared" ref="J20:J27" si="2">ROUND(F20*H20,2)</f>
        <v>2551.17</v>
      </c>
    </row>
    <row r="21" spans="1:12" s="219" customFormat="1" ht="25.5">
      <c r="A21" s="326" t="s">
        <v>181</v>
      </c>
      <c r="B21" s="221">
        <v>95876</v>
      </c>
      <c r="C21" s="220" t="s">
        <v>353</v>
      </c>
      <c r="D21" s="221" t="s">
        <v>178</v>
      </c>
      <c r="E21" s="221" t="s">
        <v>244</v>
      </c>
      <c r="F21" s="323">
        <f>'MEMORIA DE CÁLCULO'!I64</f>
        <v>5922.79</v>
      </c>
      <c r="G21" s="222">
        <v>2.7</v>
      </c>
      <c r="H21" s="222">
        <f t="shared" si="0"/>
        <v>3.43</v>
      </c>
      <c r="I21" s="222">
        <f t="shared" si="1"/>
        <v>15991.53</v>
      </c>
      <c r="J21" s="327">
        <f t="shared" si="2"/>
        <v>20315.169999999998</v>
      </c>
    </row>
    <row r="22" spans="1:12" s="219" customFormat="1">
      <c r="A22" s="326" t="s">
        <v>183</v>
      </c>
      <c r="B22" s="221">
        <v>4011209</v>
      </c>
      <c r="C22" s="220" t="s">
        <v>234</v>
      </c>
      <c r="D22" s="221" t="s">
        <v>339</v>
      </c>
      <c r="E22" s="221" t="s">
        <v>176</v>
      </c>
      <c r="F22" s="323">
        <f>'MEMORIA DE CÁLCULO'!I71</f>
        <v>1035</v>
      </c>
      <c r="G22" s="222">
        <v>1.88</v>
      </c>
      <c r="H22" s="222">
        <f t="shared" si="0"/>
        <v>2.39</v>
      </c>
      <c r="I22" s="222">
        <f t="shared" si="1"/>
        <v>1945.8</v>
      </c>
      <c r="J22" s="327">
        <f t="shared" si="2"/>
        <v>2473.65</v>
      </c>
    </row>
    <row r="23" spans="1:12" s="219" customFormat="1" ht="25.5">
      <c r="A23" s="326" t="s">
        <v>184</v>
      </c>
      <c r="B23" s="221">
        <v>101126</v>
      </c>
      <c r="C23" s="220" t="s">
        <v>348</v>
      </c>
      <c r="D23" s="221" t="s">
        <v>178</v>
      </c>
      <c r="E23" s="221" t="s">
        <v>182</v>
      </c>
      <c r="F23" s="323">
        <f>'MEMORIA DE CÁLCULO'!I78</f>
        <v>155.25</v>
      </c>
      <c r="G23" s="222">
        <v>13.17</v>
      </c>
      <c r="H23" s="222">
        <f t="shared" si="0"/>
        <v>16.739999999999998</v>
      </c>
      <c r="I23" s="222">
        <f>ROUND(F23*G23,2)</f>
        <v>2044.64</v>
      </c>
      <c r="J23" s="327">
        <f>ROUND(F23*H23,2)</f>
        <v>2598.89</v>
      </c>
      <c r="L23" s="223" t="e">
        <f>ROUND(SUM(J19+J20+J22+J23+J24+J25+J26+J29+J31+J30+J32+J33+J36+J37),2)</f>
        <v>#REF!</v>
      </c>
    </row>
    <row r="24" spans="1:12" s="219" customFormat="1" ht="38.25">
      <c r="A24" s="326" t="s">
        <v>185</v>
      </c>
      <c r="B24" s="221">
        <v>100978</v>
      </c>
      <c r="C24" s="220" t="s">
        <v>229</v>
      </c>
      <c r="D24" s="221" t="s">
        <v>178</v>
      </c>
      <c r="E24" s="221" t="s">
        <v>182</v>
      </c>
      <c r="F24" s="323">
        <f>'MEMORIA DE CÁLCULO'!I85</f>
        <v>194.06</v>
      </c>
      <c r="G24" s="222">
        <v>7.39</v>
      </c>
      <c r="H24" s="222">
        <f t="shared" si="0"/>
        <v>9.39</v>
      </c>
      <c r="I24" s="222">
        <f>ROUND(F24*G24,2)</f>
        <v>1434.1</v>
      </c>
      <c r="J24" s="327">
        <f>ROUND(F24*H24,2)</f>
        <v>1822.22</v>
      </c>
    </row>
    <row r="25" spans="1:12" s="219" customFormat="1" ht="25.5">
      <c r="A25" s="326" t="s">
        <v>187</v>
      </c>
      <c r="B25" s="221">
        <v>95876</v>
      </c>
      <c r="C25" s="220" t="s">
        <v>353</v>
      </c>
      <c r="D25" s="221" t="s">
        <v>178</v>
      </c>
      <c r="E25" s="221" t="s">
        <v>244</v>
      </c>
      <c r="F25" s="323">
        <f>'MEMORIA DE CÁLCULO'!I92</f>
        <v>3784.22</v>
      </c>
      <c r="G25" s="222">
        <v>2.7</v>
      </c>
      <c r="H25" s="222">
        <f t="shared" si="0"/>
        <v>3.43</v>
      </c>
      <c r="I25" s="222">
        <f t="shared" si="1"/>
        <v>10217.39</v>
      </c>
      <c r="J25" s="327">
        <f t="shared" si="2"/>
        <v>12979.87</v>
      </c>
    </row>
    <row r="26" spans="1:12" s="219" customFormat="1">
      <c r="A26" s="326" t="s">
        <v>188</v>
      </c>
      <c r="B26" s="221">
        <v>100574</v>
      </c>
      <c r="C26" s="220" t="s">
        <v>235</v>
      </c>
      <c r="D26" s="221" t="s">
        <v>178</v>
      </c>
      <c r="E26" s="221" t="s">
        <v>182</v>
      </c>
      <c r="F26" s="323">
        <f>'MEMORIA DE CÁLCULO'!I99</f>
        <v>194.06</v>
      </c>
      <c r="G26" s="222">
        <v>1.53</v>
      </c>
      <c r="H26" s="222">
        <f t="shared" si="0"/>
        <v>1.95</v>
      </c>
      <c r="I26" s="222">
        <f t="shared" si="1"/>
        <v>296.91000000000003</v>
      </c>
      <c r="J26" s="327">
        <f t="shared" si="2"/>
        <v>378.42</v>
      </c>
    </row>
    <row r="27" spans="1:12" s="219" customFormat="1" ht="25.5">
      <c r="A27" s="326" t="s">
        <v>189</v>
      </c>
      <c r="B27" s="221">
        <v>4011219</v>
      </c>
      <c r="C27" s="220" t="s">
        <v>236</v>
      </c>
      <c r="D27" s="221" t="s">
        <v>339</v>
      </c>
      <c r="E27" s="221" t="s">
        <v>182</v>
      </c>
      <c r="F27" s="323">
        <f>'MEMORIA DE CÁLCULO'!I106</f>
        <v>155.25</v>
      </c>
      <c r="G27" s="222">
        <v>17.690000000000001</v>
      </c>
      <c r="H27" s="222">
        <f t="shared" si="0"/>
        <v>22.49</v>
      </c>
      <c r="I27" s="222">
        <f t="shared" si="1"/>
        <v>2746.37</v>
      </c>
      <c r="J27" s="327">
        <f t="shared" si="2"/>
        <v>3491.57</v>
      </c>
    </row>
    <row r="28" spans="1:12" s="219" customFormat="1">
      <c r="A28" s="326" t="s">
        <v>190</v>
      </c>
      <c r="B28" s="221" t="s">
        <v>340</v>
      </c>
      <c r="C28" s="220" t="s">
        <v>254</v>
      </c>
      <c r="D28" s="221" t="s">
        <v>340</v>
      </c>
      <c r="E28" s="221" t="s">
        <v>182</v>
      </c>
      <c r="F28" s="323">
        <f>'MEMORIA DE CÁLCULO'!I113</f>
        <v>155.25</v>
      </c>
      <c r="G28" s="357" t="s">
        <v>248</v>
      </c>
      <c r="H28" s="358"/>
      <c r="I28" s="358"/>
      <c r="J28" s="359"/>
    </row>
    <row r="29" spans="1:12" s="219" customFormat="1">
      <c r="A29" s="324" t="s">
        <v>39</v>
      </c>
      <c r="B29" s="356" t="s">
        <v>341</v>
      </c>
      <c r="C29" s="356"/>
      <c r="D29" s="356"/>
      <c r="E29" s="356"/>
      <c r="F29" s="356"/>
      <c r="G29" s="356"/>
      <c r="H29" s="356"/>
      <c r="I29" s="218">
        <f>ROUND(SUM(I30),2)</f>
        <v>93636</v>
      </c>
      <c r="J29" s="325">
        <f>ROUND(SUM(J30),2)</f>
        <v>119043</v>
      </c>
    </row>
    <row r="30" spans="1:12" s="219" customFormat="1" ht="25.5">
      <c r="A30" s="326" t="s">
        <v>191</v>
      </c>
      <c r="B30" s="221">
        <v>92394</v>
      </c>
      <c r="C30" s="220" t="s">
        <v>249</v>
      </c>
      <c r="D30" s="221" t="s">
        <v>178</v>
      </c>
      <c r="E30" s="221" t="s">
        <v>176</v>
      </c>
      <c r="F30" s="323">
        <f>'MEMORIA DE CÁLCULO'!I122</f>
        <v>900</v>
      </c>
      <c r="G30" s="222">
        <v>104.04</v>
      </c>
      <c r="H30" s="222">
        <f>ROUND(G30*(1+$H$5),2)</f>
        <v>132.27000000000001</v>
      </c>
      <c r="I30" s="222">
        <f>ROUND(F30*G30,2)</f>
        <v>93636</v>
      </c>
      <c r="J30" s="327">
        <f>ROUND(F30*H30,2)</f>
        <v>119043</v>
      </c>
    </row>
    <row r="31" spans="1:12" s="219" customFormat="1">
      <c r="A31" s="324" t="s">
        <v>63</v>
      </c>
      <c r="B31" s="356" t="s">
        <v>247</v>
      </c>
      <c r="C31" s="356"/>
      <c r="D31" s="356"/>
      <c r="E31" s="356"/>
      <c r="F31" s="356"/>
      <c r="G31" s="356"/>
      <c r="H31" s="356"/>
      <c r="I31" s="218" t="e">
        <f>ROUND(SUM(I32:I34),2)</f>
        <v>#REF!</v>
      </c>
      <c r="J31" s="325" t="e">
        <f>ROUND(SUM(J32:J34),2)</f>
        <v>#REF!</v>
      </c>
    </row>
    <row r="32" spans="1:12" s="219" customFormat="1" ht="38.25">
      <c r="A32" s="326" t="s">
        <v>192</v>
      </c>
      <c r="B32" s="221">
        <v>94267</v>
      </c>
      <c r="C32" s="220" t="s">
        <v>354</v>
      </c>
      <c r="D32" s="221" t="s">
        <v>178</v>
      </c>
      <c r="E32" s="221" t="s">
        <v>180</v>
      </c>
      <c r="F32" s="323">
        <f>'MEMORIA DE CÁLCULO'!I131</f>
        <v>235.68</v>
      </c>
      <c r="G32" s="222">
        <v>61.58</v>
      </c>
      <c r="H32" s="222">
        <f>ROUND(G32*(1+$H$5),2)</f>
        <v>78.290000000000006</v>
      </c>
      <c r="I32" s="222">
        <f>ROUND(F32*G32,2)</f>
        <v>14513.17</v>
      </c>
      <c r="J32" s="327">
        <f>ROUND(F32*H32,2)</f>
        <v>18451.39</v>
      </c>
    </row>
    <row r="33" spans="1:12" s="219" customFormat="1" ht="38.25">
      <c r="A33" s="326" t="s">
        <v>194</v>
      </c>
      <c r="B33" s="221" t="s">
        <v>196</v>
      </c>
      <c r="C33" s="220" t="s">
        <v>117</v>
      </c>
      <c r="D33" s="221" t="s">
        <v>170</v>
      </c>
      <c r="E33" s="221" t="s">
        <v>180</v>
      </c>
      <c r="F33" s="323">
        <f>'MEMORIA DE CÁLCULO'!I138</f>
        <v>27.48</v>
      </c>
      <c r="G33" s="222">
        <v>145.24</v>
      </c>
      <c r="H33" s="222">
        <f>ROUND(G33*(1+$H$5),2)</f>
        <v>184.64</v>
      </c>
      <c r="I33" s="222">
        <f>ROUND(F33*G33,2)</f>
        <v>3991.2</v>
      </c>
      <c r="J33" s="327">
        <f>ROUND(F33*H33,2)</f>
        <v>5073.91</v>
      </c>
    </row>
    <row r="34" spans="1:12" s="219" customFormat="1">
      <c r="A34" s="326" t="s">
        <v>195</v>
      </c>
      <c r="B34" s="221">
        <v>2003107</v>
      </c>
      <c r="C34" s="220" t="s">
        <v>352</v>
      </c>
      <c r="D34" s="221" t="s">
        <v>339</v>
      </c>
      <c r="E34" s="221" t="s">
        <v>186</v>
      </c>
      <c r="F34" s="323" t="e">
        <f>'MEMORIA DE CÁLCULO'!#REF!</f>
        <v>#REF!</v>
      </c>
      <c r="G34" s="222">
        <v>183.09</v>
      </c>
      <c r="H34" s="222">
        <f>ROUND(G34*(1+$H$5),2)</f>
        <v>232.76</v>
      </c>
      <c r="I34" s="222" t="e">
        <f>ROUND(F34*G34,2)</f>
        <v>#REF!</v>
      </c>
      <c r="J34" s="327" t="e">
        <f>ROUND(F34*H34,2)</f>
        <v>#REF!</v>
      </c>
    </row>
    <row r="35" spans="1:12" s="219" customFormat="1">
      <c r="A35" s="328"/>
      <c r="B35" s="329"/>
      <c r="C35" s="329"/>
      <c r="D35" s="329"/>
      <c r="E35" s="329"/>
      <c r="F35" s="330"/>
      <c r="G35" s="329"/>
      <c r="H35" s="350" t="s">
        <v>198</v>
      </c>
      <c r="I35" s="350"/>
      <c r="J35" s="331" t="e">
        <f>J37-J36</f>
        <v>#REF!</v>
      </c>
    </row>
    <row r="36" spans="1:12" s="219" customFormat="1">
      <c r="A36" s="328"/>
      <c r="B36" s="329"/>
      <c r="C36" s="329"/>
      <c r="D36" s="329"/>
      <c r="E36" s="329"/>
      <c r="F36" s="330"/>
      <c r="G36" s="329"/>
      <c r="H36" s="350" t="s">
        <v>199</v>
      </c>
      <c r="I36" s="350"/>
      <c r="J36" s="331" t="e">
        <f>ROUND(I31+I29+I17+I12+I15,2)</f>
        <v>#REF!</v>
      </c>
      <c r="L36" s="332" t="e">
        <f>J37/F30</f>
        <v>#REF!</v>
      </c>
    </row>
    <row r="37" spans="1:12" s="219" customFormat="1">
      <c r="A37" s="328"/>
      <c r="B37" s="329"/>
      <c r="C37" s="260"/>
      <c r="D37" s="329"/>
      <c r="E37" s="329"/>
      <c r="F37" s="330"/>
      <c r="G37" s="329"/>
      <c r="H37" s="350" t="s">
        <v>200</v>
      </c>
      <c r="I37" s="350"/>
      <c r="J37" s="339" t="e">
        <f>ROUND(J31+J29+J17+J12+J15,2)</f>
        <v>#REF!</v>
      </c>
    </row>
    <row r="38" spans="1:12">
      <c r="A38" s="128"/>
      <c r="F38" s="167"/>
      <c r="J38" s="129"/>
    </row>
    <row r="39" spans="1:12">
      <c r="A39" s="128"/>
      <c r="F39" s="167"/>
      <c r="J39" s="129"/>
    </row>
    <row r="40" spans="1:12">
      <c r="A40" s="128"/>
      <c r="F40" s="167"/>
      <c r="J40" s="129"/>
    </row>
    <row r="41" spans="1:12" s="47" customFormat="1">
      <c r="A41" s="69"/>
      <c r="B41" s="351" t="s">
        <v>109</v>
      </c>
      <c r="C41" s="351"/>
      <c r="D41" s="56"/>
      <c r="E41" s="56"/>
      <c r="F41" s="352" t="s">
        <v>110</v>
      </c>
      <c r="G41" s="352"/>
      <c r="H41" s="352"/>
      <c r="I41" s="58"/>
      <c r="J41" s="70"/>
    </row>
    <row r="42" spans="1:12" s="47" customFormat="1">
      <c r="A42" s="76"/>
      <c r="B42" s="352" t="s">
        <v>118</v>
      </c>
      <c r="C42" s="352"/>
      <c r="D42" s="55"/>
      <c r="F42" s="353" t="s">
        <v>70</v>
      </c>
      <c r="G42" s="353"/>
      <c r="H42" s="353"/>
      <c r="J42" s="70"/>
    </row>
    <row r="43" spans="1:12" s="47" customFormat="1">
      <c r="A43" s="76"/>
      <c r="B43" s="354" t="s">
        <v>119</v>
      </c>
      <c r="C43" s="354"/>
      <c r="D43" s="125"/>
      <c r="F43" s="355" t="s">
        <v>93</v>
      </c>
      <c r="G43" s="355"/>
      <c r="H43" s="355"/>
      <c r="J43" s="70"/>
    </row>
    <row r="44" spans="1:12" ht="13.5" thickBot="1">
      <c r="A44" s="130"/>
      <c r="B44" s="131"/>
      <c r="C44" s="131"/>
      <c r="D44" s="131"/>
      <c r="E44" s="131"/>
      <c r="F44" s="168"/>
      <c r="G44" s="131"/>
      <c r="H44" s="131"/>
      <c r="I44" s="131"/>
      <c r="J44" s="132"/>
    </row>
  </sheetData>
  <mergeCells count="36">
    <mergeCell ref="B4:E4"/>
    <mergeCell ref="F4:I4"/>
    <mergeCell ref="A1:J1"/>
    <mergeCell ref="A2:E2"/>
    <mergeCell ref="F2:H2"/>
    <mergeCell ref="B3:E3"/>
    <mergeCell ref="F3:J3"/>
    <mergeCell ref="B15:H15"/>
    <mergeCell ref="B5:E5"/>
    <mergeCell ref="F5:G5"/>
    <mergeCell ref="H5:I5"/>
    <mergeCell ref="A6:J6"/>
    <mergeCell ref="A7:J7"/>
    <mergeCell ref="A9:A10"/>
    <mergeCell ref="B9:B10"/>
    <mergeCell ref="C9:C10"/>
    <mergeCell ref="D9:D10"/>
    <mergeCell ref="E9:E10"/>
    <mergeCell ref="F9:F10"/>
    <mergeCell ref="G9:H9"/>
    <mergeCell ref="I9:J9"/>
    <mergeCell ref="B11:H11"/>
    <mergeCell ref="B12:H12"/>
    <mergeCell ref="B43:C43"/>
    <mergeCell ref="F43:H43"/>
    <mergeCell ref="B17:H17"/>
    <mergeCell ref="G28:J28"/>
    <mergeCell ref="B29:H29"/>
    <mergeCell ref="B31:H31"/>
    <mergeCell ref="H35:I35"/>
    <mergeCell ref="H36:I36"/>
    <mergeCell ref="H37:I37"/>
    <mergeCell ref="B41:C41"/>
    <mergeCell ref="F41:H41"/>
    <mergeCell ref="B42:C42"/>
    <mergeCell ref="F42:H42"/>
  </mergeCells>
  <pageMargins left="0.39370078740157483" right="0.39370078740157483" top="0.39370078740157483" bottom="0.39370078740157483" header="0.31496062992125984" footer="0.31496062992125984"/>
  <pageSetup paperSize="9" scale="58" fitToHeight="0" orientation="landscape" r:id="rId1"/>
  <headerFooter>
    <oddFooter>Página &amp;P de 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A6760-197F-43A3-9A43-A839E5886937}">
  <sheetPr>
    <tabColor theme="9" tint="0.59999389629810485"/>
    <pageSetUpPr fitToPage="1"/>
  </sheetPr>
  <dimension ref="A1:N44"/>
  <sheetViews>
    <sheetView showGridLines="0" tabSelected="1" view="pageBreakPreview" zoomScale="60" zoomScaleNormal="60" workbookViewId="0">
      <selection activeCell="F3" sqref="F3:J3"/>
    </sheetView>
  </sheetViews>
  <sheetFormatPr defaultRowHeight="12.75"/>
  <cols>
    <col min="1" max="1" width="9.28515625" bestFit="1" customWidth="1"/>
    <col min="2" max="2" width="18.28515625" customWidth="1"/>
    <col min="3" max="3" width="89.28515625" customWidth="1"/>
    <col min="4" max="4" width="15.7109375" customWidth="1"/>
    <col min="5" max="5" width="16.28515625" customWidth="1"/>
    <col min="6" max="6" width="16.7109375" style="166" bestFit="1" customWidth="1"/>
    <col min="7" max="7" width="19.28515625" customWidth="1"/>
    <col min="8" max="8" width="19.7109375" customWidth="1"/>
    <col min="9" max="9" width="18.85546875" customWidth="1"/>
    <col min="10" max="10" width="19.7109375" customWidth="1"/>
    <col min="14" max="14" width="12.7109375" bestFit="1" customWidth="1"/>
  </cols>
  <sheetData>
    <row r="1" spans="1:14" s="116" customFormat="1" ht="57.75" customHeight="1">
      <c r="A1" s="381" t="s">
        <v>153</v>
      </c>
      <c r="B1" s="382"/>
      <c r="C1" s="382"/>
      <c r="D1" s="382"/>
      <c r="E1" s="382"/>
      <c r="F1" s="382"/>
      <c r="G1" s="382"/>
      <c r="H1" s="382"/>
      <c r="I1" s="382"/>
      <c r="J1" s="383"/>
    </row>
    <row r="2" spans="1:14" s="116" customFormat="1" ht="15" customHeight="1">
      <c r="A2" s="384" t="s">
        <v>166</v>
      </c>
      <c r="B2" s="385"/>
      <c r="C2" s="385"/>
      <c r="D2" s="385"/>
      <c r="E2" s="385"/>
      <c r="F2" s="386" t="s">
        <v>360</v>
      </c>
      <c r="G2" s="387"/>
      <c r="H2" s="388"/>
      <c r="I2" s="117" t="s">
        <v>22</v>
      </c>
      <c r="J2" s="118">
        <v>46230</v>
      </c>
    </row>
    <row r="3" spans="1:14" s="116" customFormat="1">
      <c r="A3" s="217" t="s">
        <v>238</v>
      </c>
      <c r="B3" s="367" t="s">
        <v>355</v>
      </c>
      <c r="C3" s="368"/>
      <c r="D3" s="368"/>
      <c r="E3" s="369"/>
      <c r="F3" s="389" t="s">
        <v>154</v>
      </c>
      <c r="G3" s="390"/>
      <c r="H3" s="390"/>
      <c r="I3" s="390"/>
      <c r="J3" s="391"/>
    </row>
    <row r="4" spans="1:14" s="116" customFormat="1">
      <c r="A4" s="217" t="s">
        <v>202</v>
      </c>
      <c r="B4" s="367" t="s">
        <v>356</v>
      </c>
      <c r="C4" s="368"/>
      <c r="D4" s="368"/>
      <c r="E4" s="369"/>
      <c r="F4" s="392" t="s">
        <v>155</v>
      </c>
      <c r="G4" s="393"/>
      <c r="H4" s="393"/>
      <c r="I4" s="394"/>
      <c r="J4" s="119" t="s">
        <v>156</v>
      </c>
    </row>
    <row r="5" spans="1:14" s="116" customFormat="1" ht="25.5">
      <c r="A5" s="120" t="str">
        <f>[1]CRONOGRAMA!A4</f>
        <v>DATA BASE:</v>
      </c>
      <c r="B5" s="367" t="s">
        <v>342</v>
      </c>
      <c r="C5" s="368"/>
      <c r="D5" s="368"/>
      <c r="E5" s="369"/>
      <c r="F5" s="370" t="s">
        <v>338</v>
      </c>
      <c r="G5" s="370"/>
      <c r="H5" s="371">
        <v>0.27129999999999999</v>
      </c>
      <c r="I5" s="372"/>
      <c r="J5" s="192">
        <v>0.05</v>
      </c>
    </row>
    <row r="6" spans="1:14" s="121" customFormat="1" ht="10.15" customHeight="1">
      <c r="A6" s="373"/>
      <c r="B6" s="374"/>
      <c r="C6" s="374"/>
      <c r="D6" s="374"/>
      <c r="E6" s="374"/>
      <c r="F6" s="374"/>
      <c r="G6" s="374"/>
      <c r="H6" s="374"/>
      <c r="I6" s="374"/>
      <c r="J6" s="375"/>
    </row>
    <row r="7" spans="1:14" s="121" customFormat="1" ht="32.450000000000003" customHeight="1">
      <c r="A7" s="376" t="s">
        <v>343</v>
      </c>
      <c r="B7" s="377"/>
      <c r="C7" s="377"/>
      <c r="D7" s="377"/>
      <c r="E7" s="377"/>
      <c r="F7" s="377"/>
      <c r="G7" s="377"/>
      <c r="H7" s="377"/>
      <c r="I7" s="377"/>
      <c r="J7" s="378"/>
    </row>
    <row r="8" spans="1:14" s="121" customFormat="1" ht="10.15" customHeight="1">
      <c r="A8" s="333"/>
      <c r="B8" s="334"/>
      <c r="C8" s="334"/>
      <c r="D8" s="334"/>
      <c r="E8" s="334"/>
      <c r="F8" s="334"/>
      <c r="G8" s="193"/>
      <c r="H8" s="193"/>
      <c r="I8" s="334"/>
      <c r="J8" s="194"/>
    </row>
    <row r="9" spans="1:14" s="121" customFormat="1" ht="30.4" customHeight="1">
      <c r="A9" s="379" t="s">
        <v>157</v>
      </c>
      <c r="B9" s="360" t="s">
        <v>158</v>
      </c>
      <c r="C9" s="360" t="s">
        <v>85</v>
      </c>
      <c r="D9" s="360" t="s">
        <v>159</v>
      </c>
      <c r="E9" s="360" t="s">
        <v>160</v>
      </c>
      <c r="F9" s="360" t="s">
        <v>161</v>
      </c>
      <c r="G9" s="362" t="s">
        <v>162</v>
      </c>
      <c r="H9" s="363"/>
      <c r="I9" s="364" t="s">
        <v>163</v>
      </c>
      <c r="J9" s="365"/>
    </row>
    <row r="10" spans="1:14" s="121" customFormat="1" ht="15.75">
      <c r="A10" s="380"/>
      <c r="B10" s="361"/>
      <c r="C10" s="361"/>
      <c r="D10" s="361"/>
      <c r="E10" s="361"/>
      <c r="F10" s="361"/>
      <c r="G10" s="122" t="s">
        <v>164</v>
      </c>
      <c r="H10" s="340" t="s">
        <v>165</v>
      </c>
      <c r="I10" s="123" t="s">
        <v>164</v>
      </c>
      <c r="J10" s="341" t="s">
        <v>165</v>
      </c>
    </row>
    <row r="11" spans="1:14" s="124" customFormat="1" ht="20.100000000000001" customHeight="1">
      <c r="A11" s="126" t="s">
        <v>168</v>
      </c>
      <c r="B11" s="366" t="str">
        <f>B3</f>
        <v>CALÇAMENTO EM BLOCO SEXTAVADO DE VIA NA COMUNIDADE GOIABEIRAS, MUNICIPIO DE LAGOA DOS PATOS - MG.</v>
      </c>
      <c r="C11" s="366"/>
      <c r="D11" s="366"/>
      <c r="E11" s="366"/>
      <c r="F11" s="366"/>
      <c r="G11" s="366"/>
      <c r="H11" s="395"/>
      <c r="I11" s="344">
        <f>ROUND(SUM(I12+I15+I17+I29+I31),2)</f>
        <v>181543.4</v>
      </c>
      <c r="J11" s="345">
        <f>ROUND(SUM(J12+J15+J17+J29+J31),2)</f>
        <v>230773.84</v>
      </c>
    </row>
    <row r="12" spans="1:14" s="219" customFormat="1">
      <c r="A12" s="324" t="s">
        <v>2</v>
      </c>
      <c r="B12" s="356" t="s">
        <v>92</v>
      </c>
      <c r="C12" s="356"/>
      <c r="D12" s="356"/>
      <c r="E12" s="356"/>
      <c r="F12" s="356"/>
      <c r="G12" s="356"/>
      <c r="H12" s="356"/>
      <c r="I12" s="342">
        <f>ROUND(SUM(I13:I14),2)</f>
        <v>17874.669999999998</v>
      </c>
      <c r="J12" s="343">
        <f>ROUND(SUM(J13:J14),2)</f>
        <v>22724.07</v>
      </c>
    </row>
    <row r="13" spans="1:14" s="219" customFormat="1" ht="51">
      <c r="A13" s="326" t="s">
        <v>169</v>
      </c>
      <c r="B13" s="221" t="s">
        <v>240</v>
      </c>
      <c r="C13" s="220" t="s">
        <v>25</v>
      </c>
      <c r="D13" s="221" t="s">
        <v>170</v>
      </c>
      <c r="E13" s="221" t="s">
        <v>186</v>
      </c>
      <c r="F13" s="323">
        <f>'MEMORIA DE CÁLCULO'!I17</f>
        <v>1</v>
      </c>
      <c r="G13" s="222">
        <v>1569.69</v>
      </c>
      <c r="H13" s="222">
        <f>ROUND(G13*(1+$H$5),2)</f>
        <v>1995.55</v>
      </c>
      <c r="I13" s="222">
        <f>ROUND(F13*G13,2)</f>
        <v>1569.69</v>
      </c>
      <c r="J13" s="327">
        <f>ROUND(F13*H13,2)</f>
        <v>1995.55</v>
      </c>
      <c r="K13" s="219">
        <f>ROUND(G13+(G13*$H$5),2)</f>
        <v>1995.55</v>
      </c>
    </row>
    <row r="14" spans="1:14" s="219" customFormat="1" ht="25.5">
      <c r="A14" s="326" t="s">
        <v>171</v>
      </c>
      <c r="B14" s="221" t="s">
        <v>197</v>
      </c>
      <c r="C14" s="220" t="s">
        <v>255</v>
      </c>
      <c r="D14" s="221" t="s">
        <v>174</v>
      </c>
      <c r="E14" s="221" t="s">
        <v>186</v>
      </c>
      <c r="F14" s="323">
        <f>'MEMORIA DE CÁLCULO'!I24</f>
        <v>1</v>
      </c>
      <c r="G14" s="222">
        <f>'MOB E DESMOB'!N36</f>
        <v>16304.98</v>
      </c>
      <c r="H14" s="222">
        <f>ROUND(G14*(1+$H$5),2)</f>
        <v>20728.52</v>
      </c>
      <c r="I14" s="222">
        <f>ROUND(F14*G14,2)</f>
        <v>16304.98</v>
      </c>
      <c r="J14" s="327">
        <f>ROUND(F14*H14,2)</f>
        <v>20728.52</v>
      </c>
    </row>
    <row r="15" spans="1:14" s="219" customFormat="1">
      <c r="A15" s="324" t="s">
        <v>3</v>
      </c>
      <c r="B15" s="356" t="s">
        <v>245</v>
      </c>
      <c r="C15" s="356"/>
      <c r="D15" s="356"/>
      <c r="E15" s="356"/>
      <c r="F15" s="356"/>
      <c r="G15" s="356"/>
      <c r="H15" s="356"/>
      <c r="I15" s="218">
        <f>ROUND(SUM(I16:I16),2)</f>
        <v>8851.7999999999993</v>
      </c>
      <c r="J15" s="325">
        <f>ROUND(SUM(J16:J16),2)</f>
        <v>11253.29</v>
      </c>
      <c r="N15" s="322">
        <f>(4/100)*J11</f>
        <v>9230.9536000000007</v>
      </c>
    </row>
    <row r="16" spans="1:14" s="219" customFormat="1" ht="25.5">
      <c r="A16" s="326" t="s">
        <v>172</v>
      </c>
      <c r="B16" s="221" t="s">
        <v>173</v>
      </c>
      <c r="C16" s="220" t="str">
        <f>CPU!B3</f>
        <v xml:space="preserve">ADMINISTRAÇÃO LOCAL DE OBRAS, COMPOSTO DE ENGENHEIRO CIVIL E ENCARREGADO GERAL​ </v>
      </c>
      <c r="D16" s="221" t="s">
        <v>174</v>
      </c>
      <c r="E16" s="221" t="s">
        <v>186</v>
      </c>
      <c r="F16" s="323">
        <f>'MEMORIA DE CÁLCULO'!I34</f>
        <v>1</v>
      </c>
      <c r="G16" s="222">
        <f>CPU!G8</f>
        <v>8851.7999999999993</v>
      </c>
      <c r="H16" s="222">
        <f>ROUND(G16*(1+$H$5),2)</f>
        <v>11253.29</v>
      </c>
      <c r="I16" s="222">
        <f>ROUND(F16*G16,2)</f>
        <v>8851.7999999999993</v>
      </c>
      <c r="J16" s="327">
        <f>ROUND(F16*H16,2)</f>
        <v>11253.29</v>
      </c>
    </row>
    <row r="17" spans="1:12" s="219" customFormat="1">
      <c r="A17" s="324" t="s">
        <v>4</v>
      </c>
      <c r="B17" s="356" t="s">
        <v>241</v>
      </c>
      <c r="C17" s="356"/>
      <c r="D17" s="356"/>
      <c r="E17" s="356"/>
      <c r="F17" s="356"/>
      <c r="G17" s="356"/>
      <c r="H17" s="356"/>
      <c r="I17" s="218">
        <f>ROUND(SUM(I18:I27),2)</f>
        <v>40636.31</v>
      </c>
      <c r="J17" s="325">
        <f>ROUND(SUM(J18:J27),2)</f>
        <v>51634.23</v>
      </c>
    </row>
    <row r="18" spans="1:12" s="219" customFormat="1" ht="25.5">
      <c r="A18" s="326" t="s">
        <v>175</v>
      </c>
      <c r="B18" s="221" t="s">
        <v>328</v>
      </c>
      <c r="C18" s="220" t="s">
        <v>327</v>
      </c>
      <c r="D18" s="221" t="s">
        <v>170</v>
      </c>
      <c r="E18" s="221" t="s">
        <v>186</v>
      </c>
      <c r="F18" s="323">
        <f>'MEMORIA DE CÁLCULO'!I43</f>
        <v>23</v>
      </c>
      <c r="G18" s="222">
        <v>47.36</v>
      </c>
      <c r="H18" s="222">
        <f t="shared" ref="H18:H27" si="0">ROUND(G18*(1+$H$5),2)</f>
        <v>60.21</v>
      </c>
      <c r="I18" s="222">
        <f t="shared" ref="I18:I27" si="1">ROUND(F18*G18,2)</f>
        <v>1089.28</v>
      </c>
      <c r="J18" s="327">
        <f>ROUND(F18*H18,2)</f>
        <v>1384.83</v>
      </c>
    </row>
    <row r="19" spans="1:12" s="219" customFormat="1" ht="25.5">
      <c r="A19" s="326" t="s">
        <v>177</v>
      </c>
      <c r="B19" s="221">
        <v>101126</v>
      </c>
      <c r="C19" s="220" t="s">
        <v>347</v>
      </c>
      <c r="D19" s="221" t="s">
        <v>178</v>
      </c>
      <c r="E19" s="221" t="s">
        <v>182</v>
      </c>
      <c r="F19" s="323">
        <f>'MEMORIA DE CÁLCULO'!I50</f>
        <v>217.35</v>
      </c>
      <c r="G19" s="222">
        <v>13.17</v>
      </c>
      <c r="H19" s="222">
        <f t="shared" si="0"/>
        <v>16.739999999999998</v>
      </c>
      <c r="I19" s="222">
        <f t="shared" si="1"/>
        <v>2862.5</v>
      </c>
      <c r="J19" s="327">
        <f>ROUND(F19*H19,2)</f>
        <v>3638.44</v>
      </c>
      <c r="L19" s="223" t="e">
        <f>ROUND(SUM(J13+J14+J18+J19+J20+J21+J22+J25+J27+J26+J28+J30+J32+#REF!),2)</f>
        <v>#REF!</v>
      </c>
    </row>
    <row r="20" spans="1:12" s="219" customFormat="1" ht="38.25">
      <c r="A20" s="326" t="s">
        <v>179</v>
      </c>
      <c r="B20" s="221">
        <v>100978</v>
      </c>
      <c r="C20" s="220" t="s">
        <v>229</v>
      </c>
      <c r="D20" s="221" t="s">
        <v>178</v>
      </c>
      <c r="E20" s="221" t="s">
        <v>182</v>
      </c>
      <c r="F20" s="323">
        <f>'MEMORIA DE CÁLCULO'!I57</f>
        <v>271.69</v>
      </c>
      <c r="G20" s="222">
        <v>7.39</v>
      </c>
      <c r="H20" s="222">
        <f t="shared" si="0"/>
        <v>9.39</v>
      </c>
      <c r="I20" s="222">
        <f t="shared" si="1"/>
        <v>2007.79</v>
      </c>
      <c r="J20" s="327">
        <f t="shared" ref="J20:J27" si="2">ROUND(F20*H20,2)</f>
        <v>2551.17</v>
      </c>
    </row>
    <row r="21" spans="1:12" s="219" customFormat="1" ht="25.5">
      <c r="A21" s="326" t="s">
        <v>181</v>
      </c>
      <c r="B21" s="221">
        <v>95876</v>
      </c>
      <c r="C21" s="220" t="s">
        <v>353</v>
      </c>
      <c r="D21" s="221" t="s">
        <v>178</v>
      </c>
      <c r="E21" s="221" t="s">
        <v>244</v>
      </c>
      <c r="F21" s="323">
        <f>'MEMORIA DE CÁLCULO'!I64</f>
        <v>5922.79</v>
      </c>
      <c r="G21" s="222">
        <v>2.7</v>
      </c>
      <c r="H21" s="222">
        <f t="shared" si="0"/>
        <v>3.43</v>
      </c>
      <c r="I21" s="222">
        <f t="shared" si="1"/>
        <v>15991.53</v>
      </c>
      <c r="J21" s="327">
        <f t="shared" si="2"/>
        <v>20315.169999999998</v>
      </c>
    </row>
    <row r="22" spans="1:12" s="219" customFormat="1">
      <c r="A22" s="326" t="s">
        <v>183</v>
      </c>
      <c r="B22" s="221">
        <v>4011209</v>
      </c>
      <c r="C22" s="220" t="s">
        <v>234</v>
      </c>
      <c r="D22" s="221" t="s">
        <v>339</v>
      </c>
      <c r="E22" s="221" t="s">
        <v>176</v>
      </c>
      <c r="F22" s="323">
        <f>'MEMORIA DE CÁLCULO'!I71</f>
        <v>1035</v>
      </c>
      <c r="G22" s="222">
        <v>1.88</v>
      </c>
      <c r="H22" s="222">
        <f t="shared" si="0"/>
        <v>2.39</v>
      </c>
      <c r="I22" s="222">
        <f t="shared" si="1"/>
        <v>1945.8</v>
      </c>
      <c r="J22" s="327">
        <f t="shared" si="2"/>
        <v>2473.65</v>
      </c>
    </row>
    <row r="23" spans="1:12" s="219" customFormat="1" ht="25.5">
      <c r="A23" s="326" t="s">
        <v>184</v>
      </c>
      <c r="B23" s="221">
        <v>101126</v>
      </c>
      <c r="C23" s="220" t="s">
        <v>348</v>
      </c>
      <c r="D23" s="221" t="s">
        <v>178</v>
      </c>
      <c r="E23" s="221" t="s">
        <v>182</v>
      </c>
      <c r="F23" s="323">
        <f>'MEMORIA DE CÁLCULO'!I78</f>
        <v>155.25</v>
      </c>
      <c r="G23" s="222">
        <v>13.17</v>
      </c>
      <c r="H23" s="222">
        <f t="shared" si="0"/>
        <v>16.739999999999998</v>
      </c>
      <c r="I23" s="222">
        <f>ROUND(F23*G23,2)</f>
        <v>2044.64</v>
      </c>
      <c r="J23" s="327">
        <f>ROUND(F23*H23,2)</f>
        <v>2598.89</v>
      </c>
      <c r="L23" s="223">
        <f>ROUND(SUM(J19+J20+J22+J23+J24+J25+J26+J29+J31+J30+J32+J33+J36+J37),2)</f>
        <v>726490.45</v>
      </c>
    </row>
    <row r="24" spans="1:12" s="219" customFormat="1" ht="38.25">
      <c r="A24" s="326" t="s">
        <v>185</v>
      </c>
      <c r="B24" s="221">
        <v>100978</v>
      </c>
      <c r="C24" s="220" t="s">
        <v>229</v>
      </c>
      <c r="D24" s="221" t="s">
        <v>178</v>
      </c>
      <c r="E24" s="221" t="s">
        <v>182</v>
      </c>
      <c r="F24" s="323">
        <f>'MEMORIA DE CÁLCULO'!I85</f>
        <v>194.06</v>
      </c>
      <c r="G24" s="222">
        <v>7.39</v>
      </c>
      <c r="H24" s="222">
        <f t="shared" si="0"/>
        <v>9.39</v>
      </c>
      <c r="I24" s="222">
        <f>ROUND(F24*G24,2)</f>
        <v>1434.1</v>
      </c>
      <c r="J24" s="327">
        <f>ROUND(F24*H24,2)</f>
        <v>1822.22</v>
      </c>
    </row>
    <row r="25" spans="1:12" s="219" customFormat="1" ht="25.5">
      <c r="A25" s="326" t="s">
        <v>187</v>
      </c>
      <c r="B25" s="221">
        <v>95876</v>
      </c>
      <c r="C25" s="220" t="s">
        <v>353</v>
      </c>
      <c r="D25" s="221" t="s">
        <v>178</v>
      </c>
      <c r="E25" s="221" t="s">
        <v>244</v>
      </c>
      <c r="F25" s="323">
        <f>'MEMORIA DE CÁLCULO'!I92</f>
        <v>3784.22</v>
      </c>
      <c r="G25" s="222">
        <v>2.7</v>
      </c>
      <c r="H25" s="222">
        <f t="shared" si="0"/>
        <v>3.43</v>
      </c>
      <c r="I25" s="222">
        <f t="shared" si="1"/>
        <v>10217.39</v>
      </c>
      <c r="J25" s="327">
        <f t="shared" si="2"/>
        <v>12979.87</v>
      </c>
    </row>
    <row r="26" spans="1:12" s="219" customFormat="1">
      <c r="A26" s="326" t="s">
        <v>188</v>
      </c>
      <c r="B26" s="221">
        <v>100574</v>
      </c>
      <c r="C26" s="220" t="s">
        <v>235</v>
      </c>
      <c r="D26" s="221" t="s">
        <v>178</v>
      </c>
      <c r="E26" s="221" t="s">
        <v>182</v>
      </c>
      <c r="F26" s="323">
        <f>'MEMORIA DE CÁLCULO'!I99</f>
        <v>194.06</v>
      </c>
      <c r="G26" s="222">
        <v>1.53</v>
      </c>
      <c r="H26" s="222">
        <f t="shared" si="0"/>
        <v>1.95</v>
      </c>
      <c r="I26" s="222">
        <f t="shared" si="1"/>
        <v>296.91000000000003</v>
      </c>
      <c r="J26" s="327">
        <f t="shared" si="2"/>
        <v>378.42</v>
      </c>
    </row>
    <row r="27" spans="1:12" s="219" customFormat="1" ht="25.5">
      <c r="A27" s="326" t="s">
        <v>189</v>
      </c>
      <c r="B27" s="221">
        <v>4011219</v>
      </c>
      <c r="C27" s="220" t="s">
        <v>236</v>
      </c>
      <c r="D27" s="221" t="s">
        <v>339</v>
      </c>
      <c r="E27" s="221" t="s">
        <v>182</v>
      </c>
      <c r="F27" s="323">
        <f>'MEMORIA DE CÁLCULO'!I106</f>
        <v>155.25</v>
      </c>
      <c r="G27" s="222">
        <v>17.690000000000001</v>
      </c>
      <c r="H27" s="222">
        <f t="shared" si="0"/>
        <v>22.49</v>
      </c>
      <c r="I27" s="222">
        <f t="shared" si="1"/>
        <v>2746.37</v>
      </c>
      <c r="J27" s="327">
        <f t="shared" si="2"/>
        <v>3491.57</v>
      </c>
    </row>
    <row r="28" spans="1:12" s="219" customFormat="1">
      <c r="A28" s="326" t="s">
        <v>190</v>
      </c>
      <c r="B28" s="221" t="s">
        <v>340</v>
      </c>
      <c r="C28" s="220" t="s">
        <v>254</v>
      </c>
      <c r="D28" s="221" t="s">
        <v>340</v>
      </c>
      <c r="E28" s="221" t="s">
        <v>182</v>
      </c>
      <c r="F28" s="323">
        <f>'MEMORIA DE CÁLCULO'!I113</f>
        <v>155.25</v>
      </c>
      <c r="G28" s="357" t="s">
        <v>248</v>
      </c>
      <c r="H28" s="358"/>
      <c r="I28" s="358"/>
      <c r="J28" s="359"/>
    </row>
    <row r="29" spans="1:12" s="219" customFormat="1">
      <c r="A29" s="324" t="s">
        <v>39</v>
      </c>
      <c r="B29" s="356" t="s">
        <v>341</v>
      </c>
      <c r="C29" s="356"/>
      <c r="D29" s="356"/>
      <c r="E29" s="356"/>
      <c r="F29" s="356"/>
      <c r="G29" s="356"/>
      <c r="H29" s="356"/>
      <c r="I29" s="218">
        <f>ROUND(SUM(I30),2)</f>
        <v>93636</v>
      </c>
      <c r="J29" s="325">
        <f>ROUND(SUM(J30),2)</f>
        <v>119043</v>
      </c>
    </row>
    <row r="30" spans="1:12" s="219" customFormat="1" ht="25.5">
      <c r="A30" s="326" t="s">
        <v>191</v>
      </c>
      <c r="B30" s="221">
        <v>92394</v>
      </c>
      <c r="C30" s="220" t="s">
        <v>249</v>
      </c>
      <c r="D30" s="221" t="s">
        <v>178</v>
      </c>
      <c r="E30" s="221" t="s">
        <v>176</v>
      </c>
      <c r="F30" s="323">
        <f>'MEMORIA DE CÁLCULO'!I122</f>
        <v>900</v>
      </c>
      <c r="G30" s="222">
        <v>104.04</v>
      </c>
      <c r="H30" s="222">
        <f>ROUND(G30*(1+$H$5),2)</f>
        <v>132.27000000000001</v>
      </c>
      <c r="I30" s="222">
        <f>ROUND(F30*G30,2)</f>
        <v>93636</v>
      </c>
      <c r="J30" s="327">
        <f>ROUND(F30*H30,2)</f>
        <v>119043</v>
      </c>
    </row>
    <row r="31" spans="1:12" s="219" customFormat="1">
      <c r="A31" s="324" t="s">
        <v>63</v>
      </c>
      <c r="B31" s="356" t="s">
        <v>247</v>
      </c>
      <c r="C31" s="356"/>
      <c r="D31" s="356"/>
      <c r="E31" s="356"/>
      <c r="F31" s="356"/>
      <c r="G31" s="356"/>
      <c r="H31" s="356"/>
      <c r="I31" s="218">
        <f>ROUND(SUM(I32:I34),2)</f>
        <v>20544.62</v>
      </c>
      <c r="J31" s="325">
        <f>ROUND(SUM(J32:J34),2)</f>
        <v>26119.25</v>
      </c>
    </row>
    <row r="32" spans="1:12" s="219" customFormat="1" ht="38.25">
      <c r="A32" s="326" t="s">
        <v>192</v>
      </c>
      <c r="B32" s="221">
        <v>94267</v>
      </c>
      <c r="C32" s="220" t="s">
        <v>354</v>
      </c>
      <c r="D32" s="221" t="s">
        <v>178</v>
      </c>
      <c r="E32" s="221" t="s">
        <v>180</v>
      </c>
      <c r="F32" s="323">
        <f>'MEMORIA DE CÁLCULO'!I131</f>
        <v>235.68</v>
      </c>
      <c r="G32" s="222">
        <v>61.58</v>
      </c>
      <c r="H32" s="222">
        <f>ROUND(G32*(1+$H$5),2)</f>
        <v>78.290000000000006</v>
      </c>
      <c r="I32" s="222">
        <f>ROUND(F32*G32,2)</f>
        <v>14513.17</v>
      </c>
      <c r="J32" s="327">
        <f>ROUND(F32*H32,2)</f>
        <v>18451.39</v>
      </c>
    </row>
    <row r="33" spans="1:12" s="219" customFormat="1" ht="38.25">
      <c r="A33" s="326" t="s">
        <v>193</v>
      </c>
      <c r="B33" s="221" t="s">
        <v>196</v>
      </c>
      <c r="C33" s="220" t="s">
        <v>117</v>
      </c>
      <c r="D33" s="221" t="s">
        <v>170</v>
      </c>
      <c r="E33" s="221" t="s">
        <v>180</v>
      </c>
      <c r="F33" s="323">
        <f>'MEMORIA DE CÁLCULO'!I138</f>
        <v>27.48</v>
      </c>
      <c r="G33" s="222">
        <v>145.24</v>
      </c>
      <c r="H33" s="222">
        <f>ROUND(G33*(1+$H$5),2)</f>
        <v>184.64</v>
      </c>
      <c r="I33" s="222">
        <f>ROUND(F33*G33,2)</f>
        <v>3991.2</v>
      </c>
      <c r="J33" s="327">
        <f>ROUND(F33*H33,2)</f>
        <v>5073.91</v>
      </c>
    </row>
    <row r="34" spans="1:12" s="219" customFormat="1" ht="25.5">
      <c r="A34" s="326" t="s">
        <v>194</v>
      </c>
      <c r="B34" s="221" t="s">
        <v>361</v>
      </c>
      <c r="C34" s="220" t="s">
        <v>362</v>
      </c>
      <c r="D34" s="221" t="s">
        <v>178</v>
      </c>
      <c r="E34" s="221" t="s">
        <v>180</v>
      </c>
      <c r="F34" s="323">
        <f>'MEMORIA DE CÁLCULO'!I145</f>
        <v>43.53</v>
      </c>
      <c r="G34" s="222">
        <v>46.87</v>
      </c>
      <c r="H34" s="222">
        <f>ROUND(G34*(1+$H$5),2)</f>
        <v>59.59</v>
      </c>
      <c r="I34" s="222">
        <f>ROUND(F34*G34,2)</f>
        <v>2040.25</v>
      </c>
      <c r="J34" s="327">
        <f>ROUND(F34*H34,2)</f>
        <v>2593.9499999999998</v>
      </c>
    </row>
    <row r="35" spans="1:12" s="219" customFormat="1">
      <c r="A35" s="328"/>
      <c r="B35" s="329"/>
      <c r="C35" s="329"/>
      <c r="D35" s="329"/>
      <c r="E35" s="329"/>
      <c r="F35" s="330"/>
      <c r="G35" s="329"/>
      <c r="H35" s="350" t="s">
        <v>198</v>
      </c>
      <c r="I35" s="350"/>
      <c r="J35" s="331">
        <f>J37-J36</f>
        <v>49230.44</v>
      </c>
    </row>
    <row r="36" spans="1:12" s="219" customFormat="1">
      <c r="A36" s="328"/>
      <c r="B36" s="329"/>
      <c r="C36" s="329"/>
      <c r="D36" s="329"/>
      <c r="E36" s="329"/>
      <c r="F36" s="330"/>
      <c r="G36" s="329"/>
      <c r="H36" s="350" t="s">
        <v>199</v>
      </c>
      <c r="I36" s="350"/>
      <c r="J36" s="331">
        <f>ROUND(I31+I29+I17+I12+I15,2)</f>
        <v>181543.4</v>
      </c>
      <c r="L36" s="332">
        <f>J37/F30</f>
        <v>256.41537777777779</v>
      </c>
    </row>
    <row r="37" spans="1:12" s="219" customFormat="1">
      <c r="A37" s="328"/>
      <c r="B37" s="329"/>
      <c r="C37" s="260"/>
      <c r="D37" s="329"/>
      <c r="E37" s="329"/>
      <c r="F37" s="330"/>
      <c r="G37" s="329"/>
      <c r="H37" s="350" t="s">
        <v>200</v>
      </c>
      <c r="I37" s="350"/>
      <c r="J37" s="339">
        <f>ROUND(J31+J29+J17+J12+J15,2)</f>
        <v>230773.84</v>
      </c>
    </row>
    <row r="38" spans="1:12">
      <c r="A38" s="128"/>
      <c r="F38" s="167"/>
      <c r="J38" s="129"/>
    </row>
    <row r="39" spans="1:12">
      <c r="A39" s="128"/>
      <c r="F39" s="167"/>
      <c r="J39" s="129"/>
    </row>
    <row r="40" spans="1:12">
      <c r="A40" s="128"/>
      <c r="F40" s="167"/>
      <c r="J40" s="129"/>
    </row>
    <row r="41" spans="1:12" s="47" customFormat="1">
      <c r="A41" s="69"/>
      <c r="B41" s="351" t="s">
        <v>109</v>
      </c>
      <c r="C41" s="351"/>
      <c r="D41" s="56"/>
      <c r="E41" s="56"/>
      <c r="F41" s="352" t="s">
        <v>110</v>
      </c>
      <c r="G41" s="352"/>
      <c r="H41" s="352"/>
      <c r="I41" s="58"/>
      <c r="J41" s="70"/>
    </row>
    <row r="42" spans="1:12" s="47" customFormat="1">
      <c r="A42" s="76"/>
      <c r="B42" s="352" t="s">
        <v>118</v>
      </c>
      <c r="C42" s="352"/>
      <c r="D42" s="55"/>
      <c r="F42" s="353" t="s">
        <v>70</v>
      </c>
      <c r="G42" s="353"/>
      <c r="H42" s="353"/>
      <c r="J42" s="70"/>
    </row>
    <row r="43" spans="1:12" s="47" customFormat="1">
      <c r="A43" s="76"/>
      <c r="B43" s="354" t="s">
        <v>119</v>
      </c>
      <c r="C43" s="354"/>
      <c r="D43" s="125"/>
      <c r="F43" s="355" t="s">
        <v>93</v>
      </c>
      <c r="G43" s="355"/>
      <c r="H43" s="355"/>
      <c r="J43" s="70"/>
    </row>
    <row r="44" spans="1:12" ht="13.5" thickBot="1">
      <c r="A44" s="130"/>
      <c r="B44" s="131"/>
      <c r="C44" s="131"/>
      <c r="D44" s="131"/>
      <c r="E44" s="131"/>
      <c r="F44" s="168"/>
      <c r="G44" s="131"/>
      <c r="H44" s="131"/>
      <c r="I44" s="131"/>
      <c r="J44" s="132"/>
    </row>
  </sheetData>
  <mergeCells count="36">
    <mergeCell ref="B4:E4"/>
    <mergeCell ref="F4:I4"/>
    <mergeCell ref="A1:J1"/>
    <mergeCell ref="A2:E2"/>
    <mergeCell ref="F2:H2"/>
    <mergeCell ref="F3:J3"/>
    <mergeCell ref="B3:E3"/>
    <mergeCell ref="B5:E5"/>
    <mergeCell ref="F5:G5"/>
    <mergeCell ref="H5:I5"/>
    <mergeCell ref="A6:J6"/>
    <mergeCell ref="A9:A10"/>
    <mergeCell ref="B9:B10"/>
    <mergeCell ref="C9:C10"/>
    <mergeCell ref="D9:D10"/>
    <mergeCell ref="E9:E10"/>
    <mergeCell ref="F9:F10"/>
    <mergeCell ref="B15:H15"/>
    <mergeCell ref="A7:J7"/>
    <mergeCell ref="B43:C43"/>
    <mergeCell ref="F43:H43"/>
    <mergeCell ref="G9:H9"/>
    <mergeCell ref="I9:J9"/>
    <mergeCell ref="B41:C41"/>
    <mergeCell ref="B11:H11"/>
    <mergeCell ref="B12:H12"/>
    <mergeCell ref="H37:I37"/>
    <mergeCell ref="G28:J28"/>
    <mergeCell ref="F41:H41"/>
    <mergeCell ref="B42:C42"/>
    <mergeCell ref="F42:H42"/>
    <mergeCell ref="B17:H17"/>
    <mergeCell ref="B29:H29"/>
    <mergeCell ref="B31:H31"/>
    <mergeCell ref="H35:I35"/>
    <mergeCell ref="H36:I36"/>
  </mergeCells>
  <phoneticPr fontId="3" type="noConversion"/>
  <pageMargins left="0.39370078740157483" right="0.39370078740157483" top="0.39370078740157483" bottom="0.39370078740157483" header="0.31496062992125984" footer="0.31496062992125984"/>
  <pageSetup paperSize="9" scale="58" fitToHeight="0" orientation="landscape" r:id="rId1"/>
  <headerFooter>
    <oddFooter>Página &amp;P de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B37D0-C76E-450C-A916-33255960E85F}">
  <sheetPr>
    <tabColor theme="9" tint="0.59999389629810485"/>
    <pageSetUpPr fitToPage="1"/>
  </sheetPr>
  <dimension ref="A1:K259"/>
  <sheetViews>
    <sheetView showGridLines="0" view="pageBreakPreview" zoomScale="70" zoomScaleNormal="70" zoomScaleSheetLayoutView="70" workbookViewId="0">
      <selection activeCell="D140" sqref="D140:J141"/>
    </sheetView>
  </sheetViews>
  <sheetFormatPr defaultColWidth="8.85546875" defaultRowHeight="12.75"/>
  <cols>
    <col min="1" max="1" width="17.140625" style="47" customWidth="1"/>
    <col min="2" max="2" width="19.85546875" style="47" customWidth="1"/>
    <col min="3" max="3" width="57.7109375" style="47" customWidth="1"/>
    <col min="4" max="7" width="24.28515625" style="47" customWidth="1"/>
    <col min="8" max="8" width="23.85546875" style="47" customWidth="1"/>
    <col min="9" max="9" width="23.7109375" style="47" customWidth="1"/>
    <col min="10" max="10" width="16.42578125" style="47" customWidth="1"/>
    <col min="11" max="16384" width="8.85546875" style="47"/>
  </cols>
  <sheetData>
    <row r="1" spans="1:10" ht="69.400000000000006" customHeight="1">
      <c r="A1" s="396" t="s">
        <v>11</v>
      </c>
      <c r="B1" s="397"/>
      <c r="C1" s="397"/>
      <c r="D1" s="397"/>
      <c r="E1" s="397"/>
      <c r="F1" s="397"/>
      <c r="G1" s="397"/>
      <c r="H1" s="397"/>
      <c r="I1" s="397"/>
      <c r="J1" s="398"/>
    </row>
    <row r="2" spans="1:10" ht="17.649999999999999" customHeight="1">
      <c r="A2" s="73" t="s">
        <v>17</v>
      </c>
      <c r="B2" s="399" t="str">
        <f>'PLANILHA ORÇAMENTARIA'!B3:E3</f>
        <v>CALÇAMENTO EM BLOCO SEXTAVADO DE VIA NA COMUNIDADE GOIABEIRAS, MUNICIPIO DE LAGOA DOS PATOS - MG.</v>
      </c>
      <c r="C2" s="399"/>
      <c r="D2" s="399"/>
      <c r="E2" s="399"/>
      <c r="F2" s="399"/>
      <c r="G2" s="399"/>
      <c r="H2" s="399"/>
      <c r="I2" s="399"/>
      <c r="J2" s="400"/>
    </row>
    <row r="3" spans="1:10">
      <c r="A3" s="74" t="s">
        <v>18</v>
      </c>
      <c r="B3" s="399" t="str">
        <f>'PLANILHA ORÇAMENTARIA'!B4:E4</f>
        <v xml:space="preserve"> RUA PROJETA, COMUNIDADE GOIABEIRAS, MUNICIPIO DE LAGOA DOS PATOS - MG</v>
      </c>
      <c r="C3" s="399"/>
      <c r="D3" s="399"/>
      <c r="E3" s="399"/>
      <c r="F3" s="399"/>
      <c r="G3" s="399"/>
      <c r="H3" s="399"/>
      <c r="I3" s="399"/>
      <c r="J3" s="400"/>
    </row>
    <row r="4" spans="1:10" ht="17.649999999999999" customHeight="1">
      <c r="A4" s="75" t="s">
        <v>22</v>
      </c>
      <c r="B4" s="401" t="str">
        <f>'PLANILHA ORÇAMENTARIA'!B5:E5</f>
        <v xml:space="preserve">SINAPI -06/2026 - DESONERADO / SICOR - 04/2026 - NORTE DESONERADO  / SICRO/DNIT - 04/2026 - DESONERADO </v>
      </c>
      <c r="C4" s="401"/>
      <c r="D4" s="401"/>
      <c r="E4" s="401"/>
      <c r="F4" s="401"/>
      <c r="G4" s="401"/>
      <c r="H4" s="401"/>
      <c r="I4" s="401"/>
      <c r="J4" s="402"/>
    </row>
    <row r="5" spans="1:10">
      <c r="A5" s="403"/>
      <c r="B5" s="404"/>
      <c r="C5" s="404"/>
      <c r="D5" s="404"/>
      <c r="E5" s="404"/>
      <c r="F5" s="404"/>
      <c r="G5" s="404"/>
      <c r="H5" s="404"/>
      <c r="I5" s="404"/>
      <c r="J5" s="405"/>
    </row>
    <row r="6" spans="1:10">
      <c r="A6" s="68"/>
      <c r="B6" s="418" t="str">
        <f>B2</f>
        <v>CALÇAMENTO EM BLOCO SEXTAVADO DE VIA NA COMUNIDADE GOIABEIRAS, MUNICIPIO DE LAGOA DOS PATOS - MG.</v>
      </c>
      <c r="C6" s="419"/>
      <c r="D6" s="419"/>
      <c r="E6" s="419"/>
      <c r="F6" s="419"/>
      <c r="G6" s="419"/>
      <c r="H6" s="419"/>
      <c r="I6" s="419"/>
      <c r="J6" s="420"/>
    </row>
    <row r="7" spans="1:10">
      <c r="A7" s="434"/>
      <c r="B7" s="435"/>
      <c r="C7" s="435"/>
      <c r="D7" s="435"/>
      <c r="E7" s="435"/>
      <c r="F7" s="435"/>
      <c r="G7" s="435"/>
      <c r="H7" s="435"/>
      <c r="I7" s="435"/>
      <c r="J7" s="436"/>
    </row>
    <row r="8" spans="1:10" s="337" customFormat="1">
      <c r="A8" s="336">
        <v>1</v>
      </c>
      <c r="B8" s="521" t="str">
        <f>B6</f>
        <v>CALÇAMENTO EM BLOCO SEXTAVADO DE VIA NA COMUNIDADE GOIABEIRAS, MUNICIPIO DE LAGOA DOS PATOS - MG.</v>
      </c>
      <c r="C8" s="522"/>
      <c r="D8" s="522"/>
      <c r="E8" s="522"/>
      <c r="F8" s="522"/>
      <c r="G8" s="522"/>
      <c r="H8" s="522"/>
      <c r="I8" s="522"/>
      <c r="J8" s="523"/>
    </row>
    <row r="9" spans="1:10" s="230" customFormat="1">
      <c r="A9" s="524"/>
      <c r="B9" s="525"/>
      <c r="C9" s="525"/>
      <c r="D9" s="525"/>
      <c r="E9" s="525"/>
      <c r="F9" s="525"/>
      <c r="G9" s="525"/>
      <c r="H9" s="525"/>
      <c r="I9" s="525"/>
      <c r="J9" s="526"/>
    </row>
    <row r="10" spans="1:10" s="230" customFormat="1" ht="16.149999999999999" customHeight="1">
      <c r="A10" s="196" t="s">
        <v>2</v>
      </c>
      <c r="B10" s="476" t="s">
        <v>24</v>
      </c>
      <c r="C10" s="476"/>
      <c r="D10" s="476"/>
      <c r="E10" s="476"/>
      <c r="F10" s="476"/>
      <c r="G10" s="476"/>
      <c r="H10" s="476"/>
      <c r="I10" s="476"/>
      <c r="J10" s="477"/>
    </row>
    <row r="11" spans="1:10" s="230" customFormat="1">
      <c r="A11" s="231"/>
      <c r="B11" s="263"/>
      <c r="C11" s="263"/>
      <c r="D11" s="264"/>
      <c r="E11" s="263"/>
      <c r="F11" s="263"/>
      <c r="G11" s="263"/>
      <c r="H11" s="263"/>
      <c r="I11" s="263"/>
      <c r="J11" s="232"/>
    </row>
    <row r="12" spans="1:10" s="230" customFormat="1" ht="19.5" customHeight="1">
      <c r="A12" s="197" t="s">
        <v>5</v>
      </c>
      <c r="B12" s="198"/>
      <c r="C12" s="442"/>
      <c r="D12" s="406" t="str">
        <f>'PLANILHA ORÇAMENTARIA'!C13</f>
        <v>FORNECIMENTO E COLOCAÇÃO DE PLACA DE OBRA EM CHAPA GALVANIZADA (3,00 X 1,5 0 M) - EM CHAPA GALVANIZADA 0,26 AFIXADAS COM REBITES 540 E PARAFUSOS 3/8, EM ESTRUTURA METÁLICA VIGA U 2" ENRIJECIDA COM METALON 20 X 20, SUPORTE EM EUCALIPTO AUTOCLAVADO PINTADAS</v>
      </c>
      <c r="E12" s="406"/>
      <c r="F12" s="406"/>
      <c r="G12" s="406"/>
      <c r="H12" s="406"/>
      <c r="I12" s="406"/>
      <c r="J12" s="407"/>
    </row>
    <row r="13" spans="1:10" s="230" customFormat="1" ht="23.25" customHeight="1">
      <c r="A13" s="197" t="s">
        <v>6</v>
      </c>
      <c r="B13" s="199"/>
      <c r="C13" s="443"/>
      <c r="D13" s="408"/>
      <c r="E13" s="408"/>
      <c r="F13" s="408"/>
      <c r="G13" s="408"/>
      <c r="H13" s="408"/>
      <c r="I13" s="408"/>
      <c r="J13" s="409"/>
    </row>
    <row r="14" spans="1:10" s="230" customFormat="1">
      <c r="A14" s="507" t="s">
        <v>222</v>
      </c>
      <c r="B14" s="508"/>
      <c r="C14" s="200"/>
      <c r="D14" s="421"/>
      <c r="E14" s="423"/>
      <c r="F14" s="423" t="s">
        <v>7</v>
      </c>
      <c r="G14" s="425"/>
      <c r="H14" s="416"/>
      <c r="I14" s="410" t="s">
        <v>225</v>
      </c>
      <c r="J14" s="412" t="s">
        <v>26</v>
      </c>
    </row>
    <row r="15" spans="1:10" s="230" customFormat="1">
      <c r="A15" s="509"/>
      <c r="B15" s="510"/>
      <c r="C15" s="201"/>
      <c r="D15" s="422"/>
      <c r="E15" s="424"/>
      <c r="F15" s="424"/>
      <c r="G15" s="425"/>
      <c r="H15" s="417"/>
      <c r="I15" s="411"/>
      <c r="J15" s="413"/>
    </row>
    <row r="16" spans="1:10" s="230" customFormat="1">
      <c r="A16" s="414" t="s">
        <v>223</v>
      </c>
      <c r="B16" s="415"/>
      <c r="C16" s="233"/>
      <c r="D16" s="234"/>
      <c r="E16" s="235"/>
      <c r="F16" s="235">
        <v>1</v>
      </c>
      <c r="G16" s="235"/>
      <c r="H16" s="236"/>
      <c r="I16" s="235">
        <v>1</v>
      </c>
      <c r="J16" s="437"/>
    </row>
    <row r="17" spans="1:10" s="230" customFormat="1">
      <c r="A17" s="439" t="s">
        <v>0</v>
      </c>
      <c r="B17" s="440"/>
      <c r="C17" s="440"/>
      <c r="D17" s="440"/>
      <c r="E17" s="440"/>
      <c r="F17" s="440"/>
      <c r="G17" s="440"/>
      <c r="H17" s="441"/>
      <c r="I17" s="202">
        <f>SUM(I16)</f>
        <v>1</v>
      </c>
      <c r="J17" s="438"/>
    </row>
    <row r="18" spans="1:10" s="230" customFormat="1">
      <c r="A18" s="227"/>
      <c r="B18" s="228"/>
      <c r="C18" s="228"/>
      <c r="D18" s="228"/>
      <c r="E18" s="228"/>
      <c r="F18" s="228"/>
      <c r="G18" s="228"/>
      <c r="H18" s="228"/>
      <c r="I18" s="228"/>
      <c r="J18" s="229"/>
    </row>
    <row r="19" spans="1:10" s="230" customFormat="1">
      <c r="A19" s="197" t="s">
        <v>5</v>
      </c>
      <c r="B19" s="198" t="s">
        <v>113</v>
      </c>
      <c r="C19" s="442"/>
      <c r="D19" s="406" t="str">
        <f>'PLANILHA ORÇAMENTARIA'!C14</f>
        <v>MOBILIZAÇÃO E DESMOBILIZAÇÃO DE OBRA</v>
      </c>
      <c r="E19" s="406"/>
      <c r="F19" s="406"/>
      <c r="G19" s="406"/>
      <c r="H19" s="406"/>
      <c r="I19" s="406"/>
      <c r="J19" s="407"/>
    </row>
    <row r="20" spans="1:10" s="230" customFormat="1">
      <c r="A20" s="197" t="s">
        <v>6</v>
      </c>
      <c r="B20" s="199"/>
      <c r="C20" s="443"/>
      <c r="D20" s="408"/>
      <c r="E20" s="408"/>
      <c r="F20" s="408"/>
      <c r="G20" s="408"/>
      <c r="H20" s="408"/>
      <c r="I20" s="408"/>
      <c r="J20" s="409"/>
    </row>
    <row r="21" spans="1:10" s="230" customFormat="1">
      <c r="A21" s="507" t="s">
        <v>222</v>
      </c>
      <c r="B21" s="508"/>
      <c r="C21" s="200"/>
      <c r="D21" s="421"/>
      <c r="E21" s="423"/>
      <c r="F21" s="423" t="s">
        <v>7</v>
      </c>
      <c r="G21" s="425"/>
      <c r="H21" s="416"/>
      <c r="I21" s="410" t="s">
        <v>225</v>
      </c>
      <c r="J21" s="412" t="s">
        <v>26</v>
      </c>
    </row>
    <row r="22" spans="1:10" s="230" customFormat="1">
      <c r="A22" s="509"/>
      <c r="B22" s="510"/>
      <c r="C22" s="201"/>
      <c r="D22" s="422"/>
      <c r="E22" s="424"/>
      <c r="F22" s="424"/>
      <c r="G22" s="425"/>
      <c r="H22" s="417"/>
      <c r="I22" s="411"/>
      <c r="J22" s="413"/>
    </row>
    <row r="23" spans="1:10" s="230" customFormat="1">
      <c r="A23" s="414" t="s">
        <v>256</v>
      </c>
      <c r="B23" s="415"/>
      <c r="C23" s="233"/>
      <c r="D23" s="234"/>
      <c r="E23" s="235"/>
      <c r="F23" s="235">
        <v>1</v>
      </c>
      <c r="G23" s="235"/>
      <c r="H23" s="236"/>
      <c r="I23" s="235">
        <v>1</v>
      </c>
      <c r="J23" s="437"/>
    </row>
    <row r="24" spans="1:10" s="230" customFormat="1">
      <c r="A24" s="439" t="s">
        <v>0</v>
      </c>
      <c r="B24" s="440"/>
      <c r="C24" s="440"/>
      <c r="D24" s="440"/>
      <c r="E24" s="440"/>
      <c r="F24" s="440"/>
      <c r="G24" s="440"/>
      <c r="H24" s="441"/>
      <c r="I24" s="202">
        <f>SUM(I23)</f>
        <v>1</v>
      </c>
      <c r="J24" s="438"/>
    </row>
    <row r="25" spans="1:10" s="230" customFormat="1">
      <c r="A25" s="211"/>
      <c r="B25" s="212"/>
      <c r="C25" s="212"/>
      <c r="D25" s="212"/>
      <c r="E25" s="212"/>
      <c r="F25" s="212"/>
      <c r="G25" s="212"/>
      <c r="H25" s="228"/>
      <c r="I25" s="228"/>
      <c r="J25" s="229"/>
    </row>
    <row r="26" spans="1:10" s="230" customFormat="1" ht="16.149999999999999" customHeight="1">
      <c r="A26" s="196" t="s">
        <v>3</v>
      </c>
      <c r="B26" s="476" t="str">
        <f>'PLANILHA ORÇAMENTARIA'!B15:H15</f>
        <v>ADMINISTRAÇÃO LOCAL DE OBRAS</v>
      </c>
      <c r="C26" s="476"/>
      <c r="D26" s="476"/>
      <c r="E26" s="476"/>
      <c r="F26" s="476"/>
      <c r="G26" s="476"/>
      <c r="H26" s="476"/>
      <c r="I26" s="476"/>
      <c r="J26" s="477"/>
    </row>
    <row r="27" spans="1:10" s="230" customFormat="1" ht="16.149999999999999" customHeight="1">
      <c r="A27" s="224"/>
      <c r="B27" s="225"/>
      <c r="C27" s="225"/>
      <c r="D27" s="225"/>
      <c r="E27" s="225"/>
      <c r="F27" s="225"/>
      <c r="G27" s="225"/>
      <c r="H27" s="225"/>
      <c r="I27" s="225"/>
      <c r="J27" s="226"/>
    </row>
    <row r="28" spans="1:10" s="230" customFormat="1">
      <c r="A28" s="197" t="s">
        <v>5</v>
      </c>
      <c r="B28" s="198" t="s">
        <v>113</v>
      </c>
      <c r="C28" s="442"/>
      <c r="D28" s="406" t="str">
        <f>'PLANILHA ORÇAMENTARIA'!C16</f>
        <v xml:space="preserve">ADMINISTRAÇÃO LOCAL DE OBRAS, COMPOSTO DE ENGENHEIRO CIVIL E ENCARREGADO GERAL​ </v>
      </c>
      <c r="E28" s="406"/>
      <c r="F28" s="406"/>
      <c r="G28" s="406"/>
      <c r="H28" s="406"/>
      <c r="I28" s="406"/>
      <c r="J28" s="407"/>
    </row>
    <row r="29" spans="1:10" s="230" customFormat="1">
      <c r="A29" s="197" t="s">
        <v>6</v>
      </c>
      <c r="B29" s="199"/>
      <c r="C29" s="443"/>
      <c r="D29" s="408"/>
      <c r="E29" s="408"/>
      <c r="F29" s="408"/>
      <c r="G29" s="408"/>
      <c r="H29" s="408"/>
      <c r="I29" s="408"/>
      <c r="J29" s="409"/>
    </row>
    <row r="30" spans="1:10" s="230" customFormat="1">
      <c r="A30" s="507" t="s">
        <v>222</v>
      </c>
      <c r="B30" s="508"/>
      <c r="C30" s="200"/>
      <c r="D30" s="527" t="s">
        <v>250</v>
      </c>
      <c r="E30" s="527" t="s">
        <v>251</v>
      </c>
      <c r="F30" s="527" t="s">
        <v>252</v>
      </c>
      <c r="G30" s="527" t="s">
        <v>253</v>
      </c>
      <c r="H30" s="416"/>
      <c r="I30" s="410" t="s">
        <v>225</v>
      </c>
      <c r="J30" s="412" t="s">
        <v>26</v>
      </c>
    </row>
    <row r="31" spans="1:10" s="230" customFormat="1">
      <c r="A31" s="509"/>
      <c r="B31" s="510"/>
      <c r="C31" s="201"/>
      <c r="D31" s="528"/>
      <c r="E31" s="528"/>
      <c r="F31" s="528"/>
      <c r="G31" s="528"/>
      <c r="H31" s="417"/>
      <c r="I31" s="411"/>
      <c r="J31" s="413"/>
    </row>
    <row r="32" spans="1:10" s="55" customFormat="1">
      <c r="A32" s="513" t="s">
        <v>116</v>
      </c>
      <c r="B32" s="514"/>
      <c r="C32" s="249"/>
      <c r="D32" s="250">
        <v>4</v>
      </c>
      <c r="E32" s="251">
        <v>4</v>
      </c>
      <c r="F32" s="251">
        <v>4</v>
      </c>
      <c r="G32" s="346">
        <v>2</v>
      </c>
      <c r="H32" s="251"/>
      <c r="I32" s="259">
        <f>D32*E32*F32*G32</f>
        <v>128</v>
      </c>
      <c r="J32" s="515"/>
    </row>
    <row r="33" spans="1:11" s="55" customFormat="1">
      <c r="A33" s="513" t="s">
        <v>246</v>
      </c>
      <c r="B33" s="514"/>
      <c r="C33" s="249"/>
      <c r="D33" s="250">
        <v>1</v>
      </c>
      <c r="E33" s="251">
        <v>2</v>
      </c>
      <c r="F33" s="251">
        <v>3</v>
      </c>
      <c r="G33" s="346">
        <v>2</v>
      </c>
      <c r="H33" s="251"/>
      <c r="I33" s="259">
        <f>D33*E33*F33*G33</f>
        <v>12</v>
      </c>
      <c r="J33" s="516"/>
    </row>
    <row r="34" spans="1:11" s="55" customFormat="1">
      <c r="A34" s="518" t="s">
        <v>0</v>
      </c>
      <c r="B34" s="519"/>
      <c r="C34" s="519"/>
      <c r="D34" s="519"/>
      <c r="E34" s="519"/>
      <c r="F34" s="519"/>
      <c r="G34" s="519"/>
      <c r="H34" s="520"/>
      <c r="I34" s="252">
        <v>1</v>
      </c>
      <c r="J34" s="517"/>
    </row>
    <row r="35" spans="1:11" s="230" customFormat="1" ht="12.75" customHeight="1">
      <c r="A35" s="203"/>
      <c r="B35" s="265"/>
      <c r="C35" s="265"/>
      <c r="D35" s="266"/>
      <c r="E35" s="267"/>
      <c r="F35" s="268"/>
      <c r="G35" s="268"/>
      <c r="H35" s="267"/>
      <c r="I35" s="267"/>
      <c r="J35" s="204"/>
    </row>
    <row r="36" spans="1:11" s="230" customFormat="1">
      <c r="A36" s="196" t="s">
        <v>4</v>
      </c>
      <c r="B36" s="476" t="str">
        <f>'PLANILHA ORÇAMENTARIA'!B17:H17</f>
        <v>TERRAPLANAGEM</v>
      </c>
      <c r="C36" s="476"/>
      <c r="D36" s="476"/>
      <c r="E36" s="476"/>
      <c r="F36" s="476"/>
      <c r="G36" s="476"/>
      <c r="H36" s="476"/>
      <c r="I36" s="476"/>
      <c r="J36" s="477"/>
    </row>
    <row r="37" spans="1:11" s="230" customFormat="1">
      <c r="A37" s="492"/>
      <c r="B37" s="493"/>
      <c r="C37" s="493"/>
      <c r="D37" s="493"/>
      <c r="E37" s="493"/>
      <c r="F37" s="493"/>
      <c r="G37" s="493"/>
      <c r="H37" s="493"/>
      <c r="I37" s="493"/>
      <c r="J37" s="494"/>
    </row>
    <row r="38" spans="1:11" s="230" customFormat="1">
      <c r="A38" s="197" t="s">
        <v>5</v>
      </c>
      <c r="B38" s="198"/>
      <c r="C38" s="205"/>
      <c r="D38" s="449" t="str">
        <f>'PLANILHA ORÇAMENTARIA'!C18</f>
        <v>LOCAÇÃO TOPOGRÁFICA ACIMA DE CINQUENTA (50) PONTOS REFERENCIAIS, INCLUSIVE ESTACA (PIQUETE) DE MARCAÇÃO</v>
      </c>
      <c r="E38" s="450"/>
      <c r="F38" s="450"/>
      <c r="G38" s="450"/>
      <c r="H38" s="450"/>
      <c r="I38" s="450"/>
      <c r="J38" s="451"/>
    </row>
    <row r="39" spans="1:11" s="230" customFormat="1">
      <c r="A39" s="197" t="s">
        <v>6</v>
      </c>
      <c r="B39" s="199"/>
      <c r="C39" s="237"/>
      <c r="D39" s="452"/>
      <c r="E39" s="453"/>
      <c r="F39" s="453"/>
      <c r="G39" s="453"/>
      <c r="H39" s="453"/>
      <c r="I39" s="453"/>
      <c r="J39" s="454"/>
    </row>
    <row r="40" spans="1:11" s="230" customFormat="1" ht="12.75" customHeight="1">
      <c r="A40" s="507" t="s">
        <v>222</v>
      </c>
      <c r="B40" s="508"/>
      <c r="C40" s="511"/>
      <c r="D40" s="421" t="s">
        <v>115</v>
      </c>
      <c r="E40" s="430" t="s">
        <v>224</v>
      </c>
      <c r="F40" s="423"/>
      <c r="G40" s="410" t="s">
        <v>7</v>
      </c>
      <c r="H40" s="410"/>
      <c r="I40" s="410" t="s">
        <v>225</v>
      </c>
      <c r="J40" s="412" t="s">
        <v>26</v>
      </c>
    </row>
    <row r="41" spans="1:11" s="230" customFormat="1">
      <c r="A41" s="509"/>
      <c r="B41" s="510"/>
      <c r="C41" s="512"/>
      <c r="D41" s="422"/>
      <c r="E41" s="431"/>
      <c r="F41" s="424"/>
      <c r="G41" s="411"/>
      <c r="H41" s="411"/>
      <c r="I41" s="411"/>
      <c r="J41" s="413"/>
    </row>
    <row r="42" spans="1:11" s="230" customFormat="1">
      <c r="A42" s="456" t="s">
        <v>357</v>
      </c>
      <c r="B42" s="457"/>
      <c r="C42" s="262"/>
      <c r="D42" s="239">
        <v>150</v>
      </c>
      <c r="E42" s="239">
        <v>20</v>
      </c>
      <c r="F42" s="210"/>
      <c r="G42" s="240">
        <v>3</v>
      </c>
      <c r="H42" s="210"/>
      <c r="I42" s="235">
        <f>ROUND(SUM((D42/E42)*G42),0)</f>
        <v>23</v>
      </c>
      <c r="J42" s="505"/>
    </row>
    <row r="43" spans="1:11" s="230" customFormat="1">
      <c r="A43" s="439" t="s">
        <v>0</v>
      </c>
      <c r="B43" s="440"/>
      <c r="C43" s="440"/>
      <c r="D43" s="440"/>
      <c r="E43" s="440"/>
      <c r="F43" s="440"/>
      <c r="G43" s="440"/>
      <c r="H43" s="441"/>
      <c r="I43" s="202">
        <f>ROUND(SUM(I42:I42),2)</f>
        <v>23</v>
      </c>
      <c r="J43" s="506"/>
    </row>
    <row r="44" spans="1:11" s="230" customFormat="1">
      <c r="A44" s="540"/>
      <c r="B44" s="541"/>
      <c r="C44" s="541"/>
      <c r="D44" s="541"/>
      <c r="E44" s="541"/>
      <c r="F44" s="541"/>
      <c r="G44" s="541"/>
      <c r="H44" s="541"/>
      <c r="I44" s="541"/>
      <c r="J44" s="542"/>
    </row>
    <row r="45" spans="1:11" s="230" customFormat="1">
      <c r="A45" s="197" t="s">
        <v>5</v>
      </c>
      <c r="B45" s="213"/>
      <c r="C45" s="205"/>
      <c r="D45" s="449" t="str">
        <f>'PLANILHA ORÇAMENTARIA'!C19</f>
        <v>ESCAVAÇÃO HORIZONTAL, INCLUINDO CARGA E DESCARGA EM SOLO DE 1A CATEGORIA COM TRATOR DE ESTEIRAS (170HP/LÂMINA: 5,20M3). AF_07/2020 (ESCAVAÇÃO NA VIA)</v>
      </c>
      <c r="E45" s="450"/>
      <c r="F45" s="450"/>
      <c r="G45" s="450"/>
      <c r="H45" s="450"/>
      <c r="I45" s="450"/>
      <c r="J45" s="451"/>
      <c r="K45" s="230">
        <f>I50/4</f>
        <v>54.337499999999999</v>
      </c>
    </row>
    <row r="46" spans="1:11" s="230" customFormat="1">
      <c r="A46" s="197" t="s">
        <v>6</v>
      </c>
      <c r="B46" s="199"/>
      <c r="C46" s="237"/>
      <c r="D46" s="452"/>
      <c r="E46" s="453"/>
      <c r="F46" s="453"/>
      <c r="G46" s="453"/>
      <c r="H46" s="453"/>
      <c r="I46" s="453"/>
      <c r="J46" s="454"/>
    </row>
    <row r="47" spans="1:11" s="230" customFormat="1">
      <c r="A47" s="426" t="s">
        <v>226</v>
      </c>
      <c r="B47" s="427"/>
      <c r="C47" s="200"/>
      <c r="D47" s="421" t="s">
        <v>115</v>
      </c>
      <c r="E47" s="423" t="s">
        <v>329</v>
      </c>
      <c r="F47" s="421" t="s">
        <v>114</v>
      </c>
      <c r="G47" s="423" t="s">
        <v>31</v>
      </c>
      <c r="H47" s="207" t="s">
        <v>7</v>
      </c>
      <c r="I47" s="430" t="s">
        <v>333</v>
      </c>
      <c r="J47" s="412" t="s">
        <v>26</v>
      </c>
    </row>
    <row r="48" spans="1:11" s="230" customFormat="1" ht="12.75" customHeight="1">
      <c r="A48" s="428"/>
      <c r="B48" s="491"/>
      <c r="C48" s="208"/>
      <c r="D48" s="422"/>
      <c r="E48" s="424"/>
      <c r="F48" s="422"/>
      <c r="G48" s="424"/>
      <c r="H48" s="209"/>
      <c r="I48" s="431"/>
      <c r="J48" s="413"/>
    </row>
    <row r="49" spans="1:10" s="230" customFormat="1">
      <c r="A49" s="456" t="str">
        <f>A42</f>
        <v>RUA PROJETADA</v>
      </c>
      <c r="B49" s="457"/>
      <c r="C49" s="238"/>
      <c r="D49" s="239">
        <f>D42</f>
        <v>150</v>
      </c>
      <c r="E49" s="239">
        <v>6.9</v>
      </c>
      <c r="F49" s="338"/>
      <c r="G49" s="239">
        <f>0.15+0.06</f>
        <v>0.21</v>
      </c>
      <c r="H49" s="240">
        <v>1</v>
      </c>
      <c r="I49" s="235">
        <f>ROUND(PRODUCT(D49:H49),2)</f>
        <v>217.35</v>
      </c>
      <c r="J49" s="500" t="s">
        <v>330</v>
      </c>
    </row>
    <row r="50" spans="1:10" s="230" customFormat="1">
      <c r="A50" s="439" t="s">
        <v>0</v>
      </c>
      <c r="B50" s="440"/>
      <c r="C50" s="440"/>
      <c r="D50" s="440"/>
      <c r="E50" s="440"/>
      <c r="F50" s="440"/>
      <c r="G50" s="440"/>
      <c r="H50" s="441"/>
      <c r="I50" s="202">
        <f>ROUND(SUM(I49:I49),2)</f>
        <v>217.35</v>
      </c>
      <c r="J50" s="501"/>
    </row>
    <row r="51" spans="1:10" s="230" customFormat="1">
      <c r="A51" s="497"/>
      <c r="B51" s="498"/>
      <c r="C51" s="498"/>
      <c r="D51" s="498"/>
      <c r="E51" s="498"/>
      <c r="F51" s="498"/>
      <c r="G51" s="498"/>
      <c r="H51" s="498"/>
      <c r="I51" s="498"/>
      <c r="J51" s="499"/>
    </row>
    <row r="52" spans="1:10" s="230" customFormat="1">
      <c r="A52" s="197" t="s">
        <v>5</v>
      </c>
      <c r="B52" s="213"/>
      <c r="C52" s="205"/>
      <c r="D52" s="503" t="str">
        <f>'PLANILHA ORÇAMENTARIA'!C20</f>
        <v>CARGA, MANOBRA E DESCARGA DE SOLOS E MATERIAIS GRANULARES EM CAMINHÃO BASCULANTE 14 M³ - CARGA COM ESCAVADEIRA HIDRÁULICA (CAÇAMBA DE 1,20 M³ / 155 HP) E DESCARGA LIVRE (UNIDADE: M3). AF_02/2026</v>
      </c>
      <c r="E52" s="469"/>
      <c r="F52" s="469"/>
      <c r="G52" s="469"/>
      <c r="H52" s="469"/>
      <c r="I52" s="469"/>
      <c r="J52" s="470"/>
    </row>
    <row r="53" spans="1:10" s="230" customFormat="1">
      <c r="A53" s="197" t="s">
        <v>6</v>
      </c>
      <c r="B53" s="199"/>
      <c r="C53" s="237"/>
      <c r="D53" s="471"/>
      <c r="E53" s="472"/>
      <c r="F53" s="472"/>
      <c r="G53" s="472"/>
      <c r="H53" s="472"/>
      <c r="I53" s="472"/>
      <c r="J53" s="473"/>
    </row>
    <row r="54" spans="1:10" s="230" customFormat="1">
      <c r="A54" s="426" t="s">
        <v>226</v>
      </c>
      <c r="B54" s="427"/>
      <c r="C54" s="504"/>
      <c r="D54" s="421" t="s">
        <v>115</v>
      </c>
      <c r="E54" s="423" t="s">
        <v>329</v>
      </c>
      <c r="F54" s="423" t="s">
        <v>31</v>
      </c>
      <c r="G54" s="495" t="s">
        <v>114</v>
      </c>
      <c r="H54" s="496" t="s">
        <v>230</v>
      </c>
      <c r="I54" s="430" t="s">
        <v>333</v>
      </c>
      <c r="J54" s="412" t="s">
        <v>26</v>
      </c>
    </row>
    <row r="55" spans="1:10" s="230" customFormat="1" ht="12.75" customHeight="1">
      <c r="A55" s="428"/>
      <c r="B55" s="429"/>
      <c r="C55" s="504"/>
      <c r="D55" s="422"/>
      <c r="E55" s="424"/>
      <c r="F55" s="424"/>
      <c r="G55" s="495"/>
      <c r="H55" s="496"/>
      <c r="I55" s="431"/>
      <c r="J55" s="413"/>
    </row>
    <row r="56" spans="1:10" s="230" customFormat="1">
      <c r="A56" s="456" t="str">
        <f>A49</f>
        <v>RUA PROJETADA</v>
      </c>
      <c r="B56" s="457"/>
      <c r="C56" s="238"/>
      <c r="D56" s="239">
        <f>D49</f>
        <v>150</v>
      </c>
      <c r="E56" s="239">
        <f>E49</f>
        <v>6.9</v>
      </c>
      <c r="F56" s="239">
        <f>G49</f>
        <v>0.21</v>
      </c>
      <c r="G56" s="273"/>
      <c r="H56" s="319">
        <v>0.25</v>
      </c>
      <c r="I56" s="235">
        <f>PRODUCT(D56:G56)*(1+H56)</f>
        <v>271.6875</v>
      </c>
      <c r="J56" s="500" t="s">
        <v>330</v>
      </c>
    </row>
    <row r="57" spans="1:10" s="230" customFormat="1">
      <c r="A57" s="439" t="s">
        <v>0</v>
      </c>
      <c r="B57" s="440"/>
      <c r="C57" s="440"/>
      <c r="D57" s="440"/>
      <c r="E57" s="440"/>
      <c r="F57" s="440"/>
      <c r="G57" s="440"/>
      <c r="H57" s="441"/>
      <c r="I57" s="202">
        <f>ROUND(SUM(I56:I56),2)</f>
        <v>271.69</v>
      </c>
      <c r="J57" s="501"/>
    </row>
    <row r="58" spans="1:10" s="230" customFormat="1">
      <c r="A58" s="497"/>
      <c r="B58" s="498"/>
      <c r="C58" s="498"/>
      <c r="D58" s="498"/>
      <c r="E58" s="498"/>
      <c r="F58" s="498"/>
      <c r="G58" s="498"/>
      <c r="H58" s="498"/>
      <c r="I58" s="498"/>
      <c r="J58" s="499"/>
    </row>
    <row r="59" spans="1:10" s="230" customFormat="1">
      <c r="A59" s="197" t="s">
        <v>5</v>
      </c>
      <c r="B59" s="213"/>
      <c r="C59" s="205"/>
      <c r="D59" s="449" t="str">
        <f>'PLANILHA ORÇAMENTARIA'!C21</f>
        <v>TRANSPORTE COM CAMINHÃO BASCULANTE DE 14 M³, EM VIA URBANA EM REVESTIMENTO PRIMÁRIO (UNIDADE: M3XKM). AF_02/2026</v>
      </c>
      <c r="E59" s="406"/>
      <c r="F59" s="406"/>
      <c r="G59" s="406"/>
      <c r="H59" s="406"/>
      <c r="I59" s="406"/>
      <c r="J59" s="407"/>
    </row>
    <row r="60" spans="1:10" s="230" customFormat="1">
      <c r="A60" s="197" t="s">
        <v>6</v>
      </c>
      <c r="B60" s="199"/>
      <c r="C60" s="237"/>
      <c r="D60" s="502"/>
      <c r="E60" s="408"/>
      <c r="F60" s="408"/>
      <c r="G60" s="408"/>
      <c r="H60" s="408"/>
      <c r="I60" s="408"/>
      <c r="J60" s="409"/>
    </row>
    <row r="61" spans="1:10" s="230" customFormat="1">
      <c r="A61" s="426" t="s">
        <v>226</v>
      </c>
      <c r="B61" s="427"/>
      <c r="C61" s="200"/>
      <c r="D61" s="430" t="s">
        <v>228</v>
      </c>
      <c r="E61" s="423"/>
      <c r="F61" s="423"/>
      <c r="G61" s="432" t="s">
        <v>231</v>
      </c>
      <c r="H61" s="496"/>
      <c r="I61" s="430" t="s">
        <v>232</v>
      </c>
      <c r="J61" s="412" t="s">
        <v>26</v>
      </c>
    </row>
    <row r="62" spans="1:10" s="230" customFormat="1" ht="12.75" customHeight="1">
      <c r="A62" s="428"/>
      <c r="B62" s="429"/>
      <c r="C62" s="201"/>
      <c r="D62" s="431"/>
      <c r="E62" s="424"/>
      <c r="F62" s="424"/>
      <c r="G62" s="433"/>
      <c r="H62" s="496"/>
      <c r="I62" s="431"/>
      <c r="J62" s="413"/>
    </row>
    <row r="63" spans="1:10" s="230" customFormat="1">
      <c r="A63" s="444" t="str">
        <f>A56</f>
        <v>RUA PROJETADA</v>
      </c>
      <c r="B63" s="445"/>
      <c r="C63" s="238"/>
      <c r="D63" s="239">
        <f>I56</f>
        <v>271.6875</v>
      </c>
      <c r="E63" s="239"/>
      <c r="F63" s="239"/>
      <c r="G63" s="215">
        <v>21.8</v>
      </c>
      <c r="H63" s="214"/>
      <c r="I63" s="235">
        <f>ROUND(PRODUCT(D63:H63),2)</f>
        <v>5922.79</v>
      </c>
      <c r="J63" s="447" t="s">
        <v>233</v>
      </c>
    </row>
    <row r="64" spans="1:10" s="230" customFormat="1">
      <c r="A64" s="439" t="s">
        <v>0</v>
      </c>
      <c r="B64" s="440"/>
      <c r="C64" s="440"/>
      <c r="D64" s="440"/>
      <c r="E64" s="440"/>
      <c r="F64" s="440"/>
      <c r="G64" s="440"/>
      <c r="H64" s="441"/>
      <c r="I64" s="202">
        <f>ROUND(SUM(I63:I63),2)</f>
        <v>5922.79</v>
      </c>
      <c r="J64" s="448"/>
    </row>
    <row r="65" spans="1:11" s="230" customFormat="1">
      <c r="A65" s="492"/>
      <c r="B65" s="493"/>
      <c r="C65" s="493"/>
      <c r="D65" s="493"/>
      <c r="E65" s="493"/>
      <c r="F65" s="493"/>
      <c r="G65" s="493"/>
      <c r="H65" s="493"/>
      <c r="I65" s="493"/>
      <c r="J65" s="494"/>
    </row>
    <row r="66" spans="1:11" s="230" customFormat="1">
      <c r="A66" s="197" t="s">
        <v>5</v>
      </c>
      <c r="B66" s="213"/>
      <c r="C66" s="205"/>
      <c r="D66" s="455" t="str">
        <f>'PLANILHA ORÇAMENTARIA'!C22</f>
        <v>Regularização do subleito - 100% Proctor intermediário</v>
      </c>
      <c r="E66" s="450"/>
      <c r="F66" s="450"/>
      <c r="G66" s="450"/>
      <c r="H66" s="450"/>
      <c r="I66" s="450"/>
      <c r="J66" s="451"/>
    </row>
    <row r="67" spans="1:11" s="230" customFormat="1">
      <c r="A67" s="197" t="s">
        <v>6</v>
      </c>
      <c r="B67" s="199"/>
      <c r="C67" s="237"/>
      <c r="D67" s="452"/>
      <c r="E67" s="453"/>
      <c r="F67" s="453"/>
      <c r="G67" s="453"/>
      <c r="H67" s="453"/>
      <c r="I67" s="453"/>
      <c r="J67" s="454"/>
    </row>
    <row r="68" spans="1:11" s="230" customFormat="1">
      <c r="A68" s="426" t="s">
        <v>226</v>
      </c>
      <c r="B68" s="427"/>
      <c r="C68" s="200"/>
      <c r="D68" s="421" t="s">
        <v>115</v>
      </c>
      <c r="E68" s="423" t="s">
        <v>329</v>
      </c>
      <c r="F68" s="421" t="s">
        <v>114</v>
      </c>
      <c r="G68" s="410"/>
      <c r="H68" s="410"/>
      <c r="I68" s="430" t="s">
        <v>332</v>
      </c>
      <c r="J68" s="412" t="s">
        <v>26</v>
      </c>
    </row>
    <row r="69" spans="1:11" s="230" customFormat="1" ht="12.75" customHeight="1">
      <c r="A69" s="428"/>
      <c r="B69" s="429"/>
      <c r="C69" s="201"/>
      <c r="D69" s="422"/>
      <c r="E69" s="424"/>
      <c r="F69" s="422"/>
      <c r="G69" s="411"/>
      <c r="H69" s="411"/>
      <c r="I69" s="431"/>
      <c r="J69" s="413"/>
    </row>
    <row r="70" spans="1:11" s="230" customFormat="1">
      <c r="A70" s="444" t="str">
        <f>A63</f>
        <v>RUA PROJETADA</v>
      </c>
      <c r="B70" s="445"/>
      <c r="C70" s="238"/>
      <c r="D70" s="239">
        <f>D56</f>
        <v>150</v>
      </c>
      <c r="E70" s="239">
        <f>E56</f>
        <v>6.9</v>
      </c>
      <c r="F70" s="273"/>
      <c r="G70" s="240"/>
      <c r="H70" s="210"/>
      <c r="I70" s="235">
        <f>ROUND(PRODUCT(D70:H70),2)</f>
        <v>1035</v>
      </c>
      <c r="J70" s="446"/>
    </row>
    <row r="71" spans="1:11" s="230" customFormat="1">
      <c r="A71" s="439" t="s">
        <v>0</v>
      </c>
      <c r="B71" s="440"/>
      <c r="C71" s="440"/>
      <c r="D71" s="440"/>
      <c r="E71" s="440"/>
      <c r="F71" s="440"/>
      <c r="G71" s="440"/>
      <c r="H71" s="441"/>
      <c r="I71" s="202">
        <f>ROUND(SUM(I70:I70),2)</f>
        <v>1035</v>
      </c>
      <c r="J71" s="438"/>
    </row>
    <row r="72" spans="1:11" s="230" customFormat="1">
      <c r="A72" s="211"/>
      <c r="B72" s="212"/>
      <c r="C72" s="261"/>
      <c r="D72" s="261"/>
      <c r="E72" s="261"/>
      <c r="F72" s="261"/>
      <c r="G72" s="261"/>
      <c r="H72" s="228"/>
      <c r="I72" s="228"/>
      <c r="J72" s="229"/>
    </row>
    <row r="73" spans="1:11" s="230" customFormat="1">
      <c r="A73" s="197" t="s">
        <v>5</v>
      </c>
      <c r="B73" s="213"/>
      <c r="C73" s="205"/>
      <c r="D73" s="449" t="str">
        <f>'PLANILHA ORÇAMENTARIA'!C23</f>
        <v>ESCAVAÇÃO HORIZONTAL, INCLUINDO CARGA E DESCARGA EM SOLO DE 1A CATEGORIA COM TRATOR DE ESTEIRAS (170HP/LÂMINA: 5,20M3). AF_07/2020 (ESCAVAÇÃO NA JAZIDA)</v>
      </c>
      <c r="E73" s="450"/>
      <c r="F73" s="450"/>
      <c r="G73" s="450"/>
      <c r="H73" s="450"/>
      <c r="I73" s="450"/>
      <c r="J73" s="451"/>
      <c r="K73" s="230">
        <f>I78/4</f>
        <v>38.8125</v>
      </c>
    </row>
    <row r="74" spans="1:11" s="230" customFormat="1">
      <c r="A74" s="197" t="s">
        <v>6</v>
      </c>
      <c r="B74" s="199"/>
      <c r="C74" s="237"/>
      <c r="D74" s="452"/>
      <c r="E74" s="453"/>
      <c r="F74" s="453"/>
      <c r="G74" s="453"/>
      <c r="H74" s="453"/>
      <c r="I74" s="453"/>
      <c r="J74" s="454"/>
    </row>
    <row r="75" spans="1:11" s="230" customFormat="1">
      <c r="A75" s="426" t="s">
        <v>226</v>
      </c>
      <c r="B75" s="427"/>
      <c r="C75" s="200"/>
      <c r="D75" s="421" t="s">
        <v>115</v>
      </c>
      <c r="E75" s="423" t="s">
        <v>329</v>
      </c>
      <c r="F75" s="421" t="s">
        <v>114</v>
      </c>
      <c r="G75" s="423" t="s">
        <v>31</v>
      </c>
      <c r="H75" s="207" t="s">
        <v>7</v>
      </c>
      <c r="I75" s="430" t="s">
        <v>333</v>
      </c>
      <c r="J75" s="412" t="s">
        <v>26</v>
      </c>
    </row>
    <row r="76" spans="1:11" s="230" customFormat="1" ht="12.75" customHeight="1">
      <c r="A76" s="428"/>
      <c r="B76" s="491"/>
      <c r="C76" s="208"/>
      <c r="D76" s="422"/>
      <c r="E76" s="424"/>
      <c r="F76" s="422"/>
      <c r="G76" s="424"/>
      <c r="H76" s="209"/>
      <c r="I76" s="431"/>
      <c r="J76" s="413"/>
    </row>
    <row r="77" spans="1:11" s="230" customFormat="1">
      <c r="A77" s="456" t="str">
        <f>A70</f>
        <v>RUA PROJETADA</v>
      </c>
      <c r="B77" s="457"/>
      <c r="C77" s="238"/>
      <c r="D77" s="239">
        <f>D70</f>
        <v>150</v>
      </c>
      <c r="E77" s="239">
        <f>E70</f>
        <v>6.9</v>
      </c>
      <c r="F77" s="338"/>
      <c r="G77" s="239">
        <v>0.15</v>
      </c>
      <c r="H77" s="240">
        <v>1</v>
      </c>
      <c r="I77" s="235">
        <f>ROUND(PRODUCT(D77:H77),2)</f>
        <v>155.25</v>
      </c>
      <c r="J77" s="447" t="s">
        <v>336</v>
      </c>
    </row>
    <row r="78" spans="1:11" s="230" customFormat="1">
      <c r="A78" s="439" t="s">
        <v>0</v>
      </c>
      <c r="B78" s="440"/>
      <c r="C78" s="440"/>
      <c r="D78" s="440"/>
      <c r="E78" s="440"/>
      <c r="F78" s="440"/>
      <c r="G78" s="440"/>
      <c r="H78" s="441"/>
      <c r="I78" s="202">
        <f>ROUND(SUM(I77:I77),2)</f>
        <v>155.25</v>
      </c>
      <c r="J78" s="448"/>
    </row>
    <row r="79" spans="1:11" s="230" customFormat="1">
      <c r="A79" s="497"/>
      <c r="B79" s="498"/>
      <c r="C79" s="498"/>
      <c r="D79" s="498"/>
      <c r="E79" s="498"/>
      <c r="F79" s="498"/>
      <c r="G79" s="498"/>
      <c r="H79" s="498"/>
      <c r="I79" s="498"/>
      <c r="J79" s="499"/>
    </row>
    <row r="80" spans="1:11" s="230" customFormat="1">
      <c r="A80" s="197" t="s">
        <v>5</v>
      </c>
      <c r="B80" s="213"/>
      <c r="C80" s="205"/>
      <c r="D80" s="503" t="str">
        <f>'PLANILHA ORÇAMENTARIA'!C24</f>
        <v>CARGA, MANOBRA E DESCARGA DE SOLOS E MATERIAIS GRANULARES EM CAMINHÃO BASCULANTE 14 M³ - CARGA COM ESCAVADEIRA HIDRÁULICA (CAÇAMBA DE 1,20 M³ / 155 HP) E DESCARGA LIVRE (UNIDADE: M3). AF_02/2026</v>
      </c>
      <c r="E80" s="469"/>
      <c r="F80" s="469"/>
      <c r="G80" s="469"/>
      <c r="H80" s="469"/>
      <c r="I80" s="469"/>
      <c r="J80" s="470"/>
    </row>
    <row r="81" spans="1:10" s="230" customFormat="1">
      <c r="A81" s="197" t="s">
        <v>6</v>
      </c>
      <c r="B81" s="199"/>
      <c r="C81" s="237"/>
      <c r="D81" s="471"/>
      <c r="E81" s="472"/>
      <c r="F81" s="472"/>
      <c r="G81" s="472"/>
      <c r="H81" s="472"/>
      <c r="I81" s="472"/>
      <c r="J81" s="473"/>
    </row>
    <row r="82" spans="1:10" s="230" customFormat="1">
      <c r="A82" s="426" t="s">
        <v>226</v>
      </c>
      <c r="B82" s="427"/>
      <c r="C82" s="504"/>
      <c r="D82" s="421" t="s">
        <v>115</v>
      </c>
      <c r="E82" s="423" t="s">
        <v>329</v>
      </c>
      <c r="F82" s="423" t="s">
        <v>31</v>
      </c>
      <c r="G82" s="495" t="s">
        <v>114</v>
      </c>
      <c r="H82" s="496" t="s">
        <v>230</v>
      </c>
      <c r="I82" s="430" t="s">
        <v>333</v>
      </c>
      <c r="J82" s="412" t="s">
        <v>26</v>
      </c>
    </row>
    <row r="83" spans="1:10" s="230" customFormat="1" ht="12.75" customHeight="1">
      <c r="A83" s="428"/>
      <c r="B83" s="429"/>
      <c r="C83" s="504"/>
      <c r="D83" s="422"/>
      <c r="E83" s="424"/>
      <c r="F83" s="424"/>
      <c r="G83" s="495"/>
      <c r="H83" s="496"/>
      <c r="I83" s="431"/>
      <c r="J83" s="413"/>
    </row>
    <row r="84" spans="1:10" s="230" customFormat="1" ht="13.15" customHeight="1">
      <c r="A84" s="456" t="str">
        <f>A77</f>
        <v>RUA PROJETADA</v>
      </c>
      <c r="B84" s="457"/>
      <c r="C84" s="238"/>
      <c r="D84" s="239">
        <f>D70</f>
        <v>150</v>
      </c>
      <c r="E84" s="239">
        <f>E70</f>
        <v>6.9</v>
      </c>
      <c r="F84" s="239">
        <f>G77</f>
        <v>0.15</v>
      </c>
      <c r="G84" s="273"/>
      <c r="H84" s="319">
        <v>0.25</v>
      </c>
      <c r="I84" s="235">
        <f>PRODUCT(D84:G84)*(1+H84)</f>
        <v>194.0625</v>
      </c>
      <c r="J84" s="447" t="s">
        <v>336</v>
      </c>
    </row>
    <row r="85" spans="1:10" s="230" customFormat="1">
      <c r="A85" s="439" t="s">
        <v>0</v>
      </c>
      <c r="B85" s="440"/>
      <c r="C85" s="440"/>
      <c r="D85" s="440"/>
      <c r="E85" s="440"/>
      <c r="F85" s="440"/>
      <c r="G85" s="440"/>
      <c r="H85" s="441"/>
      <c r="I85" s="202">
        <f>ROUND(SUM(I84:I84),2)</f>
        <v>194.06</v>
      </c>
      <c r="J85" s="448"/>
    </row>
    <row r="86" spans="1:10" s="230" customFormat="1">
      <c r="A86" s="543"/>
      <c r="B86" s="544"/>
      <c r="C86" s="544"/>
      <c r="D86" s="544"/>
      <c r="E86" s="544"/>
      <c r="F86" s="544"/>
      <c r="G86" s="544"/>
      <c r="H86" s="544"/>
      <c r="I86" s="544"/>
      <c r="J86" s="545"/>
    </row>
    <row r="87" spans="1:10" s="230" customFormat="1">
      <c r="A87" s="197" t="s">
        <v>5</v>
      </c>
      <c r="B87" s="213"/>
      <c r="C87" s="205"/>
      <c r="D87" s="449" t="str">
        <f>'PLANILHA ORÇAMENTARIA'!C25</f>
        <v>TRANSPORTE COM CAMINHÃO BASCULANTE DE 14 M³, EM VIA URBANA EM REVESTIMENTO PRIMÁRIO (UNIDADE: M3XKM). AF_02/2026</v>
      </c>
      <c r="E87" s="406"/>
      <c r="F87" s="406"/>
      <c r="G87" s="406"/>
      <c r="H87" s="406"/>
      <c r="I87" s="406"/>
      <c r="J87" s="407"/>
    </row>
    <row r="88" spans="1:10" s="230" customFormat="1">
      <c r="A88" s="197" t="s">
        <v>6</v>
      </c>
      <c r="B88" s="199"/>
      <c r="C88" s="237"/>
      <c r="D88" s="502"/>
      <c r="E88" s="408"/>
      <c r="F88" s="408"/>
      <c r="G88" s="408"/>
      <c r="H88" s="408"/>
      <c r="I88" s="408"/>
      <c r="J88" s="409"/>
    </row>
    <row r="89" spans="1:10" s="230" customFormat="1">
      <c r="A89" s="426" t="s">
        <v>226</v>
      </c>
      <c r="B89" s="427"/>
      <c r="C89" s="200"/>
      <c r="D89" s="430" t="s">
        <v>228</v>
      </c>
      <c r="E89" s="423"/>
      <c r="F89" s="423"/>
      <c r="G89" s="410" t="s">
        <v>231</v>
      </c>
      <c r="H89" s="496"/>
      <c r="I89" s="430" t="s">
        <v>232</v>
      </c>
      <c r="J89" s="412" t="s">
        <v>26</v>
      </c>
    </row>
    <row r="90" spans="1:10" s="230" customFormat="1" ht="12.75" customHeight="1">
      <c r="A90" s="428"/>
      <c r="B90" s="429"/>
      <c r="C90" s="201"/>
      <c r="D90" s="431"/>
      <c r="E90" s="424"/>
      <c r="F90" s="424"/>
      <c r="G90" s="411"/>
      <c r="H90" s="496"/>
      <c r="I90" s="431"/>
      <c r="J90" s="413"/>
    </row>
    <row r="91" spans="1:10" s="230" customFormat="1" ht="13.15" customHeight="1">
      <c r="A91" s="444" t="str">
        <f>A84</f>
        <v>RUA PROJETADA</v>
      </c>
      <c r="B91" s="445"/>
      <c r="C91" s="238"/>
      <c r="D91" s="239">
        <f>I84</f>
        <v>194.0625</v>
      </c>
      <c r="E91" s="239"/>
      <c r="F91" s="239"/>
      <c r="G91" s="215">
        <v>19.5</v>
      </c>
      <c r="H91" s="214"/>
      <c r="I91" s="235">
        <f>ROUND(PRODUCT(D91:H91),2)</f>
        <v>3784.22</v>
      </c>
      <c r="J91" s="447" t="s">
        <v>336</v>
      </c>
    </row>
    <row r="92" spans="1:10" s="230" customFormat="1">
      <c r="A92" s="439" t="s">
        <v>0</v>
      </c>
      <c r="B92" s="440"/>
      <c r="C92" s="440"/>
      <c r="D92" s="440"/>
      <c r="E92" s="440"/>
      <c r="F92" s="440"/>
      <c r="G92" s="440"/>
      <c r="H92" s="441"/>
      <c r="I92" s="202">
        <f>ROUND(SUM(I91:I91),2)</f>
        <v>3784.22</v>
      </c>
      <c r="J92" s="448"/>
    </row>
    <row r="93" spans="1:10" s="230" customFormat="1">
      <c r="A93" s="492"/>
      <c r="B93" s="493"/>
      <c r="C93" s="493"/>
      <c r="D93" s="493"/>
      <c r="E93" s="493"/>
      <c r="F93" s="493"/>
      <c r="G93" s="493"/>
      <c r="H93" s="493"/>
      <c r="I93" s="493"/>
      <c r="J93" s="494"/>
    </row>
    <row r="94" spans="1:10" s="230" customFormat="1">
      <c r="A94" s="197" t="s">
        <v>5</v>
      </c>
      <c r="B94" s="213"/>
      <c r="C94" s="205"/>
      <c r="D94" s="449" t="str">
        <f>'PLANILHA ORÇAMENTARIA'!C26</f>
        <v>ESPALHAMENTO DE MATERIAL COM TRATOR DE ESTEIRAS. AF_09/2024</v>
      </c>
      <c r="E94" s="406"/>
      <c r="F94" s="406"/>
      <c r="G94" s="406"/>
      <c r="H94" s="406"/>
      <c r="I94" s="406"/>
      <c r="J94" s="407"/>
    </row>
    <row r="95" spans="1:10" s="230" customFormat="1">
      <c r="A95" s="197" t="s">
        <v>6</v>
      </c>
      <c r="B95" s="199"/>
      <c r="C95" s="237"/>
      <c r="D95" s="502"/>
      <c r="E95" s="408"/>
      <c r="F95" s="408"/>
      <c r="G95" s="408"/>
      <c r="H95" s="408"/>
      <c r="I95" s="408"/>
      <c r="J95" s="409"/>
    </row>
    <row r="96" spans="1:10" s="230" customFormat="1">
      <c r="A96" s="426" t="s">
        <v>226</v>
      </c>
      <c r="B96" s="427"/>
      <c r="C96" s="200"/>
      <c r="D96" s="421" t="s">
        <v>115</v>
      </c>
      <c r="E96" s="423" t="s">
        <v>329</v>
      </c>
      <c r="F96" s="423" t="s">
        <v>31</v>
      </c>
      <c r="G96" s="495" t="s">
        <v>114</v>
      </c>
      <c r="H96" s="496" t="s">
        <v>230</v>
      </c>
      <c r="I96" s="430" t="s">
        <v>333</v>
      </c>
      <c r="J96" s="412" t="s">
        <v>26</v>
      </c>
    </row>
    <row r="97" spans="1:10" s="230" customFormat="1" ht="12.75" customHeight="1">
      <c r="A97" s="428"/>
      <c r="B97" s="491"/>
      <c r="C97" s="208"/>
      <c r="D97" s="422"/>
      <c r="E97" s="424"/>
      <c r="F97" s="424"/>
      <c r="G97" s="495"/>
      <c r="H97" s="496"/>
      <c r="I97" s="431"/>
      <c r="J97" s="413"/>
    </row>
    <row r="98" spans="1:10" s="230" customFormat="1">
      <c r="A98" s="456" t="str">
        <f>A91</f>
        <v>RUA PROJETADA</v>
      </c>
      <c r="B98" s="457"/>
      <c r="C98" s="238"/>
      <c r="D98" s="239">
        <f>D84</f>
        <v>150</v>
      </c>
      <c r="E98" s="239">
        <f>E84</f>
        <v>6.9</v>
      </c>
      <c r="F98" s="239">
        <f>F84</f>
        <v>0.15</v>
      </c>
      <c r="G98" s="273"/>
      <c r="H98" s="319">
        <v>0.25</v>
      </c>
      <c r="I98" s="235">
        <f>PRODUCT(D98:G98)*(1+H98)</f>
        <v>194.0625</v>
      </c>
      <c r="J98" s="446"/>
    </row>
    <row r="99" spans="1:10" s="230" customFormat="1">
      <c r="A99" s="439" t="s">
        <v>0</v>
      </c>
      <c r="B99" s="440"/>
      <c r="C99" s="440"/>
      <c r="D99" s="440"/>
      <c r="E99" s="440"/>
      <c r="F99" s="440"/>
      <c r="G99" s="440"/>
      <c r="H99" s="441"/>
      <c r="I99" s="202">
        <f>ROUND(SUM(I98:I98),2)</f>
        <v>194.06</v>
      </c>
      <c r="J99" s="438"/>
    </row>
    <row r="100" spans="1:10" s="230" customFormat="1">
      <c r="A100" s="492"/>
      <c r="B100" s="493"/>
      <c r="C100" s="493"/>
      <c r="D100" s="493"/>
      <c r="E100" s="493"/>
      <c r="F100" s="493"/>
      <c r="G100" s="493"/>
      <c r="H100" s="493"/>
      <c r="I100" s="493"/>
      <c r="J100" s="494"/>
    </row>
    <row r="101" spans="1:10" s="230" customFormat="1">
      <c r="A101" s="197" t="s">
        <v>5</v>
      </c>
      <c r="B101" s="213"/>
      <c r="C101" s="205"/>
      <c r="D101" s="455" t="str">
        <f>'PLANILHA ORÇAMENTARIA'!C27</f>
        <v>Base de solo estabilizado granulometricamente sem mistura com material de jazida - 100% Proctor modificado</v>
      </c>
      <c r="E101" s="450"/>
      <c r="F101" s="450"/>
      <c r="G101" s="450"/>
      <c r="H101" s="450"/>
      <c r="I101" s="450"/>
      <c r="J101" s="451"/>
    </row>
    <row r="102" spans="1:10" s="230" customFormat="1" ht="12.75" customHeight="1">
      <c r="A102" s="197" t="s">
        <v>6</v>
      </c>
      <c r="B102" s="199"/>
      <c r="C102" s="237"/>
      <c r="D102" s="452"/>
      <c r="E102" s="453"/>
      <c r="F102" s="453"/>
      <c r="G102" s="453"/>
      <c r="H102" s="453"/>
      <c r="I102" s="453"/>
      <c r="J102" s="454"/>
    </row>
    <row r="103" spans="1:10" s="230" customFormat="1">
      <c r="A103" s="426" t="s">
        <v>226</v>
      </c>
      <c r="B103" s="427"/>
      <c r="C103" s="200"/>
      <c r="D103" s="421" t="s">
        <v>115</v>
      </c>
      <c r="E103" s="423" t="s">
        <v>329</v>
      </c>
      <c r="F103" s="421" t="s">
        <v>114</v>
      </c>
      <c r="G103" s="423" t="s">
        <v>227</v>
      </c>
      <c r="H103" s="207" t="s">
        <v>7</v>
      </c>
      <c r="I103" s="430" t="s">
        <v>333</v>
      </c>
      <c r="J103" s="412" t="s">
        <v>26</v>
      </c>
    </row>
    <row r="104" spans="1:10" s="230" customFormat="1" ht="12.75" customHeight="1">
      <c r="A104" s="428"/>
      <c r="B104" s="491"/>
      <c r="C104" s="208"/>
      <c r="D104" s="422"/>
      <c r="E104" s="424"/>
      <c r="F104" s="422"/>
      <c r="G104" s="424"/>
      <c r="H104" s="209"/>
      <c r="I104" s="431"/>
      <c r="J104" s="413"/>
    </row>
    <row r="105" spans="1:10" s="230" customFormat="1">
      <c r="A105" s="456" t="str">
        <f>A98</f>
        <v>RUA PROJETADA</v>
      </c>
      <c r="B105" s="457"/>
      <c r="C105" s="238"/>
      <c r="D105" s="239">
        <f>D84</f>
        <v>150</v>
      </c>
      <c r="E105" s="239">
        <f>E84</f>
        <v>6.9</v>
      </c>
      <c r="F105" s="338"/>
      <c r="G105" s="239">
        <v>0.15</v>
      </c>
      <c r="H105" s="240">
        <v>1</v>
      </c>
      <c r="I105" s="235">
        <f>ROUND(PRODUCT(D105:H105),2)</f>
        <v>155.25</v>
      </c>
      <c r="J105" s="446"/>
    </row>
    <row r="106" spans="1:10" s="230" customFormat="1">
      <c r="A106" s="439" t="s">
        <v>0</v>
      </c>
      <c r="B106" s="440"/>
      <c r="C106" s="440"/>
      <c r="D106" s="440"/>
      <c r="E106" s="440"/>
      <c r="F106" s="440"/>
      <c r="G106" s="440"/>
      <c r="H106" s="441"/>
      <c r="I106" s="202">
        <f>ROUND(SUM(I105:I105),2)</f>
        <v>155.25</v>
      </c>
      <c r="J106" s="438"/>
    </row>
    <row r="107" spans="1:10" s="230" customFormat="1">
      <c r="A107" s="497"/>
      <c r="B107" s="498"/>
      <c r="C107" s="498"/>
      <c r="D107" s="498"/>
      <c r="E107" s="498"/>
      <c r="F107" s="498"/>
      <c r="G107" s="498"/>
      <c r="H107" s="498"/>
      <c r="I107" s="498"/>
      <c r="J107" s="499"/>
    </row>
    <row r="108" spans="1:10" s="230" customFormat="1">
      <c r="A108" s="197" t="s">
        <v>5</v>
      </c>
      <c r="B108" s="198"/>
      <c r="C108" s="205"/>
      <c r="D108" s="455" t="str">
        <f>'PLANILHA ORÇAMENTARIA'!C28</f>
        <v>CASCALHO DE CAVA (A CARGO DO MUNICIPIO)</v>
      </c>
      <c r="E108" s="450"/>
      <c r="F108" s="450"/>
      <c r="G108" s="450"/>
      <c r="H108" s="450"/>
      <c r="I108" s="450"/>
      <c r="J108" s="451"/>
    </row>
    <row r="109" spans="1:10" s="230" customFormat="1" ht="12.75" customHeight="1">
      <c r="A109" s="197" t="s">
        <v>6</v>
      </c>
      <c r="B109" s="199"/>
      <c r="C109" s="237"/>
      <c r="D109" s="452"/>
      <c r="E109" s="453"/>
      <c r="F109" s="453"/>
      <c r="G109" s="453"/>
      <c r="H109" s="453"/>
      <c r="I109" s="453"/>
      <c r="J109" s="454"/>
    </row>
    <row r="110" spans="1:10" s="230" customFormat="1">
      <c r="A110" s="426" t="s">
        <v>226</v>
      </c>
      <c r="B110" s="427"/>
      <c r="C110" s="200"/>
      <c r="D110" s="421" t="s">
        <v>115</v>
      </c>
      <c r="E110" s="423" t="s">
        <v>329</v>
      </c>
      <c r="F110" s="421" t="s">
        <v>114</v>
      </c>
      <c r="G110" s="423" t="s">
        <v>227</v>
      </c>
      <c r="H110" s="207" t="s">
        <v>7</v>
      </c>
      <c r="I110" s="430" t="s">
        <v>333</v>
      </c>
      <c r="J110" s="412" t="s">
        <v>26</v>
      </c>
    </row>
    <row r="111" spans="1:10" s="230" customFormat="1" ht="12.75" customHeight="1">
      <c r="A111" s="428"/>
      <c r="B111" s="491"/>
      <c r="C111" s="208"/>
      <c r="D111" s="422"/>
      <c r="E111" s="424"/>
      <c r="F111" s="422"/>
      <c r="G111" s="424"/>
      <c r="H111" s="209"/>
      <c r="I111" s="431"/>
      <c r="J111" s="413"/>
    </row>
    <row r="112" spans="1:10" s="230" customFormat="1">
      <c r="A112" s="456" t="str">
        <f>A105</f>
        <v>RUA PROJETADA</v>
      </c>
      <c r="B112" s="457"/>
      <c r="C112" s="238"/>
      <c r="D112" s="239">
        <f>D105</f>
        <v>150</v>
      </c>
      <c r="E112" s="239">
        <f>E105</f>
        <v>6.9</v>
      </c>
      <c r="F112" s="338"/>
      <c r="G112" s="239">
        <v>0.15</v>
      </c>
      <c r="H112" s="240">
        <v>1</v>
      </c>
      <c r="I112" s="235">
        <f>ROUND(PRODUCT(D112:H112),2)</f>
        <v>155.25</v>
      </c>
      <c r="J112" s="446"/>
    </row>
    <row r="113" spans="1:10" s="230" customFormat="1">
      <c r="A113" s="439" t="s">
        <v>0</v>
      </c>
      <c r="B113" s="440"/>
      <c r="C113" s="440"/>
      <c r="D113" s="440"/>
      <c r="E113" s="440"/>
      <c r="F113" s="440"/>
      <c r="G113" s="440"/>
      <c r="H113" s="441"/>
      <c r="I113" s="202">
        <f>ROUND(SUM(I112:I112),2)</f>
        <v>155.25</v>
      </c>
      <c r="J113" s="438"/>
    </row>
    <row r="114" spans="1:10" s="230" customFormat="1">
      <c r="A114" s="426"/>
      <c r="B114" s="478"/>
      <c r="C114" s="478"/>
      <c r="D114" s="478"/>
      <c r="E114" s="478"/>
      <c r="F114" s="478"/>
      <c r="G114" s="478"/>
      <c r="H114" s="478"/>
      <c r="I114" s="478"/>
      <c r="J114" s="479"/>
    </row>
    <row r="115" spans="1:10" s="230" customFormat="1">
      <c r="A115" s="196" t="s">
        <v>39</v>
      </c>
      <c r="B115" s="480" t="str">
        <f>'PLANILHA ORÇAMENTARIA'!B29:H29</f>
        <v>PAVIMENTAÇÃO EM BLOCO SEXTAVADO</v>
      </c>
      <c r="C115" s="481"/>
      <c r="D115" s="481"/>
      <c r="E115" s="481"/>
      <c r="F115" s="481"/>
      <c r="G115" s="481"/>
      <c r="H115" s="481"/>
      <c r="I115" s="481"/>
      <c r="J115" s="482"/>
    </row>
    <row r="116" spans="1:10" s="230" customFormat="1" ht="13.9" customHeight="1">
      <c r="A116" s="483"/>
      <c r="B116" s="484"/>
      <c r="C116" s="484"/>
      <c r="D116" s="484"/>
      <c r="E116" s="484"/>
      <c r="F116" s="484"/>
      <c r="G116" s="484"/>
      <c r="H116" s="484"/>
      <c r="I116" s="484"/>
      <c r="J116" s="485"/>
    </row>
    <row r="117" spans="1:10" s="253" customFormat="1" ht="13.9" customHeight="1">
      <c r="A117" s="197" t="s">
        <v>5</v>
      </c>
      <c r="B117" s="198"/>
      <c r="C117" s="205"/>
      <c r="D117" s="455" t="str">
        <f>'PLANILHA ORÇAMENTARIA'!C30</f>
        <v>EXECUÇÃO DE PAVIMENTO EM PISO INTERTRAVADO, COM BLOCO SEXTAVADO DE 25 X 25 CM, ESPESSURA 8 CM. AF_10/2022</v>
      </c>
      <c r="E117" s="450"/>
      <c r="F117" s="450"/>
      <c r="G117" s="450"/>
      <c r="H117" s="450"/>
      <c r="I117" s="450"/>
      <c r="J117" s="451"/>
    </row>
    <row r="118" spans="1:10" s="253" customFormat="1">
      <c r="A118" s="197" t="s">
        <v>6</v>
      </c>
      <c r="B118" s="199"/>
      <c r="C118" s="237"/>
      <c r="D118" s="452"/>
      <c r="E118" s="453"/>
      <c r="F118" s="453"/>
      <c r="G118" s="453"/>
      <c r="H118" s="453"/>
      <c r="I118" s="453"/>
      <c r="J118" s="454"/>
    </row>
    <row r="119" spans="1:10" s="230" customFormat="1">
      <c r="A119" s="426" t="s">
        <v>226</v>
      </c>
      <c r="B119" s="427"/>
      <c r="C119" s="200"/>
      <c r="D119" s="421" t="s">
        <v>115</v>
      </c>
      <c r="E119" s="423" t="s">
        <v>331</v>
      </c>
      <c r="F119" s="421" t="s">
        <v>114</v>
      </c>
      <c r="G119" s="410"/>
      <c r="H119" s="410"/>
      <c r="I119" s="430" t="s">
        <v>332</v>
      </c>
      <c r="J119" s="412" t="s">
        <v>26</v>
      </c>
    </row>
    <row r="120" spans="1:10" s="230" customFormat="1" ht="12.75" customHeight="1">
      <c r="A120" s="428"/>
      <c r="B120" s="429"/>
      <c r="C120" s="201"/>
      <c r="D120" s="422"/>
      <c r="E120" s="424"/>
      <c r="F120" s="422"/>
      <c r="G120" s="411"/>
      <c r="H120" s="411"/>
      <c r="I120" s="431"/>
      <c r="J120" s="413"/>
    </row>
    <row r="121" spans="1:10" s="230" customFormat="1">
      <c r="A121" s="456" t="str">
        <f>A112</f>
        <v>RUA PROJETADA</v>
      </c>
      <c r="B121" s="457"/>
      <c r="C121" s="238"/>
      <c r="D121" s="239">
        <f>D105</f>
        <v>150</v>
      </c>
      <c r="E121" s="239">
        <v>6</v>
      </c>
      <c r="F121" s="320"/>
      <c r="G121" s="240"/>
      <c r="H121" s="210"/>
      <c r="I121" s="235">
        <f>ROUND(PRODUCT(D121:H121),2)</f>
        <v>900</v>
      </c>
      <c r="J121" s="486"/>
    </row>
    <row r="122" spans="1:10" s="253" customFormat="1">
      <c r="A122" s="488" t="str">
        <f>A113</f>
        <v>TOTAL</v>
      </c>
      <c r="B122" s="489"/>
      <c r="C122" s="489"/>
      <c r="D122" s="489"/>
      <c r="E122" s="489"/>
      <c r="F122" s="489"/>
      <c r="G122" s="489"/>
      <c r="H122" s="490"/>
      <c r="I122" s="202">
        <f>ROUND(SUM(I121:I121),2)</f>
        <v>900</v>
      </c>
      <c r="J122" s="487"/>
    </row>
    <row r="123" spans="1:10" s="230" customFormat="1">
      <c r="A123" s="254"/>
      <c r="B123" s="255"/>
      <c r="C123" s="256"/>
      <c r="D123" s="257"/>
      <c r="E123" s="256"/>
      <c r="F123" s="256"/>
      <c r="G123" s="256"/>
      <c r="H123" s="256"/>
      <c r="I123" s="256"/>
      <c r="J123" s="258"/>
    </row>
    <row r="124" spans="1:10" s="230" customFormat="1">
      <c r="A124" s="196" t="s">
        <v>63</v>
      </c>
      <c r="B124" s="476" t="str">
        <f>'PLANILHA ORÇAMENTARIA'!B31:H31</f>
        <v>MEIO-FIO E DRENAGEM SUPERFICIAL</v>
      </c>
      <c r="C124" s="476"/>
      <c r="D124" s="476"/>
      <c r="E124" s="476"/>
      <c r="F124" s="476"/>
      <c r="G124" s="476"/>
      <c r="H124" s="476"/>
      <c r="I124" s="476"/>
      <c r="J124" s="477"/>
    </row>
    <row r="125" spans="1:10" s="230" customFormat="1">
      <c r="A125" s="462"/>
      <c r="B125" s="463"/>
      <c r="C125" s="463"/>
      <c r="D125" s="463"/>
      <c r="E125" s="463"/>
      <c r="F125" s="463"/>
      <c r="G125" s="463"/>
      <c r="H125" s="463"/>
      <c r="I125" s="463"/>
      <c r="J125" s="464"/>
    </row>
    <row r="126" spans="1:10" s="230" customFormat="1">
      <c r="A126" s="197" t="s">
        <v>5</v>
      </c>
      <c r="B126" s="198"/>
      <c r="C126" s="216"/>
      <c r="D126" s="468" t="str">
        <f>'PLANILHA ORÇAMENTARIA'!C32</f>
        <v>GUIA (MEIO-FIO) E SARJETA CONJUGADOS DE CONCRETO, MOLDADA IN LOCO EM TRECHO RETO COM EXTRUSORA, 45 CM BASE (15 CM BASE DA GUIA + 30 CM BASE DA SARJETA) X 22 CM ALTURA. AF_01/2024</v>
      </c>
      <c r="E126" s="469"/>
      <c r="F126" s="469"/>
      <c r="G126" s="469"/>
      <c r="H126" s="469"/>
      <c r="I126" s="469"/>
      <c r="J126" s="470"/>
    </row>
    <row r="127" spans="1:10" s="230" customFormat="1">
      <c r="A127" s="197" t="s">
        <v>6</v>
      </c>
      <c r="B127" s="199"/>
      <c r="C127" s="237"/>
      <c r="D127" s="471"/>
      <c r="E127" s="472"/>
      <c r="F127" s="472"/>
      <c r="G127" s="472"/>
      <c r="H127" s="472"/>
      <c r="I127" s="472"/>
      <c r="J127" s="473"/>
    </row>
    <row r="128" spans="1:10" s="230" customFormat="1" ht="12.75" customHeight="1">
      <c r="A128" s="426" t="s">
        <v>226</v>
      </c>
      <c r="B128" s="427"/>
      <c r="C128" s="200"/>
      <c r="D128" s="421" t="s">
        <v>115</v>
      </c>
      <c r="E128" s="416"/>
      <c r="F128" s="474"/>
      <c r="G128" s="423" t="s">
        <v>7</v>
      </c>
      <c r="H128" s="430"/>
      <c r="I128" s="430" t="s">
        <v>351</v>
      </c>
      <c r="J128" s="465" t="str">
        <f>J119</f>
        <v>OBS:</v>
      </c>
    </row>
    <row r="129" spans="1:10" s="230" customFormat="1" ht="12.75" customHeight="1">
      <c r="A129" s="428"/>
      <c r="B129" s="429"/>
      <c r="C129" s="270"/>
      <c r="D129" s="422"/>
      <c r="E129" s="417"/>
      <c r="F129" s="475"/>
      <c r="G129" s="424"/>
      <c r="H129" s="431"/>
      <c r="I129" s="431"/>
      <c r="J129" s="466"/>
    </row>
    <row r="130" spans="1:10" s="230" customFormat="1" ht="25.5">
      <c r="A130" s="444" t="str">
        <f>A121</f>
        <v>RUA PROJETADA</v>
      </c>
      <c r="B130" s="445"/>
      <c r="C130" s="321" t="s">
        <v>363</v>
      </c>
      <c r="D130" s="241">
        <f>16.2+41.1+8.26+8.21+16.61+5.17+14.5+24.21+19.85+15.16+20.02+9.82+11.32+25.25</f>
        <v>235.68</v>
      </c>
      <c r="E130" s="236"/>
      <c r="F130" s="210"/>
      <c r="G130" s="240">
        <v>1</v>
      </c>
      <c r="H130" s="210"/>
      <c r="I130" s="235">
        <f>ROUND(PRODUCT(D130:H130),2)</f>
        <v>235.68</v>
      </c>
      <c r="J130" s="458"/>
    </row>
    <row r="131" spans="1:10" s="230" customFormat="1">
      <c r="A131" s="460" t="s">
        <v>364</v>
      </c>
      <c r="B131" s="461"/>
      <c r="C131" s="461"/>
      <c r="D131" s="461"/>
      <c r="E131" s="461"/>
      <c r="F131" s="461"/>
      <c r="G131" s="461"/>
      <c r="H131" s="461"/>
      <c r="I131" s="202">
        <f>ROUND(SUM(I130:I130),2)</f>
        <v>235.68</v>
      </c>
      <c r="J131" s="459"/>
    </row>
    <row r="132" spans="1:10" s="230" customFormat="1">
      <c r="A132" s="462"/>
      <c r="B132" s="463"/>
      <c r="C132" s="463"/>
      <c r="D132" s="463"/>
      <c r="E132" s="463"/>
      <c r="F132" s="463"/>
      <c r="G132" s="463"/>
      <c r="H132" s="463"/>
      <c r="I132" s="463"/>
      <c r="J132" s="464"/>
    </row>
    <row r="133" spans="1:10" s="230" customFormat="1">
      <c r="A133" s="197" t="s">
        <v>5</v>
      </c>
      <c r="B133" s="198"/>
      <c r="C133" s="216"/>
      <c r="D133" s="468" t="str">
        <f>'PLANILHA ORÇAMENTARIA'!C33</f>
        <v>GUIA DE MEIO-FIO, EM CONCRETO COM FCK 15MPA, MOLDADA IN-LOCO, SEÇÃO 15X45CM, FORMA EM MADEIRA, EXCLUSIVE SARJETA, INCLUSIVE ESCAVAÇÃO, APILOAMENTO E TRANSPORTE COM RETIRADA DO MATERIAL ESCAVADO (EM CAÇAMBA)</v>
      </c>
      <c r="E133" s="469"/>
      <c r="F133" s="469"/>
      <c r="G133" s="469"/>
      <c r="H133" s="469"/>
      <c r="I133" s="469"/>
      <c r="J133" s="470"/>
    </row>
    <row r="134" spans="1:10" s="230" customFormat="1">
      <c r="A134" s="197" t="s">
        <v>6</v>
      </c>
      <c r="B134" s="199"/>
      <c r="C134" s="271"/>
      <c r="D134" s="471"/>
      <c r="E134" s="472"/>
      <c r="F134" s="472"/>
      <c r="G134" s="472"/>
      <c r="H134" s="472"/>
      <c r="I134" s="472"/>
      <c r="J134" s="473"/>
    </row>
    <row r="135" spans="1:10" s="230" customFormat="1" ht="12.75" customHeight="1">
      <c r="A135" s="426" t="s">
        <v>226</v>
      </c>
      <c r="B135" s="478"/>
      <c r="C135" s="206"/>
      <c r="D135" s="421" t="s">
        <v>115</v>
      </c>
      <c r="E135" s="416"/>
      <c r="F135" s="474"/>
      <c r="G135" s="423" t="s">
        <v>7</v>
      </c>
      <c r="H135" s="430"/>
      <c r="I135" s="430" t="s">
        <v>351</v>
      </c>
      <c r="J135" s="465" t="str">
        <f>J128</f>
        <v>OBS:</v>
      </c>
    </row>
    <row r="136" spans="1:10" s="230" customFormat="1" ht="12.75" customHeight="1">
      <c r="A136" s="428"/>
      <c r="B136" s="491"/>
      <c r="C136" s="272"/>
      <c r="D136" s="422"/>
      <c r="E136" s="417"/>
      <c r="F136" s="475"/>
      <c r="G136" s="424"/>
      <c r="H136" s="431"/>
      <c r="I136" s="431"/>
      <c r="J136" s="466"/>
    </row>
    <row r="137" spans="1:10" s="230" customFormat="1">
      <c r="A137" s="456" t="str">
        <f>A130</f>
        <v>RUA PROJETADA</v>
      </c>
      <c r="B137" s="457"/>
      <c r="C137" s="348" t="s">
        <v>358</v>
      </c>
      <c r="D137" s="241">
        <f>10.77+9.81+6.9</f>
        <v>27.479999999999997</v>
      </c>
      <c r="E137" s="236"/>
      <c r="F137" s="210"/>
      <c r="G137" s="240">
        <v>1</v>
      </c>
      <c r="H137" s="210"/>
      <c r="I137" s="235">
        <f>ROUND(PRODUCT(D137:H137),2)</f>
        <v>27.48</v>
      </c>
      <c r="J137" s="467"/>
    </row>
    <row r="138" spans="1:10" s="230" customFormat="1">
      <c r="A138" s="460" t="s">
        <v>0</v>
      </c>
      <c r="B138" s="461"/>
      <c r="C138" s="461"/>
      <c r="D138" s="461"/>
      <c r="E138" s="461"/>
      <c r="F138" s="461"/>
      <c r="G138" s="461"/>
      <c r="H138" s="461"/>
      <c r="I138" s="202">
        <f>ROUND(SUM(I137:I137),2)</f>
        <v>27.48</v>
      </c>
      <c r="J138" s="467"/>
    </row>
    <row r="139" spans="1:10">
      <c r="A139" s="69"/>
      <c r="B139" s="56"/>
      <c r="C139" s="56"/>
      <c r="D139" s="56"/>
      <c r="E139" s="56"/>
      <c r="F139" s="56"/>
      <c r="G139" s="56"/>
      <c r="H139" s="57"/>
      <c r="I139" s="58"/>
      <c r="J139" s="70"/>
    </row>
    <row r="140" spans="1:10" s="230" customFormat="1">
      <c r="A140" s="197" t="s">
        <v>5</v>
      </c>
      <c r="B140" s="198"/>
      <c r="C140" s="216"/>
      <c r="D140" s="455" t="str">
        <f>'PLANILHA ORÇAMENTARIA'!C34</f>
        <v>EXECUÇÃO DE SARJETA DE CONCRETO USINADO, MOLDADA IN LOCO EM TRECHO RETO, 30 CM BASE X 15 CM ALTURA. AF_01/2024</v>
      </c>
      <c r="E140" s="450"/>
      <c r="F140" s="450"/>
      <c r="G140" s="450"/>
      <c r="H140" s="450"/>
      <c r="I140" s="450"/>
      <c r="J140" s="451"/>
    </row>
    <row r="141" spans="1:10" s="230" customFormat="1">
      <c r="A141" s="197" t="s">
        <v>6</v>
      </c>
      <c r="B141" s="199"/>
      <c r="C141" s="271"/>
      <c r="D141" s="452"/>
      <c r="E141" s="453"/>
      <c r="F141" s="453"/>
      <c r="G141" s="453"/>
      <c r="H141" s="453"/>
      <c r="I141" s="453"/>
      <c r="J141" s="454"/>
    </row>
    <row r="142" spans="1:10" s="230" customFormat="1" ht="12.75" customHeight="1">
      <c r="A142" s="426" t="s">
        <v>226</v>
      </c>
      <c r="B142" s="478"/>
      <c r="C142" s="206"/>
      <c r="D142" s="421" t="s">
        <v>115</v>
      </c>
      <c r="E142" s="416"/>
      <c r="F142" s="474"/>
      <c r="G142" s="423" t="s">
        <v>7</v>
      </c>
      <c r="H142" s="430"/>
      <c r="I142" s="430" t="s">
        <v>351</v>
      </c>
      <c r="J142" s="465" t="str">
        <f>J135</f>
        <v>OBS:</v>
      </c>
    </row>
    <row r="143" spans="1:10" s="230" customFormat="1" ht="12.75" customHeight="1">
      <c r="A143" s="428"/>
      <c r="B143" s="491"/>
      <c r="C143" s="272"/>
      <c r="D143" s="422"/>
      <c r="E143" s="417"/>
      <c r="F143" s="475"/>
      <c r="G143" s="424"/>
      <c r="H143" s="431"/>
      <c r="I143" s="431"/>
      <c r="J143" s="466"/>
    </row>
    <row r="144" spans="1:10" s="230" customFormat="1">
      <c r="A144" s="456" t="str">
        <f>A137</f>
        <v>RUA PROJETADA</v>
      </c>
      <c r="B144" s="457"/>
      <c r="C144" s="348" t="s">
        <v>358</v>
      </c>
      <c r="D144" s="241">
        <v>43.53</v>
      </c>
      <c r="E144" s="236"/>
      <c r="F144" s="210"/>
      <c r="G144" s="240">
        <v>1</v>
      </c>
      <c r="H144" s="210"/>
      <c r="I144" s="235">
        <f>ROUND(PRODUCT(D144:H144),2)</f>
        <v>43.53</v>
      </c>
      <c r="J144" s="467"/>
    </row>
    <row r="145" spans="1:10" s="230" customFormat="1">
      <c r="A145" s="460" t="s">
        <v>0</v>
      </c>
      <c r="B145" s="461"/>
      <c r="C145" s="461"/>
      <c r="D145" s="461"/>
      <c r="E145" s="461"/>
      <c r="F145" s="461"/>
      <c r="G145" s="461"/>
      <c r="H145" s="461"/>
      <c r="I145" s="202">
        <f>ROUND(SUM(I144:I144),2)</f>
        <v>43.53</v>
      </c>
      <c r="J145" s="467"/>
    </row>
    <row r="146" spans="1:10">
      <c r="A146" s="69"/>
      <c r="B146" s="56"/>
      <c r="C146" s="56"/>
      <c r="D146" s="56"/>
      <c r="E146" s="56"/>
      <c r="F146" s="56"/>
      <c r="G146" s="56"/>
      <c r="H146" s="57"/>
      <c r="I146" s="58"/>
      <c r="J146" s="70"/>
    </row>
    <row r="147" spans="1:10">
      <c r="A147" s="69"/>
      <c r="B147" s="56"/>
      <c r="C147" s="56"/>
      <c r="D147" s="56"/>
      <c r="E147" s="56"/>
      <c r="F147" s="56"/>
      <c r="G147" s="56"/>
      <c r="H147" s="57"/>
      <c r="I147" s="58"/>
      <c r="J147" s="70"/>
    </row>
    <row r="148" spans="1:10">
      <c r="A148" s="69"/>
      <c r="B148" s="56"/>
      <c r="C148" s="56"/>
      <c r="D148" s="56"/>
      <c r="E148" s="56"/>
      <c r="F148" s="56"/>
      <c r="G148" s="56"/>
      <c r="H148" s="57"/>
      <c r="I148" s="58"/>
      <c r="J148" s="70"/>
    </row>
    <row r="149" spans="1:10">
      <c r="A149" s="69"/>
      <c r="B149" s="56"/>
      <c r="C149" s="56"/>
      <c r="D149" s="56"/>
      <c r="E149" s="56"/>
      <c r="F149" s="56"/>
      <c r="G149" s="56"/>
      <c r="H149" s="57"/>
      <c r="I149" s="58"/>
      <c r="J149" s="70"/>
    </row>
    <row r="150" spans="1:10">
      <c r="A150" s="69"/>
      <c r="B150" s="351" t="s">
        <v>109</v>
      </c>
      <c r="C150" s="351"/>
      <c r="D150" s="56"/>
      <c r="E150" s="56"/>
      <c r="F150" s="351" t="s">
        <v>110</v>
      </c>
      <c r="G150" s="351"/>
      <c r="H150" s="351"/>
      <c r="I150" s="58"/>
      <c r="J150" s="70"/>
    </row>
    <row r="151" spans="1:10">
      <c r="A151" s="76"/>
      <c r="B151" s="352" t="s">
        <v>118</v>
      </c>
      <c r="C151" s="352"/>
      <c r="D151" s="55"/>
      <c r="F151" s="353" t="s">
        <v>70</v>
      </c>
      <c r="G151" s="353"/>
      <c r="H151" s="353"/>
      <c r="J151" s="70"/>
    </row>
    <row r="152" spans="1:10" ht="13.5" thickBot="1">
      <c r="A152" s="77"/>
      <c r="B152" s="547" t="s">
        <v>119</v>
      </c>
      <c r="C152" s="547"/>
      <c r="D152" s="71"/>
      <c r="E152" s="72"/>
      <c r="F152" s="531" t="s">
        <v>93</v>
      </c>
      <c r="G152" s="531"/>
      <c r="H152" s="531"/>
      <c r="I152" s="72"/>
      <c r="J152" s="269"/>
    </row>
    <row r="153" spans="1:10">
      <c r="A153" s="56"/>
      <c r="B153" s="56"/>
      <c r="C153" s="56"/>
      <c r="D153" s="56"/>
      <c r="E153" s="56"/>
      <c r="F153" s="56"/>
      <c r="G153" s="56"/>
      <c r="H153" s="57"/>
      <c r="I153" s="58"/>
    </row>
    <row r="157" spans="1:10">
      <c r="A157" s="56"/>
      <c r="B157" s="56"/>
      <c r="C157" s="56"/>
      <c r="D157" s="56"/>
      <c r="E157" s="56"/>
      <c r="F157" s="56"/>
      <c r="G157" s="56"/>
      <c r="H157" s="57"/>
      <c r="I157" s="58"/>
    </row>
    <row r="158" spans="1:10">
      <c r="A158" s="56"/>
      <c r="B158" s="56"/>
      <c r="C158" s="56"/>
      <c r="D158" s="56"/>
      <c r="E158" s="56"/>
      <c r="F158" s="56"/>
      <c r="G158" s="56"/>
      <c r="H158" s="57"/>
      <c r="I158" s="58"/>
    </row>
    <row r="159" spans="1:10">
      <c r="A159" s="56"/>
      <c r="B159" s="56"/>
      <c r="C159" s="56"/>
      <c r="D159" s="56"/>
      <c r="E159" s="56"/>
      <c r="F159" s="56"/>
      <c r="G159" s="56"/>
      <c r="H159" s="57"/>
      <c r="I159" s="58"/>
    </row>
    <row r="160" spans="1:10">
      <c r="A160" s="56"/>
      <c r="B160" s="56"/>
      <c r="C160" s="56"/>
      <c r="D160" s="56"/>
      <c r="E160" s="56"/>
      <c r="F160" s="56"/>
      <c r="G160" s="56"/>
      <c r="H160" s="57"/>
      <c r="I160" s="58"/>
    </row>
    <row r="161" spans="1:9">
      <c r="A161" s="56"/>
      <c r="B161" s="56"/>
      <c r="C161" s="56"/>
      <c r="D161" s="56"/>
      <c r="E161" s="56"/>
      <c r="F161" s="56"/>
      <c r="G161" s="56"/>
      <c r="H161" s="57"/>
      <c r="I161" s="58"/>
    </row>
    <row r="162" spans="1:9">
      <c r="A162" s="56"/>
      <c r="B162" s="56"/>
      <c r="C162" s="56"/>
      <c r="D162" s="56"/>
      <c r="E162" s="56"/>
      <c r="F162" s="56"/>
      <c r="G162" s="56"/>
      <c r="H162" s="57"/>
      <c r="I162" s="58"/>
    </row>
    <row r="163" spans="1:9">
      <c r="A163" s="56"/>
      <c r="B163" s="56"/>
      <c r="C163" s="56"/>
      <c r="D163" s="56"/>
      <c r="E163" s="56"/>
      <c r="F163" s="56"/>
      <c r="G163" s="56"/>
      <c r="H163" s="57"/>
      <c r="I163" s="58"/>
    </row>
    <row r="164" spans="1:9">
      <c r="A164" s="56"/>
      <c r="B164" s="56"/>
      <c r="C164" s="56"/>
      <c r="D164" s="56"/>
      <c r="E164" s="56"/>
      <c r="F164" s="56"/>
      <c r="G164" s="56"/>
      <c r="H164" s="57"/>
      <c r="I164" s="58"/>
    </row>
    <row r="165" spans="1:9">
      <c r="A165" s="56"/>
      <c r="B165" s="56"/>
      <c r="C165" s="56"/>
      <c r="D165" s="56"/>
      <c r="E165" s="56"/>
      <c r="F165" s="56"/>
      <c r="G165" s="56"/>
      <c r="H165" s="57"/>
      <c r="I165" s="58"/>
    </row>
    <row r="166" spans="1:9">
      <c r="A166" s="56"/>
      <c r="B166" s="56"/>
      <c r="C166" s="56"/>
      <c r="D166" s="56"/>
      <c r="E166" s="56"/>
      <c r="F166" s="56"/>
      <c r="G166" s="56"/>
      <c r="H166" s="57"/>
      <c r="I166" s="58"/>
    </row>
    <row r="167" spans="1:9">
      <c r="A167" s="56"/>
      <c r="B167" s="56"/>
      <c r="C167" s="56"/>
      <c r="D167" s="56"/>
      <c r="E167" s="56"/>
      <c r="F167" s="56"/>
      <c r="G167" s="56"/>
      <c r="H167" s="57"/>
      <c r="I167" s="58"/>
    </row>
    <row r="168" spans="1:9">
      <c r="A168" s="56"/>
      <c r="B168" s="56"/>
      <c r="C168" s="56"/>
      <c r="D168" s="56"/>
      <c r="E168" s="56"/>
      <c r="F168" s="56"/>
      <c r="G168" s="56"/>
      <c r="H168" s="57"/>
      <c r="I168" s="58"/>
    </row>
    <row r="169" spans="1:9">
      <c r="A169" s="56"/>
      <c r="B169" s="56"/>
      <c r="C169" s="56"/>
      <c r="D169" s="56"/>
      <c r="E169" s="56"/>
      <c r="F169" s="56"/>
      <c r="G169" s="56"/>
      <c r="H169" s="57"/>
      <c r="I169" s="58"/>
    </row>
    <row r="170" spans="1:9">
      <c r="A170" s="56"/>
      <c r="B170" s="56"/>
      <c r="C170" s="56"/>
      <c r="D170" s="56"/>
      <c r="E170" s="56"/>
      <c r="F170" s="56"/>
      <c r="G170" s="56"/>
      <c r="H170" s="57"/>
      <c r="I170" s="58"/>
    </row>
    <row r="171" spans="1:9">
      <c r="A171" s="56"/>
      <c r="B171" s="56"/>
      <c r="C171" s="56"/>
      <c r="D171" s="56"/>
      <c r="E171" s="56"/>
      <c r="F171" s="56"/>
      <c r="G171" s="56"/>
      <c r="H171" s="57"/>
      <c r="I171" s="58"/>
    </row>
    <row r="172" spans="1:9">
      <c r="A172" s="56"/>
      <c r="B172" s="56"/>
      <c r="C172" s="56"/>
      <c r="D172" s="56"/>
      <c r="E172" s="56"/>
      <c r="F172" s="56"/>
      <c r="G172" s="56"/>
      <c r="H172" s="57"/>
      <c r="I172" s="58"/>
    </row>
    <row r="173" spans="1:9">
      <c r="A173" s="56"/>
      <c r="B173" s="56"/>
      <c r="C173" s="56"/>
      <c r="D173" s="56"/>
      <c r="E173" s="56"/>
      <c r="F173" s="56"/>
      <c r="G173" s="56"/>
      <c r="H173" s="57"/>
      <c r="I173" s="58"/>
    </row>
    <row r="174" spans="1:9">
      <c r="A174" s="56"/>
      <c r="B174" s="56"/>
      <c r="C174" s="56"/>
      <c r="D174" s="56"/>
      <c r="E174" s="56"/>
      <c r="F174" s="56"/>
      <c r="G174" s="56"/>
      <c r="H174" s="57"/>
      <c r="I174" s="58"/>
    </row>
    <row r="175" spans="1:9">
      <c r="A175" s="56"/>
      <c r="B175" s="56"/>
      <c r="C175" s="56"/>
      <c r="D175" s="56"/>
      <c r="E175" s="56"/>
      <c r="F175" s="56"/>
      <c r="G175" s="56"/>
      <c r="H175" s="57"/>
      <c r="I175" s="58"/>
    </row>
    <row r="176" spans="1:9">
      <c r="A176" s="55"/>
      <c r="B176" s="55"/>
      <c r="C176" s="55"/>
      <c r="D176" s="55"/>
      <c r="E176" s="55"/>
      <c r="F176" s="55"/>
      <c r="G176" s="55"/>
      <c r="H176" s="55"/>
    </row>
    <row r="177" spans="1:9" hidden="1">
      <c r="A177" s="532" t="s">
        <v>97</v>
      </c>
      <c r="B177" s="532"/>
      <c r="C177" s="532"/>
      <c r="D177" s="532"/>
      <c r="E177" s="532"/>
      <c r="F177" s="532"/>
      <c r="G177" s="532"/>
      <c r="H177" s="532"/>
      <c r="I177" s="532"/>
    </row>
    <row r="178" spans="1:9" hidden="1">
      <c r="A178" s="55"/>
      <c r="B178" s="55"/>
      <c r="C178" s="55"/>
      <c r="D178" s="55"/>
      <c r="E178" s="55"/>
      <c r="F178" s="55"/>
      <c r="G178" s="55"/>
      <c r="H178" s="55"/>
    </row>
    <row r="179" spans="1:9" ht="12.75" hidden="1" customHeight="1">
      <c r="A179" s="59" t="s">
        <v>5</v>
      </c>
      <c r="B179" s="59"/>
      <c r="C179" s="539" t="s">
        <v>98</v>
      </c>
      <c r="D179" s="539"/>
      <c r="E179" s="539"/>
      <c r="F179" s="539"/>
      <c r="G179" s="539"/>
      <c r="H179" s="539"/>
      <c r="I179" s="539"/>
    </row>
    <row r="180" spans="1:9" hidden="1">
      <c r="A180" s="59" t="s">
        <v>6</v>
      </c>
      <c r="B180" s="60"/>
      <c r="C180" s="539"/>
      <c r="D180" s="539"/>
      <c r="E180" s="539"/>
      <c r="F180" s="539"/>
      <c r="G180" s="539"/>
      <c r="H180" s="539"/>
      <c r="I180" s="539"/>
    </row>
    <row r="181" spans="1:9" ht="13.15" hidden="1" customHeight="1">
      <c r="A181" s="533" t="s">
        <v>40</v>
      </c>
      <c r="B181" s="533"/>
      <c r="C181" s="529"/>
      <c r="D181" s="535" t="s">
        <v>96</v>
      </c>
      <c r="E181" s="530"/>
      <c r="F181" s="535"/>
      <c r="G181" s="535" t="s">
        <v>7</v>
      </c>
      <c r="H181" s="535" t="s">
        <v>101</v>
      </c>
      <c r="I181" s="533" t="s">
        <v>26</v>
      </c>
    </row>
    <row r="182" spans="1:9" ht="13.15" hidden="1" customHeight="1">
      <c r="A182" s="533"/>
      <c r="B182" s="533"/>
      <c r="C182" s="529"/>
      <c r="D182" s="535"/>
      <c r="E182" s="530"/>
      <c r="F182" s="535"/>
      <c r="G182" s="535"/>
      <c r="H182" s="535"/>
      <c r="I182" s="533"/>
    </row>
    <row r="183" spans="1:9" hidden="1">
      <c r="A183" s="534" t="e">
        <f>#REF!</f>
        <v>#REF!</v>
      </c>
      <c r="B183" s="534"/>
      <c r="C183" s="61" t="s">
        <v>99</v>
      </c>
      <c r="D183" s="62">
        <f>46.73+86.75+46.75+83.13</f>
        <v>263.36</v>
      </c>
      <c r="F183" s="63"/>
      <c r="G183" s="64">
        <v>1</v>
      </c>
      <c r="H183" s="62">
        <f>D183*G183</f>
        <v>263.36</v>
      </c>
      <c r="I183" s="533"/>
    </row>
    <row r="184" spans="1:9" hidden="1">
      <c r="A184" s="534" t="e">
        <f>#REF!</f>
        <v>#REF!</v>
      </c>
      <c r="B184" s="534"/>
      <c r="C184" s="65" t="s">
        <v>100</v>
      </c>
      <c r="D184" s="62">
        <f>124.03+11.16+21.43+16.11+104.04+7.98+25.26</f>
        <v>310.01000000000005</v>
      </c>
      <c r="F184" s="63"/>
      <c r="G184" s="64">
        <v>1</v>
      </c>
      <c r="H184" s="62">
        <f>D184*G184</f>
        <v>310.01000000000005</v>
      </c>
      <c r="I184" s="533"/>
    </row>
    <row r="185" spans="1:9" hidden="1">
      <c r="A185" s="534" t="e">
        <f>#REF!</f>
        <v>#REF!</v>
      </c>
      <c r="B185" s="534"/>
      <c r="C185" s="65" t="s">
        <v>102</v>
      </c>
      <c r="D185" s="62">
        <f>74.02+71.48+1.34+1.5</f>
        <v>148.34</v>
      </c>
      <c r="F185" s="63"/>
      <c r="G185" s="64">
        <v>1</v>
      </c>
      <c r="H185" s="62">
        <f t="shared" ref="H185:H191" si="0">D185*G185</f>
        <v>148.34</v>
      </c>
      <c r="I185" s="533"/>
    </row>
    <row r="186" spans="1:9" hidden="1">
      <c r="A186" s="534" t="e">
        <f>#REF!</f>
        <v>#REF!</v>
      </c>
      <c r="B186" s="534"/>
      <c r="C186" s="65" t="s">
        <v>103</v>
      </c>
      <c r="D186" s="62">
        <f>57+123</f>
        <v>180</v>
      </c>
      <c r="F186" s="63"/>
      <c r="G186" s="64">
        <v>1</v>
      </c>
      <c r="H186" s="62">
        <f t="shared" si="0"/>
        <v>180</v>
      </c>
      <c r="I186" s="533"/>
    </row>
    <row r="187" spans="1:9" hidden="1">
      <c r="A187" s="534" t="e">
        <f>#REF!</f>
        <v>#REF!</v>
      </c>
      <c r="B187" s="534"/>
      <c r="C187" s="65" t="s">
        <v>104</v>
      </c>
      <c r="D187" s="62">
        <f>80.12+80</f>
        <v>160.12</v>
      </c>
      <c r="F187" s="63"/>
      <c r="G187" s="64">
        <v>1</v>
      </c>
      <c r="H187" s="62">
        <f t="shared" si="0"/>
        <v>160.12</v>
      </c>
      <c r="I187" s="533"/>
    </row>
    <row r="188" spans="1:9" hidden="1">
      <c r="A188" s="534" t="e">
        <f>#REF!</f>
        <v>#REF!</v>
      </c>
      <c r="B188" s="534"/>
      <c r="C188" s="65" t="s">
        <v>105</v>
      </c>
      <c r="D188" s="62">
        <f>81.4+81.2</f>
        <v>162.60000000000002</v>
      </c>
      <c r="F188" s="63"/>
      <c r="G188" s="64">
        <v>1</v>
      </c>
      <c r="H188" s="62">
        <f t="shared" si="0"/>
        <v>162.60000000000002</v>
      </c>
      <c r="I188" s="533"/>
    </row>
    <row r="189" spans="1:9" hidden="1">
      <c r="A189" s="534" t="e">
        <f>#REF!</f>
        <v>#REF!</v>
      </c>
      <c r="B189" s="534"/>
      <c r="C189" s="65" t="s">
        <v>106</v>
      </c>
      <c r="D189" s="62">
        <f>122.5+113.61</f>
        <v>236.11</v>
      </c>
      <c r="F189" s="63"/>
      <c r="G189" s="64">
        <v>1</v>
      </c>
      <c r="H189" s="62">
        <f t="shared" si="0"/>
        <v>236.11</v>
      </c>
      <c r="I189" s="533"/>
    </row>
    <row r="190" spans="1:9" hidden="1">
      <c r="A190" s="534" t="e">
        <f>#REF!</f>
        <v>#REF!</v>
      </c>
      <c r="B190" s="534"/>
      <c r="C190" s="65" t="s">
        <v>107</v>
      </c>
      <c r="D190" s="62">
        <f>90.12+82.73</f>
        <v>172.85000000000002</v>
      </c>
      <c r="F190" s="63"/>
      <c r="G190" s="64">
        <v>1</v>
      </c>
      <c r="H190" s="62">
        <f t="shared" si="0"/>
        <v>172.85000000000002</v>
      </c>
      <c r="I190" s="533"/>
    </row>
    <row r="191" spans="1:9" hidden="1">
      <c r="A191" s="534" t="e">
        <f>#REF!</f>
        <v>#REF!</v>
      </c>
      <c r="B191" s="534"/>
      <c r="C191" s="65" t="s">
        <v>108</v>
      </c>
      <c r="D191" s="62">
        <f>55.02+13.74+49.13</f>
        <v>117.89000000000001</v>
      </c>
      <c r="F191" s="63"/>
      <c r="G191" s="64">
        <v>1</v>
      </c>
      <c r="H191" s="62">
        <f t="shared" si="0"/>
        <v>117.89000000000001</v>
      </c>
      <c r="I191" s="533"/>
    </row>
    <row r="192" spans="1:9" ht="18.75" hidden="1" customHeight="1">
      <c r="A192" s="536" t="s">
        <v>0</v>
      </c>
      <c r="B192" s="536"/>
      <c r="C192" s="536"/>
      <c r="D192" s="536"/>
      <c r="E192" s="536"/>
      <c r="F192" s="536"/>
      <c r="G192" s="536"/>
      <c r="H192" s="66">
        <f>ROUND(SUM(H183:H191),2)</f>
        <v>1751.28</v>
      </c>
      <c r="I192" s="533"/>
    </row>
    <row r="193" spans="1:9" hidden="1">
      <c r="A193" s="48"/>
      <c r="B193" s="48"/>
      <c r="C193" s="48"/>
      <c r="D193" s="48"/>
      <c r="E193" s="48"/>
      <c r="F193" s="48"/>
      <c r="G193" s="48"/>
      <c r="H193" s="48"/>
      <c r="I193" s="67"/>
    </row>
    <row r="194" spans="1:9">
      <c r="A194" s="48"/>
      <c r="B194" s="48"/>
      <c r="C194" s="48"/>
      <c r="D194" s="48"/>
      <c r="E194" s="48"/>
      <c r="F194" s="48"/>
      <c r="G194" s="48"/>
      <c r="H194" s="48"/>
      <c r="I194" s="67"/>
    </row>
    <row r="195" spans="1:9">
      <c r="A195" s="48"/>
      <c r="B195" s="48"/>
      <c r="C195" s="48"/>
      <c r="D195" s="48"/>
      <c r="E195" s="48"/>
      <c r="F195" s="48"/>
      <c r="G195" s="48"/>
      <c r="H195" s="48"/>
      <c r="I195" s="67"/>
    </row>
    <row r="196" spans="1:9">
      <c r="A196" s="48"/>
      <c r="B196" s="48"/>
      <c r="C196" s="48"/>
      <c r="D196" s="48"/>
      <c r="E196" s="48"/>
      <c r="F196" s="48"/>
      <c r="G196" s="48"/>
      <c r="H196" s="48"/>
      <c r="I196" s="67"/>
    </row>
    <row r="197" spans="1:9">
      <c r="A197" s="48"/>
      <c r="B197" s="48"/>
      <c r="C197" s="48"/>
      <c r="D197" s="48"/>
      <c r="E197" s="48"/>
      <c r="F197" s="48"/>
      <c r="G197" s="48"/>
      <c r="H197" s="48"/>
      <c r="I197" s="67"/>
    </row>
    <row r="198" spans="1:9">
      <c r="A198" s="48"/>
      <c r="B198" s="48"/>
      <c r="C198" s="48"/>
      <c r="D198" s="48"/>
      <c r="E198" s="48"/>
      <c r="F198" s="48"/>
      <c r="G198" s="48"/>
      <c r="H198" s="48"/>
      <c r="I198" s="67"/>
    </row>
    <row r="199" spans="1:9">
      <c r="A199" s="48"/>
      <c r="B199" s="48"/>
      <c r="C199" s="48"/>
      <c r="D199" s="48"/>
      <c r="E199" s="48"/>
      <c r="F199" s="48"/>
      <c r="G199" s="48"/>
      <c r="H199" s="48"/>
      <c r="I199" s="67"/>
    </row>
    <row r="200" spans="1:9">
      <c r="A200" s="48"/>
      <c r="B200" s="48"/>
      <c r="C200" s="48"/>
      <c r="D200" s="48"/>
      <c r="E200" s="48"/>
      <c r="F200" s="48"/>
      <c r="G200" s="48"/>
      <c r="H200" s="48"/>
      <c r="I200" s="67"/>
    </row>
    <row r="201" spans="1:9">
      <c r="A201" s="48"/>
      <c r="B201" s="48"/>
      <c r="C201" s="48"/>
      <c r="D201" s="48"/>
      <c r="E201" s="48"/>
      <c r="F201" s="48"/>
      <c r="G201" s="48"/>
      <c r="H201" s="48"/>
      <c r="I201" s="67"/>
    </row>
    <row r="202" spans="1:9">
      <c r="A202" s="48"/>
      <c r="B202" s="48"/>
      <c r="C202" s="48"/>
      <c r="D202" s="48"/>
      <c r="E202" s="48"/>
      <c r="F202" s="48"/>
      <c r="G202" s="48"/>
      <c r="H202" s="48"/>
      <c r="I202" s="67"/>
    </row>
    <row r="204" spans="1:9">
      <c r="A204" s="242"/>
      <c r="B204" s="48"/>
      <c r="C204" s="48"/>
      <c r="D204" s="48"/>
      <c r="E204" s="48"/>
      <c r="F204" s="48"/>
      <c r="G204" s="48"/>
      <c r="H204" s="48"/>
    </row>
    <row r="205" spans="1:9">
      <c r="A205" s="242"/>
      <c r="B205" s="48"/>
      <c r="C205" s="48"/>
      <c r="D205" s="48"/>
      <c r="E205" s="48"/>
      <c r="F205" s="48"/>
      <c r="G205" s="48"/>
      <c r="H205" s="48"/>
    </row>
    <row r="206" spans="1:9">
      <c r="A206" s="242"/>
      <c r="B206" s="48"/>
      <c r="C206" s="48"/>
      <c r="D206" s="48"/>
      <c r="E206" s="48"/>
      <c r="F206" s="48"/>
      <c r="G206" s="48"/>
      <c r="H206" s="48"/>
    </row>
    <row r="207" spans="1:9">
      <c r="A207" s="242"/>
      <c r="B207" s="48"/>
      <c r="C207" s="48"/>
      <c r="D207" s="48"/>
      <c r="E207" s="48"/>
      <c r="F207" s="48"/>
      <c r="G207" s="48"/>
      <c r="H207" s="48"/>
    </row>
    <row r="208" spans="1:9">
      <c r="A208" s="242"/>
      <c r="B208" s="48"/>
      <c r="C208" s="48"/>
      <c r="D208" s="48"/>
      <c r="E208" s="48"/>
      <c r="F208" s="48"/>
      <c r="G208" s="48"/>
      <c r="H208" s="48"/>
    </row>
    <row r="209" spans="1:8">
      <c r="A209" s="242"/>
      <c r="B209" s="48"/>
      <c r="C209" s="48"/>
      <c r="D209" s="48"/>
      <c r="E209" s="48"/>
      <c r="F209" s="48"/>
      <c r="G209" s="48"/>
      <c r="H209" s="48"/>
    </row>
    <row r="210" spans="1:8">
      <c r="A210" s="242"/>
      <c r="B210" s="48"/>
      <c r="C210" s="48"/>
      <c r="D210" s="48"/>
      <c r="E210" s="48"/>
      <c r="F210" s="48"/>
      <c r="G210" s="48"/>
      <c r="H210" s="48"/>
    </row>
    <row r="211" spans="1:8">
      <c r="A211" s="242"/>
      <c r="B211" s="48"/>
      <c r="C211" s="48"/>
      <c r="D211" s="48"/>
      <c r="E211" s="48"/>
      <c r="F211" s="48"/>
      <c r="G211" s="48"/>
      <c r="H211" s="48"/>
    </row>
    <row r="212" spans="1:8">
      <c r="A212" s="242"/>
      <c r="B212" s="48"/>
      <c r="C212" s="48"/>
      <c r="D212" s="48"/>
      <c r="E212" s="48"/>
      <c r="F212" s="48"/>
      <c r="G212" s="48"/>
      <c r="H212" s="48"/>
    </row>
    <row r="213" spans="1:8">
      <c r="A213" s="242"/>
      <c r="B213" s="48"/>
      <c r="C213" s="48"/>
      <c r="D213" s="48"/>
      <c r="E213" s="48"/>
      <c r="F213" s="48"/>
      <c r="G213" s="48"/>
      <c r="H213" s="48"/>
    </row>
    <row r="214" spans="1:8">
      <c r="A214" s="242"/>
      <c r="B214" s="48"/>
      <c r="C214" s="48"/>
      <c r="D214" s="48"/>
      <c r="E214" s="48"/>
      <c r="F214" s="48"/>
      <c r="G214" s="48"/>
      <c r="H214" s="48"/>
    </row>
    <row r="215" spans="1:8">
      <c r="A215" s="242"/>
      <c r="B215" s="48"/>
      <c r="C215" s="48"/>
      <c r="D215" s="48"/>
      <c r="E215" s="48"/>
      <c r="F215" s="48"/>
      <c r="G215" s="48"/>
      <c r="H215" s="48"/>
    </row>
    <row r="216" spans="1:8">
      <c r="A216" s="242"/>
      <c r="B216" s="48"/>
      <c r="C216" s="48"/>
      <c r="D216" s="48"/>
      <c r="E216" s="48"/>
      <c r="F216" s="48"/>
      <c r="G216" s="48"/>
      <c r="H216" s="48"/>
    </row>
    <row r="217" spans="1:8">
      <c r="A217" s="242"/>
      <c r="B217" s="48"/>
      <c r="C217" s="48"/>
      <c r="D217" s="48"/>
      <c r="E217" s="48"/>
      <c r="F217" s="48"/>
      <c r="G217" s="48"/>
      <c r="H217" s="48"/>
    </row>
    <row r="218" spans="1:8">
      <c r="A218" s="242"/>
      <c r="B218" s="48"/>
      <c r="C218" s="48"/>
      <c r="D218" s="48"/>
      <c r="E218" s="48"/>
      <c r="F218" s="48"/>
      <c r="G218" s="48"/>
      <c r="H218" s="48"/>
    </row>
    <row r="219" spans="1:8">
      <c r="A219" s="242"/>
      <c r="B219" s="48"/>
      <c r="C219" s="48"/>
      <c r="D219" s="48"/>
      <c r="E219" s="48"/>
      <c r="F219" s="48"/>
      <c r="G219" s="48"/>
      <c r="H219" s="48"/>
    </row>
    <row r="220" spans="1:8">
      <c r="A220" s="242"/>
      <c r="B220" s="48"/>
      <c r="C220" s="48"/>
      <c r="D220" s="48"/>
      <c r="E220" s="48"/>
      <c r="F220" s="48"/>
      <c r="G220" s="48"/>
      <c r="H220" s="48"/>
    </row>
    <row r="221" spans="1:8">
      <c r="A221" s="242"/>
      <c r="B221" s="48"/>
      <c r="C221" s="48"/>
      <c r="D221" s="48"/>
      <c r="E221" s="48"/>
      <c r="F221" s="48"/>
      <c r="G221" s="48"/>
      <c r="H221" s="48"/>
    </row>
    <row r="222" spans="1:8">
      <c r="A222" s="242"/>
      <c r="B222" s="48"/>
      <c r="C222" s="48"/>
      <c r="D222" s="48"/>
      <c r="E222" s="48"/>
      <c r="F222" s="48"/>
      <c r="G222" s="48"/>
      <c r="H222" s="48"/>
    </row>
    <row r="223" spans="1:8">
      <c r="A223" s="242"/>
      <c r="B223" s="48"/>
      <c r="C223" s="48"/>
      <c r="D223" s="48"/>
      <c r="E223" s="48"/>
      <c r="F223" s="48"/>
      <c r="G223" s="48"/>
      <c r="H223" s="48"/>
    </row>
    <row r="224" spans="1:8">
      <c r="A224" s="242"/>
      <c r="B224" s="48"/>
      <c r="C224" s="48"/>
      <c r="D224" s="48"/>
      <c r="E224" s="48"/>
      <c r="F224" s="48"/>
      <c r="G224" s="48"/>
      <c r="H224" s="48"/>
    </row>
    <row r="225" spans="1:8">
      <c r="A225" s="242"/>
      <c r="B225" s="48"/>
      <c r="C225" s="48"/>
      <c r="D225" s="48"/>
      <c r="E225" s="48"/>
      <c r="F225" s="48"/>
      <c r="G225" s="48"/>
      <c r="H225" s="48"/>
    </row>
    <row r="226" spans="1:8">
      <c r="A226" s="242"/>
      <c r="B226" s="48"/>
      <c r="C226" s="48"/>
      <c r="D226" s="48"/>
      <c r="E226" s="48"/>
      <c r="F226" s="48"/>
      <c r="G226" s="48"/>
      <c r="H226" s="48"/>
    </row>
    <row r="227" spans="1:8">
      <c r="A227" s="242"/>
      <c r="B227" s="48"/>
      <c r="C227" s="48"/>
      <c r="D227" s="48"/>
      <c r="E227" s="48"/>
      <c r="F227" s="48"/>
      <c r="G227" s="48"/>
      <c r="H227" s="48"/>
    </row>
    <row r="228" spans="1:8">
      <c r="A228" s="242"/>
      <c r="B228" s="48"/>
      <c r="C228" s="48"/>
      <c r="D228" s="48"/>
      <c r="E228" s="48"/>
      <c r="F228" s="48"/>
      <c r="G228" s="48"/>
      <c r="H228" s="48"/>
    </row>
    <row r="229" spans="1:8">
      <c r="A229" s="242"/>
      <c r="B229" s="48"/>
      <c r="C229" s="48"/>
      <c r="D229" s="48"/>
      <c r="E229" s="48"/>
      <c r="F229" s="48"/>
      <c r="G229" s="48"/>
      <c r="H229" s="48"/>
    </row>
    <row r="230" spans="1:8">
      <c r="A230" s="242"/>
      <c r="B230" s="48"/>
      <c r="C230" s="48"/>
      <c r="D230" s="48"/>
      <c r="E230" s="48"/>
      <c r="F230" s="48"/>
      <c r="G230" s="48"/>
      <c r="H230" s="48"/>
    </row>
    <row r="231" spans="1:8">
      <c r="A231" s="242"/>
      <c r="B231" s="48"/>
      <c r="C231" s="48"/>
      <c r="D231" s="48"/>
      <c r="E231" s="48"/>
      <c r="F231" s="48"/>
      <c r="G231" s="48"/>
      <c r="H231" s="48"/>
    </row>
    <row r="232" spans="1:8">
      <c r="A232" s="242"/>
      <c r="B232" s="48"/>
      <c r="C232" s="48"/>
      <c r="D232" s="48"/>
      <c r="E232" s="48"/>
      <c r="F232" s="48"/>
      <c r="G232" s="48"/>
      <c r="H232" s="48"/>
    </row>
    <row r="233" spans="1:8">
      <c r="A233" s="242"/>
      <c r="B233" s="48"/>
      <c r="C233" s="48"/>
      <c r="D233" s="48"/>
      <c r="E233" s="48"/>
      <c r="F233" s="48"/>
      <c r="G233" s="48"/>
      <c r="H233" s="48"/>
    </row>
    <row r="234" spans="1:8">
      <c r="A234" s="242"/>
      <c r="B234" s="48"/>
      <c r="C234" s="48"/>
      <c r="D234" s="48"/>
      <c r="E234" s="48"/>
      <c r="F234" s="48"/>
      <c r="G234" s="48"/>
      <c r="H234" s="48"/>
    </row>
    <row r="235" spans="1:8">
      <c r="A235" s="242"/>
      <c r="B235" s="48"/>
      <c r="C235" s="48"/>
      <c r="D235" s="48"/>
      <c r="E235" s="48"/>
      <c r="F235" s="48"/>
      <c r="G235" s="48"/>
      <c r="H235" s="48"/>
    </row>
    <row r="236" spans="1:8">
      <c r="A236" s="242"/>
      <c r="B236" s="48"/>
      <c r="C236" s="48"/>
      <c r="D236" s="48"/>
      <c r="E236" s="48"/>
      <c r="F236" s="48"/>
      <c r="G236" s="48"/>
      <c r="H236" s="48"/>
    </row>
    <row r="237" spans="1:8">
      <c r="A237" s="242"/>
      <c r="B237" s="48"/>
      <c r="C237" s="48"/>
      <c r="D237" s="48"/>
      <c r="E237" s="48"/>
      <c r="F237" s="48"/>
      <c r="G237" s="48"/>
      <c r="H237" s="48"/>
    </row>
    <row r="238" spans="1:8">
      <c r="A238" s="242"/>
      <c r="B238" s="48"/>
      <c r="C238" s="48"/>
      <c r="D238" s="48"/>
      <c r="E238" s="48"/>
      <c r="F238" s="48"/>
      <c r="G238" s="48"/>
      <c r="H238" s="48"/>
    </row>
    <row r="239" spans="1:8">
      <c r="A239" s="242"/>
      <c r="B239" s="48"/>
      <c r="C239" s="48"/>
      <c r="D239" s="48"/>
      <c r="E239" s="48"/>
      <c r="F239" s="48"/>
      <c r="G239" s="48"/>
      <c r="H239" s="48"/>
    </row>
    <row r="240" spans="1:8">
      <c r="A240" s="242"/>
      <c r="B240" s="48"/>
      <c r="C240" s="48"/>
      <c r="D240" s="48"/>
      <c r="E240" s="48"/>
      <c r="F240" s="48"/>
      <c r="G240" s="48"/>
      <c r="H240" s="48"/>
    </row>
    <row r="241" spans="1:8">
      <c r="A241" s="242"/>
      <c r="B241" s="48"/>
      <c r="C241" s="48"/>
      <c r="D241" s="48"/>
      <c r="E241" s="48"/>
      <c r="F241" s="48"/>
      <c r="G241" s="48"/>
      <c r="H241" s="48"/>
    </row>
    <row r="242" spans="1:8">
      <c r="A242" s="242"/>
      <c r="B242" s="48"/>
      <c r="C242" s="48"/>
      <c r="D242" s="48"/>
      <c r="E242" s="48"/>
      <c r="F242" s="48"/>
      <c r="G242" s="48"/>
      <c r="H242" s="48"/>
    </row>
    <row r="243" spans="1:8">
      <c r="A243" s="242"/>
      <c r="B243" s="48"/>
      <c r="C243" s="48"/>
      <c r="D243" s="48"/>
      <c r="E243" s="48"/>
      <c r="F243" s="48"/>
      <c r="G243" s="48"/>
      <c r="H243" s="48"/>
    </row>
    <row r="244" spans="1:8">
      <c r="A244" s="242"/>
      <c r="B244" s="48"/>
      <c r="C244" s="48"/>
      <c r="D244" s="48"/>
      <c r="E244" s="48"/>
      <c r="F244" s="48"/>
      <c r="G244" s="48"/>
      <c r="H244" s="48"/>
    </row>
    <row r="245" spans="1:8">
      <c r="A245" s="242"/>
      <c r="B245" s="48"/>
      <c r="C245" s="48"/>
      <c r="D245" s="48"/>
      <c r="E245" s="48"/>
      <c r="F245" s="48"/>
      <c r="G245" s="48"/>
      <c r="H245" s="48"/>
    </row>
    <row r="246" spans="1:8">
      <c r="A246" s="242"/>
      <c r="B246" s="48"/>
      <c r="C246" s="48"/>
      <c r="D246" s="48"/>
      <c r="E246" s="48"/>
      <c r="F246" s="48"/>
      <c r="G246" s="48"/>
      <c r="H246" s="48"/>
    </row>
    <row r="247" spans="1:8">
      <c r="A247" s="242"/>
      <c r="B247" s="48"/>
      <c r="C247" s="48"/>
      <c r="D247" s="48"/>
      <c r="E247" s="48"/>
      <c r="F247" s="48"/>
      <c r="G247" s="48"/>
      <c r="H247" s="48"/>
    </row>
    <row r="248" spans="1:8">
      <c r="A248" s="242"/>
      <c r="B248" s="48"/>
      <c r="C248" s="48"/>
      <c r="D248" s="48"/>
      <c r="E248" s="48"/>
      <c r="F248" s="48"/>
      <c r="G248" s="48"/>
      <c r="H248" s="48"/>
    </row>
    <row r="249" spans="1:8">
      <c r="A249" s="242"/>
      <c r="B249" s="48"/>
      <c r="C249" s="48"/>
      <c r="D249" s="48"/>
      <c r="E249" s="48"/>
      <c r="F249" s="48"/>
      <c r="G249" s="48"/>
      <c r="H249" s="48"/>
    </row>
    <row r="250" spans="1:8">
      <c r="A250" s="242"/>
      <c r="B250" s="48"/>
      <c r="C250" s="48"/>
      <c r="D250" s="48"/>
      <c r="E250" s="48"/>
      <c r="F250" s="48"/>
      <c r="G250" s="48"/>
      <c r="H250" s="48"/>
    </row>
    <row r="251" spans="1:8">
      <c r="A251" s="242"/>
      <c r="B251" s="48"/>
      <c r="C251" s="48"/>
      <c r="D251" s="48"/>
      <c r="E251" s="48"/>
      <c r="F251" s="48"/>
      <c r="G251" s="48"/>
      <c r="H251" s="48"/>
    </row>
    <row r="252" spans="1:8">
      <c r="A252" s="242"/>
      <c r="B252" s="48"/>
      <c r="C252" s="48"/>
      <c r="D252" s="48"/>
      <c r="E252" s="48"/>
      <c r="F252" s="48"/>
      <c r="G252" s="48"/>
      <c r="H252" s="48"/>
    </row>
    <row r="253" spans="1:8">
      <c r="A253" s="242"/>
      <c r="B253" s="48"/>
      <c r="C253" s="48"/>
      <c r="D253" s="48"/>
      <c r="E253" s="48"/>
      <c r="F253" s="48"/>
      <c r="G253" s="48"/>
      <c r="H253" s="48"/>
    </row>
    <row r="254" spans="1:8">
      <c r="A254" s="242"/>
      <c r="B254" s="48"/>
      <c r="C254" s="48"/>
      <c r="D254" s="48"/>
      <c r="E254" s="48"/>
      <c r="F254" s="48"/>
      <c r="G254" s="48"/>
      <c r="H254" s="48"/>
    </row>
    <row r="255" spans="1:8">
      <c r="A255" s="242"/>
      <c r="B255" s="48"/>
      <c r="C255" s="48"/>
      <c r="D255" s="48"/>
      <c r="E255" s="48"/>
      <c r="F255" s="48"/>
      <c r="G255" s="48"/>
      <c r="H255" s="48"/>
    </row>
    <row r="256" spans="1:8">
      <c r="A256" s="243"/>
      <c r="B256" s="435"/>
      <c r="C256" s="435"/>
      <c r="D256" s="435"/>
      <c r="F256" s="435"/>
      <c r="G256" s="435"/>
      <c r="H256" s="435"/>
    </row>
    <row r="257" spans="1:8">
      <c r="A257" s="244"/>
      <c r="B257" s="538" t="s">
        <v>67</v>
      </c>
      <c r="C257" s="538"/>
      <c r="D257" s="538"/>
      <c r="F257" s="546" t="s">
        <v>70</v>
      </c>
      <c r="G257" s="546"/>
      <c r="H257" s="546"/>
    </row>
    <row r="258" spans="1:8">
      <c r="A258" s="245"/>
      <c r="B258" s="537" t="s">
        <v>68</v>
      </c>
      <c r="C258" s="537"/>
      <c r="D258" s="537"/>
      <c r="F258" s="354" t="s">
        <v>69</v>
      </c>
      <c r="G258" s="354"/>
      <c r="H258" s="354"/>
    </row>
    <row r="259" spans="1:8" ht="13.5" thickBot="1">
      <c r="A259" s="246"/>
      <c r="B259" s="247"/>
      <c r="C259" s="247"/>
      <c r="D259" s="247"/>
      <c r="E259" s="247"/>
      <c r="F259" s="247"/>
      <c r="G259" s="247"/>
      <c r="H259" s="248"/>
    </row>
  </sheetData>
  <mergeCells count="280">
    <mergeCell ref="A144:B144"/>
    <mergeCell ref="J144:J145"/>
    <mergeCell ref="A145:H145"/>
    <mergeCell ref="D140:J141"/>
    <mergeCell ref="A142:B143"/>
    <mergeCell ref="D142:D143"/>
    <mergeCell ref="E142:E143"/>
    <mergeCell ref="F142:F143"/>
    <mergeCell ref="G142:G143"/>
    <mergeCell ref="H142:H143"/>
    <mergeCell ref="F258:H258"/>
    <mergeCell ref="B258:D258"/>
    <mergeCell ref="B257:D257"/>
    <mergeCell ref="F256:H256"/>
    <mergeCell ref="B256:D256"/>
    <mergeCell ref="A188:B188"/>
    <mergeCell ref="A187:B187"/>
    <mergeCell ref="F151:H151"/>
    <mergeCell ref="C179:I180"/>
    <mergeCell ref="F257:H257"/>
    <mergeCell ref="B152:C152"/>
    <mergeCell ref="A185:B185"/>
    <mergeCell ref="A191:B191"/>
    <mergeCell ref="A189:B189"/>
    <mergeCell ref="A184:B184"/>
    <mergeCell ref="A186:B186"/>
    <mergeCell ref="A183:B183"/>
    <mergeCell ref="A181:B182"/>
    <mergeCell ref="G181:G182"/>
    <mergeCell ref="D181:D182"/>
    <mergeCell ref="I183:I192"/>
    <mergeCell ref="A192:G192"/>
    <mergeCell ref="A190:B190"/>
    <mergeCell ref="F181:F182"/>
    <mergeCell ref="H181:H182"/>
    <mergeCell ref="B151:C151"/>
    <mergeCell ref="C181:C182"/>
    <mergeCell ref="E181:E182"/>
    <mergeCell ref="F152:H152"/>
    <mergeCell ref="A177:I177"/>
    <mergeCell ref="A85:H85"/>
    <mergeCell ref="G89:G90"/>
    <mergeCell ref="H89:H90"/>
    <mergeCell ref="A121:B121"/>
    <mergeCell ref="F96:F97"/>
    <mergeCell ref="I181:I182"/>
    <mergeCell ref="F150:H150"/>
    <mergeCell ref="I128:I129"/>
    <mergeCell ref="A96:B97"/>
    <mergeCell ref="A86:J86"/>
    <mergeCell ref="D87:J88"/>
    <mergeCell ref="A93:J93"/>
    <mergeCell ref="D94:J95"/>
    <mergeCell ref="B150:C150"/>
    <mergeCell ref="I142:I143"/>
    <mergeCell ref="J142:J143"/>
    <mergeCell ref="I103:I104"/>
    <mergeCell ref="I89:I90"/>
    <mergeCell ref="H96:H97"/>
    <mergeCell ref="A84:B84"/>
    <mergeCell ref="J84:J85"/>
    <mergeCell ref="I75:I76"/>
    <mergeCell ref="J75:J76"/>
    <mergeCell ref="A79:J79"/>
    <mergeCell ref="D80:J81"/>
    <mergeCell ref="A75:B76"/>
    <mergeCell ref="A89:B90"/>
    <mergeCell ref="A82:B83"/>
    <mergeCell ref="F82:F83"/>
    <mergeCell ref="G82:G83"/>
    <mergeCell ref="C82:C83"/>
    <mergeCell ref="D82:D83"/>
    <mergeCell ref="E75:E76"/>
    <mergeCell ref="A14:B15"/>
    <mergeCell ref="D14:D15"/>
    <mergeCell ref="E14:E15"/>
    <mergeCell ref="F14:F15"/>
    <mergeCell ref="G14:G15"/>
    <mergeCell ref="F75:F76"/>
    <mergeCell ref="G75:G76"/>
    <mergeCell ref="C28:C29"/>
    <mergeCell ref="D28:J29"/>
    <mergeCell ref="A44:J44"/>
    <mergeCell ref="D45:J46"/>
    <mergeCell ref="A47:B48"/>
    <mergeCell ref="D47:D48"/>
    <mergeCell ref="I68:I69"/>
    <mergeCell ref="I61:I62"/>
    <mergeCell ref="A49:B49"/>
    <mergeCell ref="H30:H31"/>
    <mergeCell ref="J30:J31"/>
    <mergeCell ref="E30:E31"/>
    <mergeCell ref="F30:F31"/>
    <mergeCell ref="G30:G31"/>
    <mergeCell ref="A30:B31"/>
    <mergeCell ref="I14:I15"/>
    <mergeCell ref="J14:J15"/>
    <mergeCell ref="A16:B16"/>
    <mergeCell ref="J16:J17"/>
    <mergeCell ref="A17:H17"/>
    <mergeCell ref="I30:I31"/>
    <mergeCell ref="B26:J26"/>
    <mergeCell ref="A21:B22"/>
    <mergeCell ref="D30:D31"/>
    <mergeCell ref="A43:H43"/>
    <mergeCell ref="A40:B41"/>
    <mergeCell ref="C40:C41"/>
    <mergeCell ref="D40:D41"/>
    <mergeCell ref="E40:E41"/>
    <mergeCell ref="F40:F41"/>
    <mergeCell ref="G40:G41"/>
    <mergeCell ref="A32:B32"/>
    <mergeCell ref="J32:J34"/>
    <mergeCell ref="B36:J36"/>
    <mergeCell ref="A37:J37"/>
    <mergeCell ref="D38:J39"/>
    <mergeCell ref="A33:B33"/>
    <mergeCell ref="A34:H34"/>
    <mergeCell ref="J68:J69"/>
    <mergeCell ref="H68:H69"/>
    <mergeCell ref="H61:H62"/>
    <mergeCell ref="J61:J62"/>
    <mergeCell ref="H54:H55"/>
    <mergeCell ref="J54:J55"/>
    <mergeCell ref="I54:I55"/>
    <mergeCell ref="A58:J58"/>
    <mergeCell ref="A56:B56"/>
    <mergeCell ref="J56:J57"/>
    <mergeCell ref="A57:H57"/>
    <mergeCell ref="D59:J60"/>
    <mergeCell ref="A54:B55"/>
    <mergeCell ref="C54:C55"/>
    <mergeCell ref="D54:D55"/>
    <mergeCell ref="E54:E55"/>
    <mergeCell ref="F54:F55"/>
    <mergeCell ref="G54:G55"/>
    <mergeCell ref="D96:D97"/>
    <mergeCell ref="E96:E97"/>
    <mergeCell ref="D110:D111"/>
    <mergeCell ref="E110:E111"/>
    <mergeCell ref="F110:F111"/>
    <mergeCell ref="A100:J100"/>
    <mergeCell ref="D101:J102"/>
    <mergeCell ref="A106:H106"/>
    <mergeCell ref="J103:J104"/>
    <mergeCell ref="G96:G97"/>
    <mergeCell ref="I96:I97"/>
    <mergeCell ref="J96:J97"/>
    <mergeCell ref="A98:B98"/>
    <mergeCell ref="A107:J107"/>
    <mergeCell ref="D108:J109"/>
    <mergeCell ref="A110:B111"/>
    <mergeCell ref="A137:B137"/>
    <mergeCell ref="A130:B130"/>
    <mergeCell ref="J137:J138"/>
    <mergeCell ref="A138:H138"/>
    <mergeCell ref="D126:J127"/>
    <mergeCell ref="A128:B129"/>
    <mergeCell ref="D128:D129"/>
    <mergeCell ref="F128:F129"/>
    <mergeCell ref="G128:G129"/>
    <mergeCell ref="H128:H129"/>
    <mergeCell ref="H135:H136"/>
    <mergeCell ref="D133:J134"/>
    <mergeCell ref="E135:E136"/>
    <mergeCell ref="A135:B136"/>
    <mergeCell ref="D135:D136"/>
    <mergeCell ref="F135:F136"/>
    <mergeCell ref="G135:G136"/>
    <mergeCell ref="J130:J131"/>
    <mergeCell ref="A131:H131"/>
    <mergeCell ref="D119:D120"/>
    <mergeCell ref="A132:J132"/>
    <mergeCell ref="I135:I136"/>
    <mergeCell ref="J135:J136"/>
    <mergeCell ref="J128:J129"/>
    <mergeCell ref="E128:E129"/>
    <mergeCell ref="I119:I120"/>
    <mergeCell ref="J119:J120"/>
    <mergeCell ref="B124:J124"/>
    <mergeCell ref="A125:J125"/>
    <mergeCell ref="A119:B120"/>
    <mergeCell ref="E119:E120"/>
    <mergeCell ref="F119:F120"/>
    <mergeCell ref="G119:G120"/>
    <mergeCell ref="H119:H120"/>
    <mergeCell ref="J121:J122"/>
    <mergeCell ref="A122:H122"/>
    <mergeCell ref="A91:B91"/>
    <mergeCell ref="J91:J92"/>
    <mergeCell ref="A92:H92"/>
    <mergeCell ref="D73:J74"/>
    <mergeCell ref="D75:D76"/>
    <mergeCell ref="D117:J118"/>
    <mergeCell ref="J112:J113"/>
    <mergeCell ref="A113:H113"/>
    <mergeCell ref="A105:B105"/>
    <mergeCell ref="J105:J106"/>
    <mergeCell ref="A114:J114"/>
    <mergeCell ref="B115:J115"/>
    <mergeCell ref="A116:J116"/>
    <mergeCell ref="A112:B112"/>
    <mergeCell ref="A103:B104"/>
    <mergeCell ref="D103:D104"/>
    <mergeCell ref="E103:E104"/>
    <mergeCell ref="F103:F104"/>
    <mergeCell ref="G103:G104"/>
    <mergeCell ref="J110:J111"/>
    <mergeCell ref="G110:G111"/>
    <mergeCell ref="I110:I111"/>
    <mergeCell ref="J98:J99"/>
    <mergeCell ref="A99:H99"/>
    <mergeCell ref="A63:B63"/>
    <mergeCell ref="A70:B70"/>
    <mergeCell ref="J70:J71"/>
    <mergeCell ref="A71:H71"/>
    <mergeCell ref="J63:J64"/>
    <mergeCell ref="J89:J90"/>
    <mergeCell ref="D89:D90"/>
    <mergeCell ref="E89:E90"/>
    <mergeCell ref="F89:F90"/>
    <mergeCell ref="J82:J83"/>
    <mergeCell ref="I82:I83"/>
    <mergeCell ref="A77:B77"/>
    <mergeCell ref="J77:J78"/>
    <mergeCell ref="A78:H78"/>
    <mergeCell ref="E82:E83"/>
    <mergeCell ref="H82:H83"/>
    <mergeCell ref="A64:H64"/>
    <mergeCell ref="A65:J65"/>
    <mergeCell ref="D66:J67"/>
    <mergeCell ref="A68:B69"/>
    <mergeCell ref="D68:D69"/>
    <mergeCell ref="E68:E69"/>
    <mergeCell ref="F68:F69"/>
    <mergeCell ref="G68:G69"/>
    <mergeCell ref="A61:B62"/>
    <mergeCell ref="D61:D62"/>
    <mergeCell ref="E61:E62"/>
    <mergeCell ref="F61:F62"/>
    <mergeCell ref="G61:G62"/>
    <mergeCell ref="A7:J7"/>
    <mergeCell ref="H21:H22"/>
    <mergeCell ref="J23:J24"/>
    <mergeCell ref="A24:H24"/>
    <mergeCell ref="C19:C20"/>
    <mergeCell ref="J49:J50"/>
    <mergeCell ref="A50:H50"/>
    <mergeCell ref="A51:J51"/>
    <mergeCell ref="D52:J53"/>
    <mergeCell ref="E47:E48"/>
    <mergeCell ref="G47:G48"/>
    <mergeCell ref="I47:I48"/>
    <mergeCell ref="J47:J48"/>
    <mergeCell ref="H40:H41"/>
    <mergeCell ref="I40:I41"/>
    <mergeCell ref="J40:J41"/>
    <mergeCell ref="F47:F48"/>
    <mergeCell ref="A42:B42"/>
    <mergeCell ref="J42:J43"/>
    <mergeCell ref="A1:J1"/>
    <mergeCell ref="B2:J2"/>
    <mergeCell ref="B3:J3"/>
    <mergeCell ref="B4:J4"/>
    <mergeCell ref="A5:J5"/>
    <mergeCell ref="D19:J20"/>
    <mergeCell ref="I21:I22"/>
    <mergeCell ref="J21:J22"/>
    <mergeCell ref="A23:B23"/>
    <mergeCell ref="H14:H15"/>
    <mergeCell ref="B6:J6"/>
    <mergeCell ref="D21:D22"/>
    <mergeCell ref="E21:E22"/>
    <mergeCell ref="F21:F22"/>
    <mergeCell ref="G21:G22"/>
    <mergeCell ref="B8:J8"/>
    <mergeCell ref="A9:J9"/>
    <mergeCell ref="B10:J10"/>
    <mergeCell ref="C12:C13"/>
    <mergeCell ref="D12:J13"/>
  </mergeCells>
  <phoneticPr fontId="3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55" fitToHeight="0" orientation="landscape" r:id="rId1"/>
  <headerFooter>
    <oddFooter>Página &amp;P de &amp;N</oddFooter>
  </headerFooter>
  <rowBreaks count="2" manualBreakCount="2">
    <brk id="65" max="9" man="1"/>
    <brk id="123" max="9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8D2A0-36C8-4766-A5B0-39B6795F68F0}">
  <sheetPr>
    <tabColor theme="9" tint="0.59999389629810485"/>
    <pageSetUpPr fitToPage="1"/>
  </sheetPr>
  <dimension ref="A1:Q44"/>
  <sheetViews>
    <sheetView showGridLines="0" view="pageBreakPreview" zoomScale="90" zoomScaleNormal="80" zoomScaleSheetLayoutView="90" workbookViewId="0">
      <selection activeCell="A34" sqref="A34:L34"/>
    </sheetView>
  </sheetViews>
  <sheetFormatPr defaultRowHeight="12.75"/>
  <cols>
    <col min="2" max="2" width="12.7109375" bestFit="1" customWidth="1"/>
    <col min="3" max="3" width="65.7109375" bestFit="1" customWidth="1"/>
    <col min="4" max="4" width="17.7109375" bestFit="1" customWidth="1"/>
    <col min="5" max="5" width="11.140625" bestFit="1" customWidth="1"/>
    <col min="8" max="8" width="14.42578125" customWidth="1"/>
    <col min="12" max="12" width="10.28515625" bestFit="1" customWidth="1"/>
    <col min="13" max="13" width="13.42578125" bestFit="1" customWidth="1"/>
    <col min="14" max="14" width="11.140625" bestFit="1" customWidth="1"/>
  </cols>
  <sheetData>
    <row r="1" spans="1:17" s="275" customFormat="1" ht="47.65" customHeight="1">
      <c r="A1" s="574" t="s">
        <v>258</v>
      </c>
      <c r="B1" s="575"/>
      <c r="C1" s="575"/>
      <c r="D1" s="575"/>
      <c r="E1" s="575"/>
      <c r="F1" s="575"/>
      <c r="G1" s="575"/>
      <c r="H1" s="575"/>
      <c r="I1" s="575"/>
      <c r="J1" s="575"/>
      <c r="K1" s="575"/>
      <c r="L1" s="575"/>
      <c r="M1" s="576"/>
      <c r="N1" s="274"/>
    </row>
    <row r="2" spans="1:17" s="275" customFormat="1" ht="11.25">
      <c r="A2" s="276" t="s">
        <v>213</v>
      </c>
      <c r="B2" s="577" t="str">
        <f>'PLANILHA ORÇAMENTARIA'!B3:E3</f>
        <v>CALÇAMENTO EM BLOCO SEXTAVADO DE VIA NA COMUNIDADE GOIABEIRAS, MUNICIPIO DE LAGOA DOS PATOS - MG.</v>
      </c>
      <c r="C2" s="578"/>
      <c r="D2" s="578"/>
      <c r="E2" s="578"/>
      <c r="F2" s="578"/>
      <c r="G2" s="578"/>
      <c r="H2" s="578"/>
      <c r="I2" s="578"/>
      <c r="J2" s="578"/>
      <c r="K2" s="578"/>
      <c r="L2" s="578"/>
      <c r="M2" s="579"/>
      <c r="N2" s="274"/>
    </row>
    <row r="3" spans="1:17" s="275" customFormat="1" ht="11.25">
      <c r="A3" s="276" t="s">
        <v>18</v>
      </c>
      <c r="B3" s="577" t="str">
        <f>'PLANILHA ORÇAMENTARIA'!B4:E4</f>
        <v xml:space="preserve"> RUA PROJETA, COMUNIDADE GOIABEIRAS, MUNICIPIO DE LAGOA DOS PATOS - MG</v>
      </c>
      <c r="C3" s="578"/>
      <c r="D3" s="578"/>
      <c r="E3" s="578"/>
      <c r="F3" s="578"/>
      <c r="G3" s="578"/>
      <c r="H3" s="578"/>
      <c r="I3" s="578"/>
      <c r="J3" s="578"/>
      <c r="K3" s="578"/>
      <c r="L3" s="578"/>
      <c r="M3" s="579"/>
      <c r="N3" s="274"/>
    </row>
    <row r="4" spans="1:17" s="275" customFormat="1" ht="11.25">
      <c r="A4" s="276" t="s">
        <v>259</v>
      </c>
      <c r="B4" s="577" t="s">
        <v>335</v>
      </c>
      <c r="C4" s="578"/>
      <c r="D4" s="578"/>
      <c r="E4" s="578"/>
      <c r="F4" s="578"/>
      <c r="G4" s="578"/>
      <c r="H4" s="578"/>
      <c r="I4" s="549" t="s">
        <v>260</v>
      </c>
      <c r="J4" s="549"/>
      <c r="K4" s="580" t="s">
        <v>334</v>
      </c>
      <c r="L4" s="580"/>
      <c r="M4" s="277"/>
      <c r="N4" s="274"/>
    </row>
    <row r="5" spans="1:17" s="275" customFormat="1" ht="11.25">
      <c r="A5" s="565" t="s">
        <v>349</v>
      </c>
      <c r="B5" s="552"/>
      <c r="C5" s="552"/>
      <c r="D5" s="552"/>
      <c r="E5" s="552"/>
      <c r="F5" s="552"/>
      <c r="G5" s="552"/>
      <c r="H5" s="552"/>
      <c r="I5" s="552"/>
      <c r="J5" s="552"/>
      <c r="K5" s="552"/>
      <c r="L5" s="552"/>
      <c r="M5" s="571"/>
      <c r="N5" s="278"/>
    </row>
    <row r="6" spans="1:17" s="275" customFormat="1" ht="11.25">
      <c r="A6" s="567" t="s">
        <v>261</v>
      </c>
      <c r="B6" s="568"/>
      <c r="C6" s="568"/>
      <c r="D6" s="568"/>
      <c r="E6" s="568"/>
      <c r="F6" s="568"/>
      <c r="G6" s="568"/>
      <c r="H6" s="568"/>
      <c r="I6" s="568"/>
      <c r="J6" s="568"/>
      <c r="K6" s="568"/>
      <c r="L6" s="568"/>
      <c r="M6" s="569"/>
      <c r="N6" s="278"/>
    </row>
    <row r="7" spans="1:17" s="275" customFormat="1" ht="11.25">
      <c r="A7" s="557" t="s">
        <v>157</v>
      </c>
      <c r="B7" s="553" t="s">
        <v>262</v>
      </c>
      <c r="C7" s="553" t="s">
        <v>263</v>
      </c>
      <c r="D7" s="553" t="s">
        <v>264</v>
      </c>
      <c r="E7" s="553" t="s">
        <v>265</v>
      </c>
      <c r="F7" s="572" t="s">
        <v>266</v>
      </c>
      <c r="G7" s="573"/>
      <c r="H7" s="551" t="s">
        <v>267</v>
      </c>
      <c r="I7" s="552"/>
      <c r="J7" s="553" t="s">
        <v>268</v>
      </c>
      <c r="K7" s="553" t="s">
        <v>269</v>
      </c>
      <c r="L7" s="553" t="s">
        <v>270</v>
      </c>
      <c r="M7" s="555" t="s">
        <v>271</v>
      </c>
      <c r="N7" s="278"/>
    </row>
    <row r="8" spans="1:17" s="275" customFormat="1" ht="11.25">
      <c r="A8" s="558"/>
      <c r="B8" s="554"/>
      <c r="C8" s="554"/>
      <c r="D8" s="554"/>
      <c r="E8" s="554"/>
      <c r="F8" s="279" t="s">
        <v>272</v>
      </c>
      <c r="G8" s="280" t="s">
        <v>273</v>
      </c>
      <c r="H8" s="280" t="s">
        <v>272</v>
      </c>
      <c r="I8" s="281" t="s">
        <v>273</v>
      </c>
      <c r="J8" s="554"/>
      <c r="K8" s="554"/>
      <c r="L8" s="554"/>
      <c r="M8" s="556"/>
      <c r="N8" s="278"/>
    </row>
    <row r="9" spans="1:17" s="275" customFormat="1" ht="11.25">
      <c r="A9" s="282" t="s">
        <v>2</v>
      </c>
      <c r="B9" s="283" t="s">
        <v>274</v>
      </c>
      <c r="C9" s="284" t="s">
        <v>275</v>
      </c>
      <c r="D9" s="285">
        <v>1</v>
      </c>
      <c r="E9" s="286" t="s">
        <v>276</v>
      </c>
      <c r="F9" s="285">
        <v>0</v>
      </c>
      <c r="G9" s="285">
        <v>50</v>
      </c>
      <c r="H9" s="287">
        <v>130</v>
      </c>
      <c r="I9" s="288">
        <v>60</v>
      </c>
      <c r="J9" s="285">
        <v>1</v>
      </c>
      <c r="K9" s="289">
        <v>1</v>
      </c>
      <c r="L9" s="290">
        <v>453.64170000000001</v>
      </c>
      <c r="M9" s="291">
        <f>ROUND(((H9*J9*K9)/I9)*L9,2)*D9</f>
        <v>982.89</v>
      </c>
      <c r="N9" s="274"/>
      <c r="P9" s="275">
        <f t="shared" ref="P9:P20" si="0">M9/L9</f>
        <v>2.1666658951326565</v>
      </c>
      <c r="Q9" s="292">
        <f t="shared" ref="Q9:Q20" si="1">P9*L9</f>
        <v>982.8900000000001</v>
      </c>
    </row>
    <row r="10" spans="1:17" s="275" customFormat="1" ht="11.25">
      <c r="A10" s="282" t="s">
        <v>277</v>
      </c>
      <c r="B10" s="283" t="s">
        <v>278</v>
      </c>
      <c r="C10" s="284" t="s">
        <v>279</v>
      </c>
      <c r="D10" s="285">
        <v>1</v>
      </c>
      <c r="E10" s="286" t="s">
        <v>276</v>
      </c>
      <c r="F10" s="285">
        <v>0</v>
      </c>
      <c r="G10" s="285">
        <v>50</v>
      </c>
      <c r="H10" s="287">
        <f>H9</f>
        <v>130</v>
      </c>
      <c r="I10" s="288">
        <v>60</v>
      </c>
      <c r="J10" s="285">
        <v>1</v>
      </c>
      <c r="K10" s="289">
        <v>0.5</v>
      </c>
      <c r="L10" s="290">
        <f>L9</f>
        <v>453.64170000000001</v>
      </c>
      <c r="M10" s="291">
        <f>ROUND(((H10*J10*K10)/I10)*L10,2)*D10</f>
        <v>491.45</v>
      </c>
      <c r="N10" s="274"/>
      <c r="P10" s="275">
        <f t="shared" si="0"/>
        <v>1.0833439694807598</v>
      </c>
      <c r="Q10" s="292">
        <f t="shared" si="1"/>
        <v>491.45000000000005</v>
      </c>
    </row>
    <row r="11" spans="1:17" s="275" customFormat="1" ht="11.25">
      <c r="A11" s="282" t="s">
        <v>280</v>
      </c>
      <c r="B11" s="283" t="s">
        <v>281</v>
      </c>
      <c r="C11" s="284" t="s">
        <v>282</v>
      </c>
      <c r="D11" s="285">
        <v>1</v>
      </c>
      <c r="E11" s="286" t="s">
        <v>276</v>
      </c>
      <c r="F11" s="285">
        <v>0</v>
      </c>
      <c r="G11" s="285">
        <v>50</v>
      </c>
      <c r="H11" s="287">
        <f t="shared" ref="H11:H18" si="2">H10</f>
        <v>130</v>
      </c>
      <c r="I11" s="288">
        <v>60</v>
      </c>
      <c r="J11" s="285">
        <v>1</v>
      </c>
      <c r="K11" s="289">
        <v>1</v>
      </c>
      <c r="L11" s="290">
        <f t="shared" ref="L11:L18" si="3">L10</f>
        <v>453.64170000000001</v>
      </c>
      <c r="M11" s="291">
        <f>ROUND(((H11*J11*K11)/I11)*L11,2)*D11</f>
        <v>982.89</v>
      </c>
      <c r="N11" s="274"/>
      <c r="P11" s="275">
        <f t="shared" si="0"/>
        <v>2.1666658951326565</v>
      </c>
      <c r="Q11" s="292">
        <f t="shared" si="1"/>
        <v>982.8900000000001</v>
      </c>
    </row>
    <row r="12" spans="1:17" s="275" customFormat="1" ht="11.25">
      <c r="A12" s="282" t="s">
        <v>283</v>
      </c>
      <c r="B12" s="283" t="s">
        <v>284</v>
      </c>
      <c r="C12" s="284" t="s">
        <v>285</v>
      </c>
      <c r="D12" s="285">
        <v>1</v>
      </c>
      <c r="E12" s="286" t="s">
        <v>276</v>
      </c>
      <c r="F12" s="285">
        <v>0</v>
      </c>
      <c r="G12" s="285">
        <v>50</v>
      </c>
      <c r="H12" s="287">
        <f t="shared" si="2"/>
        <v>130</v>
      </c>
      <c r="I12" s="288">
        <v>60</v>
      </c>
      <c r="J12" s="285">
        <v>1</v>
      </c>
      <c r="K12" s="289">
        <v>0</v>
      </c>
      <c r="L12" s="290">
        <f t="shared" si="3"/>
        <v>453.64170000000001</v>
      </c>
      <c r="M12" s="291">
        <f t="shared" ref="M12:M19" si="4">ROUND(((H12*J12*K12)/I12)*L12,2)*D12</f>
        <v>0</v>
      </c>
      <c r="N12" s="274"/>
      <c r="P12" s="275">
        <f t="shared" si="0"/>
        <v>0</v>
      </c>
      <c r="Q12" s="292">
        <f t="shared" si="1"/>
        <v>0</v>
      </c>
    </row>
    <row r="13" spans="1:17" s="275" customFormat="1" ht="11.25">
      <c r="A13" s="282" t="s">
        <v>286</v>
      </c>
      <c r="B13" s="283" t="s">
        <v>287</v>
      </c>
      <c r="C13" s="284" t="s">
        <v>288</v>
      </c>
      <c r="D13" s="285">
        <v>1</v>
      </c>
      <c r="E13" s="286" t="s">
        <v>276</v>
      </c>
      <c r="F13" s="285">
        <v>0</v>
      </c>
      <c r="G13" s="285">
        <v>50</v>
      </c>
      <c r="H13" s="287">
        <f t="shared" si="2"/>
        <v>130</v>
      </c>
      <c r="I13" s="288">
        <v>60</v>
      </c>
      <c r="J13" s="285">
        <v>1</v>
      </c>
      <c r="K13" s="289">
        <v>0</v>
      </c>
      <c r="L13" s="290">
        <f t="shared" si="3"/>
        <v>453.64170000000001</v>
      </c>
      <c r="M13" s="291">
        <f t="shared" si="4"/>
        <v>0</v>
      </c>
      <c r="N13" s="274"/>
      <c r="P13" s="275">
        <f t="shared" si="0"/>
        <v>0</v>
      </c>
      <c r="Q13" s="292">
        <f t="shared" si="1"/>
        <v>0</v>
      </c>
    </row>
    <row r="14" spans="1:17" s="275" customFormat="1" ht="11.25">
      <c r="A14" s="282" t="s">
        <v>289</v>
      </c>
      <c r="B14" s="283" t="s">
        <v>290</v>
      </c>
      <c r="C14" s="284" t="s">
        <v>291</v>
      </c>
      <c r="D14" s="285">
        <v>1</v>
      </c>
      <c r="E14" s="286" t="s">
        <v>276</v>
      </c>
      <c r="F14" s="285">
        <v>0</v>
      </c>
      <c r="G14" s="285">
        <v>50</v>
      </c>
      <c r="H14" s="287">
        <f t="shared" si="2"/>
        <v>130</v>
      </c>
      <c r="I14" s="288">
        <v>60</v>
      </c>
      <c r="J14" s="285">
        <v>1</v>
      </c>
      <c r="K14" s="289">
        <v>0.5</v>
      </c>
      <c r="L14" s="290">
        <f t="shared" si="3"/>
        <v>453.64170000000001</v>
      </c>
      <c r="M14" s="291">
        <f t="shared" si="4"/>
        <v>491.45</v>
      </c>
      <c r="N14" s="274"/>
      <c r="P14" s="275">
        <f t="shared" si="0"/>
        <v>1.0833439694807598</v>
      </c>
      <c r="Q14" s="292">
        <f t="shared" si="1"/>
        <v>491.45000000000005</v>
      </c>
    </row>
    <row r="15" spans="1:17" s="275" customFormat="1" ht="11.25">
      <c r="A15" s="282" t="s">
        <v>292</v>
      </c>
      <c r="B15" s="283" t="s">
        <v>293</v>
      </c>
      <c r="C15" s="284" t="s">
        <v>294</v>
      </c>
      <c r="D15" s="285">
        <v>1</v>
      </c>
      <c r="E15" s="286" t="s">
        <v>276</v>
      </c>
      <c r="F15" s="285">
        <v>0</v>
      </c>
      <c r="G15" s="285">
        <v>50</v>
      </c>
      <c r="H15" s="287">
        <f t="shared" si="2"/>
        <v>130</v>
      </c>
      <c r="I15" s="288">
        <v>60</v>
      </c>
      <c r="J15" s="285">
        <v>1</v>
      </c>
      <c r="K15" s="289">
        <v>0.5</v>
      </c>
      <c r="L15" s="290">
        <f t="shared" si="3"/>
        <v>453.64170000000001</v>
      </c>
      <c r="M15" s="291">
        <f t="shared" si="4"/>
        <v>491.45</v>
      </c>
      <c r="N15" s="274"/>
      <c r="P15" s="275">
        <f t="shared" si="0"/>
        <v>1.0833439694807598</v>
      </c>
      <c r="Q15" s="292">
        <f t="shared" si="1"/>
        <v>491.45000000000005</v>
      </c>
    </row>
    <row r="16" spans="1:17" s="275" customFormat="1" ht="11.25">
      <c r="A16" s="282" t="s">
        <v>295</v>
      </c>
      <c r="B16" s="283" t="s">
        <v>296</v>
      </c>
      <c r="C16" s="284" t="s">
        <v>297</v>
      </c>
      <c r="D16" s="285">
        <v>1</v>
      </c>
      <c r="E16" s="286" t="s">
        <v>276</v>
      </c>
      <c r="F16" s="285">
        <v>0</v>
      </c>
      <c r="G16" s="285">
        <v>50</v>
      </c>
      <c r="H16" s="287">
        <f t="shared" si="2"/>
        <v>130</v>
      </c>
      <c r="I16" s="288">
        <v>60</v>
      </c>
      <c r="J16" s="285">
        <v>1</v>
      </c>
      <c r="K16" s="289">
        <v>1</v>
      </c>
      <c r="L16" s="290">
        <f t="shared" si="3"/>
        <v>453.64170000000001</v>
      </c>
      <c r="M16" s="291">
        <f t="shared" si="4"/>
        <v>982.89</v>
      </c>
      <c r="N16" s="274"/>
      <c r="P16" s="275">
        <f t="shared" si="0"/>
        <v>2.1666658951326565</v>
      </c>
      <c r="Q16" s="292">
        <f t="shared" si="1"/>
        <v>982.8900000000001</v>
      </c>
    </row>
    <row r="17" spans="1:17" s="275" customFormat="1" ht="11.25">
      <c r="A17" s="282" t="s">
        <v>298</v>
      </c>
      <c r="B17" s="283" t="s">
        <v>299</v>
      </c>
      <c r="C17" s="293" t="s">
        <v>300</v>
      </c>
      <c r="D17" s="285">
        <v>1</v>
      </c>
      <c r="E17" s="286" t="s">
        <v>276</v>
      </c>
      <c r="F17" s="285">
        <v>0</v>
      </c>
      <c r="G17" s="285">
        <v>50</v>
      </c>
      <c r="H17" s="287">
        <f t="shared" si="2"/>
        <v>130</v>
      </c>
      <c r="I17" s="288">
        <v>60</v>
      </c>
      <c r="J17" s="285">
        <v>1</v>
      </c>
      <c r="K17" s="289">
        <v>0.5</v>
      </c>
      <c r="L17" s="290">
        <f t="shared" si="3"/>
        <v>453.64170000000001</v>
      </c>
      <c r="M17" s="291">
        <f t="shared" si="4"/>
        <v>491.45</v>
      </c>
      <c r="N17" s="274"/>
      <c r="P17" s="275">
        <f t="shared" si="0"/>
        <v>1.0833439694807598</v>
      </c>
      <c r="Q17" s="292">
        <f t="shared" si="1"/>
        <v>491.45000000000005</v>
      </c>
    </row>
    <row r="18" spans="1:17" s="275" customFormat="1" ht="11.25">
      <c r="A18" s="282" t="s">
        <v>301</v>
      </c>
      <c r="B18" s="294" t="s">
        <v>302</v>
      </c>
      <c r="C18" s="295" t="s">
        <v>303</v>
      </c>
      <c r="D18" s="296">
        <v>1</v>
      </c>
      <c r="E18" s="286" t="s">
        <v>276</v>
      </c>
      <c r="F18" s="285">
        <v>0</v>
      </c>
      <c r="G18" s="285">
        <v>50</v>
      </c>
      <c r="H18" s="287">
        <f t="shared" si="2"/>
        <v>130</v>
      </c>
      <c r="I18" s="288">
        <v>60</v>
      </c>
      <c r="J18" s="285">
        <v>1</v>
      </c>
      <c r="K18" s="289">
        <v>1</v>
      </c>
      <c r="L18" s="290">
        <f t="shared" si="3"/>
        <v>453.64170000000001</v>
      </c>
      <c r="M18" s="291">
        <f t="shared" si="4"/>
        <v>982.89</v>
      </c>
      <c r="N18" s="274"/>
      <c r="P18" s="275">
        <f t="shared" si="0"/>
        <v>2.1666658951326565</v>
      </c>
      <c r="Q18" s="292">
        <f t="shared" si="1"/>
        <v>982.8900000000001</v>
      </c>
    </row>
    <row r="19" spans="1:17" s="275" customFormat="1" ht="11.25" hidden="1">
      <c r="A19" s="282" t="s">
        <v>304</v>
      </c>
      <c r="B19" s="297" t="s">
        <v>305</v>
      </c>
      <c r="C19" s="295" t="s">
        <v>306</v>
      </c>
      <c r="D19" s="296">
        <v>1</v>
      </c>
      <c r="E19" s="286" t="s">
        <v>276</v>
      </c>
      <c r="F19" s="285">
        <v>0</v>
      </c>
      <c r="G19" s="285">
        <v>50</v>
      </c>
      <c r="H19" s="298">
        <v>105</v>
      </c>
      <c r="I19" s="288">
        <v>60</v>
      </c>
      <c r="J19" s="285">
        <v>1</v>
      </c>
      <c r="K19" s="289">
        <v>0</v>
      </c>
      <c r="L19" s="290">
        <v>428.3</v>
      </c>
      <c r="M19" s="291">
        <f t="shared" si="4"/>
        <v>0</v>
      </c>
      <c r="N19" s="274"/>
      <c r="P19" s="275">
        <f t="shared" si="0"/>
        <v>0</v>
      </c>
      <c r="Q19" s="292">
        <f t="shared" si="1"/>
        <v>0</v>
      </c>
    </row>
    <row r="20" spans="1:17" s="275" customFormat="1" ht="11.25" hidden="1">
      <c r="A20" s="282" t="s">
        <v>307</v>
      </c>
      <c r="B20" s="297" t="s">
        <v>308</v>
      </c>
      <c r="C20" s="295" t="s">
        <v>309</v>
      </c>
      <c r="D20" s="296">
        <v>1</v>
      </c>
      <c r="E20" s="286" t="s">
        <v>276</v>
      </c>
      <c r="F20" s="285">
        <v>0</v>
      </c>
      <c r="G20" s="285">
        <v>50</v>
      </c>
      <c r="H20" s="298">
        <v>105</v>
      </c>
      <c r="I20" s="288">
        <v>60</v>
      </c>
      <c r="J20" s="285">
        <v>1</v>
      </c>
      <c r="K20" s="289">
        <v>0</v>
      </c>
      <c r="L20" s="290">
        <v>428.3</v>
      </c>
      <c r="M20" s="291">
        <f>ROUND(((H20*J20*K20)/I20)*L20,2)*D20</f>
        <v>0</v>
      </c>
      <c r="N20" s="274"/>
      <c r="P20" s="275">
        <f t="shared" si="0"/>
        <v>0</v>
      </c>
      <c r="Q20" s="292">
        <f t="shared" si="1"/>
        <v>0</v>
      </c>
    </row>
    <row r="21" spans="1:17" s="275" customFormat="1" ht="11.25">
      <c r="A21" s="548" t="s">
        <v>310</v>
      </c>
      <c r="B21" s="549"/>
      <c r="C21" s="570"/>
      <c r="D21" s="549"/>
      <c r="E21" s="549"/>
      <c r="F21" s="549"/>
      <c r="G21" s="549"/>
      <c r="H21" s="549"/>
      <c r="I21" s="549"/>
      <c r="J21" s="549"/>
      <c r="K21" s="549"/>
      <c r="L21" s="550"/>
      <c r="M21" s="299">
        <f>ROUND(SUM(M9:M20),2)</f>
        <v>5897.36</v>
      </c>
      <c r="N21" s="274"/>
      <c r="Q21" s="292">
        <f>SUM(Q9:Q20)</f>
        <v>5897.3600000000006</v>
      </c>
    </row>
    <row r="22" spans="1:17" s="275" customFormat="1" ht="11.25">
      <c r="A22" s="560"/>
      <c r="B22" s="561"/>
      <c r="C22" s="561"/>
      <c r="D22" s="561"/>
      <c r="E22" s="561"/>
      <c r="F22" s="561"/>
      <c r="G22" s="561"/>
      <c r="H22" s="561"/>
      <c r="I22" s="561"/>
      <c r="J22" s="561"/>
      <c r="K22" s="561"/>
      <c r="L22" s="561"/>
      <c r="M22" s="562"/>
      <c r="N22" s="274"/>
    </row>
    <row r="23" spans="1:17" s="275" customFormat="1" ht="11.25">
      <c r="A23" s="548" t="s">
        <v>311</v>
      </c>
      <c r="B23" s="549"/>
      <c r="C23" s="549"/>
      <c r="D23" s="549"/>
      <c r="E23" s="549"/>
      <c r="F23" s="549"/>
      <c r="G23" s="549"/>
      <c r="H23" s="549"/>
      <c r="I23" s="549"/>
      <c r="J23" s="549"/>
      <c r="K23" s="549"/>
      <c r="L23" s="550"/>
      <c r="M23" s="299">
        <f>M21</f>
        <v>5897.36</v>
      </c>
      <c r="N23" s="274"/>
    </row>
    <row r="24" spans="1:17" s="275" customFormat="1" ht="11.25" hidden="1">
      <c r="A24" s="560"/>
      <c r="B24" s="561"/>
      <c r="C24" s="561"/>
      <c r="D24" s="561"/>
      <c r="E24" s="561"/>
      <c r="F24" s="561"/>
      <c r="G24" s="561"/>
      <c r="H24" s="561"/>
      <c r="I24" s="561"/>
      <c r="J24" s="561"/>
      <c r="K24" s="561"/>
      <c r="L24" s="561"/>
      <c r="M24" s="562"/>
      <c r="N24" s="274"/>
    </row>
    <row r="25" spans="1:17" s="275" customFormat="1" ht="11.25">
      <c r="A25" s="548" t="s">
        <v>312</v>
      </c>
      <c r="B25" s="549"/>
      <c r="C25" s="549"/>
      <c r="D25" s="549"/>
      <c r="E25" s="549"/>
      <c r="F25" s="549"/>
      <c r="G25" s="549"/>
      <c r="H25" s="549"/>
      <c r="I25" s="549"/>
      <c r="J25" s="549"/>
      <c r="K25" s="549"/>
      <c r="L25" s="550"/>
      <c r="M25" s="563">
        <f>ROUND(SUM(M23+M21),2)</f>
        <v>11794.72</v>
      </c>
      <c r="N25" s="274"/>
    </row>
    <row r="26" spans="1:17" s="275" customFormat="1" ht="11.25">
      <c r="A26" s="565" t="s">
        <v>313</v>
      </c>
      <c r="B26" s="559"/>
      <c r="C26" s="566" t="s">
        <v>314</v>
      </c>
      <c r="D26" s="549"/>
      <c r="E26" s="549"/>
      <c r="F26" s="549"/>
      <c r="G26" s="549"/>
      <c r="H26" s="549"/>
      <c r="I26" s="549"/>
      <c r="J26" s="549"/>
      <c r="K26" s="549"/>
      <c r="L26" s="550"/>
      <c r="M26" s="564"/>
      <c r="N26" s="278"/>
    </row>
    <row r="27" spans="1:17" s="275" customFormat="1" ht="11.25">
      <c r="A27" s="300"/>
      <c r="B27" s="278"/>
      <c r="C27" s="278"/>
      <c r="D27" s="278"/>
      <c r="E27" s="278"/>
      <c r="F27" s="278"/>
      <c r="G27" s="278"/>
      <c r="H27" s="278"/>
      <c r="I27" s="278"/>
      <c r="J27" s="278"/>
      <c r="K27" s="278"/>
      <c r="L27" s="278"/>
      <c r="M27" s="301"/>
      <c r="N27" s="278"/>
    </row>
    <row r="28" spans="1:17" s="275" customFormat="1" ht="11.25">
      <c r="A28" s="567" t="s">
        <v>315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8"/>
      <c r="L28" s="568"/>
      <c r="M28" s="569"/>
      <c r="N28" s="278"/>
    </row>
    <row r="29" spans="1:17" s="275" customFormat="1" ht="11.25">
      <c r="A29" s="557" t="s">
        <v>157</v>
      </c>
      <c r="B29" s="553" t="s">
        <v>262</v>
      </c>
      <c r="C29" s="553" t="s">
        <v>263</v>
      </c>
      <c r="D29" s="553" t="s">
        <v>264</v>
      </c>
      <c r="E29" s="553" t="s">
        <v>265</v>
      </c>
      <c r="F29" s="551" t="s">
        <v>316</v>
      </c>
      <c r="G29" s="559"/>
      <c r="H29" s="551" t="s">
        <v>267</v>
      </c>
      <c r="I29" s="552"/>
      <c r="J29" s="553" t="s">
        <v>268</v>
      </c>
      <c r="K29" s="553" t="s">
        <v>269</v>
      </c>
      <c r="L29" s="553" t="s">
        <v>317</v>
      </c>
      <c r="M29" s="555" t="s">
        <v>271</v>
      </c>
      <c r="N29" s="278"/>
    </row>
    <row r="30" spans="1:17" s="275" customFormat="1" ht="11.25">
      <c r="A30" s="558"/>
      <c r="B30" s="554"/>
      <c r="C30" s="554"/>
      <c r="D30" s="554"/>
      <c r="E30" s="554"/>
      <c r="F30" s="280" t="s">
        <v>272</v>
      </c>
      <c r="G30" s="280" t="s">
        <v>273</v>
      </c>
      <c r="H30" s="280" t="s">
        <v>272</v>
      </c>
      <c r="I30" s="281" t="s">
        <v>273</v>
      </c>
      <c r="J30" s="554"/>
      <c r="K30" s="554"/>
      <c r="L30" s="554"/>
      <c r="M30" s="556"/>
      <c r="N30" s="278"/>
    </row>
    <row r="31" spans="1:17" s="275" customFormat="1" ht="11.25">
      <c r="A31" s="282" t="s">
        <v>2</v>
      </c>
      <c r="B31" s="283" t="s">
        <v>318</v>
      </c>
      <c r="C31" s="284" t="s">
        <v>319</v>
      </c>
      <c r="D31" s="285">
        <v>3</v>
      </c>
      <c r="E31" s="286" t="s">
        <v>276</v>
      </c>
      <c r="F31" s="285">
        <v>0</v>
      </c>
      <c r="G31" s="285">
        <v>50</v>
      </c>
      <c r="H31" s="287">
        <v>130</v>
      </c>
      <c r="I31" s="288">
        <v>60</v>
      </c>
      <c r="J31" s="285">
        <v>1</v>
      </c>
      <c r="K31" s="285">
        <v>1</v>
      </c>
      <c r="L31" s="290">
        <v>346.94189999999998</v>
      </c>
      <c r="M31" s="291">
        <f>ROUND(((H31*J31*K31)/I31)*L31,2)*D31</f>
        <v>2255.13</v>
      </c>
      <c r="N31" s="274"/>
      <c r="P31" s="275">
        <f>M31/L31</f>
        <v>6.500022049801423</v>
      </c>
      <c r="Q31" s="292">
        <f>P31*L31</f>
        <v>2255.13</v>
      </c>
    </row>
    <row r="32" spans="1:17" s="275" customFormat="1" ht="11.25" hidden="1">
      <c r="A32" s="282" t="s">
        <v>242</v>
      </c>
      <c r="B32" s="283" t="s">
        <v>320</v>
      </c>
      <c r="C32" s="284" t="s">
        <v>321</v>
      </c>
      <c r="D32" s="285">
        <v>1</v>
      </c>
      <c r="E32" s="286" t="s">
        <v>276</v>
      </c>
      <c r="F32" s="285">
        <v>0</v>
      </c>
      <c r="G32" s="285">
        <v>50</v>
      </c>
      <c r="H32" s="298">
        <v>105</v>
      </c>
      <c r="I32" s="288">
        <v>60</v>
      </c>
      <c r="J32" s="285">
        <v>1</v>
      </c>
      <c r="K32" s="285">
        <v>0</v>
      </c>
      <c r="L32" s="290">
        <v>362.19580000000002</v>
      </c>
      <c r="M32" s="291">
        <f>ROUND(((H32*J32*K32)/I32)*L32,2)*D32</f>
        <v>0</v>
      </c>
      <c r="N32" s="274"/>
      <c r="P32" s="275">
        <f>M32/L32</f>
        <v>0</v>
      </c>
      <c r="Q32" s="292">
        <f>P32*L32</f>
        <v>0</v>
      </c>
    </row>
    <row r="33" spans="1:17" s="275" customFormat="1" ht="11.25" hidden="1">
      <c r="A33" s="282" t="s">
        <v>243</v>
      </c>
      <c r="B33" s="283" t="s">
        <v>322</v>
      </c>
      <c r="C33" s="284" t="s">
        <v>323</v>
      </c>
      <c r="D33" s="285">
        <v>1</v>
      </c>
      <c r="E33" s="286" t="s">
        <v>276</v>
      </c>
      <c r="F33" s="285">
        <v>0</v>
      </c>
      <c r="G33" s="285">
        <v>50</v>
      </c>
      <c r="H33" s="298">
        <v>105</v>
      </c>
      <c r="I33" s="288">
        <v>60</v>
      </c>
      <c r="J33" s="285">
        <v>1</v>
      </c>
      <c r="K33" s="285">
        <v>0</v>
      </c>
      <c r="L33" s="290">
        <v>337.04809999999998</v>
      </c>
      <c r="M33" s="291">
        <f>ROUND(((H33*J33*K33)/I33)*L33,2)*D33</f>
        <v>0</v>
      </c>
      <c r="N33" s="274"/>
      <c r="P33" s="275">
        <f>M33/L33</f>
        <v>0</v>
      </c>
      <c r="Q33" s="292">
        <f>P33*L33</f>
        <v>0</v>
      </c>
    </row>
    <row r="34" spans="1:17" s="275" customFormat="1" ht="11.25">
      <c r="A34" s="548" t="s">
        <v>310</v>
      </c>
      <c r="B34" s="549"/>
      <c r="C34" s="549"/>
      <c r="D34" s="549"/>
      <c r="E34" s="549"/>
      <c r="F34" s="549"/>
      <c r="G34" s="549"/>
      <c r="H34" s="549"/>
      <c r="I34" s="549"/>
      <c r="J34" s="549"/>
      <c r="K34" s="549"/>
      <c r="L34" s="550"/>
      <c r="M34" s="299">
        <f>ROUND(SUM(M31:M33),2)</f>
        <v>2255.13</v>
      </c>
      <c r="N34" s="274"/>
      <c r="Q34" s="292">
        <f>SUM(Q31:Q33)</f>
        <v>2255.13</v>
      </c>
    </row>
    <row r="35" spans="1:17" s="275" customFormat="1" ht="11.25">
      <c r="A35" s="548" t="s">
        <v>311</v>
      </c>
      <c r="B35" s="549"/>
      <c r="C35" s="549"/>
      <c r="D35" s="549"/>
      <c r="E35" s="549"/>
      <c r="F35" s="549"/>
      <c r="G35" s="549"/>
      <c r="H35" s="549"/>
      <c r="I35" s="549"/>
      <c r="J35" s="549"/>
      <c r="K35" s="549"/>
      <c r="L35" s="550"/>
      <c r="M35" s="299">
        <f>M34</f>
        <v>2255.13</v>
      </c>
      <c r="N35" s="274"/>
    </row>
    <row r="36" spans="1:17" s="275" customFormat="1" ht="11.25">
      <c r="A36" s="548" t="s">
        <v>324</v>
      </c>
      <c r="B36" s="549"/>
      <c r="C36" s="549"/>
      <c r="D36" s="549"/>
      <c r="E36" s="549"/>
      <c r="F36" s="549"/>
      <c r="G36" s="549"/>
      <c r="H36" s="549"/>
      <c r="I36" s="549"/>
      <c r="J36" s="549"/>
      <c r="K36" s="549"/>
      <c r="L36" s="550"/>
      <c r="M36" s="299">
        <f>ROUND(SUM(M35+M34),2)</f>
        <v>4510.26</v>
      </c>
      <c r="N36" s="302">
        <f>ROUND(SUM(M25+M36),2)</f>
        <v>16304.98</v>
      </c>
    </row>
    <row r="37" spans="1:17" s="275" customFormat="1" ht="11.25">
      <c r="A37" s="303"/>
      <c r="B37" s="304"/>
      <c r="C37" s="304"/>
      <c r="D37" s="304"/>
      <c r="E37" s="304"/>
      <c r="F37" s="304"/>
      <c r="G37" s="304"/>
      <c r="H37" s="304"/>
      <c r="I37" s="304"/>
      <c r="J37" s="304"/>
      <c r="K37" s="304"/>
      <c r="L37" s="304"/>
      <c r="M37" s="305"/>
      <c r="N37" s="306"/>
    </row>
    <row r="38" spans="1:17" s="275" customFormat="1" ht="11.25">
      <c r="A38" s="303"/>
      <c r="B38" s="304"/>
      <c r="C38" s="304"/>
      <c r="D38" s="304"/>
      <c r="E38" s="304"/>
      <c r="F38" s="304"/>
      <c r="G38" s="304"/>
      <c r="H38" s="304"/>
      <c r="I38" s="304"/>
      <c r="J38" s="304"/>
      <c r="K38" s="304"/>
      <c r="L38" s="304"/>
      <c r="M38" s="305"/>
      <c r="N38" s="307"/>
    </row>
    <row r="39" spans="1:17" s="275" customFormat="1" ht="11.25">
      <c r="A39" s="303"/>
      <c r="B39" s="304"/>
      <c r="C39" s="304"/>
      <c r="D39" s="304"/>
      <c r="E39" s="304"/>
      <c r="F39" s="304"/>
      <c r="G39" s="304"/>
      <c r="H39" s="304"/>
      <c r="I39" s="304"/>
      <c r="J39" s="304"/>
      <c r="K39" s="304"/>
      <c r="L39" s="304"/>
      <c r="M39" s="305"/>
      <c r="N39" s="304"/>
    </row>
    <row r="40" spans="1:17" s="275" customFormat="1" ht="11.25">
      <c r="A40" s="308"/>
      <c r="B40" s="309"/>
      <c r="C40" s="309"/>
      <c r="D40" s="309"/>
      <c r="E40" s="309"/>
      <c r="F40" s="309"/>
      <c r="G40" s="309"/>
      <c r="H40" s="309"/>
      <c r="I40" s="309"/>
      <c r="J40" s="309"/>
      <c r="K40" s="309"/>
      <c r="L40" s="309"/>
      <c r="M40" s="310"/>
    </row>
    <row r="41" spans="1:17" s="275" customFormat="1" ht="11.25">
      <c r="A41" s="308"/>
      <c r="B41" s="309"/>
      <c r="C41" s="309"/>
      <c r="D41" s="309"/>
      <c r="E41" s="309"/>
      <c r="F41" s="309"/>
      <c r="G41" s="309"/>
      <c r="H41" s="311" t="s">
        <v>325</v>
      </c>
      <c r="I41" s="309"/>
      <c r="J41" s="309"/>
      <c r="K41" s="309"/>
      <c r="L41" s="309"/>
      <c r="M41" s="312"/>
      <c r="Q41" s="313">
        <f>M25+M36</f>
        <v>16304.98</v>
      </c>
    </row>
    <row r="42" spans="1:17" s="275" customFormat="1" ht="11.25">
      <c r="A42" s="314"/>
      <c r="H42" s="315" t="s">
        <v>118</v>
      </c>
      <c r="M42" s="312"/>
    </row>
    <row r="43" spans="1:17" s="275" customFormat="1" ht="11.25">
      <c r="A43" s="314"/>
      <c r="H43" s="311" t="s">
        <v>326</v>
      </c>
      <c r="M43" s="312"/>
    </row>
    <row r="44" spans="1:17" s="275" customFormat="1" ht="12" thickBot="1">
      <c r="A44" s="316"/>
      <c r="B44" s="317"/>
      <c r="C44" s="317"/>
      <c r="D44" s="317"/>
      <c r="E44" s="317"/>
      <c r="F44" s="317"/>
      <c r="G44" s="317"/>
      <c r="H44" s="317"/>
      <c r="I44" s="317"/>
      <c r="J44" s="317"/>
      <c r="K44" s="317"/>
      <c r="L44" s="317"/>
      <c r="M44" s="318"/>
    </row>
  </sheetData>
  <mergeCells count="42">
    <mergeCell ref="A1:M1"/>
    <mergeCell ref="B2:M2"/>
    <mergeCell ref="B3:M3"/>
    <mergeCell ref="B4:H4"/>
    <mergeCell ref="I4:J4"/>
    <mergeCell ref="K4:L4"/>
    <mergeCell ref="A5:M5"/>
    <mergeCell ref="A6:M6"/>
    <mergeCell ref="A7:A8"/>
    <mergeCell ref="B7:B8"/>
    <mergeCell ref="C7:C8"/>
    <mergeCell ref="D7:D8"/>
    <mergeCell ref="E7:E8"/>
    <mergeCell ref="F7:G7"/>
    <mergeCell ref="H7:I7"/>
    <mergeCell ref="J7:J8"/>
    <mergeCell ref="A28:M28"/>
    <mergeCell ref="K7:K8"/>
    <mergeCell ref="L7:L8"/>
    <mergeCell ref="M7:M8"/>
    <mergeCell ref="A21:L21"/>
    <mergeCell ref="A22:M22"/>
    <mergeCell ref="A23:L23"/>
    <mergeCell ref="A24:M24"/>
    <mergeCell ref="A25:L25"/>
    <mergeCell ref="M25:M26"/>
    <mergeCell ref="A26:B26"/>
    <mergeCell ref="C26:L26"/>
    <mergeCell ref="M29:M30"/>
    <mergeCell ref="A34:L34"/>
    <mergeCell ref="A29:A30"/>
    <mergeCell ref="B29:B30"/>
    <mergeCell ref="C29:C30"/>
    <mergeCell ref="D29:D30"/>
    <mergeCell ref="E29:E30"/>
    <mergeCell ref="F29:G29"/>
    <mergeCell ref="A35:L35"/>
    <mergeCell ref="A36:L36"/>
    <mergeCell ref="H29:I29"/>
    <mergeCell ref="J29:J30"/>
    <mergeCell ref="K29:K30"/>
    <mergeCell ref="L29:L30"/>
  </mergeCells>
  <pageMargins left="0.39370078740157483" right="0.39370078740157483" top="0.39370078740157483" bottom="0.39370078740157483" header="0.31496062992125984" footer="0.31496062992125984"/>
  <pageSetup paperSize="9" scale="70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9FA1C-40B6-447F-9C34-481666AB2525}">
  <sheetPr>
    <tabColor theme="9" tint="0.59999389629810485"/>
    <pageSetUpPr fitToPage="1"/>
  </sheetPr>
  <dimension ref="A1:G16"/>
  <sheetViews>
    <sheetView showGridLines="0" view="pageBreakPreview" zoomScale="150" zoomScaleNormal="150" zoomScaleSheetLayoutView="150" workbookViewId="0">
      <selection activeCell="B29" sqref="B29"/>
    </sheetView>
  </sheetViews>
  <sheetFormatPr defaultColWidth="9" defaultRowHeight="11.25"/>
  <cols>
    <col min="1" max="1" width="12.85546875" style="170" bestFit="1" customWidth="1"/>
    <col min="2" max="2" width="55.85546875" style="170" customWidth="1"/>
    <col min="3" max="3" width="12.28515625" style="170" customWidth="1"/>
    <col min="4" max="4" width="5" style="170" customWidth="1"/>
    <col min="5" max="5" width="12.85546875" style="170" customWidth="1"/>
    <col min="6" max="6" width="12" style="170" customWidth="1"/>
    <col min="7" max="7" width="10" style="170" customWidth="1"/>
    <col min="8" max="16384" width="9" style="170"/>
  </cols>
  <sheetData>
    <row r="1" spans="1:7" ht="32.65" customHeight="1">
      <c r="A1" s="586" t="s">
        <v>221</v>
      </c>
      <c r="B1" s="587"/>
      <c r="C1" s="587"/>
      <c r="D1" s="587"/>
      <c r="E1" s="587"/>
      <c r="F1" s="587"/>
      <c r="G1" s="588"/>
    </row>
    <row r="2" spans="1:7" ht="6.75" customHeight="1">
      <c r="A2" s="176"/>
      <c r="B2" s="177"/>
      <c r="C2" s="177"/>
      <c r="D2" s="177"/>
      <c r="E2" s="581"/>
      <c r="F2" s="581"/>
      <c r="G2" s="582"/>
    </row>
    <row r="3" spans="1:7" ht="15.6" customHeight="1">
      <c r="A3" s="335" t="s">
        <v>346</v>
      </c>
      <c r="B3" s="593" t="s">
        <v>345</v>
      </c>
      <c r="C3" s="594"/>
      <c r="D3" s="594"/>
      <c r="E3" s="594"/>
      <c r="F3" s="594"/>
      <c r="G3" s="595"/>
    </row>
    <row r="4" spans="1:7" ht="22.5">
      <c r="A4" s="589" t="s">
        <v>214</v>
      </c>
      <c r="B4" s="590"/>
      <c r="C4" s="171" t="s">
        <v>159</v>
      </c>
      <c r="D4" s="171" t="s">
        <v>160</v>
      </c>
      <c r="E4" s="171" t="s">
        <v>215</v>
      </c>
      <c r="F4" s="171" t="s">
        <v>216</v>
      </c>
      <c r="G4" s="178" t="s">
        <v>0</v>
      </c>
    </row>
    <row r="5" spans="1:7">
      <c r="A5" s="179">
        <v>90776</v>
      </c>
      <c r="B5" s="173" t="s">
        <v>217</v>
      </c>
      <c r="C5" s="172" t="s">
        <v>178</v>
      </c>
      <c r="D5" s="172" t="s">
        <v>218</v>
      </c>
      <c r="E5" s="174">
        <f>'MEMORIA DE CÁLCULO'!I32</f>
        <v>128</v>
      </c>
      <c r="F5" s="175">
        <v>56.34</v>
      </c>
      <c r="G5" s="180">
        <f>E5*F5</f>
        <v>7211.52</v>
      </c>
    </row>
    <row r="6" spans="1:7">
      <c r="A6" s="179">
        <v>90778</v>
      </c>
      <c r="B6" s="173" t="s">
        <v>257</v>
      </c>
      <c r="C6" s="172" t="s">
        <v>178</v>
      </c>
      <c r="D6" s="172" t="s">
        <v>218</v>
      </c>
      <c r="E6" s="174">
        <f>'MEMORIA DE CÁLCULO'!I33</f>
        <v>12</v>
      </c>
      <c r="F6" s="175">
        <v>136.69</v>
      </c>
      <c r="G6" s="180">
        <f>E6*F6</f>
        <v>1640.28</v>
      </c>
    </row>
    <row r="7" spans="1:7" ht="24.4" customHeight="1">
      <c r="A7" s="176"/>
      <c r="B7" s="177"/>
      <c r="C7" s="177"/>
      <c r="D7" s="177"/>
      <c r="E7" s="591" t="s">
        <v>219</v>
      </c>
      <c r="F7" s="591"/>
      <c r="G7" s="181">
        <f>ROUND(SUM(G5:G6),2)</f>
        <v>8851.7999999999993</v>
      </c>
    </row>
    <row r="8" spans="1:7" ht="15" customHeight="1">
      <c r="A8" s="176"/>
      <c r="B8" s="177"/>
      <c r="C8" s="177"/>
      <c r="D8" s="177"/>
      <c r="E8" s="592" t="s">
        <v>220</v>
      </c>
      <c r="F8" s="592"/>
      <c r="G8" s="182">
        <f>ROUND(G7,2)</f>
        <v>8851.7999999999993</v>
      </c>
    </row>
    <row r="9" spans="1:7" ht="10.15" customHeight="1">
      <c r="A9" s="176"/>
      <c r="B9" s="177"/>
      <c r="C9" s="177"/>
      <c r="D9" s="177"/>
      <c r="E9" s="581"/>
      <c r="F9" s="581"/>
      <c r="G9" s="582"/>
    </row>
    <row r="10" spans="1:7">
      <c r="A10" s="183"/>
      <c r="G10" s="184"/>
    </row>
    <row r="11" spans="1:7">
      <c r="A11" s="183"/>
      <c r="G11" s="184"/>
    </row>
    <row r="12" spans="1:7">
      <c r="A12" s="183"/>
      <c r="G12" s="184"/>
    </row>
    <row r="13" spans="1:7">
      <c r="A13" s="183"/>
      <c r="B13" s="583" t="s">
        <v>109</v>
      </c>
      <c r="C13" s="583"/>
      <c r="G13" s="184"/>
    </row>
    <row r="14" spans="1:7">
      <c r="A14" s="183"/>
      <c r="B14" s="584" t="s">
        <v>118</v>
      </c>
      <c r="C14" s="584"/>
      <c r="G14" s="184"/>
    </row>
    <row r="15" spans="1:7">
      <c r="A15" s="183"/>
      <c r="B15" s="585" t="s">
        <v>119</v>
      </c>
      <c r="C15" s="585"/>
      <c r="G15" s="184"/>
    </row>
    <row r="16" spans="1:7" ht="12" thickBot="1">
      <c r="A16" s="185"/>
      <c r="B16" s="186"/>
      <c r="C16" s="186"/>
      <c r="D16" s="186"/>
      <c r="E16" s="186"/>
      <c r="F16" s="186"/>
      <c r="G16" s="187"/>
    </row>
  </sheetData>
  <mergeCells count="10">
    <mergeCell ref="E9:G9"/>
    <mergeCell ref="B13:C13"/>
    <mergeCell ref="B14:C14"/>
    <mergeCell ref="B15:C15"/>
    <mergeCell ref="A1:G1"/>
    <mergeCell ref="E2:G2"/>
    <mergeCell ref="A4:B4"/>
    <mergeCell ref="E7:F7"/>
    <mergeCell ref="E8:F8"/>
    <mergeCell ref="B3:G3"/>
  </mergeCells>
  <phoneticPr fontId="3" type="noConversion"/>
  <pageMargins left="0.39370078740157483" right="0.39370078740157483" top="0.39370078740157483" bottom="0.39370078740157483" header="0.19685039370078741" footer="0.19685039370078741"/>
  <pageSetup paperSize="9" scale="80" fitToHeight="0" orientation="portrait" r:id="rId1"/>
  <headerFooter>
    <oddFooter>Página &amp;P de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87900-A56A-4823-8F18-7A955CEF28E5}">
  <sheetPr>
    <tabColor theme="9" tint="0.59999389629810485"/>
    <pageSetUpPr fitToPage="1"/>
  </sheetPr>
  <dimension ref="A1:K41"/>
  <sheetViews>
    <sheetView showGridLines="0" view="pageBreakPreview" zoomScale="90" zoomScaleNormal="90" zoomScaleSheetLayoutView="90" workbookViewId="0">
      <selection activeCell="K8" sqref="K8"/>
    </sheetView>
  </sheetViews>
  <sheetFormatPr defaultColWidth="9.140625" defaultRowHeight="12.75"/>
  <cols>
    <col min="1" max="1" width="8.85546875" style="80" customWidth="1"/>
    <col min="2" max="2" width="12.28515625" style="80" customWidth="1"/>
    <col min="3" max="3" width="56" style="80" customWidth="1"/>
    <col min="4" max="4" width="23.28515625" style="80" customWidth="1"/>
    <col min="5" max="5" width="13.28515625" style="80" customWidth="1"/>
    <col min="6" max="7" width="9.140625" style="80" hidden="1" customWidth="1"/>
    <col min="8" max="8" width="17.140625" style="80" customWidth="1"/>
    <col min="9" max="16384" width="9.140625" style="80"/>
  </cols>
  <sheetData>
    <row r="1" spans="1:11" ht="59.1" customHeight="1">
      <c r="A1" s="601" t="s">
        <v>120</v>
      </c>
      <c r="B1" s="602"/>
      <c r="C1" s="602"/>
      <c r="D1" s="602"/>
      <c r="E1" s="603"/>
      <c r="F1" s="78"/>
      <c r="G1" s="79"/>
    </row>
    <row r="2" spans="1:11" ht="32.25" customHeight="1">
      <c r="A2" s="604" t="str">
        <f>'PLANILHA ORÇAMENTARIA'!B3</f>
        <v>CALÇAMENTO EM BLOCO SEXTAVADO DE VIA NA COMUNIDADE GOIABEIRAS, MUNICIPIO DE LAGOA DOS PATOS - MG.</v>
      </c>
      <c r="B2" s="605"/>
      <c r="C2" s="605"/>
      <c r="D2" s="605"/>
      <c r="E2" s="606"/>
      <c r="G2" s="82" t="s">
        <v>121</v>
      </c>
    </row>
    <row r="3" spans="1:11" ht="15" customHeight="1">
      <c r="A3" s="607" t="s">
        <v>337</v>
      </c>
      <c r="B3" s="608"/>
      <c r="C3" s="608"/>
      <c r="D3" s="608"/>
      <c r="E3" s="609"/>
      <c r="G3" s="83"/>
    </row>
    <row r="4" spans="1:11" ht="27" customHeight="1">
      <c r="A4" s="604" t="s">
        <v>122</v>
      </c>
      <c r="B4" s="610"/>
      <c r="C4" s="610"/>
      <c r="D4" s="610"/>
      <c r="E4" s="611"/>
      <c r="G4" s="82" t="s">
        <v>121</v>
      </c>
    </row>
    <row r="5" spans="1:11" ht="28.15" customHeight="1">
      <c r="A5" s="612" t="s">
        <v>123</v>
      </c>
      <c r="B5" s="613"/>
      <c r="C5" s="613"/>
      <c r="D5" s="613"/>
      <c r="E5" s="85">
        <v>100</v>
      </c>
      <c r="G5" s="82" t="s">
        <v>121</v>
      </c>
    </row>
    <row r="6" spans="1:11" ht="30.4" customHeight="1">
      <c r="A6" s="612" t="s">
        <v>124</v>
      </c>
      <c r="B6" s="613"/>
      <c r="C6" s="613"/>
      <c r="D6" s="613"/>
      <c r="E6" s="86">
        <v>0.05</v>
      </c>
      <c r="G6" s="82"/>
    </row>
    <row r="7" spans="1:11">
      <c r="A7" s="81" t="s">
        <v>125</v>
      </c>
      <c r="B7" s="189">
        <v>46023</v>
      </c>
      <c r="C7" s="188"/>
      <c r="D7" s="188"/>
      <c r="E7" s="84"/>
      <c r="G7" s="82"/>
    </row>
    <row r="8" spans="1:11" ht="30.4" customHeight="1">
      <c r="A8" s="81"/>
      <c r="B8" s="188"/>
      <c r="C8" s="188"/>
      <c r="D8" s="188"/>
      <c r="E8" s="84"/>
      <c r="G8" s="82"/>
    </row>
    <row r="9" spans="1:11" ht="30.4" customHeight="1">
      <c r="A9" s="81"/>
      <c r="B9" s="188"/>
      <c r="C9" s="188"/>
      <c r="D9" s="188"/>
      <c r="E9" s="84"/>
      <c r="G9" s="82"/>
    </row>
    <row r="10" spans="1:11" ht="34.5" customHeight="1">
      <c r="A10" s="87"/>
      <c r="B10" s="600" t="s">
        <v>167</v>
      </c>
      <c r="C10" s="600"/>
      <c r="D10" s="600"/>
      <c r="E10" s="88"/>
      <c r="F10" s="80" t="s">
        <v>126</v>
      </c>
      <c r="G10" s="83"/>
    </row>
    <row r="11" spans="1:11" ht="24.4" customHeight="1">
      <c r="A11" s="87"/>
      <c r="B11" s="89" t="s">
        <v>127</v>
      </c>
      <c r="C11" s="89" t="s">
        <v>128</v>
      </c>
      <c r="D11" s="89" t="s">
        <v>129</v>
      </c>
      <c r="E11" s="90"/>
      <c r="F11" s="91" t="s">
        <v>130</v>
      </c>
      <c r="G11" s="91">
        <v>6.4999999999999997E-3</v>
      </c>
      <c r="H11" s="91"/>
      <c r="I11" s="91"/>
      <c r="J11" s="91"/>
      <c r="K11" s="91"/>
    </row>
    <row r="12" spans="1:11" ht="17.649999999999999" customHeight="1">
      <c r="A12" s="87"/>
      <c r="B12" s="92"/>
      <c r="C12" s="92"/>
      <c r="D12" s="92"/>
      <c r="E12" s="88"/>
      <c r="F12" s="80" t="s">
        <v>131</v>
      </c>
      <c r="G12" s="93">
        <v>0.03</v>
      </c>
    </row>
    <row r="13" spans="1:11" ht="17.649999999999999" customHeight="1">
      <c r="A13" s="87"/>
      <c r="B13" s="92" t="s">
        <v>132</v>
      </c>
      <c r="C13" s="92" t="s">
        <v>133</v>
      </c>
      <c r="D13" s="94">
        <v>3.7999999999999999E-2</v>
      </c>
      <c r="E13" s="88"/>
      <c r="F13" s="80" t="s">
        <v>134</v>
      </c>
      <c r="G13" s="95">
        <v>0.05</v>
      </c>
    </row>
    <row r="14" spans="1:11" ht="17.649999999999999" hidden="1" customHeight="1">
      <c r="A14" s="87"/>
      <c r="B14" s="92" t="s">
        <v>135</v>
      </c>
      <c r="C14" s="92" t="s">
        <v>136</v>
      </c>
      <c r="D14" s="94">
        <v>0</v>
      </c>
      <c r="E14" s="88"/>
      <c r="G14" s="96"/>
    </row>
    <row r="15" spans="1:11" ht="17.649999999999999" customHeight="1">
      <c r="A15" s="87"/>
      <c r="B15" s="92" t="s">
        <v>137</v>
      </c>
      <c r="C15" s="92" t="s">
        <v>138</v>
      </c>
      <c r="D15" s="97">
        <v>3.2000000000000002E-3</v>
      </c>
      <c r="E15" s="88"/>
      <c r="G15" s="83"/>
    </row>
    <row r="16" spans="1:11" ht="17.649999999999999" customHeight="1">
      <c r="A16" s="87"/>
      <c r="B16" s="92" t="s">
        <v>139</v>
      </c>
      <c r="C16" s="92" t="s">
        <v>140</v>
      </c>
      <c r="D16" s="94">
        <v>5.0000000000000001E-3</v>
      </c>
      <c r="E16" s="88"/>
      <c r="F16" s="80" t="s">
        <v>141</v>
      </c>
      <c r="G16" s="98">
        <f>SUM(G11:G13)</f>
        <v>8.6499999999999994E-2</v>
      </c>
    </row>
    <row r="17" spans="1:9" ht="17.649999999999999" customHeight="1">
      <c r="A17" s="87"/>
      <c r="B17" s="92" t="s">
        <v>142</v>
      </c>
      <c r="C17" s="92" t="s">
        <v>143</v>
      </c>
      <c r="D17" s="99">
        <v>1.0200000000000001E-2</v>
      </c>
      <c r="E17" s="88"/>
      <c r="G17" s="83"/>
    </row>
    <row r="18" spans="1:9" ht="17.649999999999999" customHeight="1">
      <c r="A18" s="87"/>
      <c r="B18" s="92" t="s">
        <v>144</v>
      </c>
      <c r="C18" s="92" t="s">
        <v>145</v>
      </c>
      <c r="D18" s="94">
        <v>6.6400000000000001E-2</v>
      </c>
      <c r="E18" s="88"/>
      <c r="G18" s="83"/>
    </row>
    <row r="19" spans="1:9" ht="17.649999999999999" customHeight="1">
      <c r="A19" s="87"/>
      <c r="B19" s="92" t="s">
        <v>146</v>
      </c>
      <c r="C19" s="92" t="s">
        <v>126</v>
      </c>
      <c r="D19" s="94">
        <v>3.6499999999999998E-2</v>
      </c>
      <c r="E19" s="88"/>
      <c r="G19" s="83"/>
    </row>
    <row r="20" spans="1:9" ht="17.649999999999999" customHeight="1">
      <c r="A20" s="87"/>
      <c r="B20" s="92" t="s">
        <v>147</v>
      </c>
      <c r="C20" s="92" t="s">
        <v>148</v>
      </c>
      <c r="D20" s="94">
        <v>0.05</v>
      </c>
      <c r="E20" s="88"/>
      <c r="G20" s="83"/>
    </row>
    <row r="21" spans="1:9" ht="17.649999999999999" customHeight="1">
      <c r="A21" s="87"/>
      <c r="B21" s="92" t="s">
        <v>149</v>
      </c>
      <c r="C21" s="92" t="s">
        <v>149</v>
      </c>
      <c r="D21" s="94">
        <v>2.7E-2</v>
      </c>
      <c r="E21" s="88"/>
      <c r="G21" s="83"/>
    </row>
    <row r="22" spans="1:9" ht="13.5" thickBot="1">
      <c r="A22" s="87"/>
      <c r="E22" s="88"/>
      <c r="G22" s="83"/>
    </row>
    <row r="23" spans="1:9" ht="13.5" thickBot="1">
      <c r="A23" s="87"/>
      <c r="C23" s="190" t="s">
        <v>150</v>
      </c>
      <c r="D23" s="100">
        <f>(1+(D13+D14+D15+D16))*(1+D17)*(1+D18)/(1-(D19+D21+D20))-1</f>
        <v>0.27134516676367748</v>
      </c>
      <c r="E23" s="88"/>
      <c r="G23" s="83"/>
    </row>
    <row r="24" spans="1:9">
      <c r="A24" s="87"/>
      <c r="E24" s="88"/>
      <c r="G24" s="83"/>
      <c r="I24" s="80" t="s">
        <v>151</v>
      </c>
    </row>
    <row r="25" spans="1:9">
      <c r="A25" s="87"/>
      <c r="E25" s="88"/>
      <c r="G25" s="83"/>
    </row>
    <row r="26" spans="1:9">
      <c r="A26" s="87"/>
      <c r="E26" s="88"/>
      <c r="G26" s="83"/>
    </row>
    <row r="27" spans="1:9" ht="12.75" customHeight="1">
      <c r="A27" s="87"/>
      <c r="C27" s="596"/>
      <c r="D27" s="596"/>
      <c r="E27" s="88"/>
      <c r="G27" s="83"/>
    </row>
    <row r="28" spans="1:9" ht="12.75" customHeight="1">
      <c r="A28" s="87"/>
      <c r="E28" s="88"/>
    </row>
    <row r="29" spans="1:9" ht="12.75" customHeight="1">
      <c r="A29" s="87"/>
      <c r="E29" s="88"/>
    </row>
    <row r="30" spans="1:9" ht="12.75" customHeight="1">
      <c r="A30" s="87"/>
      <c r="E30" s="88"/>
    </row>
    <row r="31" spans="1:9" ht="12.75" customHeight="1">
      <c r="A31" s="87"/>
      <c r="E31" s="88"/>
    </row>
    <row r="32" spans="1:9" ht="12.75" customHeight="1">
      <c r="A32" s="87"/>
      <c r="E32" s="88"/>
    </row>
    <row r="33" spans="1:10" ht="12.75" customHeight="1">
      <c r="A33" s="87"/>
      <c r="E33" s="88"/>
    </row>
    <row r="34" spans="1:10" ht="12.75" customHeight="1">
      <c r="A34" s="87"/>
      <c r="E34" s="88"/>
    </row>
    <row r="35" spans="1:10" ht="12.75" customHeight="1">
      <c r="A35" s="87"/>
      <c r="E35" s="88"/>
    </row>
    <row r="36" spans="1:10">
      <c r="A36" s="87"/>
      <c r="E36" s="88"/>
    </row>
    <row r="37" spans="1:10" s="104" customFormat="1" ht="12.75" customHeight="1">
      <c r="A37" s="87"/>
      <c r="B37" s="80"/>
      <c r="C37" s="597"/>
      <c r="D37" s="597"/>
      <c r="E37" s="88"/>
      <c r="F37" s="101"/>
      <c r="G37" s="102"/>
      <c r="H37" s="103"/>
    </row>
    <row r="38" spans="1:10" s="104" customFormat="1" ht="12.4" customHeight="1">
      <c r="A38" s="105"/>
      <c r="C38" s="598" t="s">
        <v>118</v>
      </c>
      <c r="D38" s="598"/>
      <c r="E38" s="106"/>
      <c r="G38" s="107"/>
      <c r="J38" s="108"/>
    </row>
    <row r="39" spans="1:10" s="104" customFormat="1" ht="12.4" customHeight="1">
      <c r="A39" s="109"/>
      <c r="C39" s="599" t="s">
        <v>152</v>
      </c>
      <c r="D39" s="599"/>
      <c r="E39" s="111"/>
      <c r="F39" s="110"/>
      <c r="G39" s="110"/>
      <c r="J39" s="108"/>
    </row>
    <row r="40" spans="1:10" s="104" customFormat="1" ht="12.4" customHeight="1">
      <c r="A40" s="109"/>
      <c r="B40" s="110"/>
      <c r="C40" s="110"/>
      <c r="D40" s="110"/>
      <c r="E40" s="112"/>
      <c r="F40" s="103"/>
      <c r="G40" s="103"/>
      <c r="J40" s="108"/>
    </row>
    <row r="41" spans="1:10" ht="13.5" thickBot="1">
      <c r="A41" s="113"/>
      <c r="B41" s="114"/>
      <c r="C41" s="114"/>
      <c r="D41" s="114"/>
      <c r="E41" s="115"/>
    </row>
  </sheetData>
  <mergeCells count="11">
    <mergeCell ref="A6:D6"/>
    <mergeCell ref="A1:E1"/>
    <mergeCell ref="A2:E2"/>
    <mergeCell ref="A3:E3"/>
    <mergeCell ref="A4:E4"/>
    <mergeCell ref="A5:D5"/>
    <mergeCell ref="C27:D27"/>
    <mergeCell ref="C37:D37"/>
    <mergeCell ref="C38:D38"/>
    <mergeCell ref="C39:D39"/>
    <mergeCell ref="B10:D10"/>
  </mergeCells>
  <pageMargins left="0.39370078740157483" right="0.39370078740157483" top="0.39370078740157483" bottom="0.39370078740157483" header="0.19685039370078741" footer="0.19685039370078741"/>
  <pageSetup paperSize="9" scale="85" fitToHeight="0" orientation="portrait" r:id="rId1"/>
  <headerFooter>
    <oddFooter>Página &amp;P de &amp;N</oddFooter>
  </headerFooter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B0863-E9D4-4A8C-80C8-B4565C244DAD}">
  <sheetPr>
    <tabColor theme="9" tint="0.59999389629810485"/>
    <pageSetUpPr fitToPage="1"/>
  </sheetPr>
  <dimension ref="A1:L32"/>
  <sheetViews>
    <sheetView showGridLines="0" view="pageBreakPreview" zoomScale="90" zoomScaleNormal="70" zoomScaleSheetLayoutView="90" workbookViewId="0">
      <selection activeCell="B2" sqref="B2:G2"/>
    </sheetView>
  </sheetViews>
  <sheetFormatPr defaultColWidth="9" defaultRowHeight="12.75"/>
  <cols>
    <col min="1" max="1" width="9" style="80"/>
    <col min="2" max="2" width="14.140625" style="80" customWidth="1"/>
    <col min="3" max="3" width="14" style="80" customWidth="1"/>
    <col min="4" max="4" width="26" style="80" customWidth="1"/>
    <col min="5" max="5" width="18.28515625" style="80" customWidth="1"/>
    <col min="6" max="6" width="21.28515625" style="80" customWidth="1"/>
    <col min="7" max="8" width="25.28515625" style="80" customWidth="1"/>
    <col min="9" max="9" width="15.28515625" style="80" customWidth="1"/>
    <col min="10" max="10" width="16.140625" style="80" customWidth="1"/>
    <col min="11" max="16384" width="9" style="80"/>
  </cols>
  <sheetData>
    <row r="1" spans="1:10" ht="60.4" customHeight="1">
      <c r="A1" s="627" t="s">
        <v>201</v>
      </c>
      <c r="B1" s="628"/>
      <c r="C1" s="628"/>
      <c r="D1" s="628"/>
      <c r="E1" s="628"/>
      <c r="F1" s="628"/>
      <c r="G1" s="628"/>
      <c r="H1" s="629"/>
    </row>
    <row r="2" spans="1:10">
      <c r="A2" s="133" t="s">
        <v>17</v>
      </c>
      <c r="B2" s="630" t="str">
        <f>'PLANILHA ORÇAMENTARIA'!B3:E3</f>
        <v>CALÇAMENTO EM BLOCO SEXTAVADO DE VIA NA COMUNIDADE GOIABEIRAS, MUNICIPIO DE LAGOA DOS PATOS - MG.</v>
      </c>
      <c r="C2" s="631"/>
      <c r="D2" s="631"/>
      <c r="E2" s="631"/>
      <c r="F2" s="631"/>
      <c r="G2" s="631"/>
      <c r="H2" s="195"/>
    </row>
    <row r="3" spans="1:10">
      <c r="A3" s="133" t="s">
        <v>202</v>
      </c>
      <c r="B3" s="630" t="str">
        <f>'PLANILHA ORÇAMENTARIA'!B4:E4</f>
        <v xml:space="preserve"> RUA PROJETA, COMUNIDADE GOIABEIRAS, MUNICIPIO DE LAGOA DOS PATOS - MG</v>
      </c>
      <c r="C3" s="631"/>
      <c r="D3" s="631"/>
      <c r="E3" s="631"/>
      <c r="F3" s="632"/>
      <c r="G3" s="134" t="s">
        <v>21</v>
      </c>
      <c r="H3" s="135" t="s">
        <v>359</v>
      </c>
    </row>
    <row r="4" spans="1:10" ht="25.5">
      <c r="A4" s="136" t="s">
        <v>20</v>
      </c>
      <c r="B4" s="633" t="str">
        <f>'PLANILHA ORÇAMENTARIA'!B5:E5</f>
        <v xml:space="preserve">SINAPI -06/2026 - DESONERADO / SICOR - 04/2026 - NORTE DESONERADO  / SICRO/DNIT - 04/2026 - DESONERADO </v>
      </c>
      <c r="C4" s="634"/>
      <c r="D4" s="634"/>
      <c r="E4" s="634"/>
      <c r="F4" s="635"/>
      <c r="G4" s="347" t="s">
        <v>350</v>
      </c>
      <c r="H4" s="349">
        <f>'PLANILHA ORÇAMENTARIA'!J37</f>
        <v>230773.84</v>
      </c>
      <c r="I4" s="137" t="s">
        <v>203</v>
      </c>
    </row>
    <row r="5" spans="1:10">
      <c r="A5" s="636"/>
      <c r="B5" s="637"/>
      <c r="C5" s="637"/>
      <c r="D5" s="637"/>
      <c r="E5" s="637"/>
      <c r="F5" s="637"/>
      <c r="G5" s="637"/>
      <c r="H5" s="638"/>
    </row>
    <row r="6" spans="1:10">
      <c r="A6" s="622" t="s">
        <v>157</v>
      </c>
      <c r="B6" s="639" t="s">
        <v>204</v>
      </c>
      <c r="C6" s="639"/>
      <c r="D6" s="639"/>
      <c r="E6" s="623" t="s">
        <v>205</v>
      </c>
      <c r="F6" s="623"/>
      <c r="G6" s="640" t="s">
        <v>206</v>
      </c>
      <c r="H6" s="641"/>
    </row>
    <row r="7" spans="1:10">
      <c r="A7" s="622"/>
      <c r="B7" s="639"/>
      <c r="C7" s="639"/>
      <c r="D7" s="639"/>
      <c r="E7" s="623"/>
      <c r="F7" s="623"/>
      <c r="G7" s="138" t="s">
        <v>207</v>
      </c>
      <c r="H7" s="139" t="s">
        <v>208</v>
      </c>
    </row>
    <row r="8" spans="1:10">
      <c r="A8" s="625">
        <v>1</v>
      </c>
      <c r="B8" s="626" t="str">
        <f>B2</f>
        <v>CALÇAMENTO EM BLOCO SEXTAVADO DE VIA NA COMUNIDADE GOIABEIRAS, MUNICIPIO DE LAGOA DOS PATOS - MG.</v>
      </c>
      <c r="C8" s="626"/>
      <c r="D8" s="626"/>
      <c r="E8" s="140" t="s">
        <v>209</v>
      </c>
      <c r="F8" s="141">
        <f>F9/F9</f>
        <v>1</v>
      </c>
      <c r="G8" s="142">
        <f>G9/$F$9</f>
        <v>0.60987493890555367</v>
      </c>
      <c r="H8" s="143">
        <f>H9/$F$9</f>
        <v>0.39012506109444645</v>
      </c>
    </row>
    <row r="9" spans="1:10">
      <c r="A9" s="625"/>
      <c r="B9" s="626"/>
      <c r="C9" s="626"/>
      <c r="D9" s="626"/>
      <c r="E9" s="144" t="s">
        <v>210</v>
      </c>
      <c r="F9" s="145">
        <f>H4</f>
        <v>230773.84</v>
      </c>
      <c r="G9" s="145">
        <f>G11+G15+G19+G13+G17</f>
        <v>140743.18157100002</v>
      </c>
      <c r="H9" s="145">
        <f>H11+H15+H19+H13+H17</f>
        <v>90030.658429000003</v>
      </c>
      <c r="J9" s="146">
        <f>G9+H9</f>
        <v>230773.84000000003</v>
      </c>
    </row>
    <row r="10" spans="1:10">
      <c r="A10" s="622" t="s">
        <v>2</v>
      </c>
      <c r="B10" s="624" t="str">
        <f>'PLANILHA ORÇAMENTARIA'!B12:H12</f>
        <v>SERVIÇOS PRELIMINARES</v>
      </c>
      <c r="C10" s="624"/>
      <c r="D10" s="624"/>
      <c r="E10" s="147" t="s">
        <v>209</v>
      </c>
      <c r="F10" s="148">
        <f>F11/$F$9</f>
        <v>9.8469003245775177E-2</v>
      </c>
      <c r="G10" s="149">
        <v>1</v>
      </c>
      <c r="H10" s="149"/>
      <c r="I10" s="150">
        <f>G10+H10</f>
        <v>1</v>
      </c>
    </row>
    <row r="11" spans="1:10">
      <c r="A11" s="622"/>
      <c r="B11" s="624"/>
      <c r="C11" s="624"/>
      <c r="D11" s="624"/>
      <c r="E11" s="151" t="s">
        <v>210</v>
      </c>
      <c r="F11" s="152">
        <f>'PLANILHA ORÇAMENTARIA'!J12</f>
        <v>22724.07</v>
      </c>
      <c r="G11" s="153">
        <f>$F$11*G10</f>
        <v>22724.07</v>
      </c>
      <c r="H11" s="153">
        <f>$F$11*H10</f>
        <v>0</v>
      </c>
      <c r="I11" s="150"/>
    </row>
    <row r="12" spans="1:10">
      <c r="A12" s="622" t="s">
        <v>3</v>
      </c>
      <c r="B12" s="624" t="str">
        <f>'PLANILHA ORÇAMENTARIA'!B15:H15</f>
        <v>ADMINISTRAÇÃO LOCAL DE OBRAS</v>
      </c>
      <c r="C12" s="624"/>
      <c r="D12" s="624"/>
      <c r="E12" s="147" t="s">
        <v>209</v>
      </c>
      <c r="F12" s="148">
        <f>F13/$F$9</f>
        <v>4.8763282701366852E-2</v>
      </c>
      <c r="G12" s="149">
        <v>0.6099</v>
      </c>
      <c r="H12" s="149">
        <v>0.3901</v>
      </c>
      <c r="I12" s="150">
        <f>G12+H12</f>
        <v>1</v>
      </c>
    </row>
    <row r="13" spans="1:10">
      <c r="A13" s="622"/>
      <c r="B13" s="624"/>
      <c r="C13" s="624"/>
      <c r="D13" s="624"/>
      <c r="E13" s="151" t="s">
        <v>210</v>
      </c>
      <c r="F13" s="152">
        <f>'PLANILHA ORÇAMENTARIA'!J15</f>
        <v>11253.29</v>
      </c>
      <c r="G13" s="153">
        <f>$F$13*G12</f>
        <v>6863.3815710000008</v>
      </c>
      <c r="H13" s="153">
        <f>$F$13*H12</f>
        <v>4389.9084290000001</v>
      </c>
      <c r="I13" s="150"/>
    </row>
    <row r="14" spans="1:10">
      <c r="A14" s="622" t="s">
        <v>4</v>
      </c>
      <c r="B14" s="624" t="str">
        <f>'PLANILHA ORÇAMENTARIA'!B17:H17</f>
        <v>TERRAPLANAGEM</v>
      </c>
      <c r="C14" s="624"/>
      <c r="D14" s="624"/>
      <c r="E14" s="147" t="s">
        <v>209</v>
      </c>
      <c r="F14" s="148">
        <f>F15/$F$9</f>
        <v>0.22374386108928118</v>
      </c>
      <c r="G14" s="149">
        <v>1</v>
      </c>
      <c r="H14" s="149"/>
      <c r="I14" s="150">
        <f>G14+H14</f>
        <v>1</v>
      </c>
    </row>
    <row r="15" spans="1:10">
      <c r="A15" s="622"/>
      <c r="B15" s="624"/>
      <c r="C15" s="624"/>
      <c r="D15" s="624"/>
      <c r="E15" s="151" t="s">
        <v>210</v>
      </c>
      <c r="F15" s="152">
        <f>'PLANILHA ORÇAMENTARIA'!J17</f>
        <v>51634.23</v>
      </c>
      <c r="G15" s="153">
        <f>$F$15*G14</f>
        <v>51634.23</v>
      </c>
      <c r="H15" s="153">
        <f>$F$15*H14</f>
        <v>0</v>
      </c>
      <c r="I15" s="150"/>
    </row>
    <row r="16" spans="1:10">
      <c r="A16" s="622" t="s">
        <v>39</v>
      </c>
      <c r="B16" s="624" t="str">
        <f>'PLANILHA ORÇAMENTARIA'!B29:H29</f>
        <v>PAVIMENTAÇÃO EM BLOCO SEXTAVADO</v>
      </c>
      <c r="C16" s="624"/>
      <c r="D16" s="624"/>
      <c r="E16" s="147" t="s">
        <v>209</v>
      </c>
      <c r="F16" s="148">
        <f>F17/$F$9</f>
        <v>0.51584269690186724</v>
      </c>
      <c r="G16" s="149">
        <v>0.5</v>
      </c>
      <c r="H16" s="149">
        <v>0.5</v>
      </c>
      <c r="I16" s="150">
        <f>G16+H16</f>
        <v>1</v>
      </c>
    </row>
    <row r="17" spans="1:12">
      <c r="A17" s="622"/>
      <c r="B17" s="624"/>
      <c r="C17" s="624"/>
      <c r="D17" s="624"/>
      <c r="E17" s="151" t="s">
        <v>210</v>
      </c>
      <c r="F17" s="152">
        <f>'PLANILHA ORÇAMENTARIA'!J29</f>
        <v>119043</v>
      </c>
      <c r="G17" s="153">
        <f>$F$17*G16</f>
        <v>59521.5</v>
      </c>
      <c r="H17" s="153">
        <f>$F$17*H16</f>
        <v>59521.5</v>
      </c>
      <c r="I17" s="150"/>
    </row>
    <row r="18" spans="1:12">
      <c r="A18" s="622" t="s">
        <v>63</v>
      </c>
      <c r="B18" s="624" t="str">
        <f>'PLANILHA ORÇAMENTARIA'!B31:H31</f>
        <v>MEIO-FIO E DRENAGEM SUPERFICIAL</v>
      </c>
      <c r="C18" s="624"/>
      <c r="D18" s="624"/>
      <c r="E18" s="147" t="s">
        <v>209</v>
      </c>
      <c r="F18" s="148">
        <f>F19/$F$9</f>
        <v>0.1131811560617096</v>
      </c>
      <c r="G18" s="149"/>
      <c r="H18" s="149">
        <v>1</v>
      </c>
      <c r="I18" s="150">
        <f>G18+H18</f>
        <v>1</v>
      </c>
    </row>
    <row r="19" spans="1:12">
      <c r="A19" s="622"/>
      <c r="B19" s="624"/>
      <c r="C19" s="624"/>
      <c r="D19" s="624"/>
      <c r="E19" s="151" t="s">
        <v>210</v>
      </c>
      <c r="F19" s="152">
        <f>'PLANILHA ORÇAMENTARIA'!J31</f>
        <v>26119.25</v>
      </c>
      <c r="G19" s="153">
        <f>$F$19*G18</f>
        <v>0</v>
      </c>
      <c r="H19" s="153">
        <f>$F$19*H18</f>
        <v>26119.25</v>
      </c>
      <c r="I19" s="150"/>
    </row>
    <row r="20" spans="1:12">
      <c r="A20" s="622" t="s">
        <v>211</v>
      </c>
      <c r="B20" s="623"/>
      <c r="C20" s="623"/>
      <c r="D20" s="623"/>
      <c r="E20" s="154" t="s">
        <v>209</v>
      </c>
      <c r="F20" s="155">
        <f>F21/F9</f>
        <v>1</v>
      </c>
      <c r="G20" s="156">
        <f>G21/$F$9</f>
        <v>0.60987493890555355</v>
      </c>
      <c r="H20" s="156">
        <f>H21/$F$9</f>
        <v>0.39012506109444645</v>
      </c>
      <c r="I20" s="150">
        <f>G20+H20</f>
        <v>1</v>
      </c>
    </row>
    <row r="21" spans="1:12">
      <c r="A21" s="622"/>
      <c r="B21" s="623"/>
      <c r="C21" s="623"/>
      <c r="D21" s="623"/>
      <c r="E21" s="154" t="s">
        <v>210</v>
      </c>
      <c r="F21" s="157">
        <f>SUM(F11,F15,F19,F13,F17)</f>
        <v>230773.84</v>
      </c>
      <c r="G21" s="157">
        <f>G11+G15+G19+G17+G13</f>
        <v>140743.18157099999</v>
      </c>
      <c r="H21" s="157">
        <f>H11+H15+H19+H17+H13</f>
        <v>90030.658429000003</v>
      </c>
      <c r="I21" s="150"/>
    </row>
    <row r="22" spans="1:12">
      <c r="A22" s="622"/>
      <c r="B22" s="623"/>
      <c r="C22" s="623"/>
      <c r="D22" s="623"/>
      <c r="E22" s="154" t="s">
        <v>209</v>
      </c>
      <c r="F22" s="614" t="s">
        <v>212</v>
      </c>
      <c r="G22" s="142">
        <f>G23/$F$9</f>
        <v>0.60987493890555355</v>
      </c>
      <c r="H22" s="143">
        <f>H23/$F$9</f>
        <v>1</v>
      </c>
    </row>
    <row r="23" spans="1:12">
      <c r="A23" s="622"/>
      <c r="B23" s="623"/>
      <c r="C23" s="623"/>
      <c r="D23" s="623"/>
      <c r="E23" s="154" t="s">
        <v>210</v>
      </c>
      <c r="F23" s="615"/>
      <c r="G23" s="158">
        <f>G21</f>
        <v>140743.18157099999</v>
      </c>
      <c r="H23" s="159">
        <f>H21+G23</f>
        <v>230773.84</v>
      </c>
    </row>
    <row r="24" spans="1:12">
      <c r="A24" s="616"/>
      <c r="B24" s="617"/>
      <c r="C24" s="617"/>
      <c r="D24" s="617"/>
      <c r="E24" s="617"/>
      <c r="F24" s="617"/>
      <c r="G24" s="617"/>
      <c r="H24" s="617"/>
    </row>
    <row r="25" spans="1:12">
      <c r="A25" s="618" t="str">
        <f>[2]ORÇAMENTO!A91</f>
        <v>RESPOSÁVEL TÉCNICO:</v>
      </c>
      <c r="B25" s="619"/>
      <c r="C25" s="619"/>
      <c r="D25" s="619"/>
      <c r="E25" s="619"/>
      <c r="F25" s="619" t="str">
        <f>[2]ORÇAMENTO!F91</f>
        <v>RESPONSÁVEL LEGAL:</v>
      </c>
      <c r="G25" s="619"/>
      <c r="H25" s="619"/>
      <c r="I25" s="160"/>
    </row>
    <row r="26" spans="1:12">
      <c r="A26" s="161"/>
      <c r="B26" s="169"/>
      <c r="C26" s="169"/>
      <c r="D26" s="169"/>
      <c r="E26" s="169"/>
      <c r="F26" s="169"/>
      <c r="G26" s="169"/>
      <c r="H26" s="169"/>
      <c r="I26" s="160"/>
    </row>
    <row r="27" spans="1:12">
      <c r="A27" s="161"/>
      <c r="B27" s="169"/>
      <c r="C27" s="169"/>
      <c r="D27" s="169"/>
      <c r="E27" s="169"/>
      <c r="F27" s="169"/>
      <c r="G27" s="169"/>
      <c r="H27" s="169"/>
      <c r="I27" s="160"/>
    </row>
    <row r="28" spans="1:12">
      <c r="A28" s="161"/>
      <c r="B28" s="169"/>
      <c r="C28" s="169"/>
      <c r="D28" s="169"/>
      <c r="E28" s="169"/>
      <c r="F28" s="169"/>
      <c r="G28" s="169"/>
      <c r="H28" s="169"/>
      <c r="I28" s="160"/>
    </row>
    <row r="29" spans="1:12">
      <c r="A29" s="161"/>
      <c r="B29" s="169"/>
      <c r="C29" s="169"/>
      <c r="D29" s="169"/>
      <c r="E29" s="169"/>
      <c r="F29" s="169"/>
      <c r="G29" s="169"/>
      <c r="H29" s="169"/>
      <c r="I29" s="160"/>
    </row>
    <row r="30" spans="1:12">
      <c r="A30" s="161"/>
      <c r="B30" s="162"/>
      <c r="C30" s="162"/>
      <c r="D30" s="162"/>
      <c r="E30" s="169"/>
      <c r="F30" s="169"/>
      <c r="G30" s="162"/>
      <c r="H30" s="162"/>
      <c r="I30" s="160"/>
      <c r="L30" s="163"/>
    </row>
    <row r="31" spans="1:12" ht="13.15" customHeight="1">
      <c r="A31" s="161"/>
      <c r="B31" s="620" t="str">
        <f>[2]ORÇAMENTO!B98</f>
        <v>MAX HENRIQUE VELOSO DA SILVA</v>
      </c>
      <c r="C31" s="620"/>
      <c r="D31" s="620"/>
      <c r="E31" s="169"/>
      <c r="G31" s="620" t="str">
        <f>'PLANILHA ORÇAMENTARIA'!F42</f>
        <v>HERCULES VANDY DURÃES DA FONSECA</v>
      </c>
      <c r="H31" s="620"/>
    </row>
    <row r="32" spans="1:12" ht="14.25" customHeight="1" thickBot="1">
      <c r="A32" s="164"/>
      <c r="B32" s="621" t="str">
        <f>[2]ORÇAMENTO!B99</f>
        <v>ENGENHEIRO CIVIL -  CREA: 248.998/D - MG</v>
      </c>
      <c r="C32" s="621"/>
      <c r="D32" s="621"/>
      <c r="E32" s="165"/>
      <c r="F32" s="191"/>
      <c r="G32" s="621" t="str">
        <f>'PLANILHA ORÇAMENTARIA'!F43</f>
        <v>PREFEITO MUNICIPAL DE LAGOA DOS PATOS-MG</v>
      </c>
      <c r="H32" s="621"/>
    </row>
  </sheetData>
  <mergeCells count="30">
    <mergeCell ref="A6:A7"/>
    <mergeCell ref="B6:D7"/>
    <mergeCell ref="E6:F7"/>
    <mergeCell ref="G6:H6"/>
    <mergeCell ref="A1:H1"/>
    <mergeCell ref="B2:G2"/>
    <mergeCell ref="B3:F3"/>
    <mergeCell ref="B4:F4"/>
    <mergeCell ref="A5:H5"/>
    <mergeCell ref="A8:A9"/>
    <mergeCell ref="B8:D9"/>
    <mergeCell ref="A10:A11"/>
    <mergeCell ref="B10:D11"/>
    <mergeCell ref="A12:A13"/>
    <mergeCell ref="B12:D13"/>
    <mergeCell ref="B32:D32"/>
    <mergeCell ref="G31:H31"/>
    <mergeCell ref="G32:H32"/>
    <mergeCell ref="A20:D23"/>
    <mergeCell ref="A14:A15"/>
    <mergeCell ref="B14:D15"/>
    <mergeCell ref="A16:A17"/>
    <mergeCell ref="B16:D17"/>
    <mergeCell ref="A18:A19"/>
    <mergeCell ref="B18:D19"/>
    <mergeCell ref="F22:F23"/>
    <mergeCell ref="A24:H24"/>
    <mergeCell ref="A25:E25"/>
    <mergeCell ref="F25:H25"/>
    <mergeCell ref="B31:D31"/>
  </mergeCells>
  <phoneticPr fontId="3" type="noConversion"/>
  <conditionalFormatting sqref="G10:H19">
    <cfRule type="cellIs" dxfId="0" priority="4" stopIfTrue="1" operator="greaterThan">
      <formula>0</formula>
    </cfRule>
  </conditionalFormatting>
  <pageMargins left="0.39370078740157483" right="0.39370078740157483" top="0.39370078740157483" bottom="0.39370078740157483" header="0.31496062992125984" footer="0.31496062992125984"/>
  <pageSetup paperSize="9" scale="92" fitToHeight="0" orientation="landscape" r:id="rId1"/>
  <headerFooter>
    <oddFooter>Página &amp;P de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27FC5-870F-4032-8012-B0A4418D01AE}">
  <dimension ref="A1:F17"/>
  <sheetViews>
    <sheetView zoomScaleNormal="100" zoomScaleSheetLayoutView="100" workbookViewId="0">
      <selection activeCell="B13" sqref="B13"/>
    </sheetView>
  </sheetViews>
  <sheetFormatPr defaultColWidth="8.85546875" defaultRowHeight="12.75"/>
  <cols>
    <col min="1" max="1" width="5" style="40" customWidth="1"/>
    <col min="2" max="2" width="46" style="40" customWidth="1"/>
    <col min="3" max="4" width="15.7109375" style="40" customWidth="1"/>
    <col min="5" max="5" width="30.7109375" style="40" customWidth="1"/>
    <col min="6" max="6" width="15.7109375" style="40" customWidth="1"/>
    <col min="7" max="16384" width="8.85546875" style="40"/>
  </cols>
  <sheetData>
    <row r="1" spans="1:6" ht="60" customHeight="1" thickBot="1">
      <c r="A1" s="642" t="s">
        <v>8</v>
      </c>
      <c r="B1" s="643"/>
      <c r="C1" s="643"/>
      <c r="D1" s="643"/>
      <c r="E1" s="643"/>
      <c r="F1" s="644"/>
    </row>
    <row r="2" spans="1:6">
      <c r="A2" s="645" t="s">
        <v>83</v>
      </c>
      <c r="B2" s="646"/>
      <c r="C2" s="646"/>
      <c r="D2" s="54" t="s">
        <v>84</v>
      </c>
      <c r="E2" s="646" t="s">
        <v>85</v>
      </c>
      <c r="F2" s="647"/>
    </row>
    <row r="3" spans="1:6">
      <c r="A3" s="648" t="s">
        <v>87</v>
      </c>
      <c r="B3" s="649"/>
      <c r="C3" s="649"/>
      <c r="D3" s="46" t="e">
        <f>'MEMORIA DE CÁLCULO'!#REF!+'MEMORIA DE CÁLCULO'!#REF!</f>
        <v>#REF!</v>
      </c>
      <c r="E3" s="650" t="s">
        <v>86</v>
      </c>
      <c r="F3" s="651"/>
    </row>
    <row r="4" spans="1:6">
      <c r="A4" s="648" t="s">
        <v>88</v>
      </c>
      <c r="B4" s="649"/>
      <c r="C4" s="649"/>
      <c r="D4" s="46" t="e">
        <f>'MEMORIA DE CÁLCULO'!#REF!+'MEMORIA DE CÁLCULO'!#REF!</f>
        <v>#REF!</v>
      </c>
      <c r="E4" s="650" t="s">
        <v>89</v>
      </c>
      <c r="F4" s="651"/>
    </row>
    <row r="5" spans="1:6">
      <c r="A5" s="648" t="s">
        <v>90</v>
      </c>
      <c r="B5" s="649"/>
      <c r="C5" s="649"/>
      <c r="D5" s="46" t="e">
        <f>'MEMORIA DE CÁLCULO'!#REF!</f>
        <v>#REF!</v>
      </c>
      <c r="E5" s="650" t="s">
        <v>91</v>
      </c>
      <c r="F5" s="651"/>
    </row>
    <row r="6" spans="1:6">
      <c r="A6" s="648" t="s">
        <v>95</v>
      </c>
      <c r="B6" s="649"/>
      <c r="C6" s="649"/>
      <c r="D6" s="46" t="e">
        <f>'MEMORIA DE CÁLCULO'!#REF!</f>
        <v>#REF!</v>
      </c>
      <c r="E6" s="650" t="s">
        <v>94</v>
      </c>
      <c r="F6" s="651"/>
    </row>
    <row r="7" spans="1:6">
      <c r="A7" s="42"/>
      <c r="F7" s="41"/>
    </row>
    <row r="8" spans="1:6">
      <c r="A8" s="42"/>
      <c r="F8" s="41"/>
    </row>
    <row r="9" spans="1:6">
      <c r="A9" s="42"/>
      <c r="B9" s="49"/>
      <c r="C9" s="49"/>
      <c r="D9" s="49"/>
      <c r="E9" s="49"/>
      <c r="F9" s="50"/>
    </row>
    <row r="10" spans="1:6">
      <c r="A10" s="42"/>
      <c r="B10" s="51"/>
      <c r="C10" s="49"/>
      <c r="D10" s="49"/>
      <c r="E10" s="653"/>
      <c r="F10" s="654"/>
    </row>
    <row r="11" spans="1:6">
      <c r="A11" s="42"/>
      <c r="B11" s="52" t="s">
        <v>111</v>
      </c>
      <c r="C11" s="53"/>
      <c r="D11" s="53"/>
      <c r="E11" s="655" t="str">
        <f>'MEMORIA DE CÁLCULO'!F258</f>
        <v xml:space="preserve">PREFEITO MUNICIPAL DE LAGOA DOS PATOS-MG </v>
      </c>
      <c r="F11" s="656"/>
    </row>
    <row r="12" spans="1:6">
      <c r="A12" s="42"/>
      <c r="B12" s="52" t="s">
        <v>112</v>
      </c>
      <c r="C12" s="53"/>
      <c r="D12" s="53"/>
      <c r="F12" s="41"/>
    </row>
    <row r="13" spans="1:6" ht="13.5" thickBot="1">
      <c r="A13" s="43"/>
      <c r="B13" s="44"/>
      <c r="C13" s="44"/>
      <c r="D13" s="44"/>
      <c r="E13" s="44"/>
      <c r="F13" s="45"/>
    </row>
    <row r="16" spans="1:6">
      <c r="A16" s="652"/>
      <c r="B16" s="652"/>
      <c r="C16" s="652"/>
    </row>
    <row r="17" spans="1:3">
      <c r="A17" s="652"/>
      <c r="B17" s="652"/>
      <c r="C17" s="652"/>
    </row>
  </sheetData>
  <mergeCells count="15">
    <mergeCell ref="A4:C4"/>
    <mergeCell ref="E4:F4"/>
    <mergeCell ref="A5:C5"/>
    <mergeCell ref="E5:F5"/>
    <mergeCell ref="A16:C16"/>
    <mergeCell ref="A6:C6"/>
    <mergeCell ref="E6:F6"/>
    <mergeCell ref="A17:C17"/>
    <mergeCell ref="E10:F10"/>
    <mergeCell ref="E11:F11"/>
    <mergeCell ref="A1:F1"/>
    <mergeCell ref="A2:C2"/>
    <mergeCell ref="E2:F2"/>
    <mergeCell ref="A3:C3"/>
    <mergeCell ref="E3:F3"/>
  </mergeCells>
  <printOptions horizontalCentered="1"/>
  <pageMargins left="0.51181102362204722" right="0.51181102362204722" top="1.1811023622047245" bottom="0.78740157480314965" header="0.31496062992125984" footer="0.31496062992125984"/>
  <pageSetup paperSize="9" scale="85" orientation="landscape" r:id="rId1"/>
  <headerFooter>
    <oddFooter>Página &amp;P de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E6E5C-4335-4292-A3E7-9AE07CC83F8E}">
  <sheetPr>
    <pageSetUpPr fitToPage="1"/>
  </sheetPr>
  <dimension ref="A1:M204"/>
  <sheetViews>
    <sheetView topLeftCell="C29" zoomScale="75" zoomScaleNormal="85" zoomScaleSheetLayoutView="75" workbookViewId="0">
      <selection activeCell="E63" sqref="E63"/>
    </sheetView>
  </sheetViews>
  <sheetFormatPr defaultColWidth="8.85546875" defaultRowHeight="12"/>
  <cols>
    <col min="1" max="2" width="15.7109375" style="10" customWidth="1"/>
    <col min="3" max="3" width="30.7109375" style="10" customWidth="1"/>
    <col min="4" max="10" width="15.7109375" style="10" customWidth="1"/>
    <col min="11" max="11" width="6.28515625" style="10" hidden="1" customWidth="1"/>
    <col min="12" max="16384" width="8.85546875" style="10"/>
  </cols>
  <sheetData>
    <row r="1" spans="1:10" ht="60" customHeight="1" thickBot="1">
      <c r="A1" s="685" t="s">
        <v>11</v>
      </c>
      <c r="B1" s="686"/>
      <c r="C1" s="686"/>
      <c r="D1" s="686"/>
      <c r="E1" s="686"/>
      <c r="F1" s="686"/>
      <c r="G1" s="686"/>
      <c r="H1" s="686"/>
      <c r="I1" s="686"/>
      <c r="J1" s="687"/>
    </row>
    <row r="2" spans="1:10">
      <c r="A2" s="26" t="s">
        <v>17</v>
      </c>
      <c r="B2" s="688" t="s">
        <v>78</v>
      </c>
      <c r="C2" s="688"/>
      <c r="D2" s="688"/>
      <c r="E2" s="688"/>
      <c r="F2" s="688"/>
      <c r="G2" s="688"/>
      <c r="H2" s="688"/>
      <c r="I2" s="688"/>
      <c r="J2" s="689"/>
    </row>
    <row r="3" spans="1:10">
      <c r="A3" s="27" t="s">
        <v>18</v>
      </c>
      <c r="B3" s="690" t="s">
        <v>76</v>
      </c>
      <c r="C3" s="690"/>
      <c r="D3" s="690"/>
      <c r="E3" s="690"/>
      <c r="F3" s="690"/>
      <c r="G3" s="690"/>
      <c r="H3" s="690"/>
      <c r="I3" s="690"/>
      <c r="J3" s="691"/>
    </row>
    <row r="4" spans="1:10" ht="12.75" thickBot="1">
      <c r="A4" s="28" t="s">
        <v>20</v>
      </c>
      <c r="B4" s="692" t="s">
        <v>19</v>
      </c>
      <c r="C4" s="692"/>
      <c r="D4" s="692"/>
      <c r="E4" s="693"/>
      <c r="F4" s="694" t="s">
        <v>21</v>
      </c>
      <c r="G4" s="695"/>
      <c r="H4" s="24" t="s">
        <v>23</v>
      </c>
      <c r="I4" s="25" t="s">
        <v>22</v>
      </c>
      <c r="J4" s="29">
        <f>DATE(2023,5,2)</f>
        <v>45048</v>
      </c>
    </row>
    <row r="5" spans="1:10" ht="12.75" thickBot="1">
      <c r="A5" s="696"/>
      <c r="B5" s="697"/>
      <c r="C5" s="697"/>
      <c r="D5" s="697"/>
      <c r="E5" s="697"/>
      <c r="F5" s="697"/>
      <c r="G5" s="697"/>
      <c r="H5" s="697"/>
      <c r="I5" s="697"/>
      <c r="J5" s="698"/>
    </row>
    <row r="6" spans="1:10">
      <c r="A6" s="30">
        <v>1</v>
      </c>
      <c r="B6" s="683" t="s">
        <v>79</v>
      </c>
      <c r="C6" s="683"/>
      <c r="D6" s="683"/>
      <c r="E6" s="683"/>
      <c r="F6" s="683"/>
      <c r="G6" s="683"/>
      <c r="H6" s="683"/>
      <c r="I6" s="683"/>
      <c r="J6" s="684"/>
    </row>
    <row r="7" spans="1:10">
      <c r="A7" s="665"/>
      <c r="B7" s="666"/>
      <c r="C7" s="666"/>
      <c r="D7" s="666"/>
      <c r="E7" s="666"/>
      <c r="F7" s="666"/>
      <c r="G7" s="666"/>
      <c r="H7" s="666"/>
      <c r="I7" s="666"/>
      <c r="J7" s="667"/>
    </row>
    <row r="8" spans="1:10">
      <c r="A8" s="31" t="s">
        <v>2</v>
      </c>
      <c r="B8" s="663" t="s">
        <v>24</v>
      </c>
      <c r="C8" s="663"/>
      <c r="D8" s="663"/>
      <c r="E8" s="663"/>
      <c r="F8" s="663"/>
      <c r="G8" s="663"/>
      <c r="H8" s="663"/>
      <c r="I8" s="663"/>
      <c r="J8" s="664"/>
    </row>
    <row r="9" spans="1:10">
      <c r="A9" s="665"/>
      <c r="B9" s="666"/>
      <c r="C9" s="666"/>
      <c r="D9" s="666"/>
      <c r="E9" s="666"/>
      <c r="F9" s="666"/>
      <c r="G9" s="666"/>
      <c r="H9" s="666"/>
      <c r="I9" s="666"/>
      <c r="J9" s="667"/>
    </row>
    <row r="10" spans="1:10">
      <c r="A10" s="32" t="s">
        <v>5</v>
      </c>
      <c r="B10" s="14"/>
      <c r="C10" s="668" t="s">
        <v>25</v>
      </c>
      <c r="D10" s="668"/>
      <c r="E10" s="668"/>
      <c r="F10" s="668"/>
      <c r="G10" s="668"/>
      <c r="H10" s="668"/>
      <c r="I10" s="668"/>
      <c r="J10" s="669"/>
    </row>
    <row r="11" spans="1:10">
      <c r="A11" s="33" t="s">
        <v>6</v>
      </c>
      <c r="B11" s="15"/>
      <c r="C11" s="668"/>
      <c r="D11" s="668"/>
      <c r="E11" s="668"/>
      <c r="F11" s="668"/>
      <c r="G11" s="668"/>
      <c r="H11" s="668"/>
      <c r="I11" s="668"/>
      <c r="J11" s="669"/>
    </row>
    <row r="12" spans="1:10">
      <c r="A12" s="670" t="s">
        <v>40</v>
      </c>
      <c r="B12" s="671"/>
      <c r="C12" s="12" t="s">
        <v>41</v>
      </c>
      <c r="D12" s="17" t="s">
        <v>29</v>
      </c>
      <c r="E12" s="12"/>
      <c r="F12" s="11"/>
      <c r="G12" s="11"/>
      <c r="H12" s="17" t="s">
        <v>7</v>
      </c>
      <c r="I12" s="16" t="s">
        <v>30</v>
      </c>
      <c r="J12" s="34" t="s">
        <v>26</v>
      </c>
    </row>
    <row r="13" spans="1:10">
      <c r="A13" s="672"/>
      <c r="B13" s="673"/>
      <c r="C13" s="18"/>
      <c r="D13" s="19">
        <v>1</v>
      </c>
      <c r="E13" s="19"/>
      <c r="F13" s="19"/>
      <c r="G13" s="19"/>
      <c r="H13" s="19">
        <v>1</v>
      </c>
      <c r="I13" s="19">
        <f>ROUND(PRODUCT(D13:G13)*H13,2)</f>
        <v>1</v>
      </c>
      <c r="J13" s="674"/>
    </row>
    <row r="14" spans="1:10">
      <c r="A14" s="675" t="s">
        <v>0</v>
      </c>
      <c r="B14" s="676"/>
      <c r="C14" s="676"/>
      <c r="D14" s="676"/>
      <c r="E14" s="676"/>
      <c r="F14" s="676"/>
      <c r="G14" s="676"/>
      <c r="H14" s="676"/>
      <c r="I14" s="13">
        <f>I13</f>
        <v>1</v>
      </c>
      <c r="J14" s="674"/>
    </row>
    <row r="15" spans="1:10">
      <c r="A15" s="657"/>
      <c r="B15" s="658"/>
      <c r="C15" s="658"/>
      <c r="D15" s="658"/>
      <c r="E15" s="658"/>
      <c r="F15" s="658"/>
      <c r="G15" s="658"/>
      <c r="H15" s="658"/>
      <c r="I15" s="658"/>
      <c r="J15" s="659"/>
    </row>
    <row r="16" spans="1:10">
      <c r="A16" s="32" t="s">
        <v>5</v>
      </c>
      <c r="B16" s="14"/>
      <c r="C16" s="668" t="s">
        <v>14</v>
      </c>
      <c r="D16" s="668"/>
      <c r="E16" s="668"/>
      <c r="F16" s="668"/>
      <c r="G16" s="668"/>
      <c r="H16" s="668"/>
      <c r="I16" s="668"/>
      <c r="J16" s="669"/>
    </row>
    <row r="17" spans="1:10">
      <c r="A17" s="33" t="s">
        <v>6</v>
      </c>
      <c r="B17" s="15"/>
      <c r="C17" s="668"/>
      <c r="D17" s="668"/>
      <c r="E17" s="668"/>
      <c r="F17" s="668"/>
      <c r="G17" s="668"/>
      <c r="H17" s="668"/>
      <c r="I17" s="668"/>
      <c r="J17" s="669"/>
    </row>
    <row r="18" spans="1:10">
      <c r="A18" s="670" t="s">
        <v>40</v>
      </c>
      <c r="B18" s="671"/>
      <c r="C18" s="12" t="s">
        <v>41</v>
      </c>
      <c r="D18" s="17" t="s">
        <v>27</v>
      </c>
      <c r="E18" s="12" t="s">
        <v>28</v>
      </c>
      <c r="F18" s="11"/>
      <c r="G18" s="11"/>
      <c r="H18" s="17" t="s">
        <v>7</v>
      </c>
      <c r="I18" s="16" t="s">
        <v>30</v>
      </c>
      <c r="J18" s="34" t="s">
        <v>26</v>
      </c>
    </row>
    <row r="19" spans="1:10">
      <c r="A19" s="672" t="s">
        <v>42</v>
      </c>
      <c r="B19" s="673"/>
      <c r="C19" s="18"/>
      <c r="D19" s="19">
        <v>253.77</v>
      </c>
      <c r="E19" s="19">
        <v>20</v>
      </c>
      <c r="F19" s="19"/>
      <c r="G19" s="19"/>
      <c r="H19" s="19">
        <v>1</v>
      </c>
      <c r="I19" s="19">
        <f t="shared" ref="I19:I24" si="0">ROUND((D19/E19)*H19,0)</f>
        <v>13</v>
      </c>
      <c r="J19" s="34"/>
    </row>
    <row r="20" spans="1:10">
      <c r="A20" s="672" t="s">
        <v>43</v>
      </c>
      <c r="B20" s="673"/>
      <c r="C20" s="18"/>
      <c r="D20" s="19">
        <f>70.56+18.49</f>
        <v>89.05</v>
      </c>
      <c r="E20" s="19">
        <v>20</v>
      </c>
      <c r="F20" s="19"/>
      <c r="G20" s="19"/>
      <c r="H20" s="19">
        <v>1</v>
      </c>
      <c r="I20" s="19">
        <f t="shared" si="0"/>
        <v>4</v>
      </c>
      <c r="J20" s="34"/>
    </row>
    <row r="21" spans="1:10">
      <c r="A21" s="672" t="s">
        <v>44</v>
      </c>
      <c r="B21" s="673"/>
      <c r="C21" s="18"/>
      <c r="D21" s="19">
        <v>58.74</v>
      </c>
      <c r="E21" s="19">
        <v>20</v>
      </c>
      <c r="F21" s="19"/>
      <c r="G21" s="19"/>
      <c r="H21" s="19">
        <v>1</v>
      </c>
      <c r="I21" s="19">
        <f t="shared" si="0"/>
        <v>3</v>
      </c>
      <c r="J21" s="34"/>
    </row>
    <row r="22" spans="1:10">
      <c r="A22" s="672" t="s">
        <v>45</v>
      </c>
      <c r="B22" s="673"/>
      <c r="C22" s="18"/>
      <c r="D22" s="19">
        <f>132.69+153.02</f>
        <v>285.71000000000004</v>
      </c>
      <c r="E22" s="19">
        <v>20</v>
      </c>
      <c r="F22" s="19"/>
      <c r="G22" s="19"/>
      <c r="H22" s="19">
        <v>1</v>
      </c>
      <c r="I22" s="19">
        <f t="shared" si="0"/>
        <v>14</v>
      </c>
      <c r="J22" s="34"/>
    </row>
    <row r="23" spans="1:10">
      <c r="A23" s="672" t="s">
        <v>46</v>
      </c>
      <c r="B23" s="673"/>
      <c r="C23" s="18"/>
      <c r="D23" s="19">
        <v>102.74</v>
      </c>
      <c r="E23" s="19">
        <v>20</v>
      </c>
      <c r="F23" s="19"/>
      <c r="G23" s="19"/>
      <c r="H23" s="19">
        <v>1</v>
      </c>
      <c r="I23" s="19">
        <f t="shared" si="0"/>
        <v>5</v>
      </c>
      <c r="J23" s="34"/>
    </row>
    <row r="24" spans="1:10">
      <c r="A24" s="672" t="s">
        <v>47</v>
      </c>
      <c r="B24" s="673"/>
      <c r="C24" s="18"/>
      <c r="D24" s="19">
        <v>100.17</v>
      </c>
      <c r="E24" s="19">
        <v>20</v>
      </c>
      <c r="F24" s="19"/>
      <c r="G24" s="19"/>
      <c r="H24" s="19">
        <v>1</v>
      </c>
      <c r="I24" s="19">
        <f t="shared" si="0"/>
        <v>5</v>
      </c>
      <c r="J24" s="674"/>
    </row>
    <row r="25" spans="1:10">
      <c r="A25" s="672" t="s">
        <v>77</v>
      </c>
      <c r="B25" s="673"/>
      <c r="C25" s="18"/>
      <c r="D25" s="19">
        <v>169.66</v>
      </c>
      <c r="E25" s="19">
        <v>20</v>
      </c>
      <c r="F25" s="19"/>
      <c r="G25" s="19"/>
      <c r="H25" s="19">
        <v>1</v>
      </c>
      <c r="I25" s="19">
        <f>ROUND((D25/E25)*H25,0)</f>
        <v>8</v>
      </c>
      <c r="J25" s="674"/>
    </row>
    <row r="26" spans="1:10">
      <c r="A26" s="675" t="s">
        <v>0</v>
      </c>
      <c r="B26" s="676"/>
      <c r="C26" s="676"/>
      <c r="D26" s="676"/>
      <c r="E26" s="676"/>
      <c r="F26" s="676"/>
      <c r="G26" s="676"/>
      <c r="H26" s="676"/>
      <c r="I26" s="13">
        <f>SUM(I19:I25)</f>
        <v>52</v>
      </c>
      <c r="J26" s="674"/>
    </row>
    <row r="27" spans="1:10">
      <c r="A27" s="657"/>
      <c r="B27" s="658"/>
      <c r="C27" s="658"/>
      <c r="D27" s="658"/>
      <c r="E27" s="658"/>
      <c r="F27" s="658"/>
      <c r="G27" s="658"/>
      <c r="H27" s="658"/>
      <c r="I27" s="658"/>
      <c r="J27" s="659"/>
    </row>
    <row r="28" spans="1:10">
      <c r="A28" s="32" t="s">
        <v>5</v>
      </c>
      <c r="B28" s="14"/>
      <c r="C28" s="668" t="s">
        <v>80</v>
      </c>
      <c r="D28" s="668"/>
      <c r="E28" s="668"/>
      <c r="F28" s="668"/>
      <c r="G28" s="668"/>
      <c r="H28" s="668"/>
      <c r="I28" s="668"/>
      <c r="J28" s="669"/>
    </row>
    <row r="29" spans="1:10">
      <c r="A29" s="33" t="s">
        <v>6</v>
      </c>
      <c r="B29" s="15"/>
      <c r="C29" s="668"/>
      <c r="D29" s="668"/>
      <c r="E29" s="668"/>
      <c r="F29" s="668"/>
      <c r="G29" s="668"/>
      <c r="H29" s="668"/>
      <c r="I29" s="668"/>
      <c r="J29" s="669"/>
    </row>
    <row r="30" spans="1:10">
      <c r="A30" s="670" t="s">
        <v>40</v>
      </c>
      <c r="B30" s="671"/>
      <c r="C30" s="12" t="s">
        <v>41</v>
      </c>
      <c r="D30" s="17" t="s">
        <v>27</v>
      </c>
      <c r="E30" s="12"/>
      <c r="F30" s="11"/>
      <c r="G30" s="11"/>
      <c r="H30" s="17" t="s">
        <v>7</v>
      </c>
      <c r="I30" s="16" t="s">
        <v>30</v>
      </c>
      <c r="J30" s="34" t="s">
        <v>26</v>
      </c>
    </row>
    <row r="31" spans="1:10">
      <c r="A31" s="672" t="s">
        <v>42</v>
      </c>
      <c r="B31" s="673"/>
      <c r="C31" s="18"/>
      <c r="D31" s="19">
        <v>253.77</v>
      </c>
      <c r="E31" s="19"/>
      <c r="F31" s="19"/>
      <c r="G31" s="19"/>
      <c r="H31" s="19">
        <v>1</v>
      </c>
      <c r="I31" s="19">
        <f>ROUND(D31*H31,0)</f>
        <v>254</v>
      </c>
      <c r="J31" s="34"/>
    </row>
    <row r="32" spans="1:10">
      <c r="A32" s="672" t="s">
        <v>43</v>
      </c>
      <c r="B32" s="673"/>
      <c r="C32" s="18"/>
      <c r="D32" s="19">
        <f>70.56+18.49</f>
        <v>89.05</v>
      </c>
      <c r="E32" s="19"/>
      <c r="F32" s="19"/>
      <c r="G32" s="19"/>
      <c r="H32" s="19">
        <v>1</v>
      </c>
      <c r="I32" s="19">
        <f t="shared" ref="I32:I37" si="1">ROUND(D32*H32,0)</f>
        <v>89</v>
      </c>
      <c r="J32" s="34"/>
    </row>
    <row r="33" spans="1:10">
      <c r="A33" s="672" t="s">
        <v>44</v>
      </c>
      <c r="B33" s="673"/>
      <c r="C33" s="18"/>
      <c r="D33" s="19">
        <v>58.74</v>
      </c>
      <c r="E33" s="19"/>
      <c r="F33" s="19"/>
      <c r="G33" s="19"/>
      <c r="H33" s="19">
        <v>1</v>
      </c>
      <c r="I33" s="19">
        <f t="shared" si="1"/>
        <v>59</v>
      </c>
      <c r="J33" s="34"/>
    </row>
    <row r="34" spans="1:10">
      <c r="A34" s="672" t="s">
        <v>45</v>
      </c>
      <c r="B34" s="673"/>
      <c r="C34" s="18"/>
      <c r="D34" s="19">
        <f>132.69+153.02</f>
        <v>285.71000000000004</v>
      </c>
      <c r="E34" s="19"/>
      <c r="F34" s="19"/>
      <c r="G34" s="19"/>
      <c r="H34" s="19">
        <v>1</v>
      </c>
      <c r="I34" s="19">
        <f t="shared" si="1"/>
        <v>286</v>
      </c>
      <c r="J34" s="34"/>
    </row>
    <row r="35" spans="1:10">
      <c r="A35" s="672" t="s">
        <v>46</v>
      </c>
      <c r="B35" s="673"/>
      <c r="C35" s="18"/>
      <c r="D35" s="19">
        <v>102.74</v>
      </c>
      <c r="E35" s="19"/>
      <c r="F35" s="19"/>
      <c r="G35" s="19"/>
      <c r="H35" s="19">
        <v>1</v>
      </c>
      <c r="I35" s="19">
        <f t="shared" si="1"/>
        <v>103</v>
      </c>
      <c r="J35" s="34"/>
    </row>
    <row r="36" spans="1:10">
      <c r="A36" s="672" t="s">
        <v>47</v>
      </c>
      <c r="B36" s="673"/>
      <c r="C36" s="18"/>
      <c r="D36" s="19">
        <v>100.17</v>
      </c>
      <c r="E36" s="19"/>
      <c r="F36" s="19"/>
      <c r="G36" s="19"/>
      <c r="H36" s="19">
        <v>1</v>
      </c>
      <c r="I36" s="19">
        <f t="shared" si="1"/>
        <v>100</v>
      </c>
      <c r="J36" s="674"/>
    </row>
    <row r="37" spans="1:10">
      <c r="A37" s="672" t="s">
        <v>77</v>
      </c>
      <c r="B37" s="673"/>
      <c r="C37" s="18"/>
      <c r="D37" s="19">
        <v>169.66</v>
      </c>
      <c r="E37" s="19"/>
      <c r="F37" s="19"/>
      <c r="G37" s="19"/>
      <c r="H37" s="19">
        <v>1</v>
      </c>
      <c r="I37" s="19">
        <f t="shared" si="1"/>
        <v>170</v>
      </c>
      <c r="J37" s="674"/>
    </row>
    <row r="38" spans="1:10">
      <c r="A38" s="675" t="s">
        <v>0</v>
      </c>
      <c r="B38" s="676"/>
      <c r="C38" s="676"/>
      <c r="D38" s="676"/>
      <c r="E38" s="676"/>
      <c r="F38" s="676"/>
      <c r="G38" s="676"/>
      <c r="H38" s="676"/>
      <c r="I38" s="13">
        <f>SUM(I31:I37)</f>
        <v>1061</v>
      </c>
      <c r="J38" s="674"/>
    </row>
    <row r="39" spans="1:10">
      <c r="A39" s="657"/>
      <c r="B39" s="658"/>
      <c r="C39" s="658"/>
      <c r="D39" s="658"/>
      <c r="E39" s="658"/>
      <c r="F39" s="658"/>
      <c r="G39" s="658"/>
      <c r="H39" s="658"/>
      <c r="I39" s="658"/>
      <c r="J39" s="659"/>
    </row>
    <row r="40" spans="1:10">
      <c r="A40" s="35" t="s">
        <v>3</v>
      </c>
      <c r="B40" s="681" t="s">
        <v>1</v>
      </c>
      <c r="C40" s="681"/>
      <c r="D40" s="681"/>
      <c r="E40" s="681"/>
      <c r="F40" s="681"/>
      <c r="G40" s="681"/>
      <c r="H40" s="681"/>
      <c r="I40" s="681"/>
      <c r="J40" s="682"/>
    </row>
    <row r="41" spans="1:10">
      <c r="A41" s="665"/>
      <c r="B41" s="666"/>
      <c r="C41" s="666"/>
      <c r="D41" s="666"/>
      <c r="E41" s="666"/>
      <c r="F41" s="666"/>
      <c r="G41" s="666"/>
      <c r="H41" s="666"/>
      <c r="I41" s="666"/>
      <c r="J41" s="667"/>
    </row>
    <row r="42" spans="1:10">
      <c r="A42" s="32" t="s">
        <v>5</v>
      </c>
      <c r="B42" s="14"/>
      <c r="C42" s="668" t="s">
        <v>81</v>
      </c>
      <c r="D42" s="668"/>
      <c r="E42" s="668"/>
      <c r="F42" s="668"/>
      <c r="G42" s="668"/>
      <c r="H42" s="668"/>
      <c r="I42" s="668"/>
      <c r="J42" s="669"/>
    </row>
    <row r="43" spans="1:10">
      <c r="A43" s="33" t="s">
        <v>6</v>
      </c>
      <c r="B43" s="15"/>
      <c r="C43" s="668"/>
      <c r="D43" s="668"/>
      <c r="E43" s="668"/>
      <c r="F43" s="668"/>
      <c r="G43" s="668"/>
      <c r="H43" s="668"/>
      <c r="I43" s="668"/>
      <c r="J43" s="669"/>
    </row>
    <row r="44" spans="1:10" ht="24">
      <c r="A44" s="670" t="s">
        <v>40</v>
      </c>
      <c r="B44" s="671"/>
      <c r="C44" s="12" t="s">
        <v>41</v>
      </c>
      <c r="D44" s="17" t="s">
        <v>71</v>
      </c>
      <c r="E44" s="12" t="s">
        <v>31</v>
      </c>
      <c r="F44" s="12"/>
      <c r="G44" s="12"/>
      <c r="H44" s="17" t="s">
        <v>7</v>
      </c>
      <c r="I44" s="16" t="s">
        <v>32</v>
      </c>
      <c r="J44" s="34" t="s">
        <v>26</v>
      </c>
    </row>
    <row r="45" spans="1:10">
      <c r="A45" s="672" t="str">
        <f>A19</f>
        <v>Estrada do Cocal</v>
      </c>
      <c r="B45" s="673"/>
      <c r="C45" s="18" t="s">
        <v>72</v>
      </c>
      <c r="D45" s="19">
        <v>1752.3</v>
      </c>
      <c r="E45" s="19">
        <v>0.2</v>
      </c>
      <c r="F45" s="19"/>
      <c r="G45" s="19"/>
      <c r="H45" s="19">
        <v>1</v>
      </c>
      <c r="I45" s="19">
        <f>ROUND(PRODUCT(D45:G45)*H45,2)</f>
        <v>350.46</v>
      </c>
      <c r="J45" s="674"/>
    </row>
    <row r="46" spans="1:10">
      <c r="A46" s="675" t="s">
        <v>0</v>
      </c>
      <c r="B46" s="676"/>
      <c r="C46" s="676"/>
      <c r="D46" s="676"/>
      <c r="E46" s="676"/>
      <c r="F46" s="676"/>
      <c r="G46" s="676"/>
      <c r="H46" s="676"/>
      <c r="I46" s="13">
        <f>I45</f>
        <v>350.46</v>
      </c>
      <c r="J46" s="674"/>
    </row>
    <row r="47" spans="1:10">
      <c r="A47" s="657"/>
      <c r="B47" s="658"/>
      <c r="C47" s="658"/>
      <c r="D47" s="658"/>
      <c r="E47" s="658"/>
      <c r="F47" s="658"/>
      <c r="G47" s="658"/>
      <c r="H47" s="658"/>
      <c r="I47" s="658"/>
      <c r="J47" s="659"/>
    </row>
    <row r="48" spans="1:10">
      <c r="A48" s="32" t="s">
        <v>5</v>
      </c>
      <c r="B48" s="14"/>
      <c r="C48" s="668" t="s">
        <v>12</v>
      </c>
      <c r="D48" s="668"/>
      <c r="E48" s="668"/>
      <c r="F48" s="668"/>
      <c r="G48" s="668"/>
      <c r="H48" s="668"/>
      <c r="I48" s="668"/>
      <c r="J48" s="669"/>
    </row>
    <row r="49" spans="1:10">
      <c r="A49" s="33" t="s">
        <v>6</v>
      </c>
      <c r="B49" s="15"/>
      <c r="C49" s="668"/>
      <c r="D49" s="668"/>
      <c r="E49" s="668"/>
      <c r="F49" s="668"/>
      <c r="G49" s="668"/>
      <c r="H49" s="668"/>
      <c r="I49" s="668"/>
      <c r="J49" s="669"/>
    </row>
    <row r="50" spans="1:10" ht="24">
      <c r="A50" s="670" t="s">
        <v>40</v>
      </c>
      <c r="B50" s="671"/>
      <c r="C50" s="12" t="s">
        <v>41</v>
      </c>
      <c r="D50" s="17" t="s">
        <v>71</v>
      </c>
      <c r="E50" s="17"/>
      <c r="F50" s="12"/>
      <c r="G50" s="12"/>
      <c r="H50" s="17" t="s">
        <v>7</v>
      </c>
      <c r="I50" s="16" t="s">
        <v>33</v>
      </c>
      <c r="J50" s="34" t="s">
        <v>26</v>
      </c>
    </row>
    <row r="51" spans="1:10">
      <c r="A51" s="672" t="str">
        <f>A45</f>
        <v>Estrada do Cocal</v>
      </c>
      <c r="B51" s="673"/>
      <c r="C51" s="18" t="str">
        <f>C45</f>
        <v>Área conforme projeto geométrico</v>
      </c>
      <c r="D51" s="19">
        <f>D45</f>
        <v>1752.3</v>
      </c>
      <c r="E51" s="19"/>
      <c r="F51" s="19"/>
      <c r="G51" s="19"/>
      <c r="H51" s="19">
        <v>1</v>
      </c>
      <c r="I51" s="19">
        <f>ROUND(PRODUCT(D51:G51)*H51,2)</f>
        <v>1752.3</v>
      </c>
      <c r="J51" s="674"/>
    </row>
    <row r="52" spans="1:10">
      <c r="A52" s="675" t="s">
        <v>0</v>
      </c>
      <c r="B52" s="676"/>
      <c r="C52" s="676"/>
      <c r="D52" s="676"/>
      <c r="E52" s="676"/>
      <c r="F52" s="676"/>
      <c r="G52" s="676"/>
      <c r="H52" s="676"/>
      <c r="I52" s="13">
        <f>I51</f>
        <v>1752.3</v>
      </c>
      <c r="J52" s="674"/>
    </row>
    <row r="53" spans="1:10">
      <c r="A53" s="657"/>
      <c r="B53" s="658"/>
      <c r="C53" s="658"/>
      <c r="D53" s="658"/>
      <c r="E53" s="658"/>
      <c r="F53" s="658"/>
      <c r="G53" s="658"/>
      <c r="H53" s="658"/>
      <c r="I53" s="658"/>
      <c r="J53" s="659"/>
    </row>
    <row r="54" spans="1:10">
      <c r="A54" s="32" t="s">
        <v>5</v>
      </c>
      <c r="B54" s="14"/>
      <c r="C54" s="668" t="s">
        <v>16</v>
      </c>
      <c r="D54" s="668"/>
      <c r="E54" s="668"/>
      <c r="F54" s="668"/>
      <c r="G54" s="668"/>
      <c r="H54" s="668"/>
      <c r="I54" s="668"/>
      <c r="J54" s="669"/>
    </row>
    <row r="55" spans="1:10">
      <c r="A55" s="33" t="s">
        <v>6</v>
      </c>
      <c r="B55" s="15"/>
      <c r="C55" s="668"/>
      <c r="D55" s="668"/>
      <c r="E55" s="668"/>
      <c r="F55" s="668"/>
      <c r="G55" s="668"/>
      <c r="H55" s="668"/>
      <c r="I55" s="668"/>
      <c r="J55" s="669"/>
    </row>
    <row r="56" spans="1:10" ht="24">
      <c r="A56" s="670" t="s">
        <v>40</v>
      </c>
      <c r="B56" s="671"/>
      <c r="C56" s="12" t="s">
        <v>41</v>
      </c>
      <c r="D56" s="16" t="s">
        <v>32</v>
      </c>
      <c r="E56" s="17" t="s">
        <v>34</v>
      </c>
      <c r="F56" s="12" t="s">
        <v>35</v>
      </c>
      <c r="G56" s="12"/>
      <c r="H56" s="17" t="s">
        <v>7</v>
      </c>
      <c r="I56" s="16" t="s">
        <v>36</v>
      </c>
      <c r="J56" s="34" t="s">
        <v>26</v>
      </c>
    </row>
    <row r="57" spans="1:10">
      <c r="A57" s="672" t="str">
        <f>A51</f>
        <v>Estrada do Cocal</v>
      </c>
      <c r="B57" s="673"/>
      <c r="C57" s="18"/>
      <c r="D57" s="19">
        <f>I46</f>
        <v>350.46</v>
      </c>
      <c r="E57" s="20">
        <v>3</v>
      </c>
      <c r="F57" s="19">
        <v>1.73</v>
      </c>
      <c r="G57" s="19"/>
      <c r="H57" s="19">
        <v>1</v>
      </c>
      <c r="I57" s="19">
        <f>ROUND(PRODUCT(D57:G57)*H57,2)</f>
        <v>1818.89</v>
      </c>
      <c r="J57" s="674"/>
    </row>
    <row r="58" spans="1:10">
      <c r="A58" s="675" t="s">
        <v>0</v>
      </c>
      <c r="B58" s="676"/>
      <c r="C58" s="676"/>
      <c r="D58" s="676"/>
      <c r="E58" s="676"/>
      <c r="F58" s="676"/>
      <c r="G58" s="676"/>
      <c r="H58" s="676"/>
      <c r="I58" s="13">
        <f>I57</f>
        <v>1818.89</v>
      </c>
      <c r="J58" s="674"/>
    </row>
    <row r="59" spans="1:10">
      <c r="A59" s="657"/>
      <c r="B59" s="658"/>
      <c r="C59" s="658"/>
      <c r="D59" s="658"/>
      <c r="E59" s="658"/>
      <c r="F59" s="658"/>
      <c r="G59" s="658"/>
      <c r="H59" s="658"/>
      <c r="I59" s="658"/>
      <c r="J59" s="659"/>
    </row>
    <row r="60" spans="1:10">
      <c r="A60" s="32" t="s">
        <v>5</v>
      </c>
      <c r="B60" s="14"/>
      <c r="C60" s="668" t="s">
        <v>48</v>
      </c>
      <c r="D60" s="668"/>
      <c r="E60" s="668"/>
      <c r="F60" s="668"/>
      <c r="G60" s="668"/>
      <c r="H60" s="668"/>
      <c r="I60" s="668"/>
      <c r="J60" s="669"/>
    </row>
    <row r="61" spans="1:10">
      <c r="A61" s="33" t="s">
        <v>6</v>
      </c>
      <c r="B61" s="15"/>
      <c r="C61" s="668"/>
      <c r="D61" s="668"/>
      <c r="E61" s="668"/>
      <c r="F61" s="668"/>
      <c r="G61" s="668"/>
      <c r="H61" s="668"/>
      <c r="I61" s="668"/>
      <c r="J61" s="669"/>
    </row>
    <row r="62" spans="1:10" ht="24">
      <c r="A62" s="670" t="s">
        <v>40</v>
      </c>
      <c r="B62" s="671"/>
      <c r="C62" s="12" t="s">
        <v>41</v>
      </c>
      <c r="D62" s="16" t="s">
        <v>32</v>
      </c>
      <c r="E62" s="17" t="s">
        <v>34</v>
      </c>
      <c r="F62" s="12"/>
      <c r="G62" s="12"/>
      <c r="H62" s="17" t="s">
        <v>7</v>
      </c>
      <c r="I62" s="16" t="s">
        <v>37</v>
      </c>
      <c r="J62" s="34" t="s">
        <v>26</v>
      </c>
    </row>
    <row r="63" spans="1:10">
      <c r="A63" s="672" t="str">
        <f>A57</f>
        <v>Estrada do Cocal</v>
      </c>
      <c r="B63" s="673"/>
      <c r="C63" s="18"/>
      <c r="D63" s="19">
        <f>D57</f>
        <v>350.46</v>
      </c>
      <c r="E63" s="20">
        <v>20</v>
      </c>
      <c r="F63" s="19"/>
      <c r="G63" s="19"/>
      <c r="H63" s="19">
        <v>1</v>
      </c>
      <c r="I63" s="19">
        <f>ROUND(PRODUCT(D63:G63)*H63,2)</f>
        <v>7009.2</v>
      </c>
      <c r="J63" s="674"/>
    </row>
    <row r="64" spans="1:10">
      <c r="A64" s="675" t="s">
        <v>0</v>
      </c>
      <c r="B64" s="676"/>
      <c r="C64" s="676"/>
      <c r="D64" s="676"/>
      <c r="E64" s="676"/>
      <c r="F64" s="676"/>
      <c r="G64" s="676"/>
      <c r="H64" s="676"/>
      <c r="I64" s="13">
        <f>I63</f>
        <v>7009.2</v>
      </c>
      <c r="J64" s="674"/>
    </row>
    <row r="65" spans="1:10">
      <c r="A65" s="657"/>
      <c r="B65" s="658"/>
      <c r="C65" s="658"/>
      <c r="D65" s="658"/>
      <c r="E65" s="658"/>
      <c r="F65" s="658"/>
      <c r="G65" s="658"/>
      <c r="H65" s="658"/>
      <c r="I65" s="658"/>
      <c r="J65" s="659"/>
    </row>
    <row r="66" spans="1:10">
      <c r="A66" s="32" t="s">
        <v>5</v>
      </c>
      <c r="B66" s="14"/>
      <c r="C66" s="679" t="s">
        <v>73</v>
      </c>
      <c r="D66" s="679"/>
      <c r="E66" s="679"/>
      <c r="F66" s="679"/>
      <c r="G66" s="679"/>
      <c r="H66" s="679"/>
      <c r="I66" s="679"/>
      <c r="J66" s="680"/>
    </row>
    <row r="67" spans="1:10">
      <c r="A67" s="33" t="s">
        <v>6</v>
      </c>
      <c r="B67" s="15"/>
      <c r="C67" s="679"/>
      <c r="D67" s="679"/>
      <c r="E67" s="679"/>
      <c r="F67" s="679"/>
      <c r="G67" s="679"/>
      <c r="H67" s="679"/>
      <c r="I67" s="679"/>
      <c r="J67" s="680"/>
    </row>
    <row r="68" spans="1:10" ht="24">
      <c r="A68" s="670" t="s">
        <v>40</v>
      </c>
      <c r="B68" s="671"/>
      <c r="C68" s="12" t="s">
        <v>41</v>
      </c>
      <c r="D68" s="17" t="s">
        <v>71</v>
      </c>
      <c r="E68" s="12" t="s">
        <v>31</v>
      </c>
      <c r="F68" s="12"/>
      <c r="G68" s="12"/>
      <c r="H68" s="17" t="s">
        <v>7</v>
      </c>
      <c r="I68" s="16" t="s">
        <v>36</v>
      </c>
      <c r="J68" s="34" t="s">
        <v>26</v>
      </c>
    </row>
    <row r="69" spans="1:10">
      <c r="A69" s="672" t="str">
        <f>A63</f>
        <v>Estrada do Cocal</v>
      </c>
      <c r="B69" s="673"/>
      <c r="C69" s="18" t="str">
        <f>C51</f>
        <v>Área conforme projeto geométrico</v>
      </c>
      <c r="D69" s="19">
        <f>D51</f>
        <v>1752.3</v>
      </c>
      <c r="E69" s="19">
        <v>0.15</v>
      </c>
      <c r="F69" s="19"/>
      <c r="G69" s="19"/>
      <c r="H69" s="19">
        <v>1</v>
      </c>
      <c r="I69" s="19">
        <f>ROUND(PRODUCT(D69:G69)*H69,2)</f>
        <v>262.85000000000002</v>
      </c>
      <c r="J69" s="674"/>
    </row>
    <row r="70" spans="1:10">
      <c r="A70" s="675" t="s">
        <v>0</v>
      </c>
      <c r="B70" s="676"/>
      <c r="C70" s="676"/>
      <c r="D70" s="676"/>
      <c r="E70" s="676"/>
      <c r="F70" s="676"/>
      <c r="G70" s="676"/>
      <c r="H70" s="676"/>
      <c r="I70" s="13">
        <f>I69</f>
        <v>262.85000000000002</v>
      </c>
      <c r="J70" s="674"/>
    </row>
    <row r="71" spans="1:10">
      <c r="A71" s="657"/>
      <c r="B71" s="658"/>
      <c r="C71" s="658"/>
      <c r="D71" s="658"/>
      <c r="E71" s="658"/>
      <c r="F71" s="658"/>
      <c r="G71" s="658"/>
      <c r="H71" s="658"/>
      <c r="I71" s="658"/>
      <c r="J71" s="659"/>
    </row>
    <row r="72" spans="1:10">
      <c r="A72" s="32" t="s">
        <v>5</v>
      </c>
      <c r="B72" s="14"/>
      <c r="C72" s="668" t="s">
        <v>82</v>
      </c>
      <c r="D72" s="668"/>
      <c r="E72" s="668"/>
      <c r="F72" s="668"/>
      <c r="G72" s="668"/>
      <c r="H72" s="668"/>
      <c r="I72" s="668"/>
      <c r="J72" s="669"/>
    </row>
    <row r="73" spans="1:10">
      <c r="A73" s="33" t="s">
        <v>6</v>
      </c>
      <c r="B73" s="15"/>
      <c r="C73" s="668"/>
      <c r="D73" s="668"/>
      <c r="E73" s="668"/>
      <c r="F73" s="668"/>
      <c r="G73" s="668"/>
      <c r="H73" s="668"/>
      <c r="I73" s="668"/>
      <c r="J73" s="669"/>
    </row>
    <row r="74" spans="1:10" ht="24">
      <c r="A74" s="670" t="s">
        <v>40</v>
      </c>
      <c r="B74" s="671"/>
      <c r="C74" s="12" t="s">
        <v>41</v>
      </c>
      <c r="D74" s="17" t="s">
        <v>71</v>
      </c>
      <c r="E74" s="12" t="s">
        <v>31</v>
      </c>
      <c r="F74" s="12"/>
      <c r="G74" s="12"/>
      <c r="H74" s="17" t="s">
        <v>7</v>
      </c>
      <c r="I74" s="16" t="s">
        <v>37</v>
      </c>
      <c r="J74" s="34" t="s">
        <v>26</v>
      </c>
    </row>
    <row r="75" spans="1:10">
      <c r="A75" s="672" t="str">
        <f>A69</f>
        <v>Estrada do Cocal</v>
      </c>
      <c r="B75" s="673"/>
      <c r="C75" s="18" t="str">
        <f>C69</f>
        <v>Área conforme projeto geométrico</v>
      </c>
      <c r="D75" s="19">
        <f>D69</f>
        <v>1752.3</v>
      </c>
      <c r="E75" s="19">
        <v>0.15</v>
      </c>
      <c r="F75" s="19"/>
      <c r="G75" s="19"/>
      <c r="H75" s="19">
        <v>1</v>
      </c>
      <c r="I75" s="19">
        <f>ROUND(PRODUCT(D75:G75)*H75,2)</f>
        <v>262.85000000000002</v>
      </c>
      <c r="J75" s="674"/>
    </row>
    <row r="76" spans="1:10">
      <c r="A76" s="675" t="s">
        <v>0</v>
      </c>
      <c r="B76" s="676"/>
      <c r="C76" s="676"/>
      <c r="D76" s="676"/>
      <c r="E76" s="676"/>
      <c r="F76" s="676"/>
      <c r="G76" s="676"/>
      <c r="H76" s="676"/>
      <c r="I76" s="13">
        <f>I75</f>
        <v>262.85000000000002</v>
      </c>
      <c r="J76" s="674"/>
    </row>
    <row r="77" spans="1:10">
      <c r="A77" s="657"/>
      <c r="B77" s="658"/>
      <c r="C77" s="658"/>
      <c r="D77" s="658"/>
      <c r="E77" s="658"/>
      <c r="F77" s="658"/>
      <c r="G77" s="658"/>
      <c r="H77" s="658"/>
      <c r="I77" s="658"/>
      <c r="J77" s="659"/>
    </row>
    <row r="78" spans="1:10">
      <c r="A78" s="35" t="s">
        <v>4</v>
      </c>
      <c r="B78" s="663" t="s">
        <v>49</v>
      </c>
      <c r="C78" s="663"/>
      <c r="D78" s="663"/>
      <c r="E78" s="663"/>
      <c r="F78" s="663"/>
      <c r="G78" s="663"/>
      <c r="H78" s="663"/>
      <c r="I78" s="663"/>
      <c r="J78" s="664"/>
    </row>
    <row r="79" spans="1:10">
      <c r="A79" s="665" t="s">
        <v>38</v>
      </c>
      <c r="B79" s="666"/>
      <c r="C79" s="666"/>
      <c r="D79" s="666"/>
      <c r="E79" s="666"/>
      <c r="F79" s="666"/>
      <c r="G79" s="666"/>
      <c r="H79" s="666"/>
      <c r="I79" s="666"/>
      <c r="J79" s="667"/>
    </row>
    <row r="80" spans="1:10">
      <c r="A80" s="32" t="s">
        <v>5</v>
      </c>
      <c r="B80" s="14"/>
      <c r="C80" s="668" t="s">
        <v>50</v>
      </c>
      <c r="D80" s="668"/>
      <c r="E80" s="668"/>
      <c r="F80" s="668"/>
      <c r="G80" s="668"/>
      <c r="H80" s="668"/>
      <c r="I80" s="668"/>
      <c r="J80" s="669"/>
    </row>
    <row r="81" spans="1:10">
      <c r="A81" s="33" t="s">
        <v>6</v>
      </c>
      <c r="B81" s="15"/>
      <c r="C81" s="668"/>
      <c r="D81" s="668"/>
      <c r="E81" s="668"/>
      <c r="F81" s="668"/>
      <c r="G81" s="668"/>
      <c r="H81" s="668"/>
      <c r="I81" s="668"/>
      <c r="J81" s="669"/>
    </row>
    <row r="82" spans="1:10" ht="24">
      <c r="A82" s="670" t="s">
        <v>40</v>
      </c>
      <c r="B82" s="671"/>
      <c r="C82" s="12" t="s">
        <v>41</v>
      </c>
      <c r="D82" s="17" t="s">
        <v>74</v>
      </c>
      <c r="E82" s="17"/>
      <c r="F82" s="12"/>
      <c r="G82" s="12"/>
      <c r="H82" s="17" t="s">
        <v>7</v>
      </c>
      <c r="I82" s="16" t="s">
        <v>33</v>
      </c>
      <c r="J82" s="34" t="s">
        <v>26</v>
      </c>
    </row>
    <row r="83" spans="1:10">
      <c r="A83" s="672" t="str">
        <f t="shared" ref="A83:A89" si="2">A19</f>
        <v>Estrada do Cocal</v>
      </c>
      <c r="B83" s="673"/>
      <c r="C83" s="18" t="s">
        <v>72</v>
      </c>
      <c r="D83" s="19">
        <v>1523.74</v>
      </c>
      <c r="E83" s="19"/>
      <c r="F83" s="19"/>
      <c r="G83" s="19"/>
      <c r="H83" s="19">
        <v>1</v>
      </c>
      <c r="I83" s="19">
        <f t="shared" ref="I83:I88" si="3">ROUND(PRODUCT(D83:G83)*H83,2)</f>
        <v>1523.74</v>
      </c>
      <c r="J83" s="674"/>
    </row>
    <row r="84" spans="1:10" hidden="1">
      <c r="A84" s="672" t="str">
        <f t="shared" si="2"/>
        <v>Rua Miguel Braga</v>
      </c>
      <c r="B84" s="673"/>
      <c r="C84" s="18" t="s">
        <v>72</v>
      </c>
      <c r="D84" s="19">
        <v>864.42</v>
      </c>
      <c r="E84" s="19"/>
      <c r="F84" s="19"/>
      <c r="G84" s="19"/>
      <c r="H84" s="19">
        <v>1</v>
      </c>
      <c r="I84" s="19">
        <f t="shared" si="3"/>
        <v>864.42</v>
      </c>
      <c r="J84" s="674"/>
    </row>
    <row r="85" spans="1:10" hidden="1">
      <c r="A85" s="672" t="str">
        <f t="shared" si="2"/>
        <v>Rua Cosme Damião</v>
      </c>
      <c r="B85" s="673"/>
      <c r="C85" s="18" t="s">
        <v>72</v>
      </c>
      <c r="D85" s="19">
        <v>509.01</v>
      </c>
      <c r="E85" s="19"/>
      <c r="F85" s="19"/>
      <c r="G85" s="19"/>
      <c r="H85" s="19">
        <v>1</v>
      </c>
      <c r="I85" s="19">
        <f t="shared" si="3"/>
        <v>509.01</v>
      </c>
      <c r="J85" s="674"/>
    </row>
    <row r="86" spans="1:10" hidden="1">
      <c r="A86" s="672" t="str">
        <f t="shared" si="2"/>
        <v>Rua Francelino Ribeiro</v>
      </c>
      <c r="B86" s="673"/>
      <c r="C86" s="18" t="s">
        <v>72</v>
      </c>
      <c r="D86" s="19">
        <v>2435.13</v>
      </c>
      <c r="E86" s="19"/>
      <c r="F86" s="19"/>
      <c r="G86" s="19"/>
      <c r="H86" s="19">
        <v>1</v>
      </c>
      <c r="I86" s="19">
        <f t="shared" si="3"/>
        <v>2435.13</v>
      </c>
      <c r="J86" s="674"/>
    </row>
    <row r="87" spans="1:10" hidden="1">
      <c r="A87" s="672" t="str">
        <f t="shared" si="2"/>
        <v>Rua Itatiaia</v>
      </c>
      <c r="B87" s="673"/>
      <c r="C87" s="18" t="s">
        <v>72</v>
      </c>
      <c r="D87" s="19">
        <v>866.38</v>
      </c>
      <c r="E87" s="19"/>
      <c r="F87" s="19"/>
      <c r="G87" s="19"/>
      <c r="H87" s="19">
        <v>1</v>
      </c>
      <c r="I87" s="19">
        <f t="shared" si="3"/>
        <v>866.38</v>
      </c>
      <c r="J87" s="674"/>
    </row>
    <row r="88" spans="1:10" hidden="1">
      <c r="A88" s="672" t="str">
        <f t="shared" si="2"/>
        <v>Rua Doná Guiomar</v>
      </c>
      <c r="B88" s="673"/>
      <c r="C88" s="18" t="s">
        <v>72</v>
      </c>
      <c r="D88" s="19">
        <v>1006.92</v>
      </c>
      <c r="E88" s="19"/>
      <c r="F88" s="19"/>
      <c r="G88" s="19"/>
      <c r="H88" s="19">
        <v>1</v>
      </c>
      <c r="I88" s="19">
        <f t="shared" si="3"/>
        <v>1006.92</v>
      </c>
      <c r="J88" s="674"/>
    </row>
    <row r="89" spans="1:10" hidden="1">
      <c r="A89" s="672" t="str">
        <f t="shared" si="2"/>
        <v>Rua Trinta e um</v>
      </c>
      <c r="B89" s="673"/>
      <c r="C89" s="18" t="s">
        <v>72</v>
      </c>
      <c r="D89" s="19">
        <v>1262.24</v>
      </c>
      <c r="E89" s="19"/>
      <c r="F89" s="19"/>
      <c r="G89" s="19"/>
      <c r="H89" s="19">
        <v>1</v>
      </c>
      <c r="I89" s="19">
        <f>ROUND(PRODUCT(D89:G89)*H89,2)</f>
        <v>1262.24</v>
      </c>
      <c r="J89" s="674"/>
    </row>
    <row r="90" spans="1:10">
      <c r="A90" s="675" t="s">
        <v>0</v>
      </c>
      <c r="B90" s="676"/>
      <c r="C90" s="676"/>
      <c r="D90" s="676"/>
      <c r="E90" s="676"/>
      <c r="F90" s="676"/>
      <c r="G90" s="676"/>
      <c r="H90" s="676"/>
      <c r="I90" s="13">
        <f>SUM(I83)</f>
        <v>1523.74</v>
      </c>
      <c r="J90" s="674"/>
    </row>
    <row r="91" spans="1:10">
      <c r="A91" s="657"/>
      <c r="B91" s="658"/>
      <c r="C91" s="658"/>
      <c r="D91" s="658"/>
      <c r="E91" s="658"/>
      <c r="F91" s="658"/>
      <c r="G91" s="658"/>
      <c r="H91" s="658"/>
      <c r="I91" s="658"/>
      <c r="J91" s="659"/>
    </row>
    <row r="92" spans="1:10">
      <c r="A92" s="32" t="s">
        <v>5</v>
      </c>
      <c r="B92" s="14"/>
      <c r="C92" s="668" t="s">
        <v>58</v>
      </c>
      <c r="D92" s="668"/>
      <c r="E92" s="668"/>
      <c r="F92" s="668"/>
      <c r="G92" s="668"/>
      <c r="H92" s="668"/>
      <c r="I92" s="668"/>
      <c r="J92" s="669"/>
    </row>
    <row r="93" spans="1:10">
      <c r="A93" s="33" t="s">
        <v>6</v>
      </c>
      <c r="B93" s="15"/>
      <c r="C93" s="668"/>
      <c r="D93" s="668"/>
      <c r="E93" s="668"/>
      <c r="F93" s="668"/>
      <c r="G93" s="668"/>
      <c r="H93" s="668"/>
      <c r="I93" s="668"/>
      <c r="J93" s="669"/>
    </row>
    <row r="94" spans="1:10" ht="24">
      <c r="A94" s="670" t="s">
        <v>40</v>
      </c>
      <c r="B94" s="671"/>
      <c r="C94" s="12" t="s">
        <v>41</v>
      </c>
      <c r="D94" s="17" t="s">
        <v>74</v>
      </c>
      <c r="E94" s="12" t="s">
        <v>51</v>
      </c>
      <c r="F94" s="17" t="s">
        <v>34</v>
      </c>
      <c r="G94" s="17"/>
      <c r="H94" s="17" t="s">
        <v>7</v>
      </c>
      <c r="I94" s="16" t="s">
        <v>37</v>
      </c>
      <c r="J94" s="34" t="s">
        <v>26</v>
      </c>
    </row>
    <row r="95" spans="1:10">
      <c r="A95" s="672" t="str">
        <f t="shared" ref="A95:A101" si="4">A83</f>
        <v>Estrada do Cocal</v>
      </c>
      <c r="B95" s="673"/>
      <c r="C95" s="18" t="str">
        <f t="shared" ref="C95:D101" si="5">C83</f>
        <v>Área conforme projeto geométrico</v>
      </c>
      <c r="D95" s="19">
        <f t="shared" si="5"/>
        <v>1523.74</v>
      </c>
      <c r="E95" s="21">
        <v>1.1999999999999999E-3</v>
      </c>
      <c r="F95" s="20">
        <v>20</v>
      </c>
      <c r="G95" s="20"/>
      <c r="H95" s="19">
        <v>1</v>
      </c>
      <c r="I95" s="19">
        <f t="shared" ref="I95:I100" si="6">ROUND(PRODUCT(D95:G95)*H95,2)</f>
        <v>36.57</v>
      </c>
      <c r="J95" s="674"/>
    </row>
    <row r="96" spans="1:10" hidden="1">
      <c r="A96" s="672" t="str">
        <f t="shared" si="4"/>
        <v>Rua Miguel Braga</v>
      </c>
      <c r="B96" s="673"/>
      <c r="C96" s="18" t="str">
        <f t="shared" si="5"/>
        <v>Área conforme projeto geométrico</v>
      </c>
      <c r="D96" s="19">
        <f t="shared" si="5"/>
        <v>864.42</v>
      </c>
      <c r="E96" s="21">
        <v>1.1999999999999999E-3</v>
      </c>
      <c r="F96" s="20">
        <v>20</v>
      </c>
      <c r="G96" s="19"/>
      <c r="H96" s="19">
        <v>1</v>
      </c>
      <c r="I96" s="19">
        <f t="shared" si="6"/>
        <v>20.75</v>
      </c>
      <c r="J96" s="674"/>
    </row>
    <row r="97" spans="1:13" hidden="1">
      <c r="A97" s="672" t="str">
        <f t="shared" si="4"/>
        <v>Rua Cosme Damião</v>
      </c>
      <c r="B97" s="673"/>
      <c r="C97" s="18" t="str">
        <f t="shared" si="5"/>
        <v>Área conforme projeto geométrico</v>
      </c>
      <c r="D97" s="19">
        <f t="shared" si="5"/>
        <v>509.01</v>
      </c>
      <c r="E97" s="21">
        <v>1.1999999999999999E-3</v>
      </c>
      <c r="F97" s="20">
        <v>20</v>
      </c>
      <c r="G97" s="19"/>
      <c r="H97" s="19">
        <v>1</v>
      </c>
      <c r="I97" s="19">
        <f t="shared" si="6"/>
        <v>12.22</v>
      </c>
      <c r="J97" s="674"/>
    </row>
    <row r="98" spans="1:13" hidden="1">
      <c r="A98" s="672" t="str">
        <f t="shared" si="4"/>
        <v>Rua Francelino Ribeiro</v>
      </c>
      <c r="B98" s="673"/>
      <c r="C98" s="18" t="str">
        <f t="shared" si="5"/>
        <v>Área conforme projeto geométrico</v>
      </c>
      <c r="D98" s="19">
        <f t="shared" si="5"/>
        <v>2435.13</v>
      </c>
      <c r="E98" s="21">
        <v>1.1999999999999999E-3</v>
      </c>
      <c r="F98" s="20">
        <v>20</v>
      </c>
      <c r="G98" s="19"/>
      <c r="H98" s="19">
        <v>1</v>
      </c>
      <c r="I98" s="19">
        <f t="shared" si="6"/>
        <v>58.44</v>
      </c>
      <c r="J98" s="674"/>
    </row>
    <row r="99" spans="1:13" hidden="1">
      <c r="A99" s="672" t="str">
        <f t="shared" si="4"/>
        <v>Rua Itatiaia</v>
      </c>
      <c r="B99" s="673"/>
      <c r="C99" s="18" t="str">
        <f t="shared" si="5"/>
        <v>Área conforme projeto geométrico</v>
      </c>
      <c r="D99" s="19">
        <f t="shared" si="5"/>
        <v>866.38</v>
      </c>
      <c r="E99" s="21">
        <v>1.1999999999999999E-3</v>
      </c>
      <c r="F99" s="20">
        <v>20</v>
      </c>
      <c r="G99" s="19"/>
      <c r="H99" s="19">
        <v>1</v>
      </c>
      <c r="I99" s="19">
        <f t="shared" si="6"/>
        <v>20.79</v>
      </c>
      <c r="J99" s="674"/>
    </row>
    <row r="100" spans="1:13" hidden="1">
      <c r="A100" s="672" t="str">
        <f t="shared" si="4"/>
        <v>Rua Doná Guiomar</v>
      </c>
      <c r="B100" s="673"/>
      <c r="C100" s="18" t="str">
        <f t="shared" si="5"/>
        <v>Área conforme projeto geométrico</v>
      </c>
      <c r="D100" s="19">
        <f t="shared" si="5"/>
        <v>1006.92</v>
      </c>
      <c r="E100" s="21">
        <v>1.1999999999999999E-3</v>
      </c>
      <c r="F100" s="20">
        <v>20</v>
      </c>
      <c r="G100" s="19"/>
      <c r="H100" s="19">
        <v>1</v>
      </c>
      <c r="I100" s="19">
        <f t="shared" si="6"/>
        <v>24.17</v>
      </c>
      <c r="J100" s="674"/>
    </row>
    <row r="101" spans="1:13" hidden="1">
      <c r="A101" s="672" t="str">
        <f t="shared" si="4"/>
        <v>Rua Trinta e um</v>
      </c>
      <c r="B101" s="673"/>
      <c r="C101" s="18" t="str">
        <f t="shared" si="5"/>
        <v>Área conforme projeto geométrico</v>
      </c>
      <c r="D101" s="19">
        <f t="shared" si="5"/>
        <v>1262.24</v>
      </c>
      <c r="E101" s="21">
        <v>1.1999999999999999E-3</v>
      </c>
      <c r="F101" s="20">
        <v>20</v>
      </c>
      <c r="G101" s="19"/>
      <c r="H101" s="19">
        <v>1</v>
      </c>
      <c r="I101" s="19">
        <f>ROUND(PRODUCT(D101:G101)*H101,2)</f>
        <v>30.29</v>
      </c>
      <c r="J101" s="674"/>
    </row>
    <row r="102" spans="1:13">
      <c r="A102" s="675" t="s">
        <v>0</v>
      </c>
      <c r="B102" s="676"/>
      <c r="C102" s="676"/>
      <c r="D102" s="676"/>
      <c r="E102" s="676"/>
      <c r="F102" s="676"/>
      <c r="G102" s="676"/>
      <c r="H102" s="676"/>
      <c r="I102" s="13">
        <f>SUM(I95)</f>
        <v>36.57</v>
      </c>
      <c r="J102" s="674"/>
    </row>
    <row r="103" spans="1:13">
      <c r="A103" s="657"/>
      <c r="B103" s="658"/>
      <c r="C103" s="658"/>
      <c r="D103" s="658"/>
      <c r="E103" s="658"/>
      <c r="F103" s="658"/>
      <c r="G103" s="658"/>
      <c r="H103" s="658"/>
      <c r="I103" s="658"/>
      <c r="J103" s="659"/>
    </row>
    <row r="104" spans="1:13">
      <c r="A104" s="32" t="s">
        <v>5</v>
      </c>
      <c r="B104" s="14"/>
      <c r="C104" s="668" t="s">
        <v>54</v>
      </c>
      <c r="D104" s="668"/>
      <c r="E104" s="668"/>
      <c r="F104" s="668"/>
      <c r="G104" s="668"/>
      <c r="H104" s="668"/>
      <c r="I104" s="668"/>
      <c r="J104" s="669"/>
    </row>
    <row r="105" spans="1:13">
      <c r="A105" s="33" t="s">
        <v>6</v>
      </c>
      <c r="B105" s="15"/>
      <c r="C105" s="668"/>
      <c r="D105" s="668"/>
      <c r="E105" s="668"/>
      <c r="F105" s="668"/>
      <c r="G105" s="668"/>
      <c r="H105" s="668"/>
      <c r="I105" s="668"/>
      <c r="J105" s="669"/>
    </row>
    <row r="106" spans="1:13" ht="24">
      <c r="A106" s="670" t="s">
        <v>40</v>
      </c>
      <c r="B106" s="671"/>
      <c r="C106" s="12" t="s">
        <v>41</v>
      </c>
      <c r="D106" s="17" t="s">
        <v>74</v>
      </c>
      <c r="E106" s="17"/>
      <c r="F106" s="12"/>
      <c r="G106" s="12"/>
      <c r="H106" s="17" t="s">
        <v>7</v>
      </c>
      <c r="I106" s="16" t="s">
        <v>33</v>
      </c>
      <c r="J106" s="34" t="s">
        <v>26</v>
      </c>
    </row>
    <row r="107" spans="1:13">
      <c r="A107" s="672" t="str">
        <f t="shared" ref="A107:A113" si="7">A95</f>
        <v>Estrada do Cocal</v>
      </c>
      <c r="B107" s="673"/>
      <c r="C107" s="18" t="str">
        <f t="shared" ref="C107:D113" si="8">C95</f>
        <v>Área conforme projeto geométrico</v>
      </c>
      <c r="D107" s="19">
        <f t="shared" si="8"/>
        <v>1523.74</v>
      </c>
      <c r="E107" s="19"/>
      <c r="F107" s="19"/>
      <c r="G107" s="19"/>
      <c r="H107" s="19">
        <v>1</v>
      </c>
      <c r="I107" s="19">
        <f t="shared" ref="I107:I112" si="9">ROUND(PRODUCT(D107:G107)*H107,2)</f>
        <v>1523.74</v>
      </c>
      <c r="J107" s="674"/>
    </row>
    <row r="108" spans="1:13">
      <c r="A108" s="672" t="str">
        <f t="shared" si="7"/>
        <v>Rua Miguel Braga</v>
      </c>
      <c r="B108" s="673"/>
      <c r="C108" s="18" t="str">
        <f t="shared" si="8"/>
        <v>Área conforme projeto geométrico</v>
      </c>
      <c r="D108" s="19">
        <f t="shared" si="8"/>
        <v>864.42</v>
      </c>
      <c r="E108" s="21"/>
      <c r="F108" s="20"/>
      <c r="G108" s="19"/>
      <c r="H108" s="19">
        <v>1</v>
      </c>
      <c r="I108" s="19">
        <f t="shared" si="9"/>
        <v>864.42</v>
      </c>
      <c r="J108" s="674"/>
    </row>
    <row r="109" spans="1:13">
      <c r="A109" s="672" t="str">
        <f t="shared" si="7"/>
        <v>Rua Cosme Damião</v>
      </c>
      <c r="B109" s="673"/>
      <c r="C109" s="18" t="str">
        <f t="shared" si="8"/>
        <v>Área conforme projeto geométrico</v>
      </c>
      <c r="D109" s="19">
        <f t="shared" si="8"/>
        <v>509.01</v>
      </c>
      <c r="E109" s="21"/>
      <c r="F109" s="20"/>
      <c r="G109" s="19"/>
      <c r="H109" s="19">
        <v>1</v>
      </c>
      <c r="I109" s="19">
        <f t="shared" si="9"/>
        <v>509.01</v>
      </c>
      <c r="J109" s="674"/>
    </row>
    <row r="110" spans="1:13">
      <c r="A110" s="672" t="str">
        <f t="shared" si="7"/>
        <v>Rua Francelino Ribeiro</v>
      </c>
      <c r="B110" s="673"/>
      <c r="C110" s="18" t="str">
        <f t="shared" si="8"/>
        <v>Área conforme projeto geométrico</v>
      </c>
      <c r="D110" s="19">
        <f t="shared" si="8"/>
        <v>2435.13</v>
      </c>
      <c r="E110" s="21"/>
      <c r="F110" s="20"/>
      <c r="G110" s="19"/>
      <c r="H110" s="19">
        <v>1</v>
      </c>
      <c r="I110" s="19">
        <f t="shared" si="9"/>
        <v>2435.13</v>
      </c>
      <c r="J110" s="674"/>
    </row>
    <row r="111" spans="1:13">
      <c r="A111" s="672" t="str">
        <f t="shared" si="7"/>
        <v>Rua Itatiaia</v>
      </c>
      <c r="B111" s="673"/>
      <c r="C111" s="18" t="str">
        <f t="shared" si="8"/>
        <v>Área conforme projeto geométrico</v>
      </c>
      <c r="D111" s="19">
        <f t="shared" si="8"/>
        <v>866.38</v>
      </c>
      <c r="E111" s="21"/>
      <c r="F111" s="20"/>
      <c r="G111" s="19"/>
      <c r="H111" s="19">
        <v>1</v>
      </c>
      <c r="I111" s="19">
        <f t="shared" si="9"/>
        <v>866.38</v>
      </c>
      <c r="J111" s="674"/>
    </row>
    <row r="112" spans="1:13">
      <c r="A112" s="672" t="str">
        <f t="shared" si="7"/>
        <v>Rua Doná Guiomar</v>
      </c>
      <c r="B112" s="673"/>
      <c r="C112" s="18" t="str">
        <f t="shared" si="8"/>
        <v>Área conforme projeto geométrico</v>
      </c>
      <c r="D112" s="19">
        <f t="shared" si="8"/>
        <v>1006.92</v>
      </c>
      <c r="E112" s="21"/>
      <c r="F112" s="20"/>
      <c r="G112" s="19"/>
      <c r="H112" s="19">
        <v>1</v>
      </c>
      <c r="I112" s="19">
        <f t="shared" si="9"/>
        <v>1006.92</v>
      </c>
      <c r="J112" s="674"/>
      <c r="M112" s="23">
        <f>I114-D107+D75</f>
        <v>8696.4</v>
      </c>
    </row>
    <row r="113" spans="1:10">
      <c r="A113" s="672" t="str">
        <f t="shared" si="7"/>
        <v>Rua Trinta e um</v>
      </c>
      <c r="B113" s="673"/>
      <c r="C113" s="18" t="str">
        <f t="shared" si="8"/>
        <v>Área conforme projeto geométrico</v>
      </c>
      <c r="D113" s="19">
        <f t="shared" si="8"/>
        <v>1262.24</v>
      </c>
      <c r="E113" s="21"/>
      <c r="F113" s="20"/>
      <c r="G113" s="19"/>
      <c r="H113" s="19">
        <v>1</v>
      </c>
      <c r="I113" s="19">
        <f>ROUND(PRODUCT(D113:G113)*H113,2)</f>
        <v>1262.24</v>
      </c>
      <c r="J113" s="674"/>
    </row>
    <row r="114" spans="1:10">
      <c r="A114" s="675" t="s">
        <v>0</v>
      </c>
      <c r="B114" s="676"/>
      <c r="C114" s="676"/>
      <c r="D114" s="676"/>
      <c r="E114" s="676"/>
      <c r="F114" s="676"/>
      <c r="G114" s="676"/>
      <c r="H114" s="676"/>
      <c r="I114" s="13">
        <f>SUM(I107:I113)</f>
        <v>8467.84</v>
      </c>
      <c r="J114" s="674"/>
    </row>
    <row r="115" spans="1:10">
      <c r="A115" s="657"/>
      <c r="B115" s="658"/>
      <c r="C115" s="658"/>
      <c r="D115" s="658"/>
      <c r="E115" s="658"/>
      <c r="F115" s="658"/>
      <c r="G115" s="658"/>
      <c r="H115" s="658"/>
      <c r="I115" s="658"/>
      <c r="J115" s="659"/>
    </row>
    <row r="116" spans="1:10">
      <c r="A116" s="32" t="s">
        <v>5</v>
      </c>
      <c r="B116" s="14"/>
      <c r="C116" s="668" t="s">
        <v>55</v>
      </c>
      <c r="D116" s="668"/>
      <c r="E116" s="668"/>
      <c r="F116" s="668"/>
      <c r="G116" s="668"/>
      <c r="H116" s="668"/>
      <c r="I116" s="668"/>
      <c r="J116" s="669"/>
    </row>
    <row r="117" spans="1:10">
      <c r="A117" s="33" t="s">
        <v>6</v>
      </c>
      <c r="B117" s="15"/>
      <c r="C117" s="668"/>
      <c r="D117" s="668"/>
      <c r="E117" s="668"/>
      <c r="F117" s="668"/>
      <c r="G117" s="668"/>
      <c r="H117" s="668"/>
      <c r="I117" s="668"/>
      <c r="J117" s="669"/>
    </row>
    <row r="118" spans="1:10" ht="24">
      <c r="A118" s="670" t="s">
        <v>40</v>
      </c>
      <c r="B118" s="671"/>
      <c r="C118" s="12" t="s">
        <v>41</v>
      </c>
      <c r="D118" s="17" t="s">
        <v>74</v>
      </c>
      <c r="E118" s="12" t="s">
        <v>53</v>
      </c>
      <c r="F118" s="17" t="s">
        <v>34</v>
      </c>
      <c r="G118" s="17"/>
      <c r="H118" s="17" t="s">
        <v>7</v>
      </c>
      <c r="I118" s="16" t="s">
        <v>36</v>
      </c>
      <c r="J118" s="34" t="s">
        <v>26</v>
      </c>
    </row>
    <row r="119" spans="1:10">
      <c r="A119" s="672" t="str">
        <f t="shared" ref="A119:A125" si="10">A107</f>
        <v>Estrada do Cocal</v>
      </c>
      <c r="B119" s="673"/>
      <c r="C119" s="18" t="str">
        <f t="shared" ref="C119:D125" si="11">C107</f>
        <v>Área conforme projeto geométrico</v>
      </c>
      <c r="D119" s="19">
        <f t="shared" si="11"/>
        <v>1523.74</v>
      </c>
      <c r="E119" s="21">
        <v>5.0000000000000001E-4</v>
      </c>
      <c r="F119" s="20">
        <v>20</v>
      </c>
      <c r="G119" s="20"/>
      <c r="H119" s="19">
        <v>1</v>
      </c>
      <c r="I119" s="19">
        <f t="shared" ref="I119:I124" si="12">ROUND(PRODUCT(D119:G119)*H119,2)</f>
        <v>15.24</v>
      </c>
      <c r="J119" s="674"/>
    </row>
    <row r="120" spans="1:10">
      <c r="A120" s="672" t="str">
        <f t="shared" si="10"/>
        <v>Rua Miguel Braga</v>
      </c>
      <c r="B120" s="673"/>
      <c r="C120" s="18" t="str">
        <f t="shared" si="11"/>
        <v>Área conforme projeto geométrico</v>
      </c>
      <c r="D120" s="19">
        <f t="shared" si="11"/>
        <v>864.42</v>
      </c>
      <c r="E120" s="21">
        <v>5.0000000000000001E-4</v>
      </c>
      <c r="F120" s="20">
        <v>20</v>
      </c>
      <c r="G120" s="19"/>
      <c r="H120" s="19">
        <v>1</v>
      </c>
      <c r="I120" s="19">
        <f t="shared" si="12"/>
        <v>8.64</v>
      </c>
      <c r="J120" s="674"/>
    </row>
    <row r="121" spans="1:10">
      <c r="A121" s="672" t="str">
        <f t="shared" si="10"/>
        <v>Rua Cosme Damião</v>
      </c>
      <c r="B121" s="673"/>
      <c r="C121" s="18" t="str">
        <f t="shared" si="11"/>
        <v>Área conforme projeto geométrico</v>
      </c>
      <c r="D121" s="19">
        <f t="shared" si="11"/>
        <v>509.01</v>
      </c>
      <c r="E121" s="21">
        <v>5.0000000000000001E-4</v>
      </c>
      <c r="F121" s="20">
        <v>20</v>
      </c>
      <c r="G121" s="19"/>
      <c r="H121" s="19">
        <v>1</v>
      </c>
      <c r="I121" s="19">
        <f t="shared" si="12"/>
        <v>5.09</v>
      </c>
      <c r="J121" s="674"/>
    </row>
    <row r="122" spans="1:10">
      <c r="A122" s="672" t="str">
        <f t="shared" si="10"/>
        <v>Rua Francelino Ribeiro</v>
      </c>
      <c r="B122" s="673"/>
      <c r="C122" s="18" t="str">
        <f t="shared" si="11"/>
        <v>Área conforme projeto geométrico</v>
      </c>
      <c r="D122" s="19">
        <f t="shared" si="11"/>
        <v>2435.13</v>
      </c>
      <c r="E122" s="21">
        <v>5.0000000000000001E-4</v>
      </c>
      <c r="F122" s="20">
        <v>20</v>
      </c>
      <c r="G122" s="19"/>
      <c r="H122" s="19">
        <v>1</v>
      </c>
      <c r="I122" s="19">
        <f t="shared" si="12"/>
        <v>24.35</v>
      </c>
      <c r="J122" s="674"/>
    </row>
    <row r="123" spans="1:10">
      <c r="A123" s="672" t="str">
        <f t="shared" si="10"/>
        <v>Rua Itatiaia</v>
      </c>
      <c r="B123" s="673"/>
      <c r="C123" s="18" t="str">
        <f t="shared" si="11"/>
        <v>Área conforme projeto geométrico</v>
      </c>
      <c r="D123" s="19">
        <f t="shared" si="11"/>
        <v>866.38</v>
      </c>
      <c r="E123" s="21">
        <v>5.0000000000000001E-4</v>
      </c>
      <c r="F123" s="20">
        <v>20</v>
      </c>
      <c r="G123" s="19"/>
      <c r="H123" s="19">
        <v>1</v>
      </c>
      <c r="I123" s="19">
        <f t="shared" si="12"/>
        <v>8.66</v>
      </c>
      <c r="J123" s="674"/>
    </row>
    <row r="124" spans="1:10">
      <c r="A124" s="672" t="str">
        <f t="shared" si="10"/>
        <v>Rua Doná Guiomar</v>
      </c>
      <c r="B124" s="673"/>
      <c r="C124" s="18" t="str">
        <f t="shared" si="11"/>
        <v>Área conforme projeto geométrico</v>
      </c>
      <c r="D124" s="19">
        <f t="shared" si="11"/>
        <v>1006.92</v>
      </c>
      <c r="E124" s="21">
        <v>5.0000000000000001E-4</v>
      </c>
      <c r="F124" s="20">
        <v>20</v>
      </c>
      <c r="G124" s="19"/>
      <c r="H124" s="19">
        <v>1</v>
      </c>
      <c r="I124" s="19">
        <f t="shared" si="12"/>
        <v>10.07</v>
      </c>
      <c r="J124" s="674"/>
    </row>
    <row r="125" spans="1:10">
      <c r="A125" s="672" t="str">
        <f t="shared" si="10"/>
        <v>Rua Trinta e um</v>
      </c>
      <c r="B125" s="673"/>
      <c r="C125" s="18" t="str">
        <f t="shared" si="11"/>
        <v>Área conforme projeto geométrico</v>
      </c>
      <c r="D125" s="19">
        <f t="shared" si="11"/>
        <v>1262.24</v>
      </c>
      <c r="E125" s="21">
        <v>5.0000000000000001E-4</v>
      </c>
      <c r="F125" s="20">
        <v>20</v>
      </c>
      <c r="G125" s="19"/>
      <c r="H125" s="19">
        <v>1</v>
      </c>
      <c r="I125" s="19">
        <f>ROUND(PRODUCT(D125:G125)*H125,2)</f>
        <v>12.62</v>
      </c>
      <c r="J125" s="674"/>
    </row>
    <row r="126" spans="1:10">
      <c r="A126" s="675" t="s">
        <v>0</v>
      </c>
      <c r="B126" s="676"/>
      <c r="C126" s="676"/>
      <c r="D126" s="676"/>
      <c r="E126" s="676"/>
      <c r="F126" s="676"/>
      <c r="G126" s="676"/>
      <c r="H126" s="676"/>
      <c r="I126" s="13">
        <f>SUM(I119:I125)</f>
        <v>84.670000000000016</v>
      </c>
      <c r="J126" s="674"/>
    </row>
    <row r="127" spans="1:10">
      <c r="A127" s="657"/>
      <c r="B127" s="658"/>
      <c r="C127" s="658"/>
      <c r="D127" s="658"/>
      <c r="E127" s="658"/>
      <c r="F127" s="658"/>
      <c r="G127" s="658"/>
      <c r="H127" s="658"/>
      <c r="I127" s="658"/>
      <c r="J127" s="659"/>
    </row>
    <row r="128" spans="1:10">
      <c r="A128" s="32" t="s">
        <v>5</v>
      </c>
      <c r="B128" s="14"/>
      <c r="C128" s="668" t="s">
        <v>56</v>
      </c>
      <c r="D128" s="668"/>
      <c r="E128" s="668"/>
      <c r="F128" s="668"/>
      <c r="G128" s="668"/>
      <c r="H128" s="668"/>
      <c r="I128" s="668"/>
      <c r="J128" s="669"/>
    </row>
    <row r="129" spans="1:10">
      <c r="A129" s="33" t="s">
        <v>6</v>
      </c>
      <c r="B129" s="15"/>
      <c r="C129" s="668"/>
      <c r="D129" s="668"/>
      <c r="E129" s="668"/>
      <c r="F129" s="668"/>
      <c r="G129" s="668"/>
      <c r="H129" s="668"/>
      <c r="I129" s="668"/>
      <c r="J129" s="669"/>
    </row>
    <row r="130" spans="1:10" ht="24">
      <c r="A130" s="670" t="s">
        <v>40</v>
      </c>
      <c r="B130" s="671"/>
      <c r="C130" s="12" t="s">
        <v>41</v>
      </c>
      <c r="D130" s="17" t="s">
        <v>74</v>
      </c>
      <c r="E130" s="12" t="s">
        <v>31</v>
      </c>
      <c r="F130" s="12"/>
      <c r="G130" s="12"/>
      <c r="H130" s="17" t="s">
        <v>7</v>
      </c>
      <c r="I130" s="16" t="s">
        <v>32</v>
      </c>
      <c r="J130" s="34" t="s">
        <v>26</v>
      </c>
    </row>
    <row r="131" spans="1:10">
      <c r="A131" s="672" t="str">
        <f t="shared" ref="A131:A137" si="13">A119</f>
        <v>Estrada do Cocal</v>
      </c>
      <c r="B131" s="673"/>
      <c r="C131" s="18" t="str">
        <f t="shared" ref="C131:D137" si="14">C119</f>
        <v>Área conforme projeto geométrico</v>
      </c>
      <c r="D131" s="19">
        <f t="shared" si="14"/>
        <v>1523.74</v>
      </c>
      <c r="E131" s="19">
        <v>0.03</v>
      </c>
      <c r="F131" s="19"/>
      <c r="G131" s="19"/>
      <c r="H131" s="19">
        <v>1</v>
      </c>
      <c r="I131" s="19">
        <f t="shared" ref="I131:I136" si="15">ROUND(PRODUCT(D131:G131)*H131,2)</f>
        <v>45.71</v>
      </c>
      <c r="J131" s="674"/>
    </row>
    <row r="132" spans="1:10">
      <c r="A132" s="672" t="str">
        <f t="shared" si="13"/>
        <v>Rua Miguel Braga</v>
      </c>
      <c r="B132" s="673"/>
      <c r="C132" s="18" t="str">
        <f t="shared" si="14"/>
        <v>Área conforme projeto geométrico</v>
      </c>
      <c r="D132" s="19">
        <f t="shared" si="14"/>
        <v>864.42</v>
      </c>
      <c r="E132" s="19">
        <v>0.03</v>
      </c>
      <c r="F132" s="20"/>
      <c r="G132" s="19"/>
      <c r="H132" s="19">
        <v>1</v>
      </c>
      <c r="I132" s="19">
        <f t="shared" si="15"/>
        <v>25.93</v>
      </c>
      <c r="J132" s="674"/>
    </row>
    <row r="133" spans="1:10">
      <c r="A133" s="672" t="str">
        <f t="shared" si="13"/>
        <v>Rua Cosme Damião</v>
      </c>
      <c r="B133" s="673"/>
      <c r="C133" s="18" t="str">
        <f t="shared" si="14"/>
        <v>Área conforme projeto geométrico</v>
      </c>
      <c r="D133" s="19">
        <f t="shared" si="14"/>
        <v>509.01</v>
      </c>
      <c r="E133" s="19">
        <v>0.03</v>
      </c>
      <c r="F133" s="20"/>
      <c r="G133" s="19"/>
      <c r="H133" s="19">
        <v>1</v>
      </c>
      <c r="I133" s="19">
        <f t="shared" si="15"/>
        <v>15.27</v>
      </c>
      <c r="J133" s="674"/>
    </row>
    <row r="134" spans="1:10">
      <c r="A134" s="672" t="str">
        <f t="shared" si="13"/>
        <v>Rua Francelino Ribeiro</v>
      </c>
      <c r="B134" s="673"/>
      <c r="C134" s="18" t="str">
        <f t="shared" si="14"/>
        <v>Área conforme projeto geométrico</v>
      </c>
      <c r="D134" s="19">
        <f t="shared" si="14"/>
        <v>2435.13</v>
      </c>
      <c r="E134" s="19">
        <v>0.03</v>
      </c>
      <c r="F134" s="20"/>
      <c r="G134" s="19"/>
      <c r="H134" s="19">
        <v>1</v>
      </c>
      <c r="I134" s="19">
        <f t="shared" si="15"/>
        <v>73.05</v>
      </c>
      <c r="J134" s="674"/>
    </row>
    <row r="135" spans="1:10">
      <c r="A135" s="672" t="str">
        <f t="shared" si="13"/>
        <v>Rua Itatiaia</v>
      </c>
      <c r="B135" s="673"/>
      <c r="C135" s="18" t="str">
        <f t="shared" si="14"/>
        <v>Área conforme projeto geométrico</v>
      </c>
      <c r="D135" s="19">
        <f t="shared" si="14"/>
        <v>866.38</v>
      </c>
      <c r="E135" s="19">
        <v>0.03</v>
      </c>
      <c r="F135" s="20"/>
      <c r="G135" s="19"/>
      <c r="H135" s="19">
        <v>1</v>
      </c>
      <c r="I135" s="19">
        <f t="shared" si="15"/>
        <v>25.99</v>
      </c>
      <c r="J135" s="674"/>
    </row>
    <row r="136" spans="1:10">
      <c r="A136" s="672" t="str">
        <f t="shared" si="13"/>
        <v>Rua Doná Guiomar</v>
      </c>
      <c r="B136" s="673"/>
      <c r="C136" s="18" t="str">
        <f t="shared" si="14"/>
        <v>Área conforme projeto geométrico</v>
      </c>
      <c r="D136" s="19">
        <f t="shared" si="14"/>
        <v>1006.92</v>
      </c>
      <c r="E136" s="19">
        <v>0.03</v>
      </c>
      <c r="F136" s="20"/>
      <c r="G136" s="19"/>
      <c r="H136" s="19">
        <v>1</v>
      </c>
      <c r="I136" s="19">
        <f t="shared" si="15"/>
        <v>30.21</v>
      </c>
      <c r="J136" s="674"/>
    </row>
    <row r="137" spans="1:10">
      <c r="A137" s="672" t="str">
        <f t="shared" si="13"/>
        <v>Rua Trinta e um</v>
      </c>
      <c r="B137" s="673"/>
      <c r="C137" s="18" t="str">
        <f t="shared" si="14"/>
        <v>Área conforme projeto geométrico</v>
      </c>
      <c r="D137" s="19">
        <f t="shared" si="14"/>
        <v>1262.24</v>
      </c>
      <c r="E137" s="19">
        <v>0.03</v>
      </c>
      <c r="F137" s="20"/>
      <c r="G137" s="19"/>
      <c r="H137" s="19">
        <v>1</v>
      </c>
      <c r="I137" s="19">
        <f>ROUND(PRODUCT(D137:G137)*H137,2)</f>
        <v>37.869999999999997</v>
      </c>
      <c r="J137" s="674"/>
    </row>
    <row r="138" spans="1:10">
      <c r="A138" s="675" t="s">
        <v>0</v>
      </c>
      <c r="B138" s="676"/>
      <c r="C138" s="676"/>
      <c r="D138" s="676"/>
      <c r="E138" s="676"/>
      <c r="F138" s="676"/>
      <c r="G138" s="676"/>
      <c r="H138" s="676"/>
      <c r="I138" s="13">
        <f>SUM(I131:I137)</f>
        <v>254.03</v>
      </c>
      <c r="J138" s="674"/>
    </row>
    <row r="139" spans="1:10">
      <c r="A139" s="657"/>
      <c r="B139" s="658"/>
      <c r="C139" s="658"/>
      <c r="D139" s="658"/>
      <c r="E139" s="658"/>
      <c r="F139" s="658"/>
      <c r="G139" s="658"/>
      <c r="H139" s="658"/>
      <c r="I139" s="658"/>
      <c r="J139" s="659"/>
    </row>
    <row r="140" spans="1:10">
      <c r="A140" s="32" t="s">
        <v>5</v>
      </c>
      <c r="B140" s="14"/>
      <c r="C140" s="668" t="s">
        <v>57</v>
      </c>
      <c r="D140" s="668"/>
      <c r="E140" s="668"/>
      <c r="F140" s="668"/>
      <c r="G140" s="668"/>
      <c r="H140" s="668"/>
      <c r="I140" s="668"/>
      <c r="J140" s="669"/>
    </row>
    <row r="141" spans="1:10">
      <c r="A141" s="33" t="s">
        <v>6</v>
      </c>
      <c r="B141" s="15"/>
      <c r="C141" s="668"/>
      <c r="D141" s="668"/>
      <c r="E141" s="668"/>
      <c r="F141" s="668"/>
      <c r="G141" s="668"/>
      <c r="H141" s="668"/>
      <c r="I141" s="668"/>
      <c r="J141" s="669"/>
    </row>
    <row r="142" spans="1:10" ht="24">
      <c r="A142" s="670" t="s">
        <v>40</v>
      </c>
      <c r="B142" s="671"/>
      <c r="C142" s="12" t="s">
        <v>41</v>
      </c>
      <c r="D142" s="17" t="s">
        <v>52</v>
      </c>
      <c r="E142" s="17" t="s">
        <v>34</v>
      </c>
      <c r="F142" s="12"/>
      <c r="G142" s="12"/>
      <c r="H142" s="17" t="s">
        <v>7</v>
      </c>
      <c r="I142" s="16" t="s">
        <v>37</v>
      </c>
      <c r="J142" s="34" t="s">
        <v>26</v>
      </c>
    </row>
    <row r="143" spans="1:10">
      <c r="A143" s="677" t="str">
        <f t="shared" ref="A143:A149" si="16">A131</f>
        <v>Estrada do Cocal</v>
      </c>
      <c r="B143" s="678"/>
      <c r="C143" s="18" t="str">
        <f t="shared" ref="C143:C149" si="17">C131</f>
        <v>Área conforme projeto geométrico</v>
      </c>
      <c r="D143" s="19">
        <f t="shared" ref="D143:D149" si="18">I131</f>
        <v>45.71</v>
      </c>
      <c r="E143" s="20">
        <v>20</v>
      </c>
      <c r="F143" s="19"/>
      <c r="G143" s="19"/>
      <c r="H143" s="19">
        <v>1</v>
      </c>
      <c r="I143" s="19">
        <f t="shared" ref="I143:I148" si="19">ROUND(PRODUCT(D143:G143)*H143,2)</f>
        <v>914.2</v>
      </c>
      <c r="J143" s="674"/>
    </row>
    <row r="144" spans="1:10">
      <c r="A144" s="672" t="str">
        <f t="shared" si="16"/>
        <v>Rua Miguel Braga</v>
      </c>
      <c r="B144" s="673"/>
      <c r="C144" s="18" t="str">
        <f t="shared" si="17"/>
        <v>Área conforme projeto geométrico</v>
      </c>
      <c r="D144" s="19">
        <f t="shared" si="18"/>
        <v>25.93</v>
      </c>
      <c r="E144" s="20">
        <v>20</v>
      </c>
      <c r="F144" s="20"/>
      <c r="G144" s="19"/>
      <c r="H144" s="19">
        <v>1</v>
      </c>
      <c r="I144" s="19">
        <f t="shared" si="19"/>
        <v>518.6</v>
      </c>
      <c r="J144" s="674"/>
    </row>
    <row r="145" spans="1:10">
      <c r="A145" s="672" t="str">
        <f t="shared" si="16"/>
        <v>Rua Cosme Damião</v>
      </c>
      <c r="B145" s="673"/>
      <c r="C145" s="18" t="str">
        <f t="shared" si="17"/>
        <v>Área conforme projeto geométrico</v>
      </c>
      <c r="D145" s="19">
        <f t="shared" si="18"/>
        <v>15.27</v>
      </c>
      <c r="E145" s="20">
        <v>20</v>
      </c>
      <c r="F145" s="20"/>
      <c r="G145" s="19"/>
      <c r="H145" s="19">
        <v>1</v>
      </c>
      <c r="I145" s="19">
        <f t="shared" si="19"/>
        <v>305.39999999999998</v>
      </c>
      <c r="J145" s="674"/>
    </row>
    <row r="146" spans="1:10">
      <c r="A146" s="672" t="str">
        <f t="shared" si="16"/>
        <v>Rua Francelino Ribeiro</v>
      </c>
      <c r="B146" s="673"/>
      <c r="C146" s="18" t="str">
        <f t="shared" si="17"/>
        <v>Área conforme projeto geométrico</v>
      </c>
      <c r="D146" s="19">
        <f t="shared" si="18"/>
        <v>73.05</v>
      </c>
      <c r="E146" s="20">
        <v>20</v>
      </c>
      <c r="F146" s="20"/>
      <c r="G146" s="19"/>
      <c r="H146" s="19">
        <v>1</v>
      </c>
      <c r="I146" s="19">
        <f t="shared" si="19"/>
        <v>1461</v>
      </c>
      <c r="J146" s="674"/>
    </row>
    <row r="147" spans="1:10">
      <c r="A147" s="672" t="str">
        <f t="shared" si="16"/>
        <v>Rua Itatiaia</v>
      </c>
      <c r="B147" s="673"/>
      <c r="C147" s="18" t="str">
        <f t="shared" si="17"/>
        <v>Área conforme projeto geométrico</v>
      </c>
      <c r="D147" s="19">
        <f t="shared" si="18"/>
        <v>25.99</v>
      </c>
      <c r="E147" s="20">
        <v>20</v>
      </c>
      <c r="F147" s="20"/>
      <c r="G147" s="19"/>
      <c r="H147" s="19">
        <v>1</v>
      </c>
      <c r="I147" s="19">
        <f t="shared" si="19"/>
        <v>519.79999999999995</v>
      </c>
      <c r="J147" s="674"/>
    </row>
    <row r="148" spans="1:10">
      <c r="A148" s="672" t="str">
        <f t="shared" si="16"/>
        <v>Rua Doná Guiomar</v>
      </c>
      <c r="B148" s="673"/>
      <c r="C148" s="18" t="str">
        <f t="shared" si="17"/>
        <v>Área conforme projeto geométrico</v>
      </c>
      <c r="D148" s="19">
        <f t="shared" si="18"/>
        <v>30.21</v>
      </c>
      <c r="E148" s="20">
        <v>20</v>
      </c>
      <c r="F148" s="20"/>
      <c r="G148" s="19"/>
      <c r="H148" s="19">
        <v>1</v>
      </c>
      <c r="I148" s="19">
        <f t="shared" si="19"/>
        <v>604.20000000000005</v>
      </c>
      <c r="J148" s="674"/>
    </row>
    <row r="149" spans="1:10">
      <c r="A149" s="672" t="str">
        <f t="shared" si="16"/>
        <v>Rua Trinta e um</v>
      </c>
      <c r="B149" s="673"/>
      <c r="C149" s="18" t="str">
        <f t="shared" si="17"/>
        <v>Área conforme projeto geométrico</v>
      </c>
      <c r="D149" s="19">
        <f t="shared" si="18"/>
        <v>37.869999999999997</v>
      </c>
      <c r="E149" s="20">
        <v>20</v>
      </c>
      <c r="F149" s="20"/>
      <c r="G149" s="19"/>
      <c r="H149" s="19">
        <v>1</v>
      </c>
      <c r="I149" s="19">
        <f>ROUND(PRODUCT(D149:G149)*H149,2)</f>
        <v>757.4</v>
      </c>
      <c r="J149" s="674"/>
    </row>
    <row r="150" spans="1:10">
      <c r="A150" s="675" t="s">
        <v>0</v>
      </c>
      <c r="B150" s="676"/>
      <c r="C150" s="676"/>
      <c r="D150" s="676"/>
      <c r="E150" s="676"/>
      <c r="F150" s="676"/>
      <c r="G150" s="676"/>
      <c r="H150" s="676"/>
      <c r="I150" s="13">
        <f>SUM(I143:I149)</f>
        <v>5080.5999999999995</v>
      </c>
      <c r="J150" s="674"/>
    </row>
    <row r="151" spans="1:10">
      <c r="A151" s="657"/>
      <c r="B151" s="658"/>
      <c r="C151" s="658"/>
      <c r="D151" s="658"/>
      <c r="E151" s="658"/>
      <c r="F151" s="658"/>
      <c r="G151" s="658"/>
      <c r="H151" s="658"/>
      <c r="I151" s="658"/>
      <c r="J151" s="659"/>
    </row>
    <row r="152" spans="1:10">
      <c r="A152" s="32" t="s">
        <v>5</v>
      </c>
      <c r="B152" s="14"/>
      <c r="C152" s="668" t="s">
        <v>59</v>
      </c>
      <c r="D152" s="668"/>
      <c r="E152" s="668"/>
      <c r="F152" s="668"/>
      <c r="G152" s="668"/>
      <c r="H152" s="668"/>
      <c r="I152" s="668"/>
      <c r="J152" s="669"/>
    </row>
    <row r="153" spans="1:10">
      <c r="A153" s="33" t="s">
        <v>6</v>
      </c>
      <c r="B153" s="15"/>
      <c r="C153" s="668"/>
      <c r="D153" s="668"/>
      <c r="E153" s="668"/>
      <c r="F153" s="668"/>
      <c r="G153" s="668"/>
      <c r="H153" s="668"/>
      <c r="I153" s="668"/>
      <c r="J153" s="669"/>
    </row>
    <row r="154" spans="1:10" ht="24">
      <c r="A154" s="670" t="s">
        <v>40</v>
      </c>
      <c r="B154" s="671"/>
      <c r="C154" s="12" t="s">
        <v>41</v>
      </c>
      <c r="D154" s="17" t="s">
        <v>52</v>
      </c>
      <c r="E154" s="17" t="s">
        <v>34</v>
      </c>
      <c r="F154" s="12" t="s">
        <v>62</v>
      </c>
      <c r="G154" s="12"/>
      <c r="H154" s="17" t="s">
        <v>7</v>
      </c>
      <c r="I154" s="16" t="s">
        <v>36</v>
      </c>
      <c r="J154" s="34" t="s">
        <v>26</v>
      </c>
    </row>
    <row r="155" spans="1:10">
      <c r="A155" s="672" t="s">
        <v>75</v>
      </c>
      <c r="B155" s="673"/>
      <c r="C155" s="18"/>
      <c r="D155" s="19">
        <f>SUM(D143:D149)</f>
        <v>254.03</v>
      </c>
      <c r="E155" s="20">
        <v>20</v>
      </c>
      <c r="F155" s="22">
        <v>0.39200000000000002</v>
      </c>
      <c r="G155" s="19"/>
      <c r="H155" s="19">
        <v>1</v>
      </c>
      <c r="I155" s="19">
        <f>ROUND(PRODUCT(D155:G155)*H155,2)</f>
        <v>1991.6</v>
      </c>
      <c r="J155" s="674"/>
    </row>
    <row r="156" spans="1:10">
      <c r="A156" s="675" t="s">
        <v>0</v>
      </c>
      <c r="B156" s="676"/>
      <c r="C156" s="676"/>
      <c r="D156" s="676"/>
      <c r="E156" s="676"/>
      <c r="F156" s="676"/>
      <c r="G156" s="676"/>
      <c r="H156" s="676"/>
      <c r="I156" s="13">
        <f>SUM(I155:I155)</f>
        <v>1991.6</v>
      </c>
      <c r="J156" s="674"/>
    </row>
    <row r="157" spans="1:10">
      <c r="A157" s="657"/>
      <c r="B157" s="658"/>
      <c r="C157" s="658"/>
      <c r="D157" s="658"/>
      <c r="E157" s="658"/>
      <c r="F157" s="658"/>
      <c r="G157" s="658"/>
      <c r="H157" s="658"/>
      <c r="I157" s="658"/>
      <c r="J157" s="659"/>
    </row>
    <row r="158" spans="1:10">
      <c r="A158" s="32" t="s">
        <v>5</v>
      </c>
      <c r="B158" s="14"/>
      <c r="C158" s="668" t="s">
        <v>60</v>
      </c>
      <c r="D158" s="668"/>
      <c r="E158" s="668"/>
      <c r="F158" s="668"/>
      <c r="G158" s="668"/>
      <c r="H158" s="668"/>
      <c r="I158" s="668"/>
      <c r="J158" s="669"/>
    </row>
    <row r="159" spans="1:10">
      <c r="A159" s="33" t="s">
        <v>6</v>
      </c>
      <c r="B159" s="15"/>
      <c r="C159" s="668"/>
      <c r="D159" s="668"/>
      <c r="E159" s="668"/>
      <c r="F159" s="668"/>
      <c r="G159" s="668"/>
      <c r="H159" s="668"/>
      <c r="I159" s="668"/>
      <c r="J159" s="669"/>
    </row>
    <row r="160" spans="1:10" ht="24">
      <c r="A160" s="670" t="s">
        <v>40</v>
      </c>
      <c r="B160" s="671"/>
      <c r="C160" s="12" t="s">
        <v>41</v>
      </c>
      <c r="D160" s="17" t="s">
        <v>52</v>
      </c>
      <c r="E160" s="17" t="s">
        <v>34</v>
      </c>
      <c r="F160" s="12" t="s">
        <v>62</v>
      </c>
      <c r="G160" s="12"/>
      <c r="H160" s="17" t="s">
        <v>7</v>
      </c>
      <c r="I160" s="16" t="s">
        <v>36</v>
      </c>
      <c r="J160" s="34" t="s">
        <v>26</v>
      </c>
    </row>
    <row r="161" spans="1:10">
      <c r="A161" s="672" t="s">
        <v>75</v>
      </c>
      <c r="B161" s="673"/>
      <c r="C161" s="18"/>
      <c r="D161" s="19">
        <f>D155</f>
        <v>254.03</v>
      </c>
      <c r="E161" s="20">
        <v>20</v>
      </c>
      <c r="F161" s="22">
        <v>0.59</v>
      </c>
      <c r="G161" s="19"/>
      <c r="H161" s="19">
        <v>1</v>
      </c>
      <c r="I161" s="19">
        <f>ROUND(PRODUCT(D161:G161)*H161,2)</f>
        <v>2997.55</v>
      </c>
      <c r="J161" s="674"/>
    </row>
    <row r="162" spans="1:10">
      <c r="A162" s="675" t="s">
        <v>0</v>
      </c>
      <c r="B162" s="676"/>
      <c r="C162" s="676"/>
      <c r="D162" s="676"/>
      <c r="E162" s="676"/>
      <c r="F162" s="676"/>
      <c r="G162" s="676"/>
      <c r="H162" s="676"/>
      <c r="I162" s="13">
        <f>SUM(I161:I161)</f>
        <v>2997.55</v>
      </c>
      <c r="J162" s="674"/>
    </row>
    <row r="163" spans="1:10">
      <c r="A163" s="657"/>
      <c r="B163" s="658"/>
      <c r="C163" s="658"/>
      <c r="D163" s="658"/>
      <c r="E163" s="658"/>
      <c r="F163" s="658"/>
      <c r="G163" s="658"/>
      <c r="H163" s="658"/>
      <c r="I163" s="658"/>
      <c r="J163" s="659"/>
    </row>
    <row r="164" spans="1:10">
      <c r="A164" s="32" t="s">
        <v>5</v>
      </c>
      <c r="B164" s="14"/>
      <c r="C164" s="668" t="s">
        <v>61</v>
      </c>
      <c r="D164" s="668"/>
      <c r="E164" s="668"/>
      <c r="F164" s="668"/>
      <c r="G164" s="668"/>
      <c r="H164" s="668"/>
      <c r="I164" s="668"/>
      <c r="J164" s="669"/>
    </row>
    <row r="165" spans="1:10">
      <c r="A165" s="33" t="s">
        <v>6</v>
      </c>
      <c r="B165" s="15"/>
      <c r="C165" s="668"/>
      <c r="D165" s="668"/>
      <c r="E165" s="668"/>
      <c r="F165" s="668"/>
      <c r="G165" s="668"/>
      <c r="H165" s="668"/>
      <c r="I165" s="668"/>
      <c r="J165" s="669"/>
    </row>
    <row r="166" spans="1:10" ht="24">
      <c r="A166" s="670" t="s">
        <v>40</v>
      </c>
      <c r="B166" s="671"/>
      <c r="C166" s="12" t="s">
        <v>41</v>
      </c>
      <c r="D166" s="17" t="s">
        <v>52</v>
      </c>
      <c r="E166" s="17" t="s">
        <v>34</v>
      </c>
      <c r="F166" s="12" t="s">
        <v>62</v>
      </c>
      <c r="G166" s="12"/>
      <c r="H166" s="17" t="s">
        <v>7</v>
      </c>
      <c r="I166" s="16" t="s">
        <v>36</v>
      </c>
      <c r="J166" s="34" t="s">
        <v>26</v>
      </c>
    </row>
    <row r="167" spans="1:10">
      <c r="A167" s="672" t="s">
        <v>75</v>
      </c>
      <c r="B167" s="673"/>
      <c r="C167" s="18"/>
      <c r="D167" s="19">
        <f>D161</f>
        <v>254.03</v>
      </c>
      <c r="E167" s="20">
        <v>20</v>
      </c>
      <c r="F167" s="22">
        <v>0.46400000000000002</v>
      </c>
      <c r="G167" s="19"/>
      <c r="H167" s="19">
        <v>1</v>
      </c>
      <c r="I167" s="19">
        <f>ROUND(PRODUCT(D167:G167)*H167,2)</f>
        <v>2357.4</v>
      </c>
      <c r="J167" s="674"/>
    </row>
    <row r="168" spans="1:10">
      <c r="A168" s="675" t="s">
        <v>0</v>
      </c>
      <c r="B168" s="676"/>
      <c r="C168" s="676"/>
      <c r="D168" s="676"/>
      <c r="E168" s="676"/>
      <c r="F168" s="676"/>
      <c r="G168" s="676"/>
      <c r="H168" s="676"/>
      <c r="I168" s="13">
        <f>SUM(I167:I167)</f>
        <v>2357.4</v>
      </c>
      <c r="J168" s="674"/>
    </row>
    <row r="169" spans="1:10">
      <c r="A169" s="657"/>
      <c r="B169" s="658"/>
      <c r="C169" s="658"/>
      <c r="D169" s="658"/>
      <c r="E169" s="658"/>
      <c r="F169" s="658"/>
      <c r="G169" s="658"/>
      <c r="H169" s="658"/>
      <c r="I169" s="658"/>
      <c r="J169" s="659"/>
    </row>
    <row r="170" spans="1:10">
      <c r="A170" s="35" t="s">
        <v>39</v>
      </c>
      <c r="B170" s="663" t="s">
        <v>10</v>
      </c>
      <c r="C170" s="663"/>
      <c r="D170" s="663"/>
      <c r="E170" s="663"/>
      <c r="F170" s="663"/>
      <c r="G170" s="663"/>
      <c r="H170" s="663"/>
      <c r="I170" s="663"/>
      <c r="J170" s="664"/>
    </row>
    <row r="171" spans="1:10">
      <c r="A171" s="665" t="s">
        <v>38</v>
      </c>
      <c r="B171" s="666"/>
      <c r="C171" s="666"/>
      <c r="D171" s="666"/>
      <c r="E171" s="666"/>
      <c r="F171" s="666"/>
      <c r="G171" s="666"/>
      <c r="H171" s="666"/>
      <c r="I171" s="666"/>
      <c r="J171" s="667"/>
    </row>
    <row r="172" spans="1:10">
      <c r="A172" s="32" t="s">
        <v>5</v>
      </c>
      <c r="B172" s="14"/>
      <c r="C172" s="668" t="s">
        <v>13</v>
      </c>
      <c r="D172" s="668"/>
      <c r="E172" s="668"/>
      <c r="F172" s="668"/>
      <c r="G172" s="668"/>
      <c r="H172" s="668"/>
      <c r="I172" s="668"/>
      <c r="J172" s="669"/>
    </row>
    <row r="173" spans="1:10">
      <c r="A173" s="33" t="s">
        <v>6</v>
      </c>
      <c r="B173" s="15"/>
      <c r="C173" s="668"/>
      <c r="D173" s="668"/>
      <c r="E173" s="668"/>
      <c r="F173" s="668"/>
      <c r="G173" s="668"/>
      <c r="H173" s="668"/>
      <c r="I173" s="668"/>
      <c r="J173" s="669"/>
    </row>
    <row r="174" spans="1:10" ht="24">
      <c r="A174" s="670" t="s">
        <v>40</v>
      </c>
      <c r="B174" s="671"/>
      <c r="C174" s="12" t="s">
        <v>41</v>
      </c>
      <c r="D174" s="17" t="s">
        <v>27</v>
      </c>
      <c r="E174" s="17"/>
      <c r="F174" s="12"/>
      <c r="G174" s="12"/>
      <c r="H174" s="17" t="s">
        <v>7</v>
      </c>
      <c r="I174" s="16" t="s">
        <v>36</v>
      </c>
      <c r="J174" s="34" t="s">
        <v>26</v>
      </c>
    </row>
    <row r="175" spans="1:10">
      <c r="A175" s="672" t="str">
        <f>A143</f>
        <v>Estrada do Cocal</v>
      </c>
      <c r="B175" s="673"/>
      <c r="C175" s="18"/>
      <c r="D175" s="19">
        <v>253.77</v>
      </c>
      <c r="E175" s="19"/>
      <c r="F175" s="19"/>
      <c r="G175" s="19"/>
      <c r="H175" s="19">
        <v>2</v>
      </c>
      <c r="I175" s="19">
        <f>ROUND(PRODUCT(D175:G175)*H175,2)</f>
        <v>507.54</v>
      </c>
      <c r="J175" s="674"/>
    </row>
    <row r="176" spans="1:10">
      <c r="A176" s="675" t="s">
        <v>0</v>
      </c>
      <c r="B176" s="676"/>
      <c r="C176" s="676"/>
      <c r="D176" s="676"/>
      <c r="E176" s="676"/>
      <c r="F176" s="676"/>
      <c r="G176" s="676"/>
      <c r="H176" s="676"/>
      <c r="I176" s="13">
        <f>SUM(I175:I175)</f>
        <v>507.54</v>
      </c>
      <c r="J176" s="674"/>
    </row>
    <row r="177" spans="1:10">
      <c r="A177" s="657"/>
      <c r="B177" s="658"/>
      <c r="C177" s="658"/>
      <c r="D177" s="658"/>
      <c r="E177" s="658"/>
      <c r="F177" s="658"/>
      <c r="G177" s="658"/>
      <c r="H177" s="658"/>
      <c r="I177" s="658"/>
      <c r="J177" s="659"/>
    </row>
    <row r="178" spans="1:10" hidden="1">
      <c r="A178" s="32" t="s">
        <v>5</v>
      </c>
      <c r="B178" s="14"/>
      <c r="C178" s="668" t="s">
        <v>15</v>
      </c>
      <c r="D178" s="668"/>
      <c r="E178" s="668"/>
      <c r="F178" s="668"/>
      <c r="G178" s="668"/>
      <c r="H178" s="668"/>
      <c r="I178" s="668"/>
      <c r="J178" s="669"/>
    </row>
    <row r="179" spans="1:10" hidden="1">
      <c r="A179" s="33" t="s">
        <v>6</v>
      </c>
      <c r="B179" s="15"/>
      <c r="C179" s="668"/>
      <c r="D179" s="668"/>
      <c r="E179" s="668"/>
      <c r="F179" s="668"/>
      <c r="G179" s="668"/>
      <c r="H179" s="668"/>
      <c r="I179" s="668"/>
      <c r="J179" s="669"/>
    </row>
    <row r="180" spans="1:10" ht="24" hidden="1">
      <c r="A180" s="670" t="s">
        <v>40</v>
      </c>
      <c r="B180" s="671"/>
      <c r="C180" s="12" t="s">
        <v>41</v>
      </c>
      <c r="D180" s="17" t="s">
        <v>27</v>
      </c>
      <c r="E180" s="17"/>
      <c r="F180" s="12"/>
      <c r="G180" s="12"/>
      <c r="H180" s="17" t="s">
        <v>7</v>
      </c>
      <c r="I180" s="16" t="s">
        <v>37</v>
      </c>
      <c r="J180" s="34" t="s">
        <v>26</v>
      </c>
    </row>
    <row r="181" spans="1:10" hidden="1">
      <c r="A181" s="672" t="str">
        <f>A143</f>
        <v>Estrada do Cocal</v>
      </c>
      <c r="B181" s="673"/>
      <c r="C181" s="18"/>
      <c r="D181" s="19">
        <v>6.9</v>
      </c>
      <c r="E181" s="19"/>
      <c r="F181" s="19"/>
      <c r="G181" s="19"/>
      <c r="H181" s="19">
        <v>1</v>
      </c>
      <c r="I181" s="19">
        <f>ROUND(PRODUCT(D181:G181)*H181,2)</f>
        <v>6.9</v>
      </c>
      <c r="J181" s="34"/>
    </row>
    <row r="182" spans="1:10" hidden="1">
      <c r="A182" s="672" t="str">
        <f>A146</f>
        <v>Rua Francelino Ribeiro</v>
      </c>
      <c r="B182" s="673"/>
      <c r="C182" s="18"/>
      <c r="D182" s="19">
        <v>10.3</v>
      </c>
      <c r="E182" s="19"/>
      <c r="F182" s="19"/>
      <c r="G182" s="19"/>
      <c r="H182" s="19">
        <v>1</v>
      </c>
      <c r="I182" s="19">
        <f>ROUND(PRODUCT(D182:G182)*H182,2)</f>
        <v>10.3</v>
      </c>
      <c r="J182" s="674"/>
    </row>
    <row r="183" spans="1:10" hidden="1">
      <c r="A183" s="672" t="str">
        <f>A149</f>
        <v>Rua Trinta e um</v>
      </c>
      <c r="B183" s="673"/>
      <c r="C183" s="18"/>
      <c r="D183" s="19">
        <v>8.75</v>
      </c>
      <c r="E183" s="19"/>
      <c r="F183" s="19"/>
      <c r="G183" s="19"/>
      <c r="H183" s="19">
        <v>1</v>
      </c>
      <c r="I183" s="19">
        <f>ROUND(PRODUCT(D183:G183)*H183,2)</f>
        <v>8.75</v>
      </c>
      <c r="J183" s="674"/>
    </row>
    <row r="184" spans="1:10" hidden="1">
      <c r="A184" s="675" t="s">
        <v>0</v>
      </c>
      <c r="B184" s="676"/>
      <c r="C184" s="676"/>
      <c r="D184" s="676"/>
      <c r="E184" s="676"/>
      <c r="F184" s="676"/>
      <c r="G184" s="676"/>
      <c r="H184" s="676"/>
      <c r="I184" s="13">
        <f>SUM(I181:I183)</f>
        <v>25.950000000000003</v>
      </c>
      <c r="J184" s="674"/>
    </row>
    <row r="185" spans="1:10" hidden="1">
      <c r="A185" s="657"/>
      <c r="B185" s="658"/>
      <c r="C185" s="658"/>
      <c r="D185" s="658"/>
      <c r="E185" s="658"/>
      <c r="F185" s="658"/>
      <c r="G185" s="658"/>
      <c r="H185" s="658"/>
      <c r="I185" s="658"/>
      <c r="J185" s="659"/>
    </row>
    <row r="186" spans="1:10">
      <c r="A186" s="35" t="s">
        <v>63</v>
      </c>
      <c r="B186" s="663" t="s">
        <v>9</v>
      </c>
      <c r="C186" s="663"/>
      <c r="D186" s="663"/>
      <c r="E186" s="663"/>
      <c r="F186" s="663"/>
      <c r="G186" s="663"/>
      <c r="H186" s="663"/>
      <c r="I186" s="663"/>
      <c r="J186" s="664"/>
    </row>
    <row r="187" spans="1:10">
      <c r="A187" s="665" t="s">
        <v>38</v>
      </c>
      <c r="B187" s="666"/>
      <c r="C187" s="666"/>
      <c r="D187" s="666"/>
      <c r="E187" s="666"/>
      <c r="F187" s="666"/>
      <c r="G187" s="666"/>
      <c r="H187" s="666"/>
      <c r="I187" s="666"/>
      <c r="J187" s="667"/>
    </row>
    <row r="188" spans="1:10">
      <c r="A188" s="32" t="s">
        <v>5</v>
      </c>
      <c r="B188" s="14"/>
      <c r="C188" s="668" t="s">
        <v>64</v>
      </c>
      <c r="D188" s="668"/>
      <c r="E188" s="668"/>
      <c r="F188" s="668"/>
      <c r="G188" s="668"/>
      <c r="H188" s="668"/>
      <c r="I188" s="668"/>
      <c r="J188" s="669"/>
    </row>
    <row r="189" spans="1:10">
      <c r="A189" s="33" t="s">
        <v>6</v>
      </c>
      <c r="B189" s="15"/>
      <c r="C189" s="668"/>
      <c r="D189" s="668"/>
      <c r="E189" s="668"/>
      <c r="F189" s="668"/>
      <c r="G189" s="668"/>
      <c r="H189" s="668"/>
      <c r="I189" s="668"/>
      <c r="J189" s="669"/>
    </row>
    <row r="190" spans="1:10" ht="24">
      <c r="A190" s="670" t="s">
        <v>40</v>
      </c>
      <c r="B190" s="671"/>
      <c r="C190" s="12" t="s">
        <v>41</v>
      </c>
      <c r="D190" s="17" t="s">
        <v>27</v>
      </c>
      <c r="E190" s="17" t="s">
        <v>65</v>
      </c>
      <c r="F190" s="17" t="s">
        <v>66</v>
      </c>
      <c r="G190" s="12"/>
      <c r="H190" s="17" t="s">
        <v>7</v>
      </c>
      <c r="I190" s="16" t="s">
        <v>36</v>
      </c>
      <c r="J190" s="34" t="s">
        <v>26</v>
      </c>
    </row>
    <row r="191" spans="1:10">
      <c r="A191" s="672"/>
      <c r="B191" s="673"/>
      <c r="C191" s="18"/>
      <c r="D191" s="19">
        <f>D185</f>
        <v>0</v>
      </c>
      <c r="E191" s="19"/>
      <c r="F191" s="19"/>
      <c r="G191" s="19"/>
      <c r="H191" s="19">
        <v>1</v>
      </c>
      <c r="I191" s="19">
        <f>ROUND(PRODUCT(D191:G191)*H191,2)</f>
        <v>0</v>
      </c>
      <c r="J191" s="674"/>
    </row>
    <row r="192" spans="1:10">
      <c r="A192" s="675" t="s">
        <v>0</v>
      </c>
      <c r="B192" s="676"/>
      <c r="C192" s="676"/>
      <c r="D192" s="676"/>
      <c r="E192" s="676"/>
      <c r="F192" s="676"/>
      <c r="G192" s="676"/>
      <c r="H192" s="676"/>
      <c r="I192" s="13">
        <f>I191</f>
        <v>0</v>
      </c>
      <c r="J192" s="674"/>
    </row>
    <row r="193" spans="1:10">
      <c r="A193" s="657"/>
      <c r="B193" s="658"/>
      <c r="C193" s="658"/>
      <c r="D193" s="658"/>
      <c r="E193" s="658"/>
      <c r="F193" s="658"/>
      <c r="G193" s="658"/>
      <c r="H193" s="658"/>
      <c r="I193" s="658"/>
      <c r="J193" s="659"/>
    </row>
    <row r="194" spans="1:10">
      <c r="A194" s="4"/>
      <c r="B194" s="2"/>
      <c r="C194" s="2"/>
      <c r="D194" s="2"/>
      <c r="E194" s="2"/>
      <c r="F194" s="2"/>
      <c r="G194" s="2"/>
      <c r="H194" s="2"/>
      <c r="I194" s="2"/>
      <c r="J194" s="3"/>
    </row>
    <row r="195" spans="1:10">
      <c r="A195" s="4"/>
      <c r="B195" s="2"/>
      <c r="C195" s="2"/>
      <c r="D195" s="2"/>
      <c r="E195" s="2"/>
      <c r="F195" s="2"/>
      <c r="G195" s="2"/>
      <c r="H195" s="2"/>
      <c r="I195" s="2"/>
      <c r="J195" s="3"/>
    </row>
    <row r="196" spans="1:10">
      <c r="A196" s="4"/>
      <c r="B196" s="2"/>
      <c r="C196" s="2"/>
      <c r="D196" s="2"/>
      <c r="E196" s="2"/>
      <c r="F196" s="2"/>
      <c r="G196" s="2"/>
      <c r="H196" s="2"/>
      <c r="I196" s="2"/>
      <c r="J196" s="3"/>
    </row>
    <row r="197" spans="1:10">
      <c r="A197" s="4"/>
      <c r="B197" s="2"/>
      <c r="C197" s="2"/>
      <c r="D197" s="2"/>
      <c r="E197" s="2"/>
      <c r="F197" s="2"/>
      <c r="G197" s="2"/>
      <c r="H197" s="2"/>
      <c r="I197" s="2"/>
      <c r="J197" s="3"/>
    </row>
    <row r="198" spans="1:10">
      <c r="A198" s="1"/>
      <c r="B198" s="2"/>
      <c r="C198" s="2"/>
      <c r="D198" s="2"/>
      <c r="E198" s="2"/>
      <c r="F198" s="2"/>
      <c r="G198" s="2"/>
      <c r="H198" s="2"/>
      <c r="I198" s="2"/>
      <c r="J198" s="3"/>
    </row>
    <row r="199" spans="1:10">
      <c r="A199" s="1"/>
      <c r="B199" s="2"/>
      <c r="C199" s="2"/>
      <c r="D199" s="2"/>
      <c r="E199" s="2"/>
      <c r="F199" s="2"/>
      <c r="G199" s="2"/>
      <c r="H199" s="2"/>
      <c r="I199" s="2"/>
      <c r="J199" s="3"/>
    </row>
    <row r="200" spans="1:10">
      <c r="A200" s="1"/>
      <c r="B200" s="2"/>
      <c r="C200" s="2"/>
      <c r="D200" s="2"/>
      <c r="E200" s="2"/>
      <c r="F200" s="2"/>
      <c r="G200" s="2"/>
      <c r="H200" s="2"/>
      <c r="I200" s="2"/>
      <c r="J200" s="3"/>
    </row>
    <row r="201" spans="1:10" ht="13.5" thickBot="1">
      <c r="A201" s="5"/>
      <c r="B201" s="660"/>
      <c r="C201" s="660"/>
      <c r="D201" s="660"/>
      <c r="F201" s="660"/>
      <c r="G201" s="660"/>
      <c r="H201" s="660"/>
      <c r="I201" s="660"/>
      <c r="J201" s="6"/>
    </row>
    <row r="202" spans="1:10" ht="12.75">
      <c r="A202" s="7"/>
      <c r="B202" s="661" t="s">
        <v>67</v>
      </c>
      <c r="C202" s="661"/>
      <c r="D202" s="661"/>
      <c r="F202" s="662" t="s">
        <v>70</v>
      </c>
      <c r="G202" s="662"/>
      <c r="H202" s="662"/>
      <c r="I202" s="662"/>
      <c r="J202" s="8"/>
    </row>
    <row r="203" spans="1:10" ht="12.75">
      <c r="A203" s="9"/>
      <c r="B203" s="661" t="s">
        <v>68</v>
      </c>
      <c r="C203" s="661"/>
      <c r="D203" s="661"/>
      <c r="F203" s="662" t="s">
        <v>69</v>
      </c>
      <c r="G203" s="662"/>
      <c r="H203" s="662"/>
      <c r="I203" s="662"/>
      <c r="J203" s="8"/>
    </row>
    <row r="204" spans="1:10" ht="12.75" thickBot="1">
      <c r="A204" s="36"/>
      <c r="B204" s="37"/>
      <c r="C204" s="37"/>
      <c r="D204" s="37"/>
      <c r="E204" s="37"/>
      <c r="F204" s="37"/>
      <c r="G204" s="37"/>
      <c r="H204" s="37"/>
      <c r="I204" s="38"/>
      <c r="J204" s="39"/>
    </row>
  </sheetData>
  <mergeCells count="200">
    <mergeCell ref="A1:J1"/>
    <mergeCell ref="B2:J2"/>
    <mergeCell ref="B3:J3"/>
    <mergeCell ref="B4:E4"/>
    <mergeCell ref="F4:G4"/>
    <mergeCell ref="A5:J5"/>
    <mergeCell ref="A13:B13"/>
    <mergeCell ref="J13:J14"/>
    <mergeCell ref="A14:H14"/>
    <mergeCell ref="A15:J15"/>
    <mergeCell ref="C16:J17"/>
    <mergeCell ref="A18:B18"/>
    <mergeCell ref="B6:J6"/>
    <mergeCell ref="A7:J7"/>
    <mergeCell ref="B8:J8"/>
    <mergeCell ref="A9:J9"/>
    <mergeCell ref="C10:J11"/>
    <mergeCell ref="A12:B12"/>
    <mergeCell ref="J24:J26"/>
    <mergeCell ref="A25:B25"/>
    <mergeCell ref="A26:H26"/>
    <mergeCell ref="A27:J27"/>
    <mergeCell ref="C28:J29"/>
    <mergeCell ref="A30:B30"/>
    <mergeCell ref="A19:B19"/>
    <mergeCell ref="A20:B20"/>
    <mergeCell ref="A21:B21"/>
    <mergeCell ref="A22:B22"/>
    <mergeCell ref="A23:B23"/>
    <mergeCell ref="A24:B24"/>
    <mergeCell ref="J36:J38"/>
    <mergeCell ref="A37:B37"/>
    <mergeCell ref="A38:H38"/>
    <mergeCell ref="A39:J39"/>
    <mergeCell ref="B40:J40"/>
    <mergeCell ref="A41:J41"/>
    <mergeCell ref="A31:B31"/>
    <mergeCell ref="A32:B32"/>
    <mergeCell ref="A33:B33"/>
    <mergeCell ref="A34:B34"/>
    <mergeCell ref="A35:B35"/>
    <mergeCell ref="A36:B36"/>
    <mergeCell ref="C48:J49"/>
    <mergeCell ref="A50:B50"/>
    <mergeCell ref="A51:B51"/>
    <mergeCell ref="J51:J52"/>
    <mergeCell ref="A52:H52"/>
    <mergeCell ref="A53:J53"/>
    <mergeCell ref="C42:J43"/>
    <mergeCell ref="A44:B44"/>
    <mergeCell ref="A45:B45"/>
    <mergeCell ref="J45:J46"/>
    <mergeCell ref="A46:H46"/>
    <mergeCell ref="A47:J47"/>
    <mergeCell ref="C60:J61"/>
    <mergeCell ref="A62:B62"/>
    <mergeCell ref="A63:B63"/>
    <mergeCell ref="J63:J64"/>
    <mergeCell ref="A64:H64"/>
    <mergeCell ref="A65:J65"/>
    <mergeCell ref="C54:J55"/>
    <mergeCell ref="A56:B56"/>
    <mergeCell ref="A57:B57"/>
    <mergeCell ref="J57:J58"/>
    <mergeCell ref="A58:H58"/>
    <mergeCell ref="A59:J59"/>
    <mergeCell ref="C72:J73"/>
    <mergeCell ref="A74:B74"/>
    <mergeCell ref="A75:B75"/>
    <mergeCell ref="J75:J76"/>
    <mergeCell ref="A76:H76"/>
    <mergeCell ref="A77:J77"/>
    <mergeCell ref="C66:J67"/>
    <mergeCell ref="A68:B68"/>
    <mergeCell ref="A69:B69"/>
    <mergeCell ref="J69:J70"/>
    <mergeCell ref="A70:H70"/>
    <mergeCell ref="A71:J71"/>
    <mergeCell ref="A88:B88"/>
    <mergeCell ref="A89:B89"/>
    <mergeCell ref="A90:H90"/>
    <mergeCell ref="A91:J91"/>
    <mergeCell ref="C92:J93"/>
    <mergeCell ref="A94:B94"/>
    <mergeCell ref="B78:J78"/>
    <mergeCell ref="A79:J79"/>
    <mergeCell ref="C80:J81"/>
    <mergeCell ref="A82:B82"/>
    <mergeCell ref="A83:B83"/>
    <mergeCell ref="J83:J90"/>
    <mergeCell ref="A84:B84"/>
    <mergeCell ref="A85:B85"/>
    <mergeCell ref="A86:B86"/>
    <mergeCell ref="A87:B87"/>
    <mergeCell ref="A95:B95"/>
    <mergeCell ref="J95:J102"/>
    <mergeCell ref="A96:B96"/>
    <mergeCell ref="A97:B97"/>
    <mergeCell ref="A98:B98"/>
    <mergeCell ref="A99:B99"/>
    <mergeCell ref="A100:B100"/>
    <mergeCell ref="A101:B101"/>
    <mergeCell ref="A102:H102"/>
    <mergeCell ref="A103:J103"/>
    <mergeCell ref="C104:J105"/>
    <mergeCell ref="A106:B106"/>
    <mergeCell ref="A107:B107"/>
    <mergeCell ref="J107:J114"/>
    <mergeCell ref="A108:B108"/>
    <mergeCell ref="A109:B109"/>
    <mergeCell ref="A110:B110"/>
    <mergeCell ref="A111:B111"/>
    <mergeCell ref="A112:B112"/>
    <mergeCell ref="A123:B123"/>
    <mergeCell ref="A124:B124"/>
    <mergeCell ref="A125:B125"/>
    <mergeCell ref="A126:H126"/>
    <mergeCell ref="A127:J127"/>
    <mergeCell ref="C128:J129"/>
    <mergeCell ref="A113:B113"/>
    <mergeCell ref="A114:H114"/>
    <mergeCell ref="A115:J115"/>
    <mergeCell ref="C116:J117"/>
    <mergeCell ref="A118:B118"/>
    <mergeCell ref="A119:B119"/>
    <mergeCell ref="J119:J126"/>
    <mergeCell ref="A120:B120"/>
    <mergeCell ref="A121:B121"/>
    <mergeCell ref="A122:B122"/>
    <mergeCell ref="A130:B130"/>
    <mergeCell ref="A131:B131"/>
    <mergeCell ref="J131:J138"/>
    <mergeCell ref="A132:B132"/>
    <mergeCell ref="A133:B133"/>
    <mergeCell ref="A134:B134"/>
    <mergeCell ref="A135:B135"/>
    <mergeCell ref="A136:B136"/>
    <mergeCell ref="A137:B137"/>
    <mergeCell ref="A138:H138"/>
    <mergeCell ref="A149:B149"/>
    <mergeCell ref="A150:H150"/>
    <mergeCell ref="A151:J151"/>
    <mergeCell ref="C152:J153"/>
    <mergeCell ref="A154:B154"/>
    <mergeCell ref="A155:B155"/>
    <mergeCell ref="J155:J156"/>
    <mergeCell ref="A156:H156"/>
    <mergeCell ref="A139:J139"/>
    <mergeCell ref="C140:J141"/>
    <mergeCell ref="A142:B142"/>
    <mergeCell ref="A143:B143"/>
    <mergeCell ref="J143:J150"/>
    <mergeCell ref="A144:B144"/>
    <mergeCell ref="A145:B145"/>
    <mergeCell ref="A146:B146"/>
    <mergeCell ref="A147:B147"/>
    <mergeCell ref="A148:B148"/>
    <mergeCell ref="A163:J163"/>
    <mergeCell ref="C164:J165"/>
    <mergeCell ref="A166:B166"/>
    <mergeCell ref="A167:B167"/>
    <mergeCell ref="J167:J168"/>
    <mergeCell ref="A168:H168"/>
    <mergeCell ref="A157:J157"/>
    <mergeCell ref="C158:J159"/>
    <mergeCell ref="A160:B160"/>
    <mergeCell ref="A161:B161"/>
    <mergeCell ref="J161:J162"/>
    <mergeCell ref="A162:H162"/>
    <mergeCell ref="A177:J177"/>
    <mergeCell ref="C178:J179"/>
    <mergeCell ref="A180:B180"/>
    <mergeCell ref="A181:B181"/>
    <mergeCell ref="A182:B182"/>
    <mergeCell ref="J182:J184"/>
    <mergeCell ref="A183:B183"/>
    <mergeCell ref="A184:H184"/>
    <mergeCell ref="A169:J169"/>
    <mergeCell ref="B170:J170"/>
    <mergeCell ref="A171:J171"/>
    <mergeCell ref="C172:J173"/>
    <mergeCell ref="A174:B174"/>
    <mergeCell ref="A175:B175"/>
    <mergeCell ref="J175:J176"/>
    <mergeCell ref="A176:H176"/>
    <mergeCell ref="A193:J193"/>
    <mergeCell ref="B201:D201"/>
    <mergeCell ref="F201:I201"/>
    <mergeCell ref="B202:D202"/>
    <mergeCell ref="F202:I202"/>
    <mergeCell ref="B203:D203"/>
    <mergeCell ref="F203:I203"/>
    <mergeCell ref="A185:J185"/>
    <mergeCell ref="B186:J186"/>
    <mergeCell ref="A187:J187"/>
    <mergeCell ref="C188:J189"/>
    <mergeCell ref="A190:B190"/>
    <mergeCell ref="A191:B191"/>
    <mergeCell ref="J191:J192"/>
    <mergeCell ref="A192:H192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8" fitToHeight="0" orientation="portrait" r:id="rId1"/>
  <headerFooter>
    <oddFooter>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14</vt:i4>
      </vt:variant>
    </vt:vector>
  </HeadingPairs>
  <TitlesOfParts>
    <vt:vector size="23" baseType="lpstr">
      <vt:lpstr>PLANILHA ORÇAMENTARIA EXT</vt:lpstr>
      <vt:lpstr>PLANILHA ORÇAMENTARIA</vt:lpstr>
      <vt:lpstr>MEMORIA DE CÁLCULO</vt:lpstr>
      <vt:lpstr>MOB E DESMOB</vt:lpstr>
      <vt:lpstr>CPU</vt:lpstr>
      <vt:lpstr>BDI DESONERADO</vt:lpstr>
      <vt:lpstr>CRONOGRAMA</vt:lpstr>
      <vt:lpstr>DMT'S</vt:lpstr>
      <vt:lpstr>MEMORIA DE CÁLCULO (2)</vt:lpstr>
      <vt:lpstr>'BDI DESONERADO'!Area_de_impressao</vt:lpstr>
      <vt:lpstr>CPU!Area_de_impressao</vt:lpstr>
      <vt:lpstr>CRONOGRAMA!Area_de_impressao</vt:lpstr>
      <vt:lpstr>'DMT''S'!Area_de_impressao</vt:lpstr>
      <vt:lpstr>'MEMORIA DE CÁLCULO'!Area_de_impressao</vt:lpstr>
      <vt:lpstr>'MEMORIA DE CÁLCULO (2)'!Area_de_impressao</vt:lpstr>
      <vt:lpstr>'MOB E DESMOB'!Area_de_impressao</vt:lpstr>
      <vt:lpstr>'PLANILHA ORÇAMENTARIA'!Area_de_impressao</vt:lpstr>
      <vt:lpstr>'PLANILHA ORÇAMENTARIA EXT'!Area_de_impressao</vt:lpstr>
      <vt:lpstr>'DMT''S'!Titulos_de_impressao</vt:lpstr>
      <vt:lpstr>'MEMORIA DE CÁLCULO'!Titulos_de_impressao</vt:lpstr>
      <vt:lpstr>'MEMORIA DE CÁLCULO (2)'!Titulos_de_impressao</vt:lpstr>
      <vt:lpstr>'PLANILHA ORÇAMENTARIA'!Titulos_de_impressao</vt:lpstr>
      <vt:lpstr>'PLANILHA ORÇAMENTARIA EXT'!Titulos_de_impressao</vt:lpstr>
    </vt:vector>
  </TitlesOfParts>
  <Company>Caixa Econômica Federal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GEPAD</dc:creator>
  <cp:lastModifiedBy>liitação</cp:lastModifiedBy>
  <cp:lastPrinted>2026-07-27T20:22:27Z</cp:lastPrinted>
  <dcterms:created xsi:type="dcterms:W3CDTF">1998-10-30T18:34:56Z</dcterms:created>
  <dcterms:modified xsi:type="dcterms:W3CDTF">2026-08-28T14:11:10Z</dcterms:modified>
</cp:coreProperties>
</file>