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BALHOS E SERVIÇOS 02\PM AÇUCENA\LICITAÇÕES 2026\04 - CONCORRÊNCIA\06 - PROJ. SIST. ESGOT. SANITÁRIO\"/>
    </mc:Choice>
  </mc:AlternateContent>
  <xr:revisionPtr revIDLastSave="0" documentId="13_ncr:1_{3755298D-261D-478E-A5AF-A354E46D580F}" xr6:coauthVersionLast="47" xr6:coauthVersionMax="47" xr10:uidLastSave="{00000000-0000-0000-0000-000000000000}"/>
  <bookViews>
    <workbookView xWindow="-120" yWindow="-120" windowWidth="20730" windowHeight="11160" tabRatio="944" xr2:uid="{00000000-000D-0000-FFFF-FFFF00000000}"/>
  </bookViews>
  <sheets>
    <sheet name="Capa" sheetId="40" r:id="rId1"/>
    <sheet name="Orç_20-30" sheetId="28" state="hidden" r:id="rId2"/>
    <sheet name="Crono_20-30" sheetId="34" state="hidden" r:id="rId3"/>
    <sheet name="Definições" sheetId="47" r:id="rId4"/>
    <sheet name="Dados Básicos do município" sheetId="54" r:id="rId5"/>
    <sheet name="Dias trabalhados" sheetId="95" r:id="rId6"/>
    <sheet name="Reajuste" sheetId="160" r:id="rId7"/>
    <sheet name="Deslocamento" sheetId="129" r:id="rId8"/>
    <sheet name="Veículo" sheetId="163" r:id="rId9"/>
    <sheet name="Topografia e Cadastro" sheetId="110" r:id="rId10"/>
    <sheet name="Custos" sheetId="82" r:id="rId11"/>
    <sheet name="Horas trabalhadas" sheetId="116" r:id="rId12"/>
    <sheet name="DNIT04.23" sheetId="162" state="hidden" r:id="rId13"/>
    <sheet name="K" sheetId="115" r:id="rId14"/>
    <sheet name="Serviços" sheetId="117" r:id="rId15"/>
    <sheet name="P1" sheetId="138" r:id="rId16"/>
    <sheet name="P2" sheetId="147" r:id="rId17"/>
    <sheet name="P3" sheetId="146" r:id="rId18"/>
    <sheet name="P4" sheetId="149" r:id="rId19"/>
    <sheet name="P5" sheetId="150" r:id="rId20"/>
    <sheet name="P6" sheetId="151" r:id="rId21"/>
    <sheet name="P7.1" sheetId="153" r:id="rId22"/>
    <sheet name="P.7.2" sheetId="161" r:id="rId23"/>
    <sheet name="P8" sheetId="152" r:id="rId24"/>
    <sheet name="Produto Consolidado" sheetId="145" r:id="rId25"/>
    <sheet name="CPP" sheetId="125" r:id="rId26"/>
    <sheet name="Cronograma" sheetId="159" r:id="rId27"/>
  </sheets>
  <externalReferences>
    <externalReference r:id="rId28"/>
    <externalReference r:id="rId29"/>
  </externalReferences>
  <definedNames>
    <definedName name="_xlnm.Print_Area" localSheetId="0">Capa!$A$1:$J$55</definedName>
    <definedName name="_xlnm.Print_Area" localSheetId="25">CPP!$A$1:$E$17</definedName>
    <definedName name="_xlnm.Print_Area" localSheetId="2">'Crono_20-30'!$A$2:$H$30</definedName>
    <definedName name="_xlnm.Print_Area" localSheetId="26">Cronograma!$A$1:$BB$33</definedName>
    <definedName name="_xlnm.Print_Area" localSheetId="10">Custos!$A$1:$J$65</definedName>
    <definedName name="_xlnm.Print_Area" localSheetId="4">'Dados Básicos do município'!$A$1:$H$27</definedName>
    <definedName name="_xlnm.Print_Area" localSheetId="3">Definições!$A$1:$J$48</definedName>
    <definedName name="_xlnm.Print_Area" localSheetId="7">Deslocamento!$A$1:$L$28</definedName>
    <definedName name="_xlnm.Print_Area" localSheetId="5">'Dias trabalhados'!$A$1:$H$49</definedName>
    <definedName name="_xlnm.Print_Area" localSheetId="11">'Horas trabalhadas'!$A$1:$L$19</definedName>
    <definedName name="_xlnm.Print_Area" localSheetId="13">K!$A$1:$G$26</definedName>
    <definedName name="_xlnm.Print_Area" localSheetId="1">'Orç_20-30'!$A$1:$G$82</definedName>
    <definedName name="_xlnm.Print_Area" localSheetId="15">'P1'!$A$1:$K$66</definedName>
    <definedName name="_xlnm.Print_Area" localSheetId="16">'P2'!$A$1:$K$66</definedName>
    <definedName name="_xlnm.Print_Area" localSheetId="17">'P3'!$A$1:$K$66</definedName>
    <definedName name="_xlnm.Print_Area" localSheetId="18">'P4'!$A$1:$K$66</definedName>
    <definedName name="_xlnm.Print_Area" localSheetId="19">'P5'!$A$1:$K$66</definedName>
    <definedName name="_xlnm.Print_Area" localSheetId="20">'P6'!$A$1:$K$66</definedName>
    <definedName name="_xlnm.Print_Area" localSheetId="21">'P7.1'!$A$1:$K$66</definedName>
    <definedName name="_xlnm.Print_Area" localSheetId="23">'P8'!$A$1:$K$66</definedName>
    <definedName name="_xlnm.Print_Area" localSheetId="24">'Produto Consolidado'!$A$1:$K$64</definedName>
    <definedName name="_xlnm.Print_Area" localSheetId="6">Reajuste!$A$1:$M$21</definedName>
    <definedName name="_xlnm.Print_Area" localSheetId="14">Serviços!$A$1:$L$22</definedName>
    <definedName name="_xlnm.Print_Area" localSheetId="9">'Topografia e Cadastro'!$A$1:$G$20</definedName>
    <definedName name="_xlnm.Print_Area" localSheetId="8">Veículo!$A$1:$G$9</definedName>
    <definedName name="_xlnm.Print_Titles" localSheetId="15">'P1'!$1:$4</definedName>
    <definedName name="_xlnm.Print_Titles" localSheetId="16">'P2'!$1:$4</definedName>
    <definedName name="_xlnm.Print_Titles" localSheetId="17">'P3'!$1:$4</definedName>
    <definedName name="_xlnm.Print_Titles" localSheetId="18">'P4'!$1:$4</definedName>
    <definedName name="_xlnm.Print_Titles" localSheetId="19">'P5'!$1:$4</definedName>
    <definedName name="_xlnm.Print_Titles" localSheetId="20">'P6'!$1:$4</definedName>
    <definedName name="_xlnm.Print_Titles" localSheetId="21">'P7.1'!$1:$4</definedName>
    <definedName name="_xlnm.Print_Titles" localSheetId="23">'P8'!$1:$4</definedName>
    <definedName name="_xlnm.Print_Titles" localSheetId="24">'Produto Consolidado'!$1:$4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15" l="1"/>
  <c r="C2" i="161"/>
  <c r="C2" i="153"/>
  <c r="J47" i="116"/>
  <c r="J46" i="116"/>
  <c r="J45" i="116"/>
  <c r="J41" i="116"/>
  <c r="J40" i="116"/>
  <c r="F47" i="116"/>
  <c r="F46" i="116"/>
  <c r="F45" i="116"/>
  <c r="F41" i="116"/>
  <c r="F40" i="116"/>
  <c r="F39" i="116"/>
  <c r="D12" i="110"/>
  <c r="E10" i="110" l="1"/>
  <c r="G10" i="110" s="1"/>
  <c r="F10" i="110"/>
  <c r="E12" i="110"/>
  <c r="I51" i="138"/>
  <c r="I50" i="138"/>
  <c r="I49" i="138"/>
  <c r="I41" i="138"/>
  <c r="I40" i="138"/>
  <c r="I37" i="138"/>
  <c r="I36" i="138"/>
  <c r="I35" i="138"/>
  <c r="I34" i="138"/>
  <c r="I31" i="138"/>
  <c r="I30" i="138"/>
  <c r="I29" i="138"/>
  <c r="J49" i="116"/>
  <c r="J48" i="116"/>
  <c r="J44" i="116"/>
  <c r="J43" i="116"/>
  <c r="J42" i="116"/>
  <c r="J39" i="116"/>
  <c r="I49" i="116"/>
  <c r="I48" i="116"/>
  <c r="I47" i="116"/>
  <c r="I46" i="116"/>
  <c r="I45" i="116"/>
  <c r="I44" i="116"/>
  <c r="I43" i="116"/>
  <c r="I42" i="116"/>
  <c r="I41" i="116"/>
  <c r="I40" i="116"/>
  <c r="I39" i="116"/>
  <c r="H49" i="116"/>
  <c r="H48" i="116"/>
  <c r="H47" i="116"/>
  <c r="H46" i="116"/>
  <c r="H45" i="116"/>
  <c r="H44" i="116"/>
  <c r="H43" i="116"/>
  <c r="H42" i="116"/>
  <c r="H41" i="116"/>
  <c r="H40" i="116"/>
  <c r="H39" i="116"/>
  <c r="G49" i="116"/>
  <c r="G48" i="116"/>
  <c r="G47" i="116"/>
  <c r="G46" i="116"/>
  <c r="G45" i="116"/>
  <c r="G44" i="116"/>
  <c r="G43" i="116"/>
  <c r="G42" i="116"/>
  <c r="G41" i="116"/>
  <c r="G40" i="116"/>
  <c r="G39" i="116"/>
  <c r="F49" i="116"/>
  <c r="F48" i="116"/>
  <c r="F44" i="116"/>
  <c r="F43" i="116"/>
  <c r="F42" i="116"/>
  <c r="E49" i="116"/>
  <c r="E48" i="116"/>
  <c r="E47" i="116"/>
  <c r="E46" i="116"/>
  <c r="E45" i="116"/>
  <c r="E44" i="116"/>
  <c r="E43" i="116"/>
  <c r="E42" i="116"/>
  <c r="E41" i="116"/>
  <c r="E40" i="116"/>
  <c r="E39" i="116"/>
  <c r="D49" i="116"/>
  <c r="D48" i="116"/>
  <c r="D47" i="116"/>
  <c r="D46" i="116"/>
  <c r="D45" i="116"/>
  <c r="D44" i="116"/>
  <c r="D43" i="116"/>
  <c r="D42" i="116"/>
  <c r="D41" i="116"/>
  <c r="D40" i="116"/>
  <c r="D39" i="116"/>
  <c r="C49" i="116"/>
  <c r="C48" i="116"/>
  <c r="C47" i="116"/>
  <c r="C46" i="116"/>
  <c r="C45" i="116"/>
  <c r="C44" i="116"/>
  <c r="C43" i="116"/>
  <c r="C42" i="116"/>
  <c r="C41" i="116"/>
  <c r="C40" i="116"/>
  <c r="C39" i="116"/>
  <c r="B49" i="116"/>
  <c r="B48" i="116"/>
  <c r="B47" i="116"/>
  <c r="B46" i="116"/>
  <c r="B45" i="116"/>
  <c r="B44" i="116"/>
  <c r="B43" i="116"/>
  <c r="B42" i="116"/>
  <c r="B41" i="116"/>
  <c r="B40" i="116"/>
  <c r="B39" i="116"/>
  <c r="L33" i="116"/>
  <c r="M25" i="116" s="1"/>
  <c r="M32" i="116" l="1"/>
  <c r="M24" i="116"/>
  <c r="M31" i="116"/>
  <c r="M30" i="116"/>
  <c r="M29" i="116"/>
  <c r="M28" i="116"/>
  <c r="M27" i="116"/>
  <c r="M26" i="116"/>
  <c r="L6" i="116" l="1"/>
  <c r="A1" i="116"/>
  <c r="G45" i="145"/>
  <c r="F45" i="145"/>
  <c r="E45" i="145"/>
  <c r="D45" i="145"/>
  <c r="C45" i="145"/>
  <c r="B45" i="145"/>
  <c r="G44" i="145"/>
  <c r="F44" i="145"/>
  <c r="E44" i="145"/>
  <c r="D44" i="145"/>
  <c r="C44" i="145"/>
  <c r="B44" i="145"/>
  <c r="C38" i="116" l="1"/>
  <c r="I38" i="116"/>
  <c r="B38" i="116"/>
  <c r="J38" i="116"/>
  <c r="F38" i="116"/>
  <c r="H38" i="116"/>
  <c r="D38" i="116"/>
  <c r="E38" i="116"/>
  <c r="G38" i="116"/>
  <c r="D1" i="152"/>
  <c r="J51" i="152"/>
  <c r="J50" i="152"/>
  <c r="J49" i="152"/>
  <c r="J44" i="152"/>
  <c r="J41" i="152"/>
  <c r="J40" i="152"/>
  <c r="J37" i="152"/>
  <c r="J36" i="152"/>
  <c r="J35" i="152"/>
  <c r="J34" i="152"/>
  <c r="J31" i="152"/>
  <c r="J30" i="152"/>
  <c r="J29" i="152"/>
  <c r="I51" i="152"/>
  <c r="I50" i="152"/>
  <c r="I49" i="152"/>
  <c r="I44" i="152"/>
  <c r="I41" i="152"/>
  <c r="I40" i="152"/>
  <c r="I37" i="152"/>
  <c r="I36" i="152"/>
  <c r="I35" i="152"/>
  <c r="I34" i="152"/>
  <c r="I31" i="152"/>
  <c r="I30" i="152"/>
  <c r="I29" i="152"/>
  <c r="H45" i="152"/>
  <c r="I45" i="152" s="1"/>
  <c r="J45" i="152" s="1"/>
  <c r="H44" i="152"/>
  <c r="H45" i="161"/>
  <c r="H44" i="161"/>
  <c r="G45" i="152"/>
  <c r="F45" i="152"/>
  <c r="E45" i="152"/>
  <c r="D45" i="152"/>
  <c r="C45" i="152"/>
  <c r="B45" i="152"/>
  <c r="G44" i="152"/>
  <c r="F44" i="152"/>
  <c r="E44" i="152"/>
  <c r="D44" i="152"/>
  <c r="C44" i="152"/>
  <c r="B44" i="152"/>
  <c r="D1" i="161"/>
  <c r="J41" i="161"/>
  <c r="J40" i="161"/>
  <c r="J37" i="161"/>
  <c r="J36" i="161"/>
  <c r="J35" i="161"/>
  <c r="J34" i="161"/>
  <c r="J31" i="161"/>
  <c r="J30" i="161"/>
  <c r="J29" i="161"/>
  <c r="I51" i="161"/>
  <c r="I50" i="161"/>
  <c r="I49" i="161"/>
  <c r="I45" i="161"/>
  <c r="J45" i="161" s="1"/>
  <c r="I44" i="161"/>
  <c r="J44" i="161" s="1"/>
  <c r="I41" i="161"/>
  <c r="I40" i="161"/>
  <c r="I37" i="161"/>
  <c r="I36" i="161"/>
  <c r="I35" i="161"/>
  <c r="I34" i="161"/>
  <c r="I31" i="161"/>
  <c r="I30" i="161"/>
  <c r="I29" i="161"/>
  <c r="G45" i="161"/>
  <c r="F45" i="161"/>
  <c r="E45" i="161"/>
  <c r="D45" i="161"/>
  <c r="C45" i="161"/>
  <c r="B45" i="161"/>
  <c r="G44" i="161"/>
  <c r="F44" i="161"/>
  <c r="E44" i="161"/>
  <c r="D44" i="161"/>
  <c r="C44" i="161"/>
  <c r="B44" i="161"/>
  <c r="J50" i="153"/>
  <c r="J51" i="153"/>
  <c r="J41" i="153"/>
  <c r="J40" i="153"/>
  <c r="J37" i="153"/>
  <c r="J36" i="153"/>
  <c r="J35" i="153"/>
  <c r="J34" i="153"/>
  <c r="J31" i="153"/>
  <c r="J30" i="153"/>
  <c r="J29" i="153"/>
  <c r="I51" i="153"/>
  <c r="I50" i="153"/>
  <c r="I41" i="153"/>
  <c r="I40" i="153"/>
  <c r="I37" i="153"/>
  <c r="I36" i="153"/>
  <c r="I35" i="153"/>
  <c r="I34" i="153"/>
  <c r="I31" i="153"/>
  <c r="I30" i="153"/>
  <c r="I29" i="153"/>
  <c r="H45" i="153"/>
  <c r="I45" i="153" s="1"/>
  <c r="J45" i="153" s="1"/>
  <c r="H44" i="153"/>
  <c r="I44" i="153" s="1"/>
  <c r="J44" i="153" s="1"/>
  <c r="G45" i="153"/>
  <c r="F45" i="153"/>
  <c r="E45" i="153"/>
  <c r="D45" i="153"/>
  <c r="C45" i="153"/>
  <c r="B45" i="153"/>
  <c r="G44" i="153"/>
  <c r="F44" i="153"/>
  <c r="E44" i="153"/>
  <c r="D44" i="153"/>
  <c r="C44" i="153"/>
  <c r="B44" i="153"/>
  <c r="H45" i="151"/>
  <c r="H44" i="151"/>
  <c r="I44" i="151" s="1"/>
  <c r="J44" i="151" s="1"/>
  <c r="I45" i="151"/>
  <c r="J45" i="151" s="1"/>
  <c r="G45" i="151"/>
  <c r="F45" i="151"/>
  <c r="E45" i="151"/>
  <c r="D45" i="151"/>
  <c r="C45" i="151"/>
  <c r="B45" i="151"/>
  <c r="G44" i="151"/>
  <c r="F44" i="151"/>
  <c r="E44" i="151"/>
  <c r="D44" i="151"/>
  <c r="C44" i="151"/>
  <c r="B44" i="151"/>
  <c r="H45" i="150"/>
  <c r="I45" i="150" s="1"/>
  <c r="J45" i="150" s="1"/>
  <c r="H44" i="150"/>
  <c r="G45" i="150"/>
  <c r="F45" i="150"/>
  <c r="E45" i="150"/>
  <c r="D45" i="150"/>
  <c r="C45" i="150"/>
  <c r="B45" i="150"/>
  <c r="I44" i="150"/>
  <c r="J44" i="150" s="1"/>
  <c r="G44" i="150"/>
  <c r="F44" i="150"/>
  <c r="E44" i="150"/>
  <c r="D44" i="150"/>
  <c r="C44" i="150"/>
  <c r="B44" i="150"/>
  <c r="H45" i="149"/>
  <c r="H44" i="149"/>
  <c r="G45" i="149"/>
  <c r="F45" i="149"/>
  <c r="E45" i="149"/>
  <c r="D45" i="149"/>
  <c r="C45" i="149"/>
  <c r="B45" i="149"/>
  <c r="G44" i="149"/>
  <c r="F44" i="149"/>
  <c r="I44" i="149" s="1"/>
  <c r="J44" i="149" s="1"/>
  <c r="E44" i="149"/>
  <c r="D44" i="149"/>
  <c r="C44" i="149"/>
  <c r="B44" i="149"/>
  <c r="J44" i="147"/>
  <c r="H45" i="147"/>
  <c r="H44" i="147"/>
  <c r="G45" i="147"/>
  <c r="F45" i="147"/>
  <c r="E45" i="147"/>
  <c r="D45" i="147"/>
  <c r="C45" i="147"/>
  <c r="B45" i="147"/>
  <c r="G44" i="147"/>
  <c r="F44" i="147"/>
  <c r="I44" i="147" s="1"/>
  <c r="E44" i="147"/>
  <c r="D44" i="147"/>
  <c r="C44" i="147"/>
  <c r="B44" i="147"/>
  <c r="H45" i="146"/>
  <c r="I45" i="146" s="1"/>
  <c r="J45" i="146" s="1"/>
  <c r="H44" i="146"/>
  <c r="I44" i="146" s="1"/>
  <c r="J44" i="146" s="1"/>
  <c r="G45" i="146"/>
  <c r="F45" i="146"/>
  <c r="E45" i="146"/>
  <c r="D45" i="146"/>
  <c r="C45" i="146"/>
  <c r="B45" i="146"/>
  <c r="G44" i="146"/>
  <c r="F44" i="146"/>
  <c r="E44" i="146"/>
  <c r="D44" i="146"/>
  <c r="C44" i="146"/>
  <c r="B44" i="146"/>
  <c r="H45" i="138"/>
  <c r="I45" i="138" s="1"/>
  <c r="J45" i="138" s="1"/>
  <c r="J43" i="138" s="1"/>
  <c r="H44" i="138"/>
  <c r="I44" i="138" s="1"/>
  <c r="J44" i="138" s="1"/>
  <c r="G45" i="138"/>
  <c r="F45" i="138"/>
  <c r="E45" i="138"/>
  <c r="D45" i="138"/>
  <c r="C45" i="138"/>
  <c r="B45" i="138"/>
  <c r="G44" i="138"/>
  <c r="F44" i="138"/>
  <c r="E44" i="138"/>
  <c r="D44" i="138"/>
  <c r="C44" i="138"/>
  <c r="B44" i="138"/>
  <c r="H50" i="151"/>
  <c r="H51" i="151"/>
  <c r="H49" i="151"/>
  <c r="H41" i="151"/>
  <c r="H40" i="151"/>
  <c r="H34" i="151"/>
  <c r="H30" i="151"/>
  <c r="H31" i="151"/>
  <c r="H29" i="151"/>
  <c r="H50" i="150"/>
  <c r="H51" i="150"/>
  <c r="H49" i="150"/>
  <c r="H41" i="150"/>
  <c r="H40" i="150"/>
  <c r="H35" i="150"/>
  <c r="H36" i="150"/>
  <c r="H37" i="150"/>
  <c r="H34" i="150"/>
  <c r="H30" i="150"/>
  <c r="H31" i="150"/>
  <c r="H29" i="150"/>
  <c r="H41" i="149"/>
  <c r="H40" i="149"/>
  <c r="H35" i="149"/>
  <c r="H36" i="149"/>
  <c r="H37" i="149"/>
  <c r="H34" i="149"/>
  <c r="H30" i="149"/>
  <c r="H31" i="149"/>
  <c r="H29" i="149"/>
  <c r="H35" i="147"/>
  <c r="H36" i="147"/>
  <c r="H37" i="147"/>
  <c r="H34" i="147"/>
  <c r="H30" i="147"/>
  <c r="H31" i="147"/>
  <c r="H29" i="147"/>
  <c r="H50" i="146"/>
  <c r="H51" i="146"/>
  <c r="H49" i="146"/>
  <c r="H41" i="146"/>
  <c r="H40" i="146"/>
  <c r="H35" i="146"/>
  <c r="H36" i="146"/>
  <c r="H37" i="146"/>
  <c r="H34" i="146"/>
  <c r="A1" i="117"/>
  <c r="D1" i="138" s="1"/>
  <c r="D1" i="146" s="1"/>
  <c r="D1" i="147" s="1"/>
  <c r="D1" i="149" s="1"/>
  <c r="D1" i="150" s="1"/>
  <c r="B1" i="110"/>
  <c r="A1" i="95"/>
  <c r="A1" i="54"/>
  <c r="C21" i="54"/>
  <c r="B9" i="129"/>
  <c r="J43" i="152" l="1"/>
  <c r="I45" i="147"/>
  <c r="J45" i="147" s="1"/>
  <c r="J43" i="161"/>
  <c r="J26" i="161" s="1"/>
  <c r="J43" i="153"/>
  <c r="J43" i="151"/>
  <c r="J43" i="150"/>
  <c r="I45" i="149"/>
  <c r="J45" i="149" s="1"/>
  <c r="J43" i="149" s="1"/>
  <c r="J43" i="147"/>
  <c r="J43" i="146"/>
  <c r="D9" i="129" l="1"/>
  <c r="G15" i="110"/>
  <c r="C22" i="54"/>
  <c r="C20" i="54"/>
  <c r="F49" i="145"/>
  <c r="H34" i="145"/>
  <c r="F49" i="152"/>
  <c r="F49" i="161"/>
  <c r="F49" i="151"/>
  <c r="I49" i="151" s="1"/>
  <c r="J49" i="151" s="1"/>
  <c r="F49" i="150"/>
  <c r="I49" i="150" s="1"/>
  <c r="J49" i="150" s="1"/>
  <c r="F50" i="149"/>
  <c r="F51" i="149"/>
  <c r="F49" i="149"/>
  <c r="F50" i="147"/>
  <c r="F51" i="147"/>
  <c r="F49" i="147"/>
  <c r="K14" i="117"/>
  <c r="K18" i="117"/>
  <c r="H44" i="145" s="1"/>
  <c r="I44" i="145" s="1"/>
  <c r="J44" i="145" s="1"/>
  <c r="K19" i="117"/>
  <c r="H45" i="145" s="1"/>
  <c r="I45" i="145" s="1"/>
  <c r="J45" i="145" s="1"/>
  <c r="O20" i="117"/>
  <c r="B19" i="117"/>
  <c r="B18" i="117"/>
  <c r="L5" i="116"/>
  <c r="J43" i="145" l="1"/>
  <c r="I12" i="116"/>
  <c r="H17" i="116"/>
  <c r="H22" i="151" s="1"/>
  <c r="C19" i="116"/>
  <c r="H24" i="138" s="1"/>
  <c r="I24" i="138" s="1"/>
  <c r="E9" i="116"/>
  <c r="H10" i="147" s="1"/>
  <c r="K9" i="116"/>
  <c r="H19" i="116"/>
  <c r="C16" i="116"/>
  <c r="H21" i="138" s="1"/>
  <c r="I21" i="138" s="1"/>
  <c r="K17" i="116"/>
  <c r="I11" i="116"/>
  <c r="H11" i="116"/>
  <c r="C17" i="116"/>
  <c r="H22" i="138" s="1"/>
  <c r="I22" i="138" s="1"/>
  <c r="E13" i="116"/>
  <c r="H14" i="147" s="1"/>
  <c r="C10" i="116"/>
  <c r="H11" i="138" s="1"/>
  <c r="I11" i="138" s="1"/>
  <c r="H16" i="116"/>
  <c r="H21" i="151" s="1"/>
  <c r="I9" i="116"/>
  <c r="I15" i="116"/>
  <c r="H20" i="153" s="1"/>
  <c r="I20" i="153" s="1"/>
  <c r="J20" i="153" s="1"/>
  <c r="C12" i="116"/>
  <c r="H13" i="138" s="1"/>
  <c r="I13" i="138" s="1"/>
  <c r="I13" i="116"/>
  <c r="I14" i="116"/>
  <c r="H19" i="153" s="1"/>
  <c r="I19" i="153" s="1"/>
  <c r="J19" i="153" s="1"/>
  <c r="D12" i="116"/>
  <c r="H13" i="146" s="1"/>
  <c r="J18" i="116"/>
  <c r="F17" i="116"/>
  <c r="H22" i="149" s="1"/>
  <c r="J9" i="116"/>
  <c r="D14" i="116"/>
  <c r="J12" i="116"/>
  <c r="D13" i="116"/>
  <c r="H14" i="146" s="1"/>
  <c r="D17" i="116"/>
  <c r="G15" i="116"/>
  <c r="J17" i="116"/>
  <c r="H22" i="161" s="1"/>
  <c r="I22" i="161" s="1"/>
  <c r="J22" i="161" s="1"/>
  <c r="F19" i="116"/>
  <c r="H24" i="149" s="1"/>
  <c r="G13" i="116"/>
  <c r="H9" i="116"/>
  <c r="J10" i="116"/>
  <c r="D11" i="116"/>
  <c r="H12" i="146" s="1"/>
  <c r="F11" i="116"/>
  <c r="G9" i="116"/>
  <c r="K19" i="116"/>
  <c r="K13" i="116"/>
  <c r="J16" i="116"/>
  <c r="H21" i="161" s="1"/>
  <c r="I21" i="161" s="1"/>
  <c r="J21" i="161" s="1"/>
  <c r="K14" i="116"/>
  <c r="F10" i="116"/>
  <c r="H12" i="116"/>
  <c r="K10" i="116"/>
  <c r="C11" i="116"/>
  <c r="H12" i="138" s="1"/>
  <c r="I12" i="138" s="1"/>
  <c r="F9" i="116"/>
  <c r="E14" i="116"/>
  <c r="C15" i="116"/>
  <c r="H20" i="138" s="1"/>
  <c r="I20" i="138" s="1"/>
  <c r="I16" i="116"/>
  <c r="H21" i="153" s="1"/>
  <c r="I21" i="153" s="1"/>
  <c r="J21" i="153" s="1"/>
  <c r="E11" i="116"/>
  <c r="H12" i="147" s="1"/>
  <c r="I10" i="116"/>
  <c r="C9" i="116"/>
  <c r="H10" i="138" s="1"/>
  <c r="I10" i="138" s="1"/>
  <c r="H18" i="116"/>
  <c r="H23" i="151" s="1"/>
  <c r="C13" i="116"/>
  <c r="H14" i="138" s="1"/>
  <c r="I14" i="138" s="1"/>
  <c r="F12" i="116"/>
  <c r="H13" i="149" s="1"/>
  <c r="I18" i="116"/>
  <c r="I17" i="116"/>
  <c r="H22" i="153" s="1"/>
  <c r="I22" i="153" s="1"/>
  <c r="J22" i="153" s="1"/>
  <c r="G10" i="116"/>
  <c r="I19" i="116"/>
  <c r="G11" i="116"/>
  <c r="F15" i="116"/>
  <c r="H20" i="149" s="1"/>
  <c r="G12" i="116"/>
  <c r="J14" i="116"/>
  <c r="H19" i="161" s="1"/>
  <c r="I19" i="161" s="1"/>
  <c r="J19" i="161" s="1"/>
  <c r="D16" i="116"/>
  <c r="J15" i="116"/>
  <c r="H20" i="161" s="1"/>
  <c r="I20" i="161" s="1"/>
  <c r="J20" i="161" s="1"/>
  <c r="G16" i="116"/>
  <c r="G18" i="116"/>
  <c r="H13" i="116"/>
  <c r="J19" i="116"/>
  <c r="J11" i="116"/>
  <c r="F13" i="116"/>
  <c r="E15" i="116"/>
  <c r="K16" i="116"/>
  <c r="K18" i="116"/>
  <c r="E16" i="116"/>
  <c r="K12" i="116"/>
  <c r="C14" i="116"/>
  <c r="H19" i="138" s="1"/>
  <c r="I19" i="138" s="1"/>
  <c r="K11" i="116"/>
  <c r="E17" i="116"/>
  <c r="K15" i="116"/>
  <c r="C18" i="116"/>
  <c r="H23" i="138" s="1"/>
  <c r="I23" i="138" s="1"/>
  <c r="D18" i="116"/>
  <c r="F18" i="116"/>
  <c r="J13" i="116"/>
  <c r="D15" i="116"/>
  <c r="F16" i="116"/>
  <c r="H21" i="149" s="1"/>
  <c r="D10" i="116"/>
  <c r="H11" i="146" s="1"/>
  <c r="D19" i="116"/>
  <c r="G19" i="116"/>
  <c r="D9" i="116"/>
  <c r="H10" i="146" s="1"/>
  <c r="G17" i="116"/>
  <c r="G14" i="116"/>
  <c r="E12" i="116"/>
  <c r="H13" i="147" s="1"/>
  <c r="E18" i="116"/>
  <c r="F14" i="116"/>
  <c r="H15" i="116"/>
  <c r="H20" i="151" s="1"/>
  <c r="H10" i="116"/>
  <c r="E10" i="116"/>
  <c r="H11" i="147" s="1"/>
  <c r="H14" i="116"/>
  <c r="H19" i="151" s="1"/>
  <c r="E19" i="116"/>
  <c r="F20" i="117"/>
  <c r="H49" i="149" s="1"/>
  <c r="I49" i="149" s="1"/>
  <c r="J49" i="149" s="1"/>
  <c r="D20" i="117"/>
  <c r="H49" i="147" s="1"/>
  <c r="I49" i="147" s="1"/>
  <c r="J49" i="147" s="1"/>
  <c r="D21" i="117"/>
  <c r="H50" i="147" s="1"/>
  <c r="I50" i="147" s="1"/>
  <c r="J50" i="147" s="1"/>
  <c r="F21" i="117"/>
  <c r="H50" i="149" s="1"/>
  <c r="I50" i="149" s="1"/>
  <c r="J50" i="149" s="1"/>
  <c r="F22" i="117"/>
  <c r="H51" i="149" s="1"/>
  <c r="I51" i="149" s="1"/>
  <c r="J51" i="149" s="1"/>
  <c r="D22" i="117"/>
  <c r="H51" i="147" s="1"/>
  <c r="I51" i="147" s="1"/>
  <c r="J51" i="147" s="1"/>
  <c r="K45" i="147" s="1"/>
  <c r="J48" i="147" l="1"/>
  <c r="J46" i="147" s="1"/>
  <c r="H22" i="146"/>
  <c r="H22" i="147"/>
  <c r="H19" i="147"/>
  <c r="H19" i="146"/>
  <c r="H24" i="146"/>
  <c r="H24" i="147"/>
  <c r="H21" i="146"/>
  <c r="H21" i="147"/>
  <c r="H23" i="146"/>
  <c r="H23" i="147"/>
  <c r="H20" i="146"/>
  <c r="H20" i="147"/>
  <c r="K21" i="117"/>
  <c r="H50" i="145" s="1"/>
  <c r="J48" i="149"/>
  <c r="J46" i="149" s="1"/>
  <c r="H12" i="149"/>
  <c r="K20" i="117"/>
  <c r="H49" i="145" s="1"/>
  <c r="K22" i="117"/>
  <c r="H51" i="145" s="1"/>
  <c r="H14" i="150"/>
  <c r="H13" i="152"/>
  <c r="I13" i="152" s="1"/>
  <c r="J13" i="152" s="1"/>
  <c r="H13" i="150"/>
  <c r="H10" i="149"/>
  <c r="H14" i="149"/>
  <c r="H14" i="152"/>
  <c r="I14" i="152" s="1"/>
  <c r="J14" i="152" s="1"/>
  <c r="H11" i="149" l="1"/>
  <c r="H14" i="153"/>
  <c r="I14" i="153" s="1"/>
  <c r="J14" i="153" s="1"/>
  <c r="H14" i="161"/>
  <c r="I14" i="161" s="1"/>
  <c r="J14" i="161" s="1"/>
  <c r="H13" i="153"/>
  <c r="I13" i="153" s="1"/>
  <c r="J13" i="153" s="1"/>
  <c r="H13" i="161"/>
  <c r="I13" i="161" s="1"/>
  <c r="J13" i="161" s="1"/>
  <c r="H23" i="150"/>
  <c r="H22" i="150"/>
  <c r="H24" i="151"/>
  <c r="H24" i="150"/>
  <c r="H21" i="150"/>
  <c r="H19" i="150"/>
  <c r="H19" i="149"/>
  <c r="H23" i="149"/>
  <c r="H24" i="153" l="1"/>
  <c r="I24" i="153" s="1"/>
  <c r="J24" i="153" s="1"/>
  <c r="H24" i="161"/>
  <c r="I24" i="161" s="1"/>
  <c r="J24" i="161" s="1"/>
  <c r="H12" i="152"/>
  <c r="I12" i="152" s="1"/>
  <c r="J12" i="152" s="1"/>
  <c r="H12" i="150"/>
  <c r="H20" i="150"/>
  <c r="H10" i="152" l="1"/>
  <c r="I10" i="152" s="1"/>
  <c r="J10" i="152" s="1"/>
  <c r="H10" i="151"/>
  <c r="H23" i="161"/>
  <c r="I23" i="161" s="1"/>
  <c r="J23" i="161" s="1"/>
  <c r="H10" i="150"/>
  <c r="H12" i="153"/>
  <c r="I12" i="153" s="1"/>
  <c r="J12" i="153" s="1"/>
  <c r="H12" i="161"/>
  <c r="I12" i="161" s="1"/>
  <c r="J12" i="161" s="1"/>
  <c r="H11" i="150"/>
  <c r="H11" i="152"/>
  <c r="I11" i="152" s="1"/>
  <c r="J11" i="152" s="1"/>
  <c r="H11" i="153" l="1"/>
  <c r="I11" i="153" s="1"/>
  <c r="J11" i="153" s="1"/>
  <c r="H11" i="161"/>
  <c r="I11" i="161" s="1"/>
  <c r="J11" i="161" s="1"/>
  <c r="H10" i="161"/>
  <c r="I10" i="161" s="1"/>
  <c r="J10" i="161" s="1"/>
  <c r="F27" i="82"/>
  <c r="F26" i="82"/>
  <c r="F25" i="82"/>
  <c r="F24" i="82"/>
  <c r="F23" i="82"/>
  <c r="F22" i="82"/>
  <c r="F17" i="82"/>
  <c r="F16" i="82"/>
  <c r="F15" i="82"/>
  <c r="F14" i="82"/>
  <c r="F13" i="82"/>
  <c r="J52" i="82"/>
  <c r="I20" i="160"/>
  <c r="I19" i="160"/>
  <c r="A1" i="82"/>
  <c r="E11" i="117"/>
  <c r="B1" i="163"/>
  <c r="A9" i="163"/>
  <c r="I19" i="129"/>
  <c r="G9" i="129"/>
  <c r="F19" i="129"/>
  <c r="E10" i="129"/>
  <c r="E11" i="129"/>
  <c r="E12" i="129"/>
  <c r="E13" i="129"/>
  <c r="E14" i="129"/>
  <c r="E15" i="129"/>
  <c r="E16" i="129"/>
  <c r="E17" i="129"/>
  <c r="E18" i="129"/>
  <c r="E9" i="129"/>
  <c r="H9" i="129" s="1"/>
  <c r="B5" i="54"/>
  <c r="B5" i="116" s="1"/>
  <c r="C51" i="40"/>
  <c r="H10" i="153" l="1"/>
  <c r="I10" i="153" s="1"/>
  <c r="J10" i="153" s="1"/>
  <c r="H23" i="153"/>
  <c r="I23" i="153" s="1"/>
  <c r="J23" i="153" s="1"/>
  <c r="E19" i="129"/>
  <c r="H15" i="117" s="1"/>
  <c r="H35" i="151" s="1"/>
  <c r="E9" i="117"/>
  <c r="H10" i="129"/>
  <c r="B5" i="163"/>
  <c r="C25" i="54"/>
  <c r="K11" i="117"/>
  <c r="H31" i="145"/>
  <c r="H31" i="146"/>
  <c r="K1" i="160"/>
  <c r="G14" i="110"/>
  <c r="C23" i="54"/>
  <c r="H16" i="117" l="1"/>
  <c r="H36" i="151" s="1"/>
  <c r="H17" i="117"/>
  <c r="H37" i="151" s="1"/>
  <c r="F12" i="110"/>
  <c r="G12" i="110"/>
  <c r="H35" i="145"/>
  <c r="K15" i="117"/>
  <c r="H29" i="145"/>
  <c r="H29" i="146"/>
  <c r="K9" i="117"/>
  <c r="C24" i="54"/>
  <c r="F11" i="110" s="1"/>
  <c r="E10" i="117"/>
  <c r="B16" i="159"/>
  <c r="B19" i="159"/>
  <c r="G17" i="110" l="1"/>
  <c r="H37" i="145"/>
  <c r="K17" i="117"/>
  <c r="K16" i="117"/>
  <c r="H36" i="145"/>
  <c r="G11" i="110"/>
  <c r="G18" i="110" s="1"/>
  <c r="D13" i="117" s="1"/>
  <c r="H41" i="147" s="1"/>
  <c r="K10" i="117"/>
  <c r="H30" i="145"/>
  <c r="H30" i="146"/>
  <c r="E51" i="161"/>
  <c r="D51" i="161"/>
  <c r="C51" i="161"/>
  <c r="B51" i="161"/>
  <c r="E50" i="161"/>
  <c r="D50" i="161"/>
  <c r="C50" i="161"/>
  <c r="B50" i="161"/>
  <c r="G49" i="161"/>
  <c r="E49" i="161"/>
  <c r="D49" i="161"/>
  <c r="C49" i="161"/>
  <c r="B49" i="161"/>
  <c r="G41" i="161"/>
  <c r="E41" i="161"/>
  <c r="D41" i="161"/>
  <c r="C41" i="161"/>
  <c r="G40" i="161"/>
  <c r="E40" i="161"/>
  <c r="D40" i="161"/>
  <c r="C40" i="161"/>
  <c r="G37" i="161"/>
  <c r="E37" i="161"/>
  <c r="D37" i="161"/>
  <c r="C37" i="161"/>
  <c r="G36" i="161"/>
  <c r="E36" i="161"/>
  <c r="D36" i="161"/>
  <c r="C36" i="161"/>
  <c r="G35" i="161"/>
  <c r="E35" i="161"/>
  <c r="D35" i="161"/>
  <c r="C35" i="161"/>
  <c r="G34" i="161"/>
  <c r="E34" i="161"/>
  <c r="D34" i="161"/>
  <c r="C34" i="161"/>
  <c r="G31" i="161"/>
  <c r="E31" i="161"/>
  <c r="D31" i="161"/>
  <c r="C31" i="161"/>
  <c r="G30" i="161"/>
  <c r="E30" i="161"/>
  <c r="D30" i="161"/>
  <c r="C30" i="161"/>
  <c r="G29" i="161"/>
  <c r="E29" i="161"/>
  <c r="D29" i="161"/>
  <c r="C29" i="161"/>
  <c r="E24" i="161"/>
  <c r="D24" i="161"/>
  <c r="C24" i="161"/>
  <c r="E23" i="161"/>
  <c r="D23" i="161"/>
  <c r="C23" i="161"/>
  <c r="E22" i="161"/>
  <c r="D22" i="161"/>
  <c r="C22" i="161"/>
  <c r="E21" i="161"/>
  <c r="D21" i="161"/>
  <c r="C21" i="161"/>
  <c r="E20" i="161"/>
  <c r="D20" i="161"/>
  <c r="C20" i="161"/>
  <c r="E19" i="161"/>
  <c r="D19" i="161"/>
  <c r="C19" i="161"/>
  <c r="E14" i="161"/>
  <c r="D14" i="161"/>
  <c r="C14" i="161"/>
  <c r="E13" i="161"/>
  <c r="D13" i="161"/>
  <c r="C13" i="161"/>
  <c r="E12" i="161"/>
  <c r="D12" i="161"/>
  <c r="C12" i="161"/>
  <c r="E11" i="161"/>
  <c r="D11" i="161"/>
  <c r="C11" i="161"/>
  <c r="E10" i="161"/>
  <c r="D10" i="161"/>
  <c r="C10" i="161"/>
  <c r="D12" i="117" l="1"/>
  <c r="H40" i="147" s="1"/>
  <c r="G19" i="110"/>
  <c r="K13" i="117"/>
  <c r="H41" i="145"/>
  <c r="B15" i="125"/>
  <c r="H40" i="145" l="1"/>
  <c r="K12" i="117"/>
  <c r="K19" i="160"/>
  <c r="M15" i="82" l="1"/>
  <c r="I15" i="82" s="1"/>
  <c r="M13" i="82"/>
  <c r="I13" i="82" s="1"/>
  <c r="J13" i="82" s="1"/>
  <c r="M16" i="82"/>
  <c r="I16" i="82" s="1"/>
  <c r="M17" i="82"/>
  <c r="I17" i="82" s="1"/>
  <c r="M27" i="82"/>
  <c r="I27" i="82" s="1"/>
  <c r="M26" i="82"/>
  <c r="I26" i="82" s="1"/>
  <c r="M25" i="82"/>
  <c r="I25" i="82" s="1"/>
  <c r="M24" i="82"/>
  <c r="I24" i="82" s="1"/>
  <c r="M23" i="82"/>
  <c r="I23" i="82" s="1"/>
  <c r="M22" i="82"/>
  <c r="I22" i="82" s="1"/>
  <c r="M14" i="82"/>
  <c r="I14" i="82" s="1"/>
  <c r="F36" i="161"/>
  <c r="F35" i="161"/>
  <c r="F37" i="161"/>
  <c r="F29" i="161"/>
  <c r="F30" i="161"/>
  <c r="F31" i="161"/>
  <c r="F40" i="161"/>
  <c r="F34" i="161"/>
  <c r="F41" i="161"/>
  <c r="H11" i="129"/>
  <c r="H12" i="129"/>
  <c r="H13" i="129"/>
  <c r="H14" i="129"/>
  <c r="H15" i="129"/>
  <c r="H16" i="129"/>
  <c r="H17" i="129"/>
  <c r="H18" i="129"/>
  <c r="H19" i="129" l="1"/>
  <c r="G17" i="129"/>
  <c r="G10" i="129"/>
  <c r="G18" i="129"/>
  <c r="G11" i="129"/>
  <c r="G12" i="129"/>
  <c r="G16" i="129"/>
  <c r="G13" i="129"/>
  <c r="G14" i="129"/>
  <c r="G15" i="129"/>
  <c r="G19" i="129" l="1"/>
  <c r="B20" i="117"/>
  <c r="C14" i="95" l="1"/>
  <c r="C13" i="145"/>
  <c r="D13" i="145"/>
  <c r="E13" i="145"/>
  <c r="C13" i="152"/>
  <c r="D13" i="152"/>
  <c r="E13" i="152"/>
  <c r="C13" i="153"/>
  <c r="D13" i="153"/>
  <c r="E13" i="153"/>
  <c r="C13" i="151"/>
  <c r="D13" i="151"/>
  <c r="E13" i="151"/>
  <c r="H13" i="151"/>
  <c r="C13" i="150"/>
  <c r="D13" i="150"/>
  <c r="E13" i="150"/>
  <c r="C14" i="150"/>
  <c r="D14" i="150"/>
  <c r="E14" i="150"/>
  <c r="C13" i="149"/>
  <c r="D13" i="149"/>
  <c r="E13" i="149"/>
  <c r="C13" i="147"/>
  <c r="D13" i="147"/>
  <c r="E13" i="147"/>
  <c r="D13" i="146"/>
  <c r="E13" i="146"/>
  <c r="C13" i="146"/>
  <c r="L12" i="116"/>
  <c r="E13" i="138"/>
  <c r="D13" i="138"/>
  <c r="B37" i="138"/>
  <c r="B37" i="161" s="1"/>
  <c r="B41" i="138"/>
  <c r="B41" i="161" s="1"/>
  <c r="B40" i="138"/>
  <c r="B35" i="138"/>
  <c r="B36" i="138"/>
  <c r="B36" i="161" s="1"/>
  <c r="B34" i="138"/>
  <c r="B30" i="138"/>
  <c r="B31" i="138"/>
  <c r="B29" i="138"/>
  <c r="B20" i="138"/>
  <c r="B20" i="161" s="1"/>
  <c r="B21" i="138"/>
  <c r="B22" i="138"/>
  <c r="B23" i="138"/>
  <c r="B23" i="161" s="1"/>
  <c r="B24" i="138"/>
  <c r="B19" i="138"/>
  <c r="B11" i="138"/>
  <c r="B12" i="138"/>
  <c r="B13" i="138"/>
  <c r="B13" i="161" s="1"/>
  <c r="B14" i="138"/>
  <c r="B10" i="138"/>
  <c r="B10" i="147" s="1"/>
  <c r="M12" i="116" l="1"/>
  <c r="H13" i="145"/>
  <c r="B21" i="146"/>
  <c r="B21" i="161"/>
  <c r="B29" i="152"/>
  <c r="B29" i="161"/>
  <c r="B22" i="145"/>
  <c r="B22" i="161"/>
  <c r="B31" i="145"/>
  <c r="B31" i="161"/>
  <c r="B14" i="145"/>
  <c r="B14" i="161"/>
  <c r="B30" i="146"/>
  <c r="B30" i="161"/>
  <c r="B34" i="152"/>
  <c r="B34" i="161"/>
  <c r="B11" i="153"/>
  <c r="B11" i="161"/>
  <c r="B35" i="152"/>
  <c r="B35" i="161"/>
  <c r="B24" i="152"/>
  <c r="B24" i="161"/>
  <c r="B10" i="145"/>
  <c r="B10" i="161"/>
  <c r="B12" i="145"/>
  <c r="B12" i="161"/>
  <c r="B19" i="146"/>
  <c r="B19" i="161"/>
  <c r="B40" i="146"/>
  <c r="B40" i="161"/>
  <c r="B13" i="145"/>
  <c r="B13" i="149"/>
  <c r="B23" i="152"/>
  <c r="B23" i="146"/>
  <c r="B20" i="152"/>
  <c r="B20" i="145"/>
  <c r="B36" i="145"/>
  <c r="B36" i="152"/>
  <c r="B36" i="150"/>
  <c r="B36" i="146"/>
  <c r="B41" i="145"/>
  <c r="B41" i="151"/>
  <c r="B41" i="147"/>
  <c r="B37" i="151"/>
  <c r="B37" i="146"/>
  <c r="B21" i="149"/>
  <c r="B14" i="149"/>
  <c r="B20" i="149"/>
  <c r="B41" i="152"/>
  <c r="B30" i="145"/>
  <c r="B29" i="146"/>
  <c r="B41" i="146"/>
  <c r="B19" i="149"/>
  <c r="B30" i="149"/>
  <c r="B41" i="150"/>
  <c r="B36" i="153"/>
  <c r="B24" i="145"/>
  <c r="B34" i="145"/>
  <c r="B20" i="146"/>
  <c r="B13" i="153"/>
  <c r="B19" i="145"/>
  <c r="B24" i="146"/>
  <c r="B34" i="146"/>
  <c r="B36" i="147"/>
  <c r="B24" i="149"/>
  <c r="B34" i="149"/>
  <c r="B36" i="151"/>
  <c r="B41" i="153"/>
  <c r="B21" i="145"/>
  <c r="B14" i="146"/>
  <c r="B14" i="147"/>
  <c r="B19" i="147"/>
  <c r="B21" i="147"/>
  <c r="B30" i="147"/>
  <c r="B35" i="147"/>
  <c r="B40" i="149"/>
  <c r="B14" i="150"/>
  <c r="B19" i="150"/>
  <c r="B21" i="150"/>
  <c r="B30" i="150"/>
  <c r="B35" i="150"/>
  <c r="B14" i="151"/>
  <c r="B19" i="151"/>
  <c r="B21" i="151"/>
  <c r="B30" i="151"/>
  <c r="B35" i="151"/>
  <c r="B14" i="153"/>
  <c r="B19" i="153"/>
  <c r="B21" i="153"/>
  <c r="B30" i="153"/>
  <c r="B37" i="153"/>
  <c r="B14" i="152"/>
  <c r="B19" i="152"/>
  <c r="B21" i="152"/>
  <c r="B30" i="152"/>
  <c r="B37" i="152"/>
  <c r="B40" i="145"/>
  <c r="B35" i="146"/>
  <c r="B13" i="146"/>
  <c r="B13" i="147"/>
  <c r="B24" i="147"/>
  <c r="B20" i="147"/>
  <c r="B34" i="147"/>
  <c r="B40" i="147"/>
  <c r="B12" i="149"/>
  <c r="B23" i="149"/>
  <c r="B29" i="149"/>
  <c r="B37" i="149"/>
  <c r="B41" i="149"/>
  <c r="B13" i="150"/>
  <c r="B24" i="150"/>
  <c r="B20" i="150"/>
  <c r="B34" i="150"/>
  <c r="B40" i="150"/>
  <c r="B13" i="151"/>
  <c r="B24" i="151"/>
  <c r="B20" i="151"/>
  <c r="B34" i="151"/>
  <c r="B40" i="151"/>
  <c r="B12" i="153"/>
  <c r="B24" i="153"/>
  <c r="B20" i="153"/>
  <c r="B34" i="153"/>
  <c r="B40" i="153"/>
  <c r="B13" i="152"/>
  <c r="B40" i="152"/>
  <c r="B23" i="145"/>
  <c r="B29" i="145"/>
  <c r="B37" i="145"/>
  <c r="B10" i="146"/>
  <c r="B11" i="147"/>
  <c r="B22" i="147"/>
  <c r="B31" i="147"/>
  <c r="B10" i="149"/>
  <c r="B35" i="149"/>
  <c r="B10" i="150"/>
  <c r="B11" i="150"/>
  <c r="B22" i="150"/>
  <c r="B31" i="150"/>
  <c r="B10" i="151"/>
  <c r="B11" i="151"/>
  <c r="B22" i="151"/>
  <c r="B31" i="151"/>
  <c r="B10" i="153"/>
  <c r="B22" i="153"/>
  <c r="B31" i="153"/>
  <c r="B10" i="152"/>
  <c r="B11" i="152"/>
  <c r="B22" i="152"/>
  <c r="B31" i="152"/>
  <c r="B11" i="145"/>
  <c r="B35" i="145"/>
  <c r="B11" i="146"/>
  <c r="B22" i="146"/>
  <c r="B31" i="146"/>
  <c r="B12" i="146"/>
  <c r="B12" i="147"/>
  <c r="B23" i="147"/>
  <c r="B29" i="147"/>
  <c r="B37" i="147"/>
  <c r="B11" i="149"/>
  <c r="B22" i="149"/>
  <c r="B31" i="149"/>
  <c r="B36" i="149"/>
  <c r="B12" i="150"/>
  <c r="B23" i="150"/>
  <c r="B29" i="150"/>
  <c r="B37" i="150"/>
  <c r="B12" i="151"/>
  <c r="B23" i="151"/>
  <c r="B29" i="151"/>
  <c r="B23" i="153"/>
  <c r="B29" i="153"/>
  <c r="B35" i="153"/>
  <c r="B12" i="152"/>
  <c r="F10" i="161" l="1"/>
  <c r="J16" i="82"/>
  <c r="F13" i="161" s="1"/>
  <c r="J15" i="82"/>
  <c r="F12" i="161" s="1"/>
  <c r="J14" i="82"/>
  <c r="F11" i="161" s="1"/>
  <c r="J17" i="82"/>
  <c r="F14" i="150" l="1"/>
  <c r="I14" i="150" s="1"/>
  <c r="J14" i="150" s="1"/>
  <c r="F14" i="161"/>
  <c r="F13" i="145"/>
  <c r="I13" i="145" s="1"/>
  <c r="J13" i="145" s="1"/>
  <c r="F13" i="151"/>
  <c r="I13" i="151" s="1"/>
  <c r="J13" i="151" s="1"/>
  <c r="F13" i="138"/>
  <c r="J13" i="138" s="1"/>
  <c r="F13" i="152"/>
  <c r="F13" i="146"/>
  <c r="I13" i="146" s="1"/>
  <c r="J13" i="146" s="1"/>
  <c r="F13" i="150"/>
  <c r="I13" i="150" s="1"/>
  <c r="J13" i="150" s="1"/>
  <c r="F13" i="147"/>
  <c r="I13" i="147" s="1"/>
  <c r="J13" i="147" s="1"/>
  <c r="F13" i="153"/>
  <c r="F13" i="149"/>
  <c r="I13" i="149" s="1"/>
  <c r="J13" i="149" s="1"/>
  <c r="D19" i="129" l="1"/>
  <c r="G49" i="145" l="1"/>
  <c r="G49" i="152"/>
  <c r="G49" i="153"/>
  <c r="G49" i="151"/>
  <c r="G49" i="150"/>
  <c r="G49" i="149"/>
  <c r="G49" i="147"/>
  <c r="G49" i="146"/>
  <c r="D23" i="152" l="1"/>
  <c r="D23" i="150"/>
  <c r="D24" i="150"/>
  <c r="D51" i="145" l="1"/>
  <c r="C51" i="145"/>
  <c r="B51" i="145"/>
  <c r="D50" i="145"/>
  <c r="C50" i="145"/>
  <c r="B50" i="145"/>
  <c r="D49" i="145"/>
  <c r="C49" i="145"/>
  <c r="B49" i="145"/>
  <c r="C40" i="145"/>
  <c r="C41" i="145"/>
  <c r="C34" i="145"/>
  <c r="C35" i="145"/>
  <c r="C36" i="145"/>
  <c r="C37" i="145"/>
  <c r="C29" i="145"/>
  <c r="C30" i="145"/>
  <c r="C31" i="145"/>
  <c r="C19" i="145"/>
  <c r="C20" i="145"/>
  <c r="C21" i="145"/>
  <c r="C22" i="145"/>
  <c r="C23" i="145"/>
  <c r="C24" i="145"/>
  <c r="C10" i="145"/>
  <c r="C11" i="145"/>
  <c r="C12" i="145"/>
  <c r="C14" i="145"/>
  <c r="D51" i="152"/>
  <c r="C51" i="152"/>
  <c r="B51" i="152"/>
  <c r="D50" i="152"/>
  <c r="C50" i="152"/>
  <c r="B50" i="152"/>
  <c r="D49" i="152"/>
  <c r="C49" i="152"/>
  <c r="B49" i="152"/>
  <c r="C40" i="152"/>
  <c r="C41" i="152"/>
  <c r="C34" i="152"/>
  <c r="C35" i="152"/>
  <c r="C36" i="152"/>
  <c r="C37" i="152"/>
  <c r="C29" i="152"/>
  <c r="C30" i="152"/>
  <c r="C31" i="152"/>
  <c r="C19" i="152"/>
  <c r="C20" i="152"/>
  <c r="C21" i="152"/>
  <c r="C22" i="152"/>
  <c r="C23" i="152"/>
  <c r="C24" i="152"/>
  <c r="C10" i="152"/>
  <c r="C11" i="152"/>
  <c r="C12" i="152"/>
  <c r="C14" i="152"/>
  <c r="D51" i="153"/>
  <c r="C51" i="153"/>
  <c r="B51" i="153"/>
  <c r="D50" i="153"/>
  <c r="C50" i="153"/>
  <c r="B50" i="153"/>
  <c r="D49" i="153"/>
  <c r="C49" i="153"/>
  <c r="B49" i="153"/>
  <c r="C40" i="153"/>
  <c r="C41" i="153"/>
  <c r="C34" i="153"/>
  <c r="C35" i="153"/>
  <c r="C36" i="153"/>
  <c r="C37" i="153"/>
  <c r="C29" i="153"/>
  <c r="C30" i="153"/>
  <c r="C31" i="153"/>
  <c r="C19" i="153"/>
  <c r="C20" i="153"/>
  <c r="C21" i="153"/>
  <c r="C22" i="153"/>
  <c r="C23" i="153"/>
  <c r="C24" i="153"/>
  <c r="C10" i="153"/>
  <c r="C11" i="153"/>
  <c r="C12" i="153"/>
  <c r="C14" i="153"/>
  <c r="D51" i="151"/>
  <c r="C51" i="151"/>
  <c r="B51" i="151"/>
  <c r="D50" i="151"/>
  <c r="C50" i="151"/>
  <c r="B50" i="151"/>
  <c r="D49" i="151"/>
  <c r="C49" i="151"/>
  <c r="B49" i="151"/>
  <c r="C40" i="151"/>
  <c r="C41" i="151"/>
  <c r="C34" i="151"/>
  <c r="C35" i="151"/>
  <c r="C36" i="151"/>
  <c r="C37" i="151"/>
  <c r="C29" i="151"/>
  <c r="C30" i="151"/>
  <c r="C31" i="151"/>
  <c r="C19" i="151"/>
  <c r="C20" i="151"/>
  <c r="C21" i="151"/>
  <c r="C22" i="151"/>
  <c r="C23" i="151"/>
  <c r="C24" i="151"/>
  <c r="C10" i="151"/>
  <c r="C11" i="151"/>
  <c r="C12" i="151"/>
  <c r="C14" i="151"/>
  <c r="D51" i="150"/>
  <c r="C51" i="150"/>
  <c r="B51" i="150"/>
  <c r="D50" i="150"/>
  <c r="C50" i="150"/>
  <c r="B50" i="150"/>
  <c r="D49" i="150"/>
  <c r="C49" i="150"/>
  <c r="B49" i="150"/>
  <c r="C40" i="150"/>
  <c r="C41" i="150"/>
  <c r="C34" i="150"/>
  <c r="C35" i="150"/>
  <c r="C36" i="150"/>
  <c r="C37" i="150"/>
  <c r="C29" i="150"/>
  <c r="C30" i="150"/>
  <c r="C31" i="150"/>
  <c r="C19" i="150"/>
  <c r="C20" i="150"/>
  <c r="C21" i="150"/>
  <c r="C22" i="150"/>
  <c r="C23" i="150"/>
  <c r="C24" i="150"/>
  <c r="C10" i="150"/>
  <c r="C11" i="150"/>
  <c r="C12" i="150"/>
  <c r="C40" i="149"/>
  <c r="C41" i="149"/>
  <c r="C34" i="149"/>
  <c r="C35" i="149"/>
  <c r="C36" i="149"/>
  <c r="C37" i="149"/>
  <c r="C29" i="149"/>
  <c r="C30" i="149"/>
  <c r="C31" i="149"/>
  <c r="C19" i="149"/>
  <c r="C20" i="149"/>
  <c r="C21" i="149"/>
  <c r="C22" i="149"/>
  <c r="C23" i="149"/>
  <c r="C24" i="149"/>
  <c r="C10" i="149"/>
  <c r="C11" i="149"/>
  <c r="C12" i="149"/>
  <c r="C14" i="149"/>
  <c r="E49" i="150"/>
  <c r="E50" i="150"/>
  <c r="E51" i="150"/>
  <c r="D51" i="149"/>
  <c r="C51" i="149"/>
  <c r="B51" i="149"/>
  <c r="D50" i="149"/>
  <c r="C50" i="149"/>
  <c r="B50" i="149"/>
  <c r="D49" i="149"/>
  <c r="C49" i="149"/>
  <c r="B49" i="149"/>
  <c r="D51" i="147"/>
  <c r="C51" i="147"/>
  <c r="B51" i="147"/>
  <c r="D50" i="147"/>
  <c r="C50" i="147"/>
  <c r="B50" i="147"/>
  <c r="D49" i="147"/>
  <c r="C49" i="147"/>
  <c r="B49" i="147"/>
  <c r="C40" i="147"/>
  <c r="C41" i="147"/>
  <c r="C34" i="147"/>
  <c r="C35" i="147"/>
  <c r="C36" i="147"/>
  <c r="C37" i="147"/>
  <c r="C29" i="147"/>
  <c r="C30" i="147"/>
  <c r="C31" i="147"/>
  <c r="C19" i="147"/>
  <c r="C20" i="147"/>
  <c r="C21" i="147"/>
  <c r="C22" i="147"/>
  <c r="C23" i="147"/>
  <c r="C24" i="147"/>
  <c r="C10" i="147"/>
  <c r="C11" i="147"/>
  <c r="C12" i="147"/>
  <c r="C14" i="147"/>
  <c r="D51" i="146"/>
  <c r="C51" i="146"/>
  <c r="B51" i="146"/>
  <c r="D50" i="146"/>
  <c r="C50" i="146"/>
  <c r="B50" i="146"/>
  <c r="D49" i="146"/>
  <c r="C49" i="146"/>
  <c r="B49" i="146"/>
  <c r="C40" i="146"/>
  <c r="C41" i="146"/>
  <c r="C34" i="146"/>
  <c r="C35" i="146"/>
  <c r="C36" i="146"/>
  <c r="C37" i="146"/>
  <c r="C29" i="146"/>
  <c r="C30" i="146"/>
  <c r="C31" i="146"/>
  <c r="C19" i="146"/>
  <c r="C20" i="146"/>
  <c r="C21" i="146"/>
  <c r="C22" i="146"/>
  <c r="C23" i="146"/>
  <c r="C24" i="146"/>
  <c r="C10" i="146"/>
  <c r="C11" i="146"/>
  <c r="C12" i="146"/>
  <c r="C14" i="146"/>
  <c r="B50" i="138"/>
  <c r="B51" i="138"/>
  <c r="B49" i="138"/>
  <c r="C50" i="138"/>
  <c r="C51" i="138"/>
  <c r="C49" i="138"/>
  <c r="C41" i="138"/>
  <c r="C40" i="138"/>
  <c r="C37" i="138"/>
  <c r="C36" i="138"/>
  <c r="C35" i="138"/>
  <c r="C34" i="138"/>
  <c r="C31" i="138"/>
  <c r="C30" i="138"/>
  <c r="C29" i="138"/>
  <c r="C20" i="138"/>
  <c r="C21" i="138"/>
  <c r="C22" i="138"/>
  <c r="C23" i="138"/>
  <c r="C24" i="138"/>
  <c r="C19" i="138"/>
  <c r="C11" i="138"/>
  <c r="C12" i="138"/>
  <c r="C14" i="138"/>
  <c r="C10" i="138"/>
  <c r="D50" i="138"/>
  <c r="D51" i="138"/>
  <c r="D49" i="138"/>
  <c r="A1" i="159"/>
  <c r="L10" i="116" l="1"/>
  <c r="L11" i="116"/>
  <c r="L13" i="116"/>
  <c r="L14" i="116"/>
  <c r="L15" i="116"/>
  <c r="L16" i="116"/>
  <c r="L17" i="116"/>
  <c r="L18" i="116"/>
  <c r="L19" i="116"/>
  <c r="L9" i="116"/>
  <c r="M19" i="116" l="1"/>
  <c r="H24" i="145"/>
  <c r="M18" i="116"/>
  <c r="H23" i="145"/>
  <c r="M17" i="116"/>
  <c r="H22" i="145"/>
  <c r="M16" i="116"/>
  <c r="H21" i="145"/>
  <c r="M15" i="116"/>
  <c r="H20" i="145"/>
  <c r="M14" i="116"/>
  <c r="H19" i="145"/>
  <c r="M11" i="116"/>
  <c r="H12" i="145"/>
  <c r="M13" i="116"/>
  <c r="H14" i="145"/>
  <c r="M10" i="116"/>
  <c r="H11" i="145"/>
  <c r="M9" i="116"/>
  <c r="M8" i="116" s="1"/>
  <c r="H10" i="145"/>
  <c r="F30" i="152"/>
  <c r="F40" i="153"/>
  <c r="H20" i="152"/>
  <c r="I20" i="152" s="1"/>
  <c r="J20" i="152" s="1"/>
  <c r="H21" i="152"/>
  <c r="I21" i="152" s="1"/>
  <c r="J21" i="152" s="1"/>
  <c r="H22" i="152"/>
  <c r="I22" i="152" s="1"/>
  <c r="J22" i="152" s="1"/>
  <c r="H23" i="152"/>
  <c r="I23" i="152" s="1"/>
  <c r="J23" i="152" s="1"/>
  <c r="H24" i="152"/>
  <c r="I24" i="152" s="1"/>
  <c r="J24" i="152" s="1"/>
  <c r="H19" i="152"/>
  <c r="I19" i="152" s="1"/>
  <c r="J19" i="152" s="1"/>
  <c r="G35" i="145"/>
  <c r="G36" i="145"/>
  <c r="G37" i="145"/>
  <c r="G34" i="145"/>
  <c r="F35" i="145"/>
  <c r="F36" i="145"/>
  <c r="F37" i="145"/>
  <c r="E35" i="145"/>
  <c r="E36" i="145"/>
  <c r="E37" i="145"/>
  <c r="E34" i="145"/>
  <c r="D35" i="145"/>
  <c r="D36" i="145"/>
  <c r="D37" i="145"/>
  <c r="D34" i="145"/>
  <c r="G30" i="145"/>
  <c r="G31" i="145"/>
  <c r="G29" i="145"/>
  <c r="G29" i="152"/>
  <c r="F31" i="145"/>
  <c r="F29" i="145"/>
  <c r="F31" i="152"/>
  <c r="F29" i="152"/>
  <c r="E30" i="145"/>
  <c r="E31" i="145"/>
  <c r="E29" i="145"/>
  <c r="D29" i="145"/>
  <c r="D30" i="145"/>
  <c r="D31" i="145"/>
  <c r="C2" i="152"/>
  <c r="E51" i="153"/>
  <c r="E50" i="153"/>
  <c r="E49" i="153"/>
  <c r="G41" i="153"/>
  <c r="F41" i="153"/>
  <c r="E41" i="153"/>
  <c r="D41" i="153"/>
  <c r="G40" i="153"/>
  <c r="E40" i="153"/>
  <c r="D40" i="153"/>
  <c r="G37" i="153"/>
  <c r="F37" i="153"/>
  <c r="E37" i="153"/>
  <c r="D37" i="153"/>
  <c r="G36" i="153"/>
  <c r="F36" i="153"/>
  <c r="E36" i="153"/>
  <c r="D36" i="153"/>
  <c r="G35" i="153"/>
  <c r="F35" i="153"/>
  <c r="E35" i="153"/>
  <c r="D35" i="153"/>
  <c r="G34" i="153"/>
  <c r="F34" i="153"/>
  <c r="E34" i="153"/>
  <c r="D34" i="153"/>
  <c r="G31" i="153"/>
  <c r="F31" i="153"/>
  <c r="E31" i="153"/>
  <c r="D31" i="153"/>
  <c r="G30" i="153"/>
  <c r="F30" i="153"/>
  <c r="E30" i="153"/>
  <c r="D30" i="153"/>
  <c r="G29" i="153"/>
  <c r="F29" i="153"/>
  <c r="E29" i="153"/>
  <c r="D29" i="153"/>
  <c r="E24" i="153"/>
  <c r="D24" i="153"/>
  <c r="E23" i="153"/>
  <c r="D23" i="153"/>
  <c r="E22" i="153"/>
  <c r="D22" i="153"/>
  <c r="E21" i="153"/>
  <c r="D21" i="153"/>
  <c r="E20" i="153"/>
  <c r="D20" i="153"/>
  <c r="E19" i="153"/>
  <c r="D19" i="153"/>
  <c r="E14" i="153"/>
  <c r="D14" i="153"/>
  <c r="E12" i="153"/>
  <c r="D12" i="153"/>
  <c r="E11" i="153"/>
  <c r="D11" i="153"/>
  <c r="E10" i="153"/>
  <c r="D10" i="153"/>
  <c r="E51" i="152"/>
  <c r="E50" i="152"/>
  <c r="E49" i="152"/>
  <c r="G41" i="152"/>
  <c r="F41" i="152"/>
  <c r="E41" i="152"/>
  <c r="D41" i="152"/>
  <c r="G40" i="152"/>
  <c r="E40" i="152"/>
  <c r="D40" i="152"/>
  <c r="G37" i="152"/>
  <c r="F37" i="152"/>
  <c r="E37" i="152"/>
  <c r="D37" i="152"/>
  <c r="G36" i="152"/>
  <c r="F36" i="152"/>
  <c r="E36" i="152"/>
  <c r="D36" i="152"/>
  <c r="G35" i="152"/>
  <c r="F35" i="152"/>
  <c r="E35" i="152"/>
  <c r="D35" i="152"/>
  <c r="G34" i="152"/>
  <c r="F34" i="152"/>
  <c r="E34" i="152"/>
  <c r="D34" i="152"/>
  <c r="G31" i="152"/>
  <c r="E31" i="152"/>
  <c r="D31" i="152"/>
  <c r="G30" i="152"/>
  <c r="E30" i="152"/>
  <c r="D30" i="152"/>
  <c r="E29" i="152"/>
  <c r="D29" i="152"/>
  <c r="E24" i="152"/>
  <c r="D24" i="152"/>
  <c r="E23" i="152"/>
  <c r="E22" i="152"/>
  <c r="D22" i="152"/>
  <c r="E21" i="152"/>
  <c r="D21" i="152"/>
  <c r="E20" i="152"/>
  <c r="D20" i="152"/>
  <c r="E19" i="152"/>
  <c r="D19" i="152"/>
  <c r="E14" i="152"/>
  <c r="D14" i="152"/>
  <c r="E12" i="152"/>
  <c r="D12" i="152"/>
  <c r="E11" i="152"/>
  <c r="D11" i="152"/>
  <c r="E10" i="152"/>
  <c r="D10" i="152"/>
  <c r="H11" i="151"/>
  <c r="H12" i="151"/>
  <c r="H14" i="151"/>
  <c r="C2" i="151"/>
  <c r="E51" i="151"/>
  <c r="E50" i="151"/>
  <c r="E49" i="151"/>
  <c r="G41" i="151"/>
  <c r="F41" i="151"/>
  <c r="I41" i="151" s="1"/>
  <c r="J41" i="151" s="1"/>
  <c r="E41" i="151"/>
  <c r="D41" i="151"/>
  <c r="G40" i="151"/>
  <c r="F40" i="151"/>
  <c r="I40" i="151" s="1"/>
  <c r="J40" i="151" s="1"/>
  <c r="E40" i="151"/>
  <c r="D40" i="151"/>
  <c r="G37" i="151"/>
  <c r="F37" i="151"/>
  <c r="I37" i="151" s="1"/>
  <c r="J37" i="151" s="1"/>
  <c r="E37" i="151"/>
  <c r="D37" i="151"/>
  <c r="G36" i="151"/>
  <c r="F36" i="151"/>
  <c r="I36" i="151" s="1"/>
  <c r="J36" i="151" s="1"/>
  <c r="E36" i="151"/>
  <c r="D36" i="151"/>
  <c r="G35" i="151"/>
  <c r="F35" i="151"/>
  <c r="I35" i="151" s="1"/>
  <c r="J35" i="151" s="1"/>
  <c r="E35" i="151"/>
  <c r="D35" i="151"/>
  <c r="G34" i="151"/>
  <c r="F34" i="151"/>
  <c r="I34" i="151" s="1"/>
  <c r="J34" i="151" s="1"/>
  <c r="E34" i="151"/>
  <c r="D34" i="151"/>
  <c r="G31" i="151"/>
  <c r="F31" i="151"/>
  <c r="I31" i="151" s="1"/>
  <c r="J31" i="151" s="1"/>
  <c r="E31" i="151"/>
  <c r="D31" i="151"/>
  <c r="G30" i="151"/>
  <c r="F30" i="151"/>
  <c r="I30" i="151" s="1"/>
  <c r="J30" i="151" s="1"/>
  <c r="E30" i="151"/>
  <c r="D30" i="151"/>
  <c r="G29" i="151"/>
  <c r="F29" i="151"/>
  <c r="I29" i="151" s="1"/>
  <c r="J29" i="151" s="1"/>
  <c r="E29" i="151"/>
  <c r="D29" i="151"/>
  <c r="E24" i="151"/>
  <c r="D24" i="151"/>
  <c r="E23" i="151"/>
  <c r="D23" i="151"/>
  <c r="E22" i="151"/>
  <c r="D22" i="151"/>
  <c r="E21" i="151"/>
  <c r="D21" i="151"/>
  <c r="E20" i="151"/>
  <c r="D20" i="151"/>
  <c r="E19" i="151"/>
  <c r="D19" i="151"/>
  <c r="E14" i="151"/>
  <c r="D14" i="151"/>
  <c r="E12" i="151"/>
  <c r="D12" i="151"/>
  <c r="E11" i="151"/>
  <c r="D11" i="151"/>
  <c r="E10" i="151"/>
  <c r="D10" i="151"/>
  <c r="C2" i="150"/>
  <c r="G41" i="150"/>
  <c r="F41" i="150"/>
  <c r="I41" i="150" s="1"/>
  <c r="J41" i="150" s="1"/>
  <c r="E41" i="150"/>
  <c r="D41" i="150"/>
  <c r="G40" i="150"/>
  <c r="F40" i="150"/>
  <c r="I40" i="150" s="1"/>
  <c r="J40" i="150" s="1"/>
  <c r="J39" i="150" s="1"/>
  <c r="E40" i="150"/>
  <c r="D40" i="150"/>
  <c r="G37" i="150"/>
  <c r="F37" i="150"/>
  <c r="I37" i="150" s="1"/>
  <c r="J37" i="150" s="1"/>
  <c r="E37" i="150"/>
  <c r="D37" i="150"/>
  <c r="G36" i="150"/>
  <c r="F36" i="150"/>
  <c r="I36" i="150" s="1"/>
  <c r="J36" i="150" s="1"/>
  <c r="E36" i="150"/>
  <c r="D36" i="150"/>
  <c r="G35" i="150"/>
  <c r="F35" i="150"/>
  <c r="I35" i="150" s="1"/>
  <c r="J35" i="150" s="1"/>
  <c r="E35" i="150"/>
  <c r="D35" i="150"/>
  <c r="G34" i="150"/>
  <c r="F34" i="150"/>
  <c r="I34" i="150" s="1"/>
  <c r="J34" i="150" s="1"/>
  <c r="J33" i="150" s="1"/>
  <c r="E34" i="150"/>
  <c r="D34" i="150"/>
  <c r="G31" i="150"/>
  <c r="F31" i="150"/>
  <c r="I31" i="150" s="1"/>
  <c r="J31" i="150" s="1"/>
  <c r="E31" i="150"/>
  <c r="D31" i="150"/>
  <c r="G30" i="150"/>
  <c r="F30" i="150"/>
  <c r="I30" i="150" s="1"/>
  <c r="J30" i="150" s="1"/>
  <c r="E30" i="150"/>
  <c r="D30" i="150"/>
  <c r="G29" i="150"/>
  <c r="F29" i="150"/>
  <c r="I29" i="150" s="1"/>
  <c r="J29" i="150" s="1"/>
  <c r="E29" i="150"/>
  <c r="D29" i="150"/>
  <c r="E24" i="150"/>
  <c r="E23" i="150"/>
  <c r="E22" i="150"/>
  <c r="D22" i="150"/>
  <c r="E21" i="150"/>
  <c r="D21" i="150"/>
  <c r="E20" i="150"/>
  <c r="D20" i="150"/>
  <c r="E19" i="150"/>
  <c r="D19" i="150"/>
  <c r="E12" i="150"/>
  <c r="D12" i="150"/>
  <c r="E11" i="150"/>
  <c r="D11" i="150"/>
  <c r="E10" i="150"/>
  <c r="D10" i="150"/>
  <c r="C2" i="149"/>
  <c r="E51" i="149"/>
  <c r="E50" i="149"/>
  <c r="E49" i="149"/>
  <c r="G41" i="149"/>
  <c r="F41" i="149"/>
  <c r="I41" i="149" s="1"/>
  <c r="J41" i="149" s="1"/>
  <c r="E41" i="149"/>
  <c r="D41" i="149"/>
  <c r="G40" i="149"/>
  <c r="E40" i="149"/>
  <c r="D40" i="149"/>
  <c r="G37" i="149"/>
  <c r="F37" i="149"/>
  <c r="I37" i="149" s="1"/>
  <c r="J37" i="149" s="1"/>
  <c r="E37" i="149"/>
  <c r="D37" i="149"/>
  <c r="G36" i="149"/>
  <c r="F36" i="149"/>
  <c r="I36" i="149" s="1"/>
  <c r="J36" i="149" s="1"/>
  <c r="E36" i="149"/>
  <c r="D36" i="149"/>
  <c r="G35" i="149"/>
  <c r="F35" i="149"/>
  <c r="I35" i="149" s="1"/>
  <c r="J35" i="149" s="1"/>
  <c r="E35" i="149"/>
  <c r="D35" i="149"/>
  <c r="G34" i="149"/>
  <c r="F34" i="149"/>
  <c r="I34" i="149" s="1"/>
  <c r="J34" i="149" s="1"/>
  <c r="E34" i="149"/>
  <c r="D34" i="149"/>
  <c r="G31" i="149"/>
  <c r="F31" i="149"/>
  <c r="I31" i="149" s="1"/>
  <c r="J31" i="149" s="1"/>
  <c r="E31" i="149"/>
  <c r="D31" i="149"/>
  <c r="G30" i="149"/>
  <c r="F30" i="149"/>
  <c r="I30" i="149" s="1"/>
  <c r="J30" i="149" s="1"/>
  <c r="E30" i="149"/>
  <c r="D30" i="149"/>
  <c r="G29" i="149"/>
  <c r="F29" i="149"/>
  <c r="I29" i="149" s="1"/>
  <c r="J29" i="149" s="1"/>
  <c r="E29" i="149"/>
  <c r="D29" i="149"/>
  <c r="E24" i="149"/>
  <c r="D24" i="149"/>
  <c r="E23" i="149"/>
  <c r="D23" i="149"/>
  <c r="E22" i="149"/>
  <c r="D22" i="149"/>
  <c r="E21" i="149"/>
  <c r="D21" i="149"/>
  <c r="E20" i="149"/>
  <c r="D20" i="149"/>
  <c r="E19" i="149"/>
  <c r="D19" i="149"/>
  <c r="E14" i="149"/>
  <c r="D14" i="149"/>
  <c r="E12" i="149"/>
  <c r="D12" i="149"/>
  <c r="E11" i="149"/>
  <c r="D11" i="149"/>
  <c r="E10" i="149"/>
  <c r="D10" i="149"/>
  <c r="C2" i="147"/>
  <c r="E51" i="147"/>
  <c r="E50" i="147"/>
  <c r="E49" i="147"/>
  <c r="G41" i="147"/>
  <c r="F41" i="147"/>
  <c r="I41" i="147" s="1"/>
  <c r="J41" i="147" s="1"/>
  <c r="E41" i="147"/>
  <c r="D41" i="147"/>
  <c r="G40" i="147"/>
  <c r="F40" i="147"/>
  <c r="I40" i="147" s="1"/>
  <c r="J40" i="147" s="1"/>
  <c r="E40" i="147"/>
  <c r="D40" i="147"/>
  <c r="G37" i="147"/>
  <c r="F37" i="147"/>
  <c r="I37" i="147" s="1"/>
  <c r="J37" i="147" s="1"/>
  <c r="E37" i="147"/>
  <c r="D37" i="147"/>
  <c r="G36" i="147"/>
  <c r="F36" i="147"/>
  <c r="I36" i="147" s="1"/>
  <c r="J36" i="147" s="1"/>
  <c r="E36" i="147"/>
  <c r="D36" i="147"/>
  <c r="G35" i="147"/>
  <c r="F35" i="147"/>
  <c r="I35" i="147" s="1"/>
  <c r="J35" i="147" s="1"/>
  <c r="E35" i="147"/>
  <c r="D35" i="147"/>
  <c r="G34" i="147"/>
  <c r="F34" i="147"/>
  <c r="I34" i="147" s="1"/>
  <c r="J34" i="147" s="1"/>
  <c r="E34" i="147"/>
  <c r="D34" i="147"/>
  <c r="G31" i="147"/>
  <c r="F31" i="147"/>
  <c r="I31" i="147" s="1"/>
  <c r="J31" i="147" s="1"/>
  <c r="E31" i="147"/>
  <c r="D31" i="147"/>
  <c r="G30" i="147"/>
  <c r="F30" i="147"/>
  <c r="I30" i="147" s="1"/>
  <c r="J30" i="147" s="1"/>
  <c r="E30" i="147"/>
  <c r="D30" i="147"/>
  <c r="G29" i="147"/>
  <c r="F29" i="147"/>
  <c r="I29" i="147" s="1"/>
  <c r="J29" i="147" s="1"/>
  <c r="E29" i="147"/>
  <c r="D29" i="147"/>
  <c r="E24" i="147"/>
  <c r="D24" i="147"/>
  <c r="E23" i="147"/>
  <c r="D23" i="147"/>
  <c r="E22" i="147"/>
  <c r="D22" i="147"/>
  <c r="E21" i="147"/>
  <c r="D21" i="147"/>
  <c r="E20" i="147"/>
  <c r="D20" i="147"/>
  <c r="E19" i="147"/>
  <c r="D19" i="147"/>
  <c r="E14" i="147"/>
  <c r="D14" i="147"/>
  <c r="E12" i="147"/>
  <c r="D12" i="147"/>
  <c r="E11" i="147"/>
  <c r="D11" i="147"/>
  <c r="E10" i="147"/>
  <c r="D10" i="147"/>
  <c r="C2" i="146"/>
  <c r="E51" i="146"/>
  <c r="E50" i="146"/>
  <c r="E49" i="146"/>
  <c r="G41" i="146"/>
  <c r="F41" i="146"/>
  <c r="I41" i="146" s="1"/>
  <c r="J41" i="146" s="1"/>
  <c r="E41" i="146"/>
  <c r="D41" i="146"/>
  <c r="G40" i="146"/>
  <c r="F40" i="146"/>
  <c r="I40" i="146" s="1"/>
  <c r="J40" i="146" s="1"/>
  <c r="E40" i="146"/>
  <c r="D40" i="146"/>
  <c r="G37" i="146"/>
  <c r="F37" i="146"/>
  <c r="I37" i="146" s="1"/>
  <c r="J37" i="146" s="1"/>
  <c r="E37" i="146"/>
  <c r="D37" i="146"/>
  <c r="G36" i="146"/>
  <c r="F36" i="146"/>
  <c r="I36" i="146" s="1"/>
  <c r="J36" i="146" s="1"/>
  <c r="E36" i="146"/>
  <c r="D36" i="146"/>
  <c r="G35" i="146"/>
  <c r="F35" i="146"/>
  <c r="I35" i="146" s="1"/>
  <c r="J35" i="146" s="1"/>
  <c r="E35" i="146"/>
  <c r="D35" i="146"/>
  <c r="G34" i="146"/>
  <c r="F34" i="146"/>
  <c r="I34" i="146" s="1"/>
  <c r="J34" i="146" s="1"/>
  <c r="E34" i="146"/>
  <c r="D34" i="146"/>
  <c r="G31" i="146"/>
  <c r="F31" i="146"/>
  <c r="I31" i="146" s="1"/>
  <c r="J31" i="146" s="1"/>
  <c r="E31" i="146"/>
  <c r="D31" i="146"/>
  <c r="G30" i="146"/>
  <c r="F30" i="146"/>
  <c r="I30" i="146" s="1"/>
  <c r="J30" i="146" s="1"/>
  <c r="E30" i="146"/>
  <c r="D30" i="146"/>
  <c r="G29" i="146"/>
  <c r="F29" i="146"/>
  <c r="I29" i="146" s="1"/>
  <c r="J29" i="146" s="1"/>
  <c r="E29" i="146"/>
  <c r="D29" i="146"/>
  <c r="E24" i="146"/>
  <c r="D24" i="146"/>
  <c r="E23" i="146"/>
  <c r="D23" i="146"/>
  <c r="E22" i="146"/>
  <c r="D22" i="146"/>
  <c r="E21" i="146"/>
  <c r="D21" i="146"/>
  <c r="E20" i="146"/>
  <c r="D20" i="146"/>
  <c r="E19" i="146"/>
  <c r="D19" i="146"/>
  <c r="E14" i="146"/>
  <c r="D14" i="146"/>
  <c r="E12" i="146"/>
  <c r="D12" i="146"/>
  <c r="E11" i="146"/>
  <c r="D11" i="146"/>
  <c r="E10" i="146"/>
  <c r="D10" i="146"/>
  <c r="J39" i="147" l="1"/>
  <c r="J28" i="150"/>
  <c r="J33" i="149"/>
  <c r="J28" i="149"/>
  <c r="J28" i="147"/>
  <c r="J33" i="147"/>
  <c r="J39" i="146"/>
  <c r="J33" i="146"/>
  <c r="J28" i="146"/>
  <c r="J26" i="146" s="1"/>
  <c r="I31" i="145"/>
  <c r="J31" i="145" s="1"/>
  <c r="B20" i="159"/>
  <c r="B16" i="125" s="1"/>
  <c r="B14" i="125"/>
  <c r="B18" i="159"/>
  <c r="B13" i="125" s="1"/>
  <c r="B17" i="159"/>
  <c r="B12" i="125" s="1"/>
  <c r="B15" i="159"/>
  <c r="B11" i="125" s="1"/>
  <c r="B13" i="159"/>
  <c r="B9" i="125" s="1"/>
  <c r="B14" i="159"/>
  <c r="B10" i="125" s="1"/>
  <c r="F30" i="145"/>
  <c r="F40" i="149"/>
  <c r="I40" i="149" s="1"/>
  <c r="J40" i="149" s="1"/>
  <c r="J39" i="149" s="1"/>
  <c r="F40" i="152"/>
  <c r="L13" i="117"/>
  <c r="L12" i="117"/>
  <c r="B13" i="117"/>
  <c r="B12" i="117"/>
  <c r="L15" i="117"/>
  <c r="L16" i="117"/>
  <c r="L17" i="117"/>
  <c r="L14" i="117"/>
  <c r="L10" i="117"/>
  <c r="L11" i="117"/>
  <c r="L9" i="117"/>
  <c r="B15" i="117"/>
  <c r="B16" i="117"/>
  <c r="B17" i="117"/>
  <c r="B11" i="117"/>
  <c r="B10" i="117"/>
  <c r="B9" i="117"/>
  <c r="G40" i="138"/>
  <c r="F41" i="138"/>
  <c r="J41" i="138" s="1"/>
  <c r="F40" i="138"/>
  <c r="J40" i="138" s="1"/>
  <c r="D40" i="138"/>
  <c r="G35" i="138"/>
  <c r="G36" i="138"/>
  <c r="G37" i="138"/>
  <c r="G34" i="138"/>
  <c r="F35" i="138"/>
  <c r="J35" i="138" s="1"/>
  <c r="F36" i="138"/>
  <c r="J36" i="138" s="1"/>
  <c r="F37" i="138"/>
  <c r="J37" i="138" s="1"/>
  <c r="F34" i="138"/>
  <c r="J34" i="138" s="1"/>
  <c r="E35" i="138"/>
  <c r="E36" i="138"/>
  <c r="E37" i="138"/>
  <c r="E34" i="138"/>
  <c r="D35" i="138"/>
  <c r="D36" i="138"/>
  <c r="D37" i="138"/>
  <c r="D34" i="138"/>
  <c r="G30" i="138"/>
  <c r="G31" i="138"/>
  <c r="G29" i="138"/>
  <c r="F30" i="138"/>
  <c r="J30" i="138" s="1"/>
  <c r="F31" i="138"/>
  <c r="J31" i="138" s="1"/>
  <c r="F29" i="138"/>
  <c r="J29" i="138" s="1"/>
  <c r="E30" i="138"/>
  <c r="E31" i="138"/>
  <c r="E29" i="138"/>
  <c r="D30" i="138"/>
  <c r="D31" i="138"/>
  <c r="D29" i="138"/>
  <c r="J26" i="149" l="1"/>
  <c r="J26" i="147"/>
  <c r="J28" i="138"/>
  <c r="J33" i="138"/>
  <c r="J39" i="138"/>
  <c r="I30" i="145"/>
  <c r="J30" i="145" s="1"/>
  <c r="I29" i="145"/>
  <c r="J29" i="145" s="1"/>
  <c r="J26" i="138" l="1"/>
  <c r="G16" i="115"/>
  <c r="G25" i="115" l="1"/>
  <c r="G24" i="115"/>
  <c r="G22" i="115"/>
  <c r="G23" i="115"/>
  <c r="B1" i="125" l="1"/>
  <c r="E51" i="145"/>
  <c r="E50" i="145"/>
  <c r="E49" i="145"/>
  <c r="G41" i="145"/>
  <c r="F41" i="145"/>
  <c r="E41" i="145"/>
  <c r="D41" i="145"/>
  <c r="G40" i="145"/>
  <c r="F40" i="145"/>
  <c r="E40" i="145"/>
  <c r="D40" i="145"/>
  <c r="F34" i="145"/>
  <c r="I34" i="145" s="1"/>
  <c r="J34" i="145" s="1"/>
  <c r="E24" i="145"/>
  <c r="D24" i="145"/>
  <c r="E23" i="145"/>
  <c r="D23" i="145"/>
  <c r="E22" i="145"/>
  <c r="D22" i="145"/>
  <c r="E21" i="145"/>
  <c r="D21" i="145"/>
  <c r="E20" i="145"/>
  <c r="D20" i="145"/>
  <c r="E19" i="145"/>
  <c r="D19" i="145"/>
  <c r="E14" i="145"/>
  <c r="D14" i="145"/>
  <c r="E12" i="145"/>
  <c r="D12" i="145"/>
  <c r="E11" i="145"/>
  <c r="D11" i="145"/>
  <c r="E10" i="145"/>
  <c r="D10" i="145"/>
  <c r="D1" i="145"/>
  <c r="E23" i="138"/>
  <c r="D23" i="138"/>
  <c r="C2" i="138"/>
  <c r="B12" i="159" s="1"/>
  <c r="B8" i="125" s="1"/>
  <c r="G51" i="138"/>
  <c r="G51" i="161" s="1"/>
  <c r="E51" i="138"/>
  <c r="G50" i="138"/>
  <c r="G50" i="161" s="1"/>
  <c r="F50" i="138"/>
  <c r="J50" i="138" s="1"/>
  <c r="E50" i="138"/>
  <c r="E49" i="138"/>
  <c r="G41" i="138"/>
  <c r="E41" i="138"/>
  <c r="D41" i="138"/>
  <c r="E40" i="138"/>
  <c r="E24" i="138"/>
  <c r="D24" i="138"/>
  <c r="E22" i="138"/>
  <c r="D22" i="138"/>
  <c r="E21" i="138"/>
  <c r="D21" i="138"/>
  <c r="E20" i="138"/>
  <c r="D20" i="138"/>
  <c r="E19" i="138"/>
  <c r="D19" i="138"/>
  <c r="E14" i="138"/>
  <c r="D14" i="138"/>
  <c r="E12" i="138"/>
  <c r="D12" i="138"/>
  <c r="E11" i="138"/>
  <c r="D11" i="138"/>
  <c r="E10" i="138"/>
  <c r="D10" i="138"/>
  <c r="J28" i="152" l="1"/>
  <c r="J28" i="161"/>
  <c r="J9" i="161"/>
  <c r="J7" i="161" s="1"/>
  <c r="J33" i="161"/>
  <c r="J39" i="161"/>
  <c r="F50" i="161"/>
  <c r="J50" i="161" s="1"/>
  <c r="J39" i="152"/>
  <c r="J33" i="153"/>
  <c r="J28" i="153"/>
  <c r="J26" i="153" s="1"/>
  <c r="I40" i="145"/>
  <c r="J40" i="145" s="1"/>
  <c r="I41" i="145"/>
  <c r="J41" i="145" s="1"/>
  <c r="J28" i="151"/>
  <c r="J33" i="152"/>
  <c r="J39" i="153"/>
  <c r="J39" i="151"/>
  <c r="I35" i="145"/>
  <c r="J35" i="145" s="1"/>
  <c r="G51" i="151"/>
  <c r="G51" i="149"/>
  <c r="G51" i="145"/>
  <c r="G51" i="153"/>
  <c r="G51" i="150"/>
  <c r="G51" i="147"/>
  <c r="G51" i="152"/>
  <c r="G51" i="146"/>
  <c r="F50" i="146"/>
  <c r="I50" i="146" s="1"/>
  <c r="J50" i="146" s="1"/>
  <c r="F50" i="145"/>
  <c r="I50" i="145" s="1"/>
  <c r="J50" i="145" s="1"/>
  <c r="F50" i="153"/>
  <c r="F50" i="150"/>
  <c r="I50" i="150" s="1"/>
  <c r="J50" i="150" s="1"/>
  <c r="F50" i="151"/>
  <c r="I50" i="151" s="1"/>
  <c r="J50" i="151" s="1"/>
  <c r="F50" i="152"/>
  <c r="G50" i="145"/>
  <c r="G50" i="153"/>
  <c r="G50" i="150"/>
  <c r="G50" i="147"/>
  <c r="G50" i="152"/>
  <c r="G50" i="151"/>
  <c r="G50" i="149"/>
  <c r="G50" i="146"/>
  <c r="J26" i="152" l="1"/>
  <c r="F51" i="138"/>
  <c r="J51" i="138" s="1"/>
  <c r="C40" i="95"/>
  <c r="C27" i="95"/>
  <c r="C15" i="95"/>
  <c r="C17" i="95" s="1"/>
  <c r="C20" i="95" s="1"/>
  <c r="C22" i="95" s="1"/>
  <c r="F51" i="161" l="1"/>
  <c r="J51" i="161" s="1"/>
  <c r="C24" i="95"/>
  <c r="C19" i="95" s="1"/>
  <c r="F51" i="152"/>
  <c r="F51" i="151"/>
  <c r="I51" i="151" s="1"/>
  <c r="J51" i="151" s="1"/>
  <c r="F51" i="146"/>
  <c r="I51" i="146" s="1"/>
  <c r="J51" i="146" s="1"/>
  <c r="F51" i="145"/>
  <c r="I51" i="145" s="1"/>
  <c r="J51" i="145" s="1"/>
  <c r="F51" i="153"/>
  <c r="F51" i="150"/>
  <c r="I51" i="150" s="1"/>
  <c r="J51" i="150" s="1"/>
  <c r="J48" i="150" s="1"/>
  <c r="J46" i="150" s="1"/>
  <c r="J26" i="150" s="1"/>
  <c r="I37" i="145" l="1"/>
  <c r="J37" i="145" s="1"/>
  <c r="F10" i="146"/>
  <c r="I10" i="146" s="1"/>
  <c r="J10" i="146" s="1"/>
  <c r="F10" i="149"/>
  <c r="I10" i="149" s="1"/>
  <c r="J10" i="149" s="1"/>
  <c r="F10" i="151"/>
  <c r="I10" i="151" s="1"/>
  <c r="J10" i="151" s="1"/>
  <c r="F10" i="152"/>
  <c r="F10" i="153"/>
  <c r="F10" i="150"/>
  <c r="I10" i="150" s="1"/>
  <c r="J10" i="150" s="1"/>
  <c r="F10" i="147"/>
  <c r="I10" i="147" s="1"/>
  <c r="J10" i="147" s="1"/>
  <c r="J39" i="145"/>
  <c r="I36" i="145" l="1"/>
  <c r="J36" i="145" s="1"/>
  <c r="J33" i="145" l="1"/>
  <c r="J33" i="151"/>
  <c r="J26" i="151" s="1"/>
  <c r="B14" i="117" l="1"/>
  <c r="J28" i="145" l="1"/>
  <c r="J26" i="145" s="1"/>
  <c r="H4" i="54"/>
  <c r="B6" i="54"/>
  <c r="G4" i="163" l="1"/>
  <c r="B6" i="116"/>
  <c r="B6" i="163"/>
  <c r="C5" i="159"/>
  <c r="C3" i="161"/>
  <c r="C6" i="159"/>
  <c r="C4" i="161"/>
  <c r="K2" i="161"/>
  <c r="C3" i="149"/>
  <c r="C3" i="146"/>
  <c r="C3" i="153"/>
  <c r="C3" i="151"/>
  <c r="C3" i="150"/>
  <c r="C3" i="147"/>
  <c r="C3" i="152"/>
  <c r="C4" i="146"/>
  <c r="C4" i="150"/>
  <c r="C4" i="151"/>
  <c r="C4" i="147"/>
  <c r="C4" i="153"/>
  <c r="C4" i="152"/>
  <c r="C4" i="149"/>
  <c r="G4" i="110"/>
  <c r="K2" i="152"/>
  <c r="K2" i="149"/>
  <c r="K2" i="146"/>
  <c r="F4" i="129"/>
  <c r="K2" i="151"/>
  <c r="K2" i="147"/>
  <c r="K2" i="153"/>
  <c r="K2" i="150"/>
  <c r="C4" i="145"/>
  <c r="C4" i="138"/>
  <c r="C3" i="145"/>
  <c r="C3" i="138"/>
  <c r="K2" i="145"/>
  <c r="K2" i="138"/>
  <c r="B6" i="129"/>
  <c r="B5" i="129"/>
  <c r="B4" i="125"/>
  <c r="B5" i="125"/>
  <c r="E3" i="125"/>
  <c r="B4" i="117"/>
  <c r="B5" i="115"/>
  <c r="B5" i="117"/>
  <c r="B6" i="115"/>
  <c r="L4" i="116"/>
  <c r="L3" i="117"/>
  <c r="G4" i="115"/>
  <c r="J3" i="82" l="1"/>
  <c r="B6" i="110" l="1"/>
  <c r="B5" i="110"/>
  <c r="B6" i="95" l="1"/>
  <c r="B5" i="95"/>
  <c r="H4" i="95"/>
  <c r="C5" i="82"/>
  <c r="C4" i="82"/>
  <c r="C29" i="95"/>
  <c r="C34" i="95"/>
  <c r="C31" i="95" s="1"/>
  <c r="C36" i="95"/>
  <c r="C35" i="95" s="1"/>
  <c r="C26" i="95" l="1"/>
  <c r="C47" i="95" s="1"/>
  <c r="C48" i="95" s="1"/>
  <c r="C10" i="95"/>
  <c r="C49" i="95" l="1"/>
  <c r="J23" i="82" l="1"/>
  <c r="F20" i="161" s="1"/>
  <c r="J27" i="82"/>
  <c r="F24" i="161" s="1"/>
  <c r="J25" i="82"/>
  <c r="F22" i="161" s="1"/>
  <c r="J26" i="82"/>
  <c r="F23" i="161" s="1"/>
  <c r="J24" i="82"/>
  <c r="F21" i="161" s="1"/>
  <c r="J22" i="82"/>
  <c r="F19" i="161" s="1"/>
  <c r="F12" i="150"/>
  <c r="I12" i="150" s="1"/>
  <c r="J12" i="150" s="1"/>
  <c r="F12" i="153"/>
  <c r="F12" i="152"/>
  <c r="F12" i="146"/>
  <c r="I12" i="146" s="1"/>
  <c r="J12" i="146" s="1"/>
  <c r="F12" i="151"/>
  <c r="I12" i="151" s="1"/>
  <c r="J12" i="151" s="1"/>
  <c r="F12" i="149"/>
  <c r="I12" i="149" s="1"/>
  <c r="J12" i="149" s="1"/>
  <c r="F12" i="147"/>
  <c r="I12" i="147" s="1"/>
  <c r="J12" i="147" s="1"/>
  <c r="F14" i="147"/>
  <c r="I14" i="147" s="1"/>
  <c r="J14" i="147" s="1"/>
  <c r="F14" i="152"/>
  <c r="F14" i="151"/>
  <c r="I14" i="151" s="1"/>
  <c r="J14" i="151" s="1"/>
  <c r="F14" i="149"/>
  <c r="I14" i="149" s="1"/>
  <c r="J14" i="149" s="1"/>
  <c r="F14" i="153"/>
  <c r="F14" i="146"/>
  <c r="I14" i="146" s="1"/>
  <c r="J14" i="146" s="1"/>
  <c r="F11" i="147"/>
  <c r="I11" i="147" s="1"/>
  <c r="J11" i="147" s="1"/>
  <c r="F11" i="149"/>
  <c r="I11" i="149" s="1"/>
  <c r="J11" i="149" s="1"/>
  <c r="F11" i="152"/>
  <c r="F11" i="153"/>
  <c r="F11" i="151"/>
  <c r="I11" i="151" s="1"/>
  <c r="J11" i="151" s="1"/>
  <c r="F11" i="150"/>
  <c r="I11" i="150" s="1"/>
  <c r="J11" i="150" s="1"/>
  <c r="F11" i="146"/>
  <c r="I11" i="146" s="1"/>
  <c r="J11" i="146" s="1"/>
  <c r="F12" i="145"/>
  <c r="I12" i="145" s="1"/>
  <c r="J12" i="145" s="1"/>
  <c r="F12" i="138"/>
  <c r="J12" i="138" s="1"/>
  <c r="F14" i="145"/>
  <c r="I14" i="145" s="1"/>
  <c r="J14" i="145" s="1"/>
  <c r="F14" i="138"/>
  <c r="J14" i="138" s="1"/>
  <c r="F11" i="145"/>
  <c r="F11" i="138"/>
  <c r="J11" i="138" s="1"/>
  <c r="F10" i="145"/>
  <c r="I10" i="145" s="1"/>
  <c r="J10" i="145" s="1"/>
  <c r="F10" i="138"/>
  <c r="J10" i="138" s="1"/>
  <c r="L79" i="28"/>
  <c r="F19" i="28"/>
  <c r="F20" i="28"/>
  <c r="F76" i="28"/>
  <c r="E76" i="28"/>
  <c r="B76" i="28"/>
  <c r="E75" i="28"/>
  <c r="G75" i="28" s="1"/>
  <c r="F74" i="28"/>
  <c r="E74" i="28"/>
  <c r="B74" i="28"/>
  <c r="F73" i="28"/>
  <c r="E73" i="28"/>
  <c r="B73" i="28"/>
  <c r="F72" i="28"/>
  <c r="E72" i="28"/>
  <c r="B72" i="28"/>
  <c r="F70" i="28"/>
  <c r="E70" i="28"/>
  <c r="B70" i="28"/>
  <c r="F69" i="28"/>
  <c r="E69" i="28"/>
  <c r="B69" i="28"/>
  <c r="F68" i="28"/>
  <c r="E68" i="28"/>
  <c r="B68" i="28"/>
  <c r="F67" i="28"/>
  <c r="E67" i="28"/>
  <c r="B67" i="28"/>
  <c r="F66" i="28"/>
  <c r="E66" i="28"/>
  <c r="B66" i="28"/>
  <c r="E65" i="28"/>
  <c r="G65" i="28" s="1"/>
  <c r="E64" i="28"/>
  <c r="G64" i="28" s="1"/>
  <c r="E63" i="28"/>
  <c r="G63" i="28" s="1"/>
  <c r="F61" i="28"/>
  <c r="E61" i="28"/>
  <c r="B61" i="28"/>
  <c r="F60" i="28"/>
  <c r="E60" i="28"/>
  <c r="B60" i="28"/>
  <c r="F59" i="28"/>
  <c r="E59" i="28"/>
  <c r="B59" i="28"/>
  <c r="F58" i="28"/>
  <c r="E58" i="28"/>
  <c r="B58" i="28"/>
  <c r="F57" i="28"/>
  <c r="E57" i="28"/>
  <c r="B57" i="28"/>
  <c r="F56" i="28"/>
  <c r="E56" i="28"/>
  <c r="B56" i="28"/>
  <c r="F55" i="28"/>
  <c r="E55" i="28"/>
  <c r="B55" i="28"/>
  <c r="E54" i="28"/>
  <c r="G54" i="28" s="1"/>
  <c r="E53" i="28"/>
  <c r="G53" i="28" s="1"/>
  <c r="E52" i="28"/>
  <c r="G52" i="28" s="1"/>
  <c r="F50" i="28"/>
  <c r="E50" i="28"/>
  <c r="B50" i="28"/>
  <c r="F49" i="28"/>
  <c r="E49" i="28"/>
  <c r="B49" i="28"/>
  <c r="F48" i="28"/>
  <c r="E48" i="28"/>
  <c r="B48" i="28"/>
  <c r="F47" i="28"/>
  <c r="E47" i="28"/>
  <c r="B47" i="28"/>
  <c r="F46" i="28"/>
  <c r="E46" i="28"/>
  <c r="B46" i="28"/>
  <c r="F45" i="28"/>
  <c r="E45" i="28"/>
  <c r="B45" i="28"/>
  <c r="F44" i="28"/>
  <c r="E44" i="28"/>
  <c r="B44" i="28"/>
  <c r="E43" i="28"/>
  <c r="G43" i="28" s="1"/>
  <c r="E42" i="28"/>
  <c r="G42" i="28" s="1"/>
  <c r="E41" i="28"/>
  <c r="G41" i="28" s="1"/>
  <c r="F39" i="28"/>
  <c r="E39" i="28"/>
  <c r="B39" i="28"/>
  <c r="F38" i="28"/>
  <c r="E38" i="28"/>
  <c r="B38" i="28"/>
  <c r="F37" i="28"/>
  <c r="E37" i="28"/>
  <c r="B37" i="28"/>
  <c r="F36" i="28"/>
  <c r="E36" i="28"/>
  <c r="B36" i="28"/>
  <c r="F35" i="28"/>
  <c r="E35" i="28"/>
  <c r="B35" i="28"/>
  <c r="F34" i="28"/>
  <c r="E34" i="28"/>
  <c r="B34" i="28"/>
  <c r="E33" i="28"/>
  <c r="G33" i="28" s="1"/>
  <c r="E32" i="28"/>
  <c r="G32" i="28" s="1"/>
  <c r="E31" i="28"/>
  <c r="G31" i="28" s="1"/>
  <c r="F29" i="28"/>
  <c r="E29" i="28"/>
  <c r="B29" i="28"/>
  <c r="F28" i="28"/>
  <c r="E28" i="28"/>
  <c r="B28" i="28"/>
  <c r="F27" i="28"/>
  <c r="E27" i="28"/>
  <c r="B27" i="28"/>
  <c r="F26" i="28"/>
  <c r="E26" i="28"/>
  <c r="B26" i="28"/>
  <c r="F25" i="28"/>
  <c r="E25" i="28"/>
  <c r="B25" i="28"/>
  <c r="E24" i="28"/>
  <c r="G24" i="28" s="1"/>
  <c r="O23" i="28"/>
  <c r="P23" i="28" s="1"/>
  <c r="E23" i="28"/>
  <c r="G23" i="28" s="1"/>
  <c r="O22" i="28"/>
  <c r="P22" i="28" s="1"/>
  <c r="E22" i="28"/>
  <c r="G22" i="28" s="1"/>
  <c r="E20" i="28"/>
  <c r="B20" i="28"/>
  <c r="E19" i="28"/>
  <c r="B19" i="28"/>
  <c r="F18" i="28"/>
  <c r="E18" i="28"/>
  <c r="B18" i="28"/>
  <c r="J9" i="147" l="1"/>
  <c r="J7" i="147" s="1"/>
  <c r="J9" i="138"/>
  <c r="J7" i="138" s="1"/>
  <c r="J9" i="150"/>
  <c r="J7" i="150" s="1"/>
  <c r="J9" i="149"/>
  <c r="J7" i="149" s="1"/>
  <c r="J9" i="146"/>
  <c r="J7" i="146" s="1"/>
  <c r="J18" i="161"/>
  <c r="J16" i="161" s="1"/>
  <c r="J53" i="161" s="1"/>
  <c r="I11" i="145"/>
  <c r="J11" i="145" s="1"/>
  <c r="F23" i="153"/>
  <c r="F23" i="150"/>
  <c r="I23" i="150" s="1"/>
  <c r="J23" i="150" s="1"/>
  <c r="F23" i="147"/>
  <c r="I23" i="147" s="1"/>
  <c r="J23" i="147" s="1"/>
  <c r="F23" i="152"/>
  <c r="F23" i="151"/>
  <c r="I23" i="151" s="1"/>
  <c r="J23" i="151" s="1"/>
  <c r="F23" i="149"/>
  <c r="I23" i="149" s="1"/>
  <c r="J23" i="149" s="1"/>
  <c r="F23" i="146"/>
  <c r="I23" i="146" s="1"/>
  <c r="J23" i="146" s="1"/>
  <c r="F22" i="152"/>
  <c r="F22" i="146"/>
  <c r="I22" i="146" s="1"/>
  <c r="J22" i="146" s="1"/>
  <c r="F22" i="151"/>
  <c r="I22" i="151" s="1"/>
  <c r="J22" i="151" s="1"/>
  <c r="F22" i="149"/>
  <c r="I22" i="149" s="1"/>
  <c r="J22" i="149" s="1"/>
  <c r="F22" i="153"/>
  <c r="F22" i="147"/>
  <c r="I22" i="147" s="1"/>
  <c r="J22" i="147" s="1"/>
  <c r="F22" i="150"/>
  <c r="I22" i="150" s="1"/>
  <c r="J22" i="150" s="1"/>
  <c r="F24" i="152"/>
  <c r="F24" i="146"/>
  <c r="I24" i="146" s="1"/>
  <c r="J24" i="146" s="1"/>
  <c r="F24" i="151"/>
  <c r="I24" i="151" s="1"/>
  <c r="J24" i="151" s="1"/>
  <c r="F24" i="149"/>
  <c r="I24" i="149" s="1"/>
  <c r="J24" i="149" s="1"/>
  <c r="F24" i="153"/>
  <c r="F24" i="150"/>
  <c r="I24" i="150" s="1"/>
  <c r="J24" i="150" s="1"/>
  <c r="F24" i="147"/>
  <c r="I24" i="147" s="1"/>
  <c r="J24" i="147" s="1"/>
  <c r="F21" i="153"/>
  <c r="F21" i="150"/>
  <c r="I21" i="150" s="1"/>
  <c r="J21" i="150" s="1"/>
  <c r="F21" i="152"/>
  <c r="F21" i="147"/>
  <c r="I21" i="147" s="1"/>
  <c r="J21" i="147" s="1"/>
  <c r="F21" i="151"/>
  <c r="I21" i="151" s="1"/>
  <c r="J21" i="151" s="1"/>
  <c r="F21" i="149"/>
  <c r="I21" i="149" s="1"/>
  <c r="J21" i="149" s="1"/>
  <c r="F21" i="146"/>
  <c r="I21" i="146" s="1"/>
  <c r="J21" i="146" s="1"/>
  <c r="F20" i="152"/>
  <c r="F20" i="147"/>
  <c r="I20" i="147" s="1"/>
  <c r="J20" i="147" s="1"/>
  <c r="F20" i="146"/>
  <c r="I20" i="146" s="1"/>
  <c r="J20" i="146" s="1"/>
  <c r="F20" i="151"/>
  <c r="I20" i="151" s="1"/>
  <c r="J20" i="151" s="1"/>
  <c r="F20" i="149"/>
  <c r="I20" i="149" s="1"/>
  <c r="J20" i="149" s="1"/>
  <c r="F20" i="153"/>
  <c r="F20" i="150"/>
  <c r="I20" i="150" s="1"/>
  <c r="J20" i="150" s="1"/>
  <c r="F19" i="153"/>
  <c r="F19" i="150"/>
  <c r="I19" i="150" s="1"/>
  <c r="J19" i="150" s="1"/>
  <c r="F19" i="152"/>
  <c r="F19" i="146"/>
  <c r="I19" i="146" s="1"/>
  <c r="J19" i="146" s="1"/>
  <c r="F19" i="151"/>
  <c r="I19" i="151" s="1"/>
  <c r="J19" i="151" s="1"/>
  <c r="F19" i="149"/>
  <c r="I19" i="149" s="1"/>
  <c r="J19" i="149" s="1"/>
  <c r="F19" i="147"/>
  <c r="I19" i="147" s="1"/>
  <c r="J19" i="147" s="1"/>
  <c r="F21" i="145"/>
  <c r="I21" i="145" s="1"/>
  <c r="J21" i="145" s="1"/>
  <c r="F21" i="138"/>
  <c r="J21" i="138" s="1"/>
  <c r="F20" i="145"/>
  <c r="I20" i="145" s="1"/>
  <c r="J20" i="145" s="1"/>
  <c r="F20" i="138"/>
  <c r="J20" i="138" s="1"/>
  <c r="F19" i="145"/>
  <c r="I19" i="145" s="1"/>
  <c r="J19" i="145" s="1"/>
  <c r="F19" i="138"/>
  <c r="J19" i="138" s="1"/>
  <c r="F22" i="145"/>
  <c r="I22" i="145" s="1"/>
  <c r="J22" i="145" s="1"/>
  <c r="F22" i="138"/>
  <c r="J22" i="138" s="1"/>
  <c r="F24" i="145"/>
  <c r="I24" i="145" s="1"/>
  <c r="J24" i="145" s="1"/>
  <c r="F24" i="138"/>
  <c r="J24" i="138" s="1"/>
  <c r="F23" i="145"/>
  <c r="I23" i="145" s="1"/>
  <c r="J23" i="145" s="1"/>
  <c r="F23" i="138"/>
  <c r="J23" i="138" s="1"/>
  <c r="G69" i="28"/>
  <c r="G74" i="28"/>
  <c r="G76" i="28"/>
  <c r="G37" i="28"/>
  <c r="G45" i="28"/>
  <c r="G49" i="28"/>
  <c r="G57" i="28"/>
  <c r="G61" i="28"/>
  <c r="G29" i="28"/>
  <c r="G48" i="28"/>
  <c r="G73" i="28"/>
  <c r="G28" i="28"/>
  <c r="G35" i="28"/>
  <c r="G39" i="28"/>
  <c r="G47" i="28"/>
  <c r="G55" i="28"/>
  <c r="G51" i="28" s="1"/>
  <c r="G59" i="28"/>
  <c r="G67" i="28"/>
  <c r="G72" i="28"/>
  <c r="G71" i="28" s="1"/>
  <c r="G80" i="28" s="1"/>
  <c r="G81" i="28" s="1"/>
  <c r="G25" i="28"/>
  <c r="G21" i="28" s="1"/>
  <c r="G44" i="28"/>
  <c r="G40" i="28" s="1"/>
  <c r="G68" i="28"/>
  <c r="G27" i="28"/>
  <c r="G34" i="28"/>
  <c r="G30" i="28" s="1"/>
  <c r="G38" i="28"/>
  <c r="G58" i="28"/>
  <c r="G18" i="28"/>
  <c r="G17" i="28" s="1"/>
  <c r="B17" i="34" s="1"/>
  <c r="G26" i="28"/>
  <c r="G36" i="28"/>
  <c r="G46" i="28"/>
  <c r="G50" i="28"/>
  <c r="G56" i="28"/>
  <c r="G60" i="28"/>
  <c r="G66" i="28"/>
  <c r="G62" i="28" s="1"/>
  <c r="G70" i="28"/>
  <c r="G19" i="28"/>
  <c r="G20" i="28"/>
  <c r="J18" i="150" l="1"/>
  <c r="J16" i="150" s="1"/>
  <c r="J53" i="150" s="1"/>
  <c r="J18" i="149"/>
  <c r="J16" i="149" s="1"/>
  <c r="J53" i="149" s="1"/>
  <c r="J18" i="138"/>
  <c r="J16" i="138" s="1"/>
  <c r="J18" i="146"/>
  <c r="J16" i="146" s="1"/>
  <c r="J9" i="152"/>
  <c r="J7" i="152" s="1"/>
  <c r="J9" i="151"/>
  <c r="J7" i="151" s="1"/>
  <c r="J9" i="153"/>
  <c r="J7" i="153" s="1"/>
  <c r="B19" i="34"/>
  <c r="E20" i="34" s="1"/>
  <c r="E27" i="34" s="1"/>
  <c r="G77" i="28"/>
  <c r="G78" i="28" s="1"/>
  <c r="B25" i="34"/>
  <c r="H26" i="34" s="1"/>
  <c r="H27" i="34" s="1"/>
  <c r="B23" i="34"/>
  <c r="G24" i="34" s="1"/>
  <c r="G27" i="34" s="1"/>
  <c r="B15" i="34"/>
  <c r="C16" i="34" s="1"/>
  <c r="C27" i="34" s="1"/>
  <c r="H28" i="34" s="1"/>
  <c r="G82" i="28"/>
  <c r="B21" i="34"/>
  <c r="F22" i="34" s="1"/>
  <c r="F27" i="34" s="1"/>
  <c r="D18" i="34"/>
  <c r="D27" i="34" s="1"/>
  <c r="K44" i="150" l="1"/>
  <c r="K45" i="150"/>
  <c r="K45" i="149"/>
  <c r="K44" i="149"/>
  <c r="K26" i="149"/>
  <c r="J18" i="147"/>
  <c r="J16" i="147" s="1"/>
  <c r="J53" i="147" s="1"/>
  <c r="J18" i="152"/>
  <c r="J16" i="152" s="1"/>
  <c r="J18" i="153"/>
  <c r="J16" i="153" s="1"/>
  <c r="J18" i="151"/>
  <c r="J16" i="151" s="1"/>
  <c r="E28" i="34"/>
  <c r="E30" i="34" s="1"/>
  <c r="G29" i="34"/>
  <c r="D28" i="34"/>
  <c r="D30" i="34" s="1"/>
  <c r="F28" i="34"/>
  <c r="F30" i="34" s="1"/>
  <c r="G28" i="34"/>
  <c r="G30" i="34" s="1"/>
  <c r="C28" i="34"/>
  <c r="C30" i="34" s="1"/>
  <c r="C29" i="34"/>
  <c r="E29" i="34"/>
  <c r="F29" i="34"/>
  <c r="H30" i="34"/>
  <c r="D29" i="34"/>
  <c r="H29" i="34"/>
  <c r="K43" i="149" l="1"/>
  <c r="K43" i="150"/>
  <c r="K44" i="147"/>
  <c r="K43" i="147" s="1"/>
  <c r="J9" i="145" l="1"/>
  <c r="J7" i="145" s="1"/>
  <c r="J18" i="145" l="1"/>
  <c r="J16" i="145" s="1"/>
  <c r="J9" i="129" l="1"/>
  <c r="J10" i="129"/>
  <c r="K10" i="129" s="1"/>
  <c r="J15" i="129"/>
  <c r="K15" i="129" s="1"/>
  <c r="L15" i="129" s="1"/>
  <c r="J14" i="129"/>
  <c r="K14" i="129" s="1"/>
  <c r="L14" i="129" s="1"/>
  <c r="J12" i="129"/>
  <c r="K12" i="129" s="1"/>
  <c r="L12" i="129" s="1"/>
  <c r="J17" i="129"/>
  <c r="K17" i="129" s="1"/>
  <c r="L17" i="129" s="1"/>
  <c r="J13" i="129"/>
  <c r="K13" i="129" s="1"/>
  <c r="L13" i="129" s="1"/>
  <c r="J11" i="129"/>
  <c r="K11" i="129" s="1"/>
  <c r="L11" i="129" s="1"/>
  <c r="J16" i="129"/>
  <c r="K16" i="129" s="1"/>
  <c r="L16" i="129" s="1"/>
  <c r="J18" i="129"/>
  <c r="K18" i="129" s="1"/>
  <c r="L18" i="129" s="1"/>
  <c r="K9" i="129" l="1"/>
  <c r="J19" i="129"/>
  <c r="L10" i="129"/>
  <c r="L9" i="129" l="1"/>
  <c r="L19" i="129" s="1"/>
  <c r="K22" i="129" s="1"/>
  <c r="K19" i="129"/>
  <c r="K21" i="129" s="1"/>
  <c r="J49" i="161"/>
  <c r="J48" i="161" l="1"/>
  <c r="J46" i="161" s="1"/>
  <c r="F49" i="138"/>
  <c r="J49" i="138" s="1"/>
  <c r="J48" i="138" s="1"/>
  <c r="F49" i="153"/>
  <c r="I49" i="153" s="1"/>
  <c r="J49" i="153" s="1"/>
  <c r="J48" i="153" l="1"/>
  <c r="J46" i="153" s="1"/>
  <c r="J53" i="153" s="1"/>
  <c r="J48" i="152"/>
  <c r="J46" i="152" s="1"/>
  <c r="E12" i="125"/>
  <c r="F49" i="146"/>
  <c r="I49" i="146" s="1"/>
  <c r="J49" i="146" s="1"/>
  <c r="J48" i="146" s="1"/>
  <c r="E11" i="125"/>
  <c r="K45" i="161" l="1"/>
  <c r="K44" i="161"/>
  <c r="K45" i="153"/>
  <c r="K44" i="153"/>
  <c r="E14" i="125"/>
  <c r="J46" i="146"/>
  <c r="K46" i="161"/>
  <c r="E15" i="125"/>
  <c r="D19" i="159"/>
  <c r="K23" i="161"/>
  <c r="K14" i="161"/>
  <c r="K50" i="161"/>
  <c r="K26" i="161"/>
  <c r="K12" i="161"/>
  <c r="K51" i="161"/>
  <c r="K31" i="161"/>
  <c r="K35" i="161"/>
  <c r="K13" i="161"/>
  <c r="K24" i="161"/>
  <c r="K41" i="161"/>
  <c r="K22" i="161"/>
  <c r="K40" i="161"/>
  <c r="K20" i="161"/>
  <c r="K30" i="161"/>
  <c r="K37" i="161"/>
  <c r="K11" i="161"/>
  <c r="K19" i="161"/>
  <c r="K7" i="161"/>
  <c r="K10" i="161"/>
  <c r="K21" i="161"/>
  <c r="K34" i="161"/>
  <c r="K36" i="161"/>
  <c r="K16" i="161"/>
  <c r="K29" i="161"/>
  <c r="K49" i="161"/>
  <c r="I49" i="145"/>
  <c r="J49" i="145" s="1"/>
  <c r="J48" i="145" s="1"/>
  <c r="K46" i="150"/>
  <c r="J53" i="152"/>
  <c r="K44" i="152" s="1"/>
  <c r="J48" i="151"/>
  <c r="J46" i="151" s="1"/>
  <c r="K45" i="152" l="1"/>
  <c r="K43" i="161"/>
  <c r="K43" i="153"/>
  <c r="E9" i="125"/>
  <c r="K46" i="152"/>
  <c r="E16" i="125"/>
  <c r="K48" i="161"/>
  <c r="K39" i="161"/>
  <c r="K28" i="161"/>
  <c r="K9" i="161"/>
  <c r="K53" i="161"/>
  <c r="K18" i="161"/>
  <c r="K33" i="161"/>
  <c r="K46" i="153"/>
  <c r="D16" i="159"/>
  <c r="K30" i="149"/>
  <c r="K51" i="149"/>
  <c r="K10" i="149"/>
  <c r="K40" i="149"/>
  <c r="K36" i="149"/>
  <c r="K16" i="149"/>
  <c r="K13" i="149"/>
  <c r="K31" i="149"/>
  <c r="K12" i="149"/>
  <c r="K23" i="149"/>
  <c r="K50" i="149"/>
  <c r="K20" i="149"/>
  <c r="K14" i="149"/>
  <c r="D15" i="159"/>
  <c r="K37" i="149"/>
  <c r="K41" i="149"/>
  <c r="K24" i="149"/>
  <c r="K35" i="149"/>
  <c r="K34" i="149"/>
  <c r="K11" i="149"/>
  <c r="K29" i="149"/>
  <c r="K7" i="149"/>
  <c r="K21" i="149"/>
  <c r="K22" i="149"/>
  <c r="K19" i="149"/>
  <c r="K49" i="149"/>
  <c r="J53" i="151"/>
  <c r="J53" i="146"/>
  <c r="K11" i="150"/>
  <c r="K36" i="150"/>
  <c r="K35" i="150"/>
  <c r="K51" i="150"/>
  <c r="K23" i="150"/>
  <c r="K50" i="150"/>
  <c r="K7" i="150"/>
  <c r="K40" i="150"/>
  <c r="K41" i="150"/>
  <c r="K20" i="150"/>
  <c r="K16" i="150"/>
  <c r="K30" i="150"/>
  <c r="K34" i="150"/>
  <c r="K19" i="150"/>
  <c r="K10" i="150"/>
  <c r="K12" i="150"/>
  <c r="K24" i="150"/>
  <c r="K21" i="150"/>
  <c r="K13" i="150"/>
  <c r="K22" i="150"/>
  <c r="K37" i="150"/>
  <c r="K29" i="150"/>
  <c r="D17" i="159"/>
  <c r="K31" i="150"/>
  <c r="K14" i="150"/>
  <c r="K26" i="150"/>
  <c r="K49" i="150"/>
  <c r="K35" i="153"/>
  <c r="K41" i="153"/>
  <c r="K37" i="153"/>
  <c r="K21" i="153"/>
  <c r="K7" i="153"/>
  <c r="K29" i="153"/>
  <c r="K19" i="153"/>
  <c r="K40" i="153"/>
  <c r="K51" i="153"/>
  <c r="K26" i="153"/>
  <c r="K11" i="153"/>
  <c r="K24" i="153"/>
  <c r="K14" i="153"/>
  <c r="K13" i="153"/>
  <c r="K22" i="153"/>
  <c r="K20" i="153"/>
  <c r="K10" i="153"/>
  <c r="K31" i="153"/>
  <c r="K30" i="153"/>
  <c r="K12" i="153"/>
  <c r="K34" i="153"/>
  <c r="K23" i="153"/>
  <c r="K16" i="153"/>
  <c r="K36" i="153"/>
  <c r="K50" i="153"/>
  <c r="K49" i="153"/>
  <c r="K46" i="149"/>
  <c r="K29" i="152"/>
  <c r="K10" i="152"/>
  <c r="K30" i="152"/>
  <c r="K12" i="152"/>
  <c r="K23" i="152"/>
  <c r="K14" i="152"/>
  <c r="K34" i="152"/>
  <c r="K11" i="152"/>
  <c r="K21" i="152"/>
  <c r="K31" i="152"/>
  <c r="K41" i="152"/>
  <c r="K40" i="152"/>
  <c r="K7" i="152"/>
  <c r="K20" i="152"/>
  <c r="K51" i="152"/>
  <c r="K13" i="152"/>
  <c r="K22" i="152"/>
  <c r="K19" i="152"/>
  <c r="K36" i="152"/>
  <c r="D20" i="159"/>
  <c r="K35" i="152"/>
  <c r="K37" i="152"/>
  <c r="K26" i="152"/>
  <c r="K24" i="152"/>
  <c r="K50" i="152"/>
  <c r="K16" i="152"/>
  <c r="K49" i="152"/>
  <c r="K39" i="149" l="1"/>
  <c r="K48" i="149"/>
  <c r="K45" i="151"/>
  <c r="K44" i="151"/>
  <c r="K43" i="152"/>
  <c r="K53" i="149"/>
  <c r="K44" i="146"/>
  <c r="K45" i="146"/>
  <c r="K13" i="146"/>
  <c r="K40" i="146"/>
  <c r="K30" i="146"/>
  <c r="K34" i="146"/>
  <c r="K37" i="146"/>
  <c r="K29" i="146"/>
  <c r="K31" i="146"/>
  <c r="K36" i="146"/>
  <c r="K41" i="146"/>
  <c r="K35" i="146"/>
  <c r="K26" i="146"/>
  <c r="K50" i="146"/>
  <c r="K51" i="146"/>
  <c r="K14" i="146"/>
  <c r="K12" i="146"/>
  <c r="K11" i="146"/>
  <c r="K24" i="146"/>
  <c r="K23" i="146"/>
  <c r="K19" i="146"/>
  <c r="K20" i="146"/>
  <c r="K7" i="146"/>
  <c r="K21" i="146"/>
  <c r="K22" i="146"/>
  <c r="K16" i="146"/>
  <c r="K49" i="146"/>
  <c r="K46" i="146"/>
  <c r="K18" i="149"/>
  <c r="K28" i="149"/>
  <c r="K33" i="149"/>
  <c r="K9" i="149"/>
  <c r="K46" i="147"/>
  <c r="K46" i="151"/>
  <c r="E13" i="125"/>
  <c r="E10" i="125"/>
  <c r="K48" i="150"/>
  <c r="K39" i="153"/>
  <c r="K33" i="150"/>
  <c r="K39" i="150"/>
  <c r="K48" i="152"/>
  <c r="K28" i="152"/>
  <c r="K28" i="153"/>
  <c r="K18" i="153"/>
  <c r="K48" i="153"/>
  <c r="K9" i="150"/>
  <c r="K33" i="152"/>
  <c r="K39" i="152"/>
  <c r="K9" i="153"/>
  <c r="K28" i="150"/>
  <c r="K18" i="150"/>
  <c r="K33" i="153"/>
  <c r="K18" i="152"/>
  <c r="K9" i="152"/>
  <c r="K53" i="150"/>
  <c r="K53" i="153"/>
  <c r="K53" i="152"/>
  <c r="J46" i="145"/>
  <c r="J53" i="145" s="1"/>
  <c r="K19" i="147"/>
  <c r="K12" i="147"/>
  <c r="K30" i="147"/>
  <c r="K35" i="147"/>
  <c r="K50" i="147"/>
  <c r="K22" i="147"/>
  <c r="K36" i="147"/>
  <c r="K24" i="147"/>
  <c r="K41" i="147"/>
  <c r="K23" i="147"/>
  <c r="K40" i="147"/>
  <c r="K13" i="147"/>
  <c r="K20" i="147"/>
  <c r="K7" i="147"/>
  <c r="K10" i="147"/>
  <c r="K14" i="147"/>
  <c r="K21" i="147"/>
  <c r="K51" i="147"/>
  <c r="K29" i="147"/>
  <c r="K37" i="147"/>
  <c r="K26" i="147"/>
  <c r="K34" i="147"/>
  <c r="K31" i="147"/>
  <c r="K16" i="147"/>
  <c r="D13" i="159"/>
  <c r="K11" i="147"/>
  <c r="K49" i="147"/>
  <c r="K29" i="151"/>
  <c r="K13" i="151"/>
  <c r="K34" i="151"/>
  <c r="K51" i="151"/>
  <c r="K40" i="151"/>
  <c r="K11" i="151"/>
  <c r="K50" i="151"/>
  <c r="K22" i="151"/>
  <c r="K35" i="151"/>
  <c r="K26" i="151"/>
  <c r="K7" i="151"/>
  <c r="K24" i="151"/>
  <c r="K16" i="151"/>
  <c r="K41" i="151"/>
  <c r="K19" i="151"/>
  <c r="K10" i="151"/>
  <c r="K36" i="151"/>
  <c r="K23" i="151"/>
  <c r="K37" i="151"/>
  <c r="K31" i="151"/>
  <c r="K20" i="151"/>
  <c r="K21" i="151"/>
  <c r="K14" i="151"/>
  <c r="D18" i="159"/>
  <c r="K30" i="151"/>
  <c r="K12" i="151"/>
  <c r="K49" i="151"/>
  <c r="D14" i="159"/>
  <c r="K10" i="146"/>
  <c r="K44" i="145" l="1"/>
  <c r="K45" i="145"/>
  <c r="K43" i="151"/>
  <c r="K43" i="146"/>
  <c r="K48" i="146"/>
  <c r="K9" i="146"/>
  <c r="K18" i="146"/>
  <c r="K28" i="146"/>
  <c r="K39" i="147"/>
  <c r="K33" i="147"/>
  <c r="K33" i="146"/>
  <c r="K9" i="151"/>
  <c r="K48" i="147"/>
  <c r="K28" i="147"/>
  <c r="K39" i="146"/>
  <c r="K33" i="151"/>
  <c r="K18" i="151"/>
  <c r="K28" i="151"/>
  <c r="K18" i="147"/>
  <c r="K39" i="151"/>
  <c r="K9" i="147"/>
  <c r="K48" i="151"/>
  <c r="K53" i="146"/>
  <c r="K53" i="151"/>
  <c r="K53" i="147"/>
  <c r="K46" i="145"/>
  <c r="K43" i="145" l="1"/>
  <c r="K50" i="145"/>
  <c r="K21" i="145"/>
  <c r="K24" i="145"/>
  <c r="K13" i="145"/>
  <c r="K40" i="145"/>
  <c r="K11" i="145"/>
  <c r="K41" i="145"/>
  <c r="K26" i="145"/>
  <c r="K16" i="145"/>
  <c r="K12" i="145"/>
  <c r="K19" i="145"/>
  <c r="K22" i="145"/>
  <c r="K23" i="145"/>
  <c r="K7" i="145"/>
  <c r="K34" i="145"/>
  <c r="K20" i="145"/>
  <c r="K51" i="145"/>
  <c r="K29" i="145"/>
  <c r="K35" i="145"/>
  <c r="K30" i="145"/>
  <c r="K14" i="145"/>
  <c r="K10" i="145"/>
  <c r="K37" i="145"/>
  <c r="K36" i="145"/>
  <c r="K31" i="145"/>
  <c r="K49" i="145"/>
  <c r="K18" i="145" l="1"/>
  <c r="K48" i="145"/>
  <c r="K28" i="145"/>
  <c r="K33" i="145"/>
  <c r="K9" i="145"/>
  <c r="K39" i="145"/>
  <c r="K53" i="145"/>
  <c r="J46" i="138"/>
  <c r="J53" i="138" s="1"/>
  <c r="K22" i="138" s="1"/>
  <c r="K45" i="138" l="1"/>
  <c r="K36" i="138"/>
  <c r="K23" i="138"/>
  <c r="K31" i="138"/>
  <c r="K29" i="138"/>
  <c r="K46" i="138"/>
  <c r="K21" i="138"/>
  <c r="K14" i="138"/>
  <c r="K37" i="138"/>
  <c r="K34" i="138"/>
  <c r="K44" i="138"/>
  <c r="K7" i="138"/>
  <c r="K41" i="138"/>
  <c r="K35" i="138"/>
  <c r="D12" i="159"/>
  <c r="K19" i="138"/>
  <c r="K20" i="138"/>
  <c r="K16" i="138"/>
  <c r="K49" i="138"/>
  <c r="K30" i="138"/>
  <c r="K10" i="138"/>
  <c r="E8" i="125"/>
  <c r="K26" i="138"/>
  <c r="K40" i="138"/>
  <c r="K51" i="138"/>
  <c r="K11" i="138"/>
  <c r="K13" i="138"/>
  <c r="K50" i="138"/>
  <c r="K24" i="138"/>
  <c r="K12" i="138"/>
  <c r="K33" i="138" l="1"/>
  <c r="K43" i="138"/>
  <c r="K48" i="138"/>
  <c r="K53" i="138"/>
  <c r="K28" i="138"/>
  <c r="K39" i="138"/>
  <c r="K9" i="138"/>
  <c r="E17" i="125"/>
  <c r="K18" i="138"/>
  <c r="D22" i="159"/>
  <c r="E12" i="159" s="1"/>
  <c r="E17" i="159" l="1"/>
  <c r="E13" i="159"/>
  <c r="E19" i="159"/>
  <c r="E18" i="159"/>
  <c r="E14" i="159"/>
  <c r="E20" i="159"/>
  <c r="E15" i="159"/>
  <c r="E16" i="159"/>
  <c r="D14" i="125"/>
  <c r="D9" i="125"/>
  <c r="D16" i="125"/>
  <c r="D15" i="125"/>
  <c r="D11" i="125"/>
  <c r="D13" i="125"/>
  <c r="D12" i="125"/>
  <c r="D10" i="125"/>
  <c r="D8" i="125"/>
  <c r="D17" i="125" l="1"/>
  <c r="E22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lorenacp</author>
  </authors>
  <commentList>
    <comment ref="N22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lorenacp:</t>
        </r>
        <r>
          <rPr>
            <sz val="8"/>
            <color indexed="81"/>
            <rFont val="Tahoma"/>
            <family val="2"/>
          </rPr>
          <t xml:space="preserve">
http://www.sasp.org.br/index.php/piso-salarial.html</t>
        </r>
      </text>
    </comment>
    <comment ref="P22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lorenacp:</t>
        </r>
        <r>
          <rPr>
            <sz val="8"/>
            <color indexed="81"/>
            <rFont val="Tahoma"/>
            <family val="2"/>
          </rPr>
          <t xml:space="preserve">
114% de impostos</t>
        </r>
      </text>
    </comment>
    <comment ref="N23" authorId="0" shapeId="0" xr:uid="{00000000-0006-0000-0100-000003000000}">
      <text>
        <r>
          <rPr>
            <b/>
            <sz val="8"/>
            <color indexed="81"/>
            <rFont val="Tahoma"/>
            <family val="2"/>
          </rPr>
          <t>lorenacp:</t>
        </r>
        <r>
          <rPr>
            <sz val="8"/>
            <color indexed="81"/>
            <rFont val="Tahoma"/>
            <family val="2"/>
          </rPr>
          <t xml:space="preserve">
http://www.assistentesocial.com.br/perguntas.php</t>
        </r>
      </text>
    </comment>
  </commentList>
</comments>
</file>

<file path=xl/sharedStrings.xml><?xml version="1.0" encoding="utf-8"?>
<sst xmlns="http://schemas.openxmlformats.org/spreadsheetml/2006/main" count="2205" uniqueCount="768">
  <si>
    <t xml:space="preserve">ORÇAMENTO PARA ELABORAÇÃO DE PROJETOS DE SISTEMA DE ESGOTAMENTO SANITÁRIO </t>
  </si>
  <si>
    <t>CBH-SANTO ANTÔNIO</t>
  </si>
  <si>
    <t>Açucena/MG</t>
  </si>
  <si>
    <t>GOVERNO DO ESTADO DO RIO DE JANEIRO</t>
  </si>
  <si>
    <t>SECRETARIA DE ESTADO DO AMBIENTE - SEA</t>
  </si>
  <si>
    <t>Planilha Orçamentária</t>
  </si>
  <si>
    <t>I0 = AGO/2011</t>
  </si>
  <si>
    <t>Projeto: ELABORAÇÃO DE PLANO MUNICIPAL DE SANEAMENTO NAS MODALIDADES ÁGUA, ESGOTO E DRENAGEM URBANA  PARA MUNICÍPIOS COM POPULAÇÃO ATÉ 15 MIL HABITANTES</t>
  </si>
  <si>
    <t>ITEM</t>
  </si>
  <si>
    <t>DESCRIÇÃO</t>
  </si>
  <si>
    <t>Código</t>
  </si>
  <si>
    <t>Unid.</t>
  </si>
  <si>
    <t>Quant.</t>
  </si>
  <si>
    <t>Preço unit.</t>
  </si>
  <si>
    <t>Custo total</t>
  </si>
  <si>
    <t>EMOP JUL/11</t>
  </si>
  <si>
    <t>Supervisão e Suporte</t>
  </si>
  <si>
    <t>h/mês</t>
  </si>
  <si>
    <t>nº meses</t>
  </si>
  <si>
    <t>nº prof.</t>
  </si>
  <si>
    <t>0.1</t>
  </si>
  <si>
    <t>05.105.034-0</t>
  </si>
  <si>
    <t>h</t>
  </si>
  <si>
    <t>0.2</t>
  </si>
  <si>
    <t>05.105.038-0</t>
  </si>
  <si>
    <t>0.3</t>
  </si>
  <si>
    <t>05.105.041-0</t>
  </si>
  <si>
    <t>Plano de Trabalho (P1) e Projeto de Comunicação e Mobilização Social (P2)</t>
  </si>
  <si>
    <t>P1 + P2</t>
  </si>
  <si>
    <t>1.1</t>
  </si>
  <si>
    <t>MÃO-DE-OBRA DE ADVOGADO OU ASSESSOR JURÍDICO</t>
  </si>
  <si>
    <t>1.2</t>
  </si>
  <si>
    <t xml:space="preserve">MÃO-DE-OBRA DE ASSISTENTE SOCIAL </t>
  </si>
  <si>
    <t>1.3</t>
  </si>
  <si>
    <t>MÃO-DE-OBRA DE ECONOMISTA</t>
  </si>
  <si>
    <t>1.4</t>
  </si>
  <si>
    <t>05.105.033-0</t>
  </si>
  <si>
    <t>1.5</t>
  </si>
  <si>
    <t>05.105.032-0</t>
  </si>
  <si>
    <t>1.6</t>
  </si>
  <si>
    <t>05.105.026-0</t>
  </si>
  <si>
    <t>1.7</t>
  </si>
  <si>
    <t>05.105.035-0</t>
  </si>
  <si>
    <t>1.8</t>
  </si>
  <si>
    <t>05.105.025-0</t>
  </si>
  <si>
    <t xml:space="preserve"> Caracterização do Município (P3)</t>
  </si>
  <si>
    <t>P3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</si>
  <si>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</si>
  <si>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</si>
  <si>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</si>
  <si>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</si>
  <si>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</si>
  <si>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</si>
  <si>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</si>
  <si>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</si>
  <si>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</si>
  <si>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19.004.042-2</t>
  </si>
  <si>
    <t>Diagnóstico dos Serviços de Abastecimento de Água Potável (P4),  Esgotamento Sanitário e Drenagem Pluvial Urbana (P5)</t>
  </si>
  <si>
    <t>P4</t>
  </si>
  <si>
    <t>3.1</t>
  </si>
  <si>
    <t>3.2</t>
  </si>
  <si>
    <t>3.3</t>
  </si>
  <si>
    <t>3.4</t>
  </si>
  <si>
    <t>3.5</t>
  </si>
  <si>
    <t>3.6</t>
  </si>
  <si>
    <t>05.105.050-0</t>
  </si>
  <si>
    <t>3.7</t>
  </si>
  <si>
    <t>3.8</t>
  </si>
  <si>
    <t>3.9</t>
  </si>
  <si>
    <t>3.10</t>
  </si>
  <si>
    <t xml:space="preserve"> Proposição de  Arranjos Institucionais, Jurídicos e Econômico-Financeiros (P6), Sistemas de Abastecimento de Água (P7), Sistemas de Esgotamento Sanitário e Drenagem Pluvial Urbana (P8)</t>
  </si>
  <si>
    <t>P6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</si>
  <si>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</si>
  <si>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</si>
  <si>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</si>
  <si>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</si>
  <si>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</si>
  <si>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</si>
  <si>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</si>
  <si>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</si>
  <si>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</si>
  <si>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</si>
  <si>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Versão Preliminar do Plano (P9)</t>
  </si>
  <si>
    <t>P9</t>
  </si>
  <si>
    <t>5.1</t>
  </si>
  <si>
    <t>5.2</t>
  </si>
  <si>
    <t>5.3</t>
  </si>
  <si>
    <t>5.4</t>
  </si>
  <si>
    <t>5.5</t>
  </si>
  <si>
    <t>5.6</t>
  </si>
  <si>
    <t>5.7</t>
  </si>
  <si>
    <t>5.8</t>
  </si>
  <si>
    <t>Versão Final do Plano (P10) e Banco de Dados (P11)</t>
  </si>
  <si>
    <t>P10</t>
  </si>
  <si>
    <t>P11</t>
  </si>
  <si>
    <t>6.1</t>
  </si>
  <si>
    <t>6.2</t>
  </si>
  <si>
    <t>6.3</t>
  </si>
  <si>
    <t>6.4</t>
  </si>
  <si>
    <t>MAO-DE-OBRA DE TÉCNICO DE GEOPROCESSAMENTO</t>
  </si>
  <si>
    <t>6.5</t>
  </si>
  <si>
    <t>Sub total Planos Municipais de Saneamento</t>
  </si>
  <si>
    <t>Sub total Planos Municipais de Saneamento (c/ BDI 16%)</t>
  </si>
  <si>
    <t>meses</t>
  </si>
  <si>
    <t xml:space="preserve">TOTAL </t>
  </si>
  <si>
    <t>BDI (8%)</t>
  </si>
  <si>
    <t>TOTAL GERAL</t>
  </si>
  <si>
    <t>CRONOGRAMA FÍSICO-FINANCEIRO</t>
  </si>
  <si>
    <t>Projeto: ELABORAÇÃO DE PLANO MUNICIPAL DE SANEAMENTO NAS MODALIDADES ÁGUA, ESGOTO E DRENAGEM URBANA, PARA MUNICÍPIOS COM POPULAÇÃO ENTRE 15 E 30 MIL HABITANTES</t>
  </si>
  <si>
    <t>Atividade</t>
  </si>
  <si>
    <t>Supervisão/mês</t>
  </si>
  <si>
    <t>DIAS</t>
  </si>
  <si>
    <t>Plano de Trabalho e Projeto de Comunicação e Mobilização Social (P1+P2)</t>
  </si>
  <si>
    <t>Caracterização do Município (P3)</t>
  </si>
  <si>
    <t>Diagnóstico do Serviço de Abastecimento de Água Potável (P4),  Esgotamento Sanitário e Drenagem Pluvial Urbana (P5)</t>
  </si>
  <si>
    <t>Proposição de  Arranjos Institucionais, Jurídicos e Econômico-Financeiros (P6), sistemas de Abastecimento de Água (P7), esgotamento sanitário e drenagem pluvial urbana (P8)</t>
  </si>
  <si>
    <t>Versão Preliminar do PMSB (P9)</t>
  </si>
  <si>
    <t>Banco de Dados (P10) e Versão Final do Plano (P11)</t>
  </si>
  <si>
    <t>Total</t>
  </si>
  <si>
    <t>Total Acumulado</t>
  </si>
  <si>
    <t>Total (%)</t>
  </si>
  <si>
    <t>Total Acumulado (%)</t>
  </si>
  <si>
    <t>DEFINIÇÕES GERAIS</t>
  </si>
  <si>
    <t>ENCARGOS SOCIAIS</t>
  </si>
  <si>
    <t>Encargos Sociais e Benefícios aos Trabalhadores – encargos incidentes sobre a folha de pagamento, encargos demissionais, benefícios pagos ao trabalhador e demais custos que deverão ser pagos ou apropriados para quitação quando devidos, tais como: férias e abono de férias, 13° salário, auxílio refeição, auxílio transporte, plano de saúde, seguro de vida, abonos legais etc.</t>
  </si>
  <si>
    <t>DESPESAS INDIRETAS</t>
  </si>
  <si>
    <t>Despesas não apropriadas diretamente nos custos do contrato, como por exemplo: funcionários administrativos, assessoria jurídica, assessoria contábil, telefonia, água e luz, aluguel e manutenção de sede, atestados, certidões, cartórios etc., tarifas bancárias, segurança, manutenção de equipamentos, licenças de usos e atualização de software, hardware, seguros, impostos e taxas não vinculados com o faturamento, papelaria, mercado, livros, jornais e
revistas, despesas comerciais etc.</t>
  </si>
  <si>
    <t>DESPESAS LEGAIS TRIBUTOS</t>
  </si>
  <si>
    <t>Impostos e contribuições incidentes sobre o faturamento ou o resultado da empresa: PIS, COFINS e Imposto sobre Serviço.</t>
  </si>
  <si>
    <t>SERVIÇOS DE APOIO TÉCNICO</t>
  </si>
  <si>
    <t>São serviços complementares, executados por profissionais ou empresas subcontratados, e que são necessários para o desenvolvimento dos trabalhos de arquitetura e engenharia consultiva. Diferenciam-se das despesas diretas por serem atividades e serviços vinculados à responsabilidade técnica inerente ao trabalho da consultoria. Dentre estes serviços pode-se destacar: levantamentos topográficos e cadastrais, sondagens, ensaios geotécnicos, ensaios e análises laboratoriais (biológicos e físico-químicos), ensaios em cimento, agregados, aço, concreto, solo, pavimento etc.</t>
  </si>
  <si>
    <t>DESPESAS DIRETAS</t>
  </si>
  <si>
    <t>As despesas diretas são gastos decorrentes diretamente da execução do contrato, relacionados com materiais, serviços e equipamentos, alocados exclusivamente para o cumprimento do contrato em questão. Como exemplo destas despesas pode-se citar: impressão de desenhos, cópias Reprográficas, encadernações, fotografias, mídias, locação de veículo, diárias, refeições, passagens aéreas etc.</t>
  </si>
  <si>
    <t>Dados primários para quantificação de projetos de esgotamento sanitário</t>
  </si>
  <si>
    <t>Data:</t>
  </si>
  <si>
    <t>Comitê:</t>
  </si>
  <si>
    <t>Município:</t>
  </si>
  <si>
    <t>DISCRIMINAÇÃO</t>
  </si>
  <si>
    <t>VALORES</t>
  </si>
  <si>
    <t>UNIDADE</t>
  </si>
  <si>
    <t>FONTE</t>
  </si>
  <si>
    <t>LEGENDA:</t>
  </si>
  <si>
    <t>Localidade</t>
  </si>
  <si>
    <t>Açucena</t>
  </si>
  <si>
    <t>Dados inseridos</t>
  </si>
  <si>
    <t>Cronograma do projeto estimado</t>
  </si>
  <si>
    <t>Estimado</t>
  </si>
  <si>
    <t>Distância da cidade até Governador Valadares/MG</t>
  </si>
  <si>
    <t>km</t>
  </si>
  <si>
    <t>Google MAPS</t>
  </si>
  <si>
    <t>Calculado</t>
  </si>
  <si>
    <t>População Total</t>
  </si>
  <si>
    <t>habitantes</t>
  </si>
  <si>
    <t>IBGE 2022</t>
  </si>
  <si>
    <t>População urbana Total</t>
  </si>
  <si>
    <t>Prefeitura Municipal  ou IBGE</t>
  </si>
  <si>
    <t>População urbana das áreas de abrangência do projeto</t>
  </si>
  <si>
    <t>Área de abrangência do projeto</t>
  </si>
  <si>
    <t>km²</t>
  </si>
  <si>
    <t>Calculado - Google Earth</t>
  </si>
  <si>
    <t>Consumo Per Capta</t>
  </si>
  <si>
    <t>L/hab.dia</t>
  </si>
  <si>
    <t>SNIS - Água</t>
  </si>
  <si>
    <t>Número de domicílios da área de abrangência do projeto</t>
  </si>
  <si>
    <t>unidades</t>
  </si>
  <si>
    <t>Percentual de domicílios urbanos com saneamento adequado</t>
  </si>
  <si>
    <t>%</t>
  </si>
  <si>
    <t>Extensão da rede por ligação</t>
  </si>
  <si>
    <t>m/lig</t>
  </si>
  <si>
    <t>Vazão estimada de Esgoto</t>
  </si>
  <si>
    <t>L/s</t>
  </si>
  <si>
    <t>Extensão estimada total da rede</t>
  </si>
  <si>
    <t>m</t>
  </si>
  <si>
    <t>Calculado (Considerado uma ligação/domicílio)</t>
  </si>
  <si>
    <t>Extensão de rede em condições adequadas</t>
  </si>
  <si>
    <t>Número Estimados de Poços de Visita (PVs)*</t>
  </si>
  <si>
    <t>Estimativa rede de esgoto a ser cadastrada</t>
  </si>
  <si>
    <t xml:space="preserve">km </t>
  </si>
  <si>
    <t>Estimativa rede de esgoto a ser projetada</t>
  </si>
  <si>
    <t xml:space="preserve">*Adotou-se o valor de 0,80m como Distância entre Poços de Visita (PVs) adotada, considerando que a SABESP recomenda que esta seja a distância máxima adotada para elaborar projetos de Sistema de Esgotamento Sanitário, devido aos equipamentos de manutenção. (Norma Técnica SABESP NTS 25/2020) </t>
  </si>
  <si>
    <t>Dias trabalhados - 2024</t>
  </si>
  <si>
    <t>Nº</t>
  </si>
  <si>
    <t>ESPECIFICAÇÃO</t>
  </si>
  <si>
    <t>DADOS</t>
  </si>
  <si>
    <t>OBSERVAÇÃO</t>
  </si>
  <si>
    <t>NÚMERO MÉDIO DE DIAS IMPRODUTIVOS</t>
  </si>
  <si>
    <t>Número de dias no ano:</t>
  </si>
  <si>
    <t>dias</t>
  </si>
  <si>
    <t>Definido</t>
  </si>
  <si>
    <t>Número de dias na semana:</t>
  </si>
  <si>
    <t>Número de sábado e domingo na semana:</t>
  </si>
  <si>
    <t>Número de semanas no ano:</t>
  </si>
  <si>
    <t>semanas</t>
  </si>
  <si>
    <t>(1.1/1.2)</t>
  </si>
  <si>
    <t>Número de sábados e domingos no ano:</t>
  </si>
  <si>
    <t>(1.3 x 1.4)</t>
  </si>
  <si>
    <t>Número de feriados em dias úteis:</t>
  </si>
  <si>
    <t>Dias improdutivos no ano:</t>
  </si>
  <si>
    <t>(1.5 + 1.6)</t>
  </si>
  <si>
    <t>NÚMERO DE HORAS TRABALHADAS PELA EMPRESA</t>
  </si>
  <si>
    <t>Total de dias trabalhados por ano:</t>
  </si>
  <si>
    <t>(1.1 - 1.7)</t>
  </si>
  <si>
    <t>Jornada diária de trabalho:</t>
  </si>
  <si>
    <t>horas</t>
  </si>
  <si>
    <t>Acordo coletivo</t>
  </si>
  <si>
    <t>Número de horas trabalhadas por ano:</t>
  </si>
  <si>
    <t>(2.1 x 2.2)</t>
  </si>
  <si>
    <t>Número de meses no ano:</t>
  </si>
  <si>
    <t>Número médio de horas trabalhadas pela empresa no mês</t>
  </si>
  <si>
    <t>(2.3 / 2.4)</t>
  </si>
  <si>
    <t>NÚMERO DE HORAS IMPRODUTIVAS DO EMPREGADO</t>
  </si>
  <si>
    <t>horas/ano</t>
  </si>
  <si>
    <t>(3.1 + 3.2 + 3.3 + 3.4 + 3.5)</t>
  </si>
  <si>
    <t>Número de horas - Férias</t>
  </si>
  <si>
    <t>3.1.1</t>
  </si>
  <si>
    <t>Número de dias de férias</t>
  </si>
  <si>
    <t xml:space="preserve">dias </t>
  </si>
  <si>
    <t>Número de horas - Faltas justificadas</t>
  </si>
  <si>
    <t>(3.2.1 x 2.2)</t>
  </si>
  <si>
    <t>3.2.1</t>
  </si>
  <si>
    <t>Número de dias de faltas justificadas por ano:</t>
  </si>
  <si>
    <t>Número de horas  - Auxílio enfermidade</t>
  </si>
  <si>
    <t>((2.2 x (3.3.2 - 3.3.3)) x (3.3.1 / 100)</t>
  </si>
  <si>
    <t>3.3.1</t>
  </si>
  <si>
    <t>% de funcionários que recorrem ao auxílio enfermidade:</t>
  </si>
  <si>
    <t>3.3.2</t>
  </si>
  <si>
    <t>Número de dias no auxílio enfermidade:</t>
  </si>
  <si>
    <t>Prazo concedido 15 dias - auxílo enfermidade</t>
  </si>
  <si>
    <t>3.3.3</t>
  </si>
  <si>
    <t>Número de sábados e domingos no auxílio enfermidade:</t>
  </si>
  <si>
    <t>((3.3.1 / 1.2) x 1.3))</t>
  </si>
  <si>
    <t>Número de horas - Aviso prévio</t>
  </si>
  <si>
    <t>3.4.1 x 2.2 x (3.4.3/100) x (3.4.4/100) x (3.4.2/2.4)</t>
  </si>
  <si>
    <t>3.4.1</t>
  </si>
  <si>
    <t>Dias úteis dispensado do aviso prévio trabalhado:</t>
  </si>
  <si>
    <t>(1.2 - 1.3)</t>
  </si>
  <si>
    <t>(trabalha 1 semana a menos)</t>
  </si>
  <si>
    <t>3.4.2</t>
  </si>
  <si>
    <t>Permanência média dos funcionários na empresa:</t>
  </si>
  <si>
    <t>3.4.3</t>
  </si>
  <si>
    <t>% de empregados que são demitidos:</t>
  </si>
  <si>
    <t>3.4.4</t>
  </si>
  <si>
    <t>% de empregados que cumprem o aviso prévio:</t>
  </si>
  <si>
    <t>Número de horas - Licença Paternidade</t>
  </si>
  <si>
    <t>(3.5.1 x 2.2 x (3.5.2/100) x (3.5.3/100)</t>
  </si>
  <si>
    <t>3.5.1</t>
  </si>
  <si>
    <t>Dias de licença paternidade:</t>
  </si>
  <si>
    <t>3.5.2</t>
  </si>
  <si>
    <t>% de empregados do sexo masculino:</t>
  </si>
  <si>
    <t>3.5.3</t>
  </si>
  <si>
    <t>% dos empregados que recorrem a licença:</t>
  </si>
  <si>
    <t xml:space="preserve">NÚMERO DE HORAS DE CURSOS </t>
  </si>
  <si>
    <t>THIA</t>
  </si>
  <si>
    <t>NÚMERO TOTAL DE HORAS IMPRODUTIVAS:</t>
  </si>
  <si>
    <t>(3 + 4)</t>
  </si>
  <si>
    <t>THTA</t>
  </si>
  <si>
    <t>NÚMERO TOTAL DE HORAS TRABALHADAS PELO EMPREGADO:</t>
  </si>
  <si>
    <t>(2.3 - THIA)</t>
  </si>
  <si>
    <t>THTM</t>
  </si>
  <si>
    <t>NÚMERO DE HORAS PRODUTIVAS DO CONSULTOR POR MÊS:</t>
  </si>
  <si>
    <t>horas/mês</t>
  </si>
  <si>
    <t>(THTA/2.4)</t>
  </si>
  <si>
    <t>Feriados Nacionais, Estaduais e Municipais de Goovernador Valadares de 2021</t>
  </si>
  <si>
    <t>NACIONAL</t>
  </si>
  <si>
    <t>EST/MUN</t>
  </si>
  <si>
    <t>Data</t>
  </si>
  <si>
    <t>Dia da Semana</t>
  </si>
  <si>
    <t>Feriado</t>
  </si>
  <si>
    <t>sexta-feira</t>
  </si>
  <si>
    <t>Confraternização Universal</t>
  </si>
  <si>
    <t>Sábado</t>
  </si>
  <si>
    <t>Aniversário de Governador Valadares/MG</t>
  </si>
  <si>
    <t>segunda-feira</t>
  </si>
  <si>
    <t>Carnaval</t>
  </si>
  <si>
    <t>terça-feira</t>
  </si>
  <si>
    <t>Paixão de Cristo</t>
  </si>
  <si>
    <t>quarta-feira</t>
  </si>
  <si>
    <t>Tiradentes</t>
  </si>
  <si>
    <t>sábado</t>
  </si>
  <si>
    <t>Dia do Trabalho</t>
  </si>
  <si>
    <t>quinta-feira</t>
  </si>
  <si>
    <t>Corpus Christi</t>
  </si>
  <si>
    <t>domingo</t>
  </si>
  <si>
    <t>Dia de Santo Antônio</t>
  </si>
  <si>
    <t>Independência do Brasil</t>
  </si>
  <si>
    <t>Nossa Sr.a Aparecida - Padroeira do Brasil</t>
  </si>
  <si>
    <t>Finados</t>
  </si>
  <si>
    <t>Proclamação da República</t>
  </si>
  <si>
    <t>Natal</t>
  </si>
  <si>
    <t>COLUNA 39 – CONSULTORIA (SUPERVISÃO E PROJETOS)</t>
  </si>
  <si>
    <t>Custo nacional da construção civil e obras públicas apurado pela Fundação Getúlio Vargas (FGV)</t>
  </si>
  <si>
    <t>Base: Dez/2020 = 98</t>
  </si>
  <si>
    <t>Mês/ano</t>
  </si>
  <si>
    <t>Jan</t>
  </si>
  <si>
    <t>Fev</t>
  </si>
  <si>
    <t>Mar</t>
  </si>
  <si>
    <t>Abr</t>
  </si>
  <si>
    <t>Mai</t>
  </si>
  <si>
    <t>Jun</t>
  </si>
  <si>
    <t>Jul</t>
  </si>
  <si>
    <t>Ago</t>
  </si>
  <si>
    <t>Set</t>
  </si>
  <si>
    <t>Out</t>
  </si>
  <si>
    <t>Nov</t>
  </si>
  <si>
    <t>Dez</t>
  </si>
  <si>
    <t>Índice</t>
  </si>
  <si>
    <t>DNIT</t>
  </si>
  <si>
    <t>Critérios para definição da estimativa de deslocamento</t>
  </si>
  <si>
    <t>Município</t>
  </si>
  <si>
    <t>Estado</t>
  </si>
  <si>
    <t>Distância até Governador Valadares</t>
  </si>
  <si>
    <t xml:space="preserve">Distância média </t>
  </si>
  <si>
    <t>Tempo de visita</t>
  </si>
  <si>
    <t>Custo Automóvel</t>
  </si>
  <si>
    <t>Combustível</t>
  </si>
  <si>
    <t xml:space="preserve">Pedágio (ida e volta) </t>
  </si>
  <si>
    <t>Outros custos</t>
  </si>
  <si>
    <t>R$/dia</t>
  </si>
  <si>
    <t>R$</t>
  </si>
  <si>
    <t>MG</t>
  </si>
  <si>
    <t>Valor médio</t>
  </si>
  <si>
    <t>Observações</t>
  </si>
  <si>
    <t>Custo/mês - Out23</t>
  </si>
  <si>
    <t xml:space="preserve">1 - </t>
  </si>
  <si>
    <t xml:space="preserve">O Custo do Automóvel se refere ao custo do item PICK UP, MOTOR A GASOLINA 67 CV (EXCLUSIVE MOTORISTA), código 65001001, unidade = Mês, </t>
  </si>
  <si>
    <t>Custo/km</t>
  </si>
  <si>
    <r>
      <t>do banco de preços da Copasa, data = set</t>
    </r>
    <r>
      <rPr>
        <b/>
        <sz val="9"/>
        <rFont val="Calibri Light"/>
        <family val="2"/>
      </rPr>
      <t>/2024</t>
    </r>
    <r>
      <rPr>
        <sz val="9"/>
        <rFont val="Calibri Light"/>
        <family val="2"/>
      </rPr>
      <t>, acessado em: https://wwwapp.copasa.com.br/servicos/RDC/Rdc/BancoDePrecos</t>
    </r>
  </si>
  <si>
    <t>R$/dia - média</t>
  </si>
  <si>
    <t xml:space="preserve">2 - </t>
  </si>
  <si>
    <t>A distância do município até Governador Valadares (Sede do CBH Doce) e a verificação de pedágios foi obtida no site https://www.mapeia.com.br/</t>
  </si>
  <si>
    <t xml:space="preserve">3 - </t>
  </si>
  <si>
    <t>Distância média:</t>
  </si>
  <si>
    <t>ida e volta + deslocamento interno</t>
  </si>
  <si>
    <t xml:space="preserve">4 - </t>
  </si>
  <si>
    <t>Deslocamento Interno</t>
  </si>
  <si>
    <t xml:space="preserve">5 - </t>
  </si>
  <si>
    <t>Consumo de combustível:</t>
  </si>
  <si>
    <t>km/l</t>
  </si>
  <si>
    <t xml:space="preserve">6 - </t>
  </si>
  <si>
    <t>Valor de combustível:</t>
  </si>
  <si>
    <t>R$/litro</t>
  </si>
  <si>
    <t>Referência: https://www.gov.br/anp/pt-br/assuntos/precos-e-defesa-da-concorrencia/precos/levantamento-de-precos-de-combustiveis-ultimas-semanas-pesquisadas, data de consulta: 04/11/2023</t>
  </si>
  <si>
    <t xml:space="preserve">7 - </t>
  </si>
  <si>
    <t>Outros custos:</t>
  </si>
  <si>
    <t>(manutenção, troca de óleo e outros)</t>
  </si>
  <si>
    <t>População beneficiada</t>
  </si>
  <si>
    <t>Despesas diretas</t>
  </si>
  <si>
    <t>1 - 10.000</t>
  </si>
  <si>
    <t>10.001 - 25.000</t>
  </si>
  <si>
    <t>25.001 - 50.000</t>
  </si>
  <si>
    <t>50.000 - 100.000</t>
  </si>
  <si>
    <t>mês</t>
  </si>
  <si>
    <t>Critérios para definição dos serviços técnicos - topografia e cadastro técnico</t>
  </si>
  <si>
    <t>Coef. Produção</t>
  </si>
  <si>
    <t>Top. Campo</t>
  </si>
  <si>
    <t>Top. Escritório</t>
  </si>
  <si>
    <t>Eq. Campo</t>
  </si>
  <si>
    <t>Eq. Escritório</t>
  </si>
  <si>
    <t>Mês</t>
  </si>
  <si>
    <t>Levantamento planialmtimétrico semicadastral (km²)</t>
  </si>
  <si>
    <t>Cadastro de Rede Coletora de Esgoto (RCE) (km)</t>
  </si>
  <si>
    <t>Cadastro de poços de visita (Um) + 25% unidades isoladas</t>
  </si>
  <si>
    <t>Total mês - Topografia</t>
  </si>
  <si>
    <t>Campo</t>
  </si>
  <si>
    <t>Escritório</t>
  </si>
  <si>
    <t>Total cadastro</t>
  </si>
  <si>
    <t>Total de Meses</t>
  </si>
  <si>
    <t>Custos de referência</t>
  </si>
  <si>
    <t>CÓDIGO</t>
  </si>
  <si>
    <t>HORAS</t>
  </si>
  <si>
    <t>DATA BASE</t>
  </si>
  <si>
    <t>CUSTO (R$)</t>
  </si>
  <si>
    <t>MÊS</t>
  </si>
  <si>
    <t>MENSAL</t>
  </si>
  <si>
    <t>UNITÁRIO</t>
  </si>
  <si>
    <t>EQUIPE TÉCNICA PERMANENTE</t>
  </si>
  <si>
    <t>PERMANENTE</t>
  </si>
  <si>
    <t>corrigido</t>
  </si>
  <si>
    <t>a)</t>
  </si>
  <si>
    <t>Engenheiro Coordenador</t>
  </si>
  <si>
    <t>P8061</t>
  </si>
  <si>
    <t>abr/2024</t>
  </si>
  <si>
    <t>hora</t>
  </si>
  <si>
    <t>b)</t>
  </si>
  <si>
    <t>Engenheiro de Projetos Pleno</t>
  </si>
  <si>
    <t>P8066</t>
  </si>
  <si>
    <t>c)</t>
  </si>
  <si>
    <t>Engenheiro de Projetos Júnior</t>
  </si>
  <si>
    <t>P8065</t>
  </si>
  <si>
    <t>d)</t>
  </si>
  <si>
    <t>Técnico cadista</t>
  </si>
  <si>
    <t>P8155</t>
  </si>
  <si>
    <t>e)</t>
  </si>
  <si>
    <t>Auxiliar Administrativo</t>
  </si>
  <si>
    <t>P8026</t>
  </si>
  <si>
    <t>EQUIPE DE CONSULTORES</t>
  </si>
  <si>
    <t>CONSULTORES</t>
  </si>
  <si>
    <t>Advogado sênior</t>
  </si>
  <si>
    <t>P8003</t>
  </si>
  <si>
    <t>Engenheiro de Projetos (Elétrico)</t>
  </si>
  <si>
    <t>P8067</t>
  </si>
  <si>
    <t>Engenheiro de Projeto (Calculista)</t>
  </si>
  <si>
    <t>Engenheiro de Projetos (Mecânico)</t>
  </si>
  <si>
    <t>Engenheiro ambiental</t>
  </si>
  <si>
    <t>P8059</t>
  </si>
  <si>
    <t>f)</t>
  </si>
  <si>
    <t>Técnico em geoprocessamento</t>
  </si>
  <si>
    <t>COPASA</t>
  </si>
  <si>
    <t xml:space="preserve">SERVIÇO DE SONDAGEM </t>
  </si>
  <si>
    <t>Sondagem a percussao - mobilizacao e desmobilizacao</t>
  </si>
  <si>
    <t>set/2024</t>
  </si>
  <si>
    <t>unidade</t>
  </si>
  <si>
    <t>-</t>
  </si>
  <si>
    <t>Sondagem a percussao - adicional de mobilizacao e desmobilizacao</t>
  </si>
  <si>
    <t>Sondagem a percussao - instalacao por furo</t>
  </si>
  <si>
    <t>Sondagem a percussao ø2.1/2" - perfuracao e retirada de amostras</t>
  </si>
  <si>
    <t>SERVIÇOS DE TOPOGRAFIA</t>
  </si>
  <si>
    <t>Mobilização e desmobilização de equipe de topografia</t>
  </si>
  <si>
    <t>Equipe de topografia de campo</t>
  </si>
  <si>
    <t>Equipe de topografia de escritório</t>
  </si>
  <si>
    <t>CADASTRO TÉCNICO</t>
  </si>
  <si>
    <t>OUTRAS DESPESAS</t>
  </si>
  <si>
    <t>ANÁLISE DE ÁGUA</t>
  </si>
  <si>
    <t>Análise fisico-química da água</t>
  </si>
  <si>
    <t>Analise bactereologica da água</t>
  </si>
  <si>
    <t>Veículo tipo pick-up 4X4</t>
  </si>
  <si>
    <t>Composição</t>
  </si>
  <si>
    <t>out/2024</t>
  </si>
  <si>
    <t>Refeições</t>
  </si>
  <si>
    <t>AGEVAP</t>
  </si>
  <si>
    <t>Diárias</t>
  </si>
  <si>
    <t>FONTE DOS CUSTOS:</t>
  </si>
  <si>
    <t>Item 1.1 e 1.2:</t>
  </si>
  <si>
    <t>Tabela 01 - Consolidação dos custos de mão de obra da engenharia consultiva, Relatório de Consolidação de Mão de Obra - DNIT, data-base: abr/2024.</t>
  </si>
  <si>
    <t>Item 3</t>
  </si>
  <si>
    <t>Banco de Preços de Serviços da COPASA - BASE NORDESTE, data-base:set/2024. Disponível em: https://wwwapp.copasa.com.br/servicos/RDC/Rdc/BancoDePrecos</t>
  </si>
  <si>
    <t>a) Compreende a distância de até 100 km (cem quilômetros), considerado o percurso de ida e volta ao local de prestação de serviços.</t>
  </si>
  <si>
    <t>Item 4</t>
  </si>
  <si>
    <t>a) O custo do veículo é composto pelo custo do veículo, gasolina, pedágio e manutenção, conforme consta na aba "Deslocamento"</t>
  </si>
  <si>
    <t>b) Valor em vigor adotado pela AGEVAP na concessão do benefício a seus empregados</t>
  </si>
  <si>
    <t>c) Valor em vigor adotado pela AGEVAP na concessão do benefício a seus empregados já descontado o valor referente a refeição, considerando a normativa interna nº 1634/2021/AGEVAP.</t>
  </si>
  <si>
    <t>Número de horas trabalhadas</t>
  </si>
  <si>
    <t>Horas no mês</t>
  </si>
  <si>
    <t>Cronograma</t>
  </si>
  <si>
    <t>ETAPA</t>
  </si>
  <si>
    <t>7.1</t>
  </si>
  <si>
    <t>7.2</t>
  </si>
  <si>
    <t>TOTAL
(horas)</t>
  </si>
  <si>
    <t>Prazo do cronograma</t>
  </si>
  <si>
    <t>PRODUTO</t>
  </si>
  <si>
    <t>Plano de Trabalho</t>
  </si>
  <si>
    <t>Estudos Topográficos</t>
  </si>
  <si>
    <t xml:space="preserve">Cadastro Técnico </t>
  </si>
  <si>
    <t>Estudo de Concepção</t>
  </si>
  <si>
    <t>Projeto Básico</t>
  </si>
  <si>
    <t>Estudos Geotécnicos</t>
  </si>
  <si>
    <t>Estudos Ambientais Preliminares</t>
  </si>
  <si>
    <t>Estudos Ambientais Consolidados</t>
  </si>
  <si>
    <t>Projeto Executivo</t>
  </si>
  <si>
    <t>Coordenador Geral</t>
  </si>
  <si>
    <t>Engenheiro Pleno</t>
  </si>
  <si>
    <t>Engenheiro Junior</t>
  </si>
  <si>
    <t>Auxiliar de Escritório</t>
  </si>
  <si>
    <t>EQUIPE TÉCNICA DE CONSULTORES</t>
  </si>
  <si>
    <t>Advogado</t>
  </si>
  <si>
    <t>Engenheiro elétrico</t>
  </si>
  <si>
    <t>Engenheiro Civil</t>
  </si>
  <si>
    <t>Engenheiro Mecânico</t>
  </si>
  <si>
    <t>Técnico em Geoprocessamento</t>
  </si>
  <si>
    <t>Equipe:</t>
  </si>
  <si>
    <t>Atuação</t>
  </si>
  <si>
    <t>Duração por produto estimada p/ 8 meses</t>
  </si>
  <si>
    <t>P1</t>
  </si>
  <si>
    <t>P2</t>
  </si>
  <si>
    <t>P5</t>
  </si>
  <si>
    <t>P7.1</t>
  </si>
  <si>
    <t>P7.2</t>
  </si>
  <si>
    <t>P8</t>
  </si>
  <si>
    <t>Produto</t>
  </si>
  <si>
    <t>T estimado</t>
  </si>
  <si>
    <t>incidência</t>
  </si>
  <si>
    <t>Coordenador (C)</t>
  </si>
  <si>
    <t>S</t>
  </si>
  <si>
    <t>Eng. Pleno (EP)</t>
  </si>
  <si>
    <t>Eng. Júnior (EJ)</t>
  </si>
  <si>
    <t>Cadista (TC)</t>
  </si>
  <si>
    <t>Aux. Escritório (AE)</t>
  </si>
  <si>
    <t>Advogado (A)</t>
  </si>
  <si>
    <t>Eng. Elétrico (EE)</t>
  </si>
  <si>
    <t>Eng. Civil (ECV)</t>
  </si>
  <si>
    <t>Eng. Mecânico (EM)</t>
  </si>
  <si>
    <t>Eng. Ambiental (EA)</t>
  </si>
  <si>
    <t>Téc. Geo (TG)</t>
  </si>
  <si>
    <t>Duração (mês)</t>
  </si>
  <si>
    <t>P8001</t>
  </si>
  <si>
    <t>Advogado júnior</t>
  </si>
  <si>
    <t>P8002</t>
  </si>
  <si>
    <t>Advogado pleno</t>
  </si>
  <si>
    <t>P8007</t>
  </si>
  <si>
    <t>Analista de desenvolvimento de sistemas júnior</t>
  </si>
  <si>
    <t>P8008</t>
  </si>
  <si>
    <t>Analista de desenvolvimento de sistemas pleno</t>
  </si>
  <si>
    <t>P8009</t>
  </si>
  <si>
    <t>Analista de desenvolvimento de sistemas sênior</t>
  </si>
  <si>
    <t>P8013</t>
  </si>
  <si>
    <t>Arquiteto júnior</t>
  </si>
  <si>
    <t>P8014</t>
  </si>
  <si>
    <t>Arquiteto pleno</t>
  </si>
  <si>
    <t>P8015</t>
  </si>
  <si>
    <t>Arquiteto sênior</t>
  </si>
  <si>
    <t>P8019</t>
  </si>
  <si>
    <t>Assistente social júnior</t>
  </si>
  <si>
    <t>P8020</t>
  </si>
  <si>
    <t>Assistente social pleno</t>
  </si>
  <si>
    <t>P8021</t>
  </si>
  <si>
    <t>Assistente social sênior</t>
  </si>
  <si>
    <t>P8025</t>
  </si>
  <si>
    <t>Auxiliar</t>
  </si>
  <si>
    <t>Auxiliar administrativo</t>
  </si>
  <si>
    <t>P8027</t>
  </si>
  <si>
    <t>Auxiliar de laboratório</t>
  </si>
  <si>
    <t>P8028</t>
  </si>
  <si>
    <t>Auxiliar de topografia</t>
  </si>
  <si>
    <t>P8032</t>
  </si>
  <si>
    <t>Biólogo júnior</t>
  </si>
  <si>
    <t>P8033</t>
  </si>
  <si>
    <t>Biólogo pleno</t>
  </si>
  <si>
    <t>P8034</t>
  </si>
  <si>
    <t>Biólogo sênior</t>
  </si>
  <si>
    <t>P8038</t>
  </si>
  <si>
    <t>Chefe de escritório</t>
  </si>
  <si>
    <t>P8040</t>
  </si>
  <si>
    <t>Contador júnior</t>
  </si>
  <si>
    <t>P8041</t>
  </si>
  <si>
    <t>Contador pleno</t>
  </si>
  <si>
    <t>P8042</t>
  </si>
  <si>
    <t>Contador sênior</t>
  </si>
  <si>
    <t>P8044</t>
  </si>
  <si>
    <t xml:space="preserve">Coordenador ambiental </t>
  </si>
  <si>
    <t>P8045</t>
  </si>
  <si>
    <t>Economista júnior</t>
  </si>
  <si>
    <t>P8046</t>
  </si>
  <si>
    <t>Economista pleno</t>
  </si>
  <si>
    <t>P8047</t>
  </si>
  <si>
    <t>Economista sênior</t>
  </si>
  <si>
    <t>P8054</t>
  </si>
  <si>
    <t>Engenheiro agrônomo júnior</t>
  </si>
  <si>
    <t>P8055</t>
  </si>
  <si>
    <t>Engenheiro agrônomo pleno</t>
  </si>
  <si>
    <t>P8056</t>
  </si>
  <si>
    <t>Engenheiro agrônomo sênior</t>
  </si>
  <si>
    <t>P8057</t>
  </si>
  <si>
    <t>Engenheiro ambiental júnior</t>
  </si>
  <si>
    <t>P8058</t>
  </si>
  <si>
    <t>Engenheiro ambiental pleno</t>
  </si>
  <si>
    <t>Engenheiro ambiental sênior</t>
  </si>
  <si>
    <t>P8060</t>
  </si>
  <si>
    <t>Engenheiro consultor especial</t>
  </si>
  <si>
    <t>Engenheiro coordenador</t>
  </si>
  <si>
    <t>P8062</t>
  </si>
  <si>
    <t>Engenheiro de pesca júnior</t>
  </si>
  <si>
    <t>P8063</t>
  </si>
  <si>
    <t>Engenheiro de pesca pleno</t>
  </si>
  <si>
    <t>P8064</t>
  </si>
  <si>
    <t>Engenheiro de pesca sênior</t>
  </si>
  <si>
    <t>Engenheiro de projetos júnior</t>
  </si>
  <si>
    <t>Engenheiro de projetos pleno</t>
  </si>
  <si>
    <t>Engenheiro de projetos sênior</t>
  </si>
  <si>
    <t>P8068</t>
  </si>
  <si>
    <t>Engenheiro florestal júnior</t>
  </si>
  <si>
    <t>P8069</t>
  </si>
  <si>
    <t>Engenheiro florestal pleno</t>
  </si>
  <si>
    <t>P8070</t>
  </si>
  <si>
    <t>Engenheiro florestal sênior</t>
  </si>
  <si>
    <t>P8080</t>
  </si>
  <si>
    <t>Geólogo júnior</t>
  </si>
  <si>
    <t>P8081</t>
  </si>
  <si>
    <t>Geólogo pleno</t>
  </si>
  <si>
    <t>P8082</t>
  </si>
  <si>
    <t>Geólogo sênior</t>
  </si>
  <si>
    <t>P8092</t>
  </si>
  <si>
    <t>Jornalista júnior</t>
  </si>
  <si>
    <t>P8093</t>
  </si>
  <si>
    <t>Jornalista pleno</t>
  </si>
  <si>
    <t>P8094</t>
  </si>
  <si>
    <t>Jornalista sênior</t>
  </si>
  <si>
    <t>P8098</t>
  </si>
  <si>
    <t>Laboratorista</t>
  </si>
  <si>
    <t>P8102</t>
  </si>
  <si>
    <t>Médico veterinário</t>
  </si>
  <si>
    <t>P8106</t>
  </si>
  <si>
    <t>Meteorologista júnior</t>
  </si>
  <si>
    <t>P8107</t>
  </si>
  <si>
    <t>Meteorologista pleno</t>
  </si>
  <si>
    <t>P8108</t>
  </si>
  <si>
    <t>Meteorologista sênior</t>
  </si>
  <si>
    <t>P8112</t>
  </si>
  <si>
    <t>Motorista de caminhão</t>
  </si>
  <si>
    <t>P8113</t>
  </si>
  <si>
    <t>Motorista de veículo leve</t>
  </si>
  <si>
    <t>P8117</t>
  </si>
  <si>
    <t>Oceanógrafo júnior</t>
  </si>
  <si>
    <t>P8118</t>
  </si>
  <si>
    <t>Oceanógrafo pleno</t>
  </si>
  <si>
    <t>P8119</t>
  </si>
  <si>
    <t>Oceanógrafo sênior</t>
  </si>
  <si>
    <t>P8129</t>
  </si>
  <si>
    <t>Pedagogo júnior</t>
  </si>
  <si>
    <t>P8130</t>
  </si>
  <si>
    <t>Pedagogo pleno</t>
  </si>
  <si>
    <t>P8131</t>
  </si>
  <si>
    <t>Pedagogo sênior</t>
  </si>
  <si>
    <t>P8135</t>
  </si>
  <si>
    <t>Secretária</t>
  </si>
  <si>
    <t>P8139</t>
  </si>
  <si>
    <t>Sondador</t>
  </si>
  <si>
    <t>P8143</t>
  </si>
  <si>
    <t>Técnico ambiental</t>
  </si>
  <si>
    <t>P8147</t>
  </si>
  <si>
    <t>Técnico de obras</t>
  </si>
  <si>
    <t>P8151</t>
  </si>
  <si>
    <t>Técnico de segurança do trabalho</t>
  </si>
  <si>
    <t>P8159</t>
  </si>
  <si>
    <t>Técnico em informática - programador</t>
  </si>
  <si>
    <t>P8163</t>
  </si>
  <si>
    <t>Topógrafo</t>
  </si>
  <si>
    <t>P8167</t>
  </si>
  <si>
    <t>Arquivista júnior</t>
  </si>
  <si>
    <t>P8168</t>
  </si>
  <si>
    <t>Arquivista pleno</t>
  </si>
  <si>
    <t>P8169</t>
  </si>
  <si>
    <t>Arquivista sênior</t>
  </si>
  <si>
    <t>P8173</t>
  </si>
  <si>
    <t>Administrador júnior</t>
  </si>
  <si>
    <t>P8174</t>
  </si>
  <si>
    <t>Administrador pleno</t>
  </si>
  <si>
    <t>P8175</t>
  </si>
  <si>
    <t>Administrador sênior</t>
  </si>
  <si>
    <t>P8180</t>
  </si>
  <si>
    <t>Engenheiro agrimensor júnior</t>
  </si>
  <si>
    <t>P8181</t>
  </si>
  <si>
    <t>Engenheiro agrimensor pleno</t>
  </si>
  <si>
    <t>P8182</t>
  </si>
  <si>
    <t>Engenheiro agrimensor sênior</t>
  </si>
  <si>
    <t>P8183</t>
  </si>
  <si>
    <t>Geógrafo júnior</t>
  </si>
  <si>
    <t>P8184</t>
  </si>
  <si>
    <t>Geógrafo pleno</t>
  </si>
  <si>
    <t>P8185</t>
  </si>
  <si>
    <t>Geógrafo sênior</t>
  </si>
  <si>
    <t>P8186</t>
  </si>
  <si>
    <t>Antropólogo júnior</t>
  </si>
  <si>
    <t>P8187</t>
  </si>
  <si>
    <t>Antropólogo pleno</t>
  </si>
  <si>
    <t>P8188</t>
  </si>
  <si>
    <t>Antropólogo sênior</t>
  </si>
  <si>
    <t>P8189</t>
  </si>
  <si>
    <t>Arqueólogo júnior</t>
  </si>
  <si>
    <t>P8190</t>
  </si>
  <si>
    <t>Arqueólogo pleno</t>
  </si>
  <si>
    <t>P8191</t>
  </si>
  <si>
    <t>Arqueólogo sênior</t>
  </si>
  <si>
    <t>P8192</t>
  </si>
  <si>
    <t>Historiador júnior</t>
  </si>
  <si>
    <t>P8193</t>
  </si>
  <si>
    <t>Historiador pleno</t>
  </si>
  <si>
    <t>P8194</t>
  </si>
  <si>
    <t>Historiador sênior</t>
  </si>
  <si>
    <t>P8195</t>
  </si>
  <si>
    <t>Paleontólogo júnior</t>
  </si>
  <si>
    <t>P8196</t>
  </si>
  <si>
    <t>Paleontólogo pleno</t>
  </si>
  <si>
    <t>P8197</t>
  </si>
  <si>
    <t>Paleontólogo sênior</t>
  </si>
  <si>
    <t>P8198</t>
  </si>
  <si>
    <t>Sociólogo júnior</t>
  </si>
  <si>
    <t>P8199</t>
  </si>
  <si>
    <t>Sociólogo pleno</t>
  </si>
  <si>
    <t>P8200</t>
  </si>
  <si>
    <t>Sociólogo sênior</t>
  </si>
  <si>
    <t>Detalhamento do Fator K</t>
  </si>
  <si>
    <t xml:space="preserve">Os K's foram calculados através de fórmulas estabelecidas pelo Acórdão 1787/2011. Os parâmetros utilizados foram estabelecidos pela Nota Técnica Conjunta nº 01/2012/SIP/SAF da Agência Nacional de Águas. </t>
  </si>
  <si>
    <t>DETALHAMENTO DO FATOR K</t>
  </si>
  <si>
    <t>ES - ENCARGOS SOCIAIS*</t>
  </si>
  <si>
    <t>ESA - ENCARGOS SOCIAIS SOBRE RPA</t>
  </si>
  <si>
    <t>ARDF - ADMINISTRAÇÃO, RISCO E DESPESAS FINANCEIRAS</t>
  </si>
  <si>
    <t>L - LUCRO</t>
  </si>
  <si>
    <t>DFL - DESPESAS FISCAIS LEGAIS</t>
  </si>
  <si>
    <t>DFL=(PIS+COFINS+ISS)/(1-PIS+COFINS+ISS)</t>
  </si>
  <si>
    <t xml:space="preserve">PIS </t>
  </si>
  <si>
    <t>COFINS</t>
  </si>
  <si>
    <t>ISS**</t>
  </si>
  <si>
    <t>K1</t>
  </si>
  <si>
    <t>Permanente</t>
  </si>
  <si>
    <t>K1 = [(1+ES+ARDF)*(1+L)*(1+DFL)]</t>
  </si>
  <si>
    <t>K2</t>
  </si>
  <si>
    <t>Consultores</t>
  </si>
  <si>
    <t>K2 = [(1+ESA+ARDF)*(1+L)*(1+DFL)]</t>
  </si>
  <si>
    <t>K3</t>
  </si>
  <si>
    <t>Serviço de Apoio Técnico</t>
  </si>
  <si>
    <t>K3 = [(1+ARDF)*(1+L)*(1+DFL)]</t>
  </si>
  <si>
    <t>K4</t>
  </si>
  <si>
    <t>K4 = (1+L)*(1+DFL)</t>
  </si>
  <si>
    <t>* Valor adotado conforme Portaria nº 363/2021 da Agência Nacional de Águas e Saneamento Básico
** Valor adotado conforme constante no Art. 265  da  Lei Complementar nº 745/2010 do município de Jaguaraçu, que dispõe sobre o Sistema Tributário do Município de Antônio Dias, Estado de Minas Gerais e dá outras providências</t>
  </si>
  <si>
    <t>Serviços contratados</t>
  </si>
  <si>
    <t>TOTAL</t>
  </si>
  <si>
    <t>Cadastro Técnico</t>
  </si>
  <si>
    <t>Estudo Ambiental</t>
  </si>
  <si>
    <t>SERVIÇOS DE SONDAGEM</t>
  </si>
  <si>
    <t>2 FUROS ETE + 1 FUROS ELEVATÓRIA + 1FUROS/2KM DE REDE COM 10M DE PROFUNDIDADE</t>
  </si>
  <si>
    <t>Unidade</t>
  </si>
  <si>
    <t>OUTRAS</t>
  </si>
  <si>
    <t>Produto 1:</t>
  </si>
  <si>
    <t>Item</t>
  </si>
  <si>
    <t>Data-Base</t>
  </si>
  <si>
    <t>Órgão</t>
  </si>
  <si>
    <t>Descrição</t>
  </si>
  <si>
    <t>Custo unitário 
(R$)</t>
  </si>
  <si>
    <t>Quantitativo</t>
  </si>
  <si>
    <t>Custo total
(R$)</t>
  </si>
  <si>
    <t>Custo total com K 
(R$)</t>
  </si>
  <si>
    <t>Peso
(%)</t>
  </si>
  <si>
    <t>EQUIPE TÉCNICA</t>
  </si>
  <si>
    <t>jul/2021</t>
  </si>
  <si>
    <t>4.</t>
  </si>
  <si>
    <t>DESPESAS DIVERSAS</t>
  </si>
  <si>
    <t>VALOR TOTAL - Inclusos K's</t>
  </si>
  <si>
    <t>Observações:</t>
  </si>
  <si>
    <t>1-</t>
  </si>
  <si>
    <t>Os K's foram calculados através de fórmulas estabelecidas pelo Acórdão 1787/2011. Os parâmetros utilizados foram estabelecidos pela Nota Técnica Conjunta nº 01/2012/SIP/SAF da Agência Nacional de Águas.</t>
  </si>
  <si>
    <t>2-</t>
  </si>
  <si>
    <t>A remuneração horária é determinada dividindo-se o valor da remuneração mensal pela carga horária efetivamente trabalhada.</t>
  </si>
  <si>
    <t>3-</t>
  </si>
  <si>
    <t>No valor do veículo já estão inclusos os valores de locação, gasolina, manutenção e pedágio.</t>
  </si>
  <si>
    <t>Adriano Ferreira Batista</t>
  </si>
  <si>
    <t>Alex Cardoso Pereira</t>
  </si>
  <si>
    <t>Técnico Pleno - Escola de Projetos</t>
  </si>
  <si>
    <t>Assessor</t>
  </si>
  <si>
    <t>AGEDOCE</t>
  </si>
  <si>
    <t xml:space="preserve">André Luis de Paula Marques </t>
  </si>
  <si>
    <t>Diretor Presidente</t>
  </si>
  <si>
    <t>Produto 2:</t>
  </si>
  <si>
    <t>Produto 3:</t>
  </si>
  <si>
    <t>Produto 4:</t>
  </si>
  <si>
    <t>Produto 5:</t>
  </si>
  <si>
    <t xml:space="preserve">ORÇAMENTO PARA ELABORAÇÃO DE PROJETO DE SISTEMA DE ESGOTAMENTO SANITÁRIO </t>
  </si>
  <si>
    <t>Produto 6:</t>
  </si>
  <si>
    <t>Produto 7.1:</t>
  </si>
  <si>
    <t>Produto 7:</t>
  </si>
  <si>
    <t>Produto 8:</t>
  </si>
  <si>
    <t>Produto Consolidado</t>
  </si>
  <si>
    <t>CADASTRO TÉCNICO DE REDES DE ESGOTAMENTO SANITÁRIO</t>
  </si>
  <si>
    <t>Custo por produto</t>
  </si>
  <si>
    <t>PERCENTUAL</t>
  </si>
  <si>
    <t>Cronograma físico-financeiro</t>
  </si>
  <si>
    <t xml:space="preserve">CRONOGRAMA </t>
  </si>
  <si>
    <t>ETAPA PRODUTO</t>
  </si>
  <si>
    <t>Repasse</t>
  </si>
  <si>
    <t>Percentual</t>
  </si>
  <si>
    <t>Finalização Contratual</t>
  </si>
  <si>
    <t>Emissão da Ordem de Serviço</t>
  </si>
  <si>
    <t xml:space="preserve">Análise da versão final do produto </t>
  </si>
  <si>
    <t>Elaboração do produto e entrega da minuta</t>
  </si>
  <si>
    <t>Período para pagamento</t>
  </si>
  <si>
    <t xml:space="preserve">Análise e revisão do produto </t>
  </si>
  <si>
    <t>Finalização contratual interna</t>
  </si>
  <si>
    <t>Correção e entrega versão final do produto</t>
  </si>
  <si>
    <t>Produto 7.2: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</si>
</sst>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#,##0.0"/>
    <numFmt numFmtId="167" formatCode="mmmm\,\ yyyy;@"/>
    <numFmt numFmtId="168" formatCode="0.0"/>
    <numFmt numFmtId="169" formatCode="#,##0.000"/>
    <numFmt numFmtId="170" formatCode="0.0%"/>
    <numFmt numFmtId="171" formatCode="0.000"/>
    <numFmt numFmtId="172" formatCode="0.0000000"/>
    <numFmt numFmtId="173" formatCode="#,##0.0000"/>
  </numFmts>
  <fonts count="8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Calibri Light"/>
      <family val="2"/>
    </font>
    <font>
      <b/>
      <sz val="11"/>
      <color theme="0"/>
      <name val="Calibri Light"/>
      <family val="2"/>
    </font>
    <font>
      <b/>
      <sz val="11"/>
      <color theme="1" tint="0.14999847407452621"/>
      <name val="Calibri Light"/>
      <family val="2"/>
    </font>
    <font>
      <b/>
      <sz val="12"/>
      <color theme="1" tint="0.14999847407452621"/>
      <name val="Calibri Light"/>
      <family val="2"/>
    </font>
    <font>
      <sz val="12"/>
      <color theme="1" tint="0.14999847407452621"/>
      <name val="Calibri Light"/>
      <family val="2"/>
    </font>
    <font>
      <b/>
      <sz val="16"/>
      <color theme="1" tint="0.14999847407452621"/>
      <name val="Calibri Light"/>
      <family val="2"/>
    </font>
    <font>
      <sz val="16"/>
      <color theme="1" tint="0.14999847407452621"/>
      <name val="Calibri Light"/>
      <family val="2"/>
    </font>
    <font>
      <sz val="11"/>
      <color theme="1" tint="0.14999847407452621"/>
      <name val="Calibri Light"/>
      <family val="2"/>
    </font>
    <font>
      <sz val="10"/>
      <color theme="1" tint="0.14999847407452621"/>
      <name val="Calibri Light"/>
      <family val="2"/>
    </font>
    <font>
      <sz val="9"/>
      <color theme="1" tint="0.14999847407452621"/>
      <name val="Calibri Light"/>
      <family val="2"/>
    </font>
    <font>
      <b/>
      <sz val="10"/>
      <color theme="1" tint="0.14999847407452621"/>
      <name val="Calibri Light"/>
      <family val="2"/>
    </font>
    <font>
      <sz val="11"/>
      <color theme="0"/>
      <name val="Calibri Light"/>
      <family val="2"/>
    </font>
    <font>
      <sz val="8"/>
      <color theme="1" tint="0.14999847407452621"/>
      <name val="Calibri Light"/>
      <family val="2"/>
    </font>
    <font>
      <b/>
      <i/>
      <sz val="12"/>
      <color theme="1" tint="0.14999847407452621"/>
      <name val="Calibri Light"/>
      <family val="2"/>
    </font>
    <font>
      <i/>
      <sz val="11"/>
      <color theme="1" tint="0.14999847407452621"/>
      <name val="Calibri Light"/>
      <family val="2"/>
    </font>
    <font>
      <b/>
      <i/>
      <sz val="11"/>
      <color theme="1" tint="0.14999847407452621"/>
      <name val="Calibri Light"/>
      <family val="2"/>
    </font>
    <font>
      <i/>
      <sz val="10"/>
      <color theme="1" tint="0.14999847407452621"/>
      <name val="Calibri Light"/>
      <family val="2"/>
    </font>
    <font>
      <b/>
      <i/>
      <sz val="10"/>
      <color theme="1" tint="0.14999847407452621"/>
      <name val="Calibri Light"/>
      <family val="2"/>
    </font>
    <font>
      <b/>
      <i/>
      <sz val="10"/>
      <color theme="0"/>
      <name val="Calibri Light"/>
      <family val="2"/>
    </font>
    <font>
      <sz val="10"/>
      <name val="Calibri Light"/>
      <family val="2"/>
    </font>
    <font>
      <sz val="12"/>
      <name val="Calibri Light"/>
      <family val="2"/>
    </font>
    <font>
      <b/>
      <sz val="12"/>
      <color theme="0"/>
      <name val="Calibri Light"/>
      <family val="2"/>
    </font>
    <font>
      <i/>
      <sz val="12"/>
      <color theme="1" tint="0.14999847407452621"/>
      <name val="Calibri Light"/>
      <family val="2"/>
    </font>
    <font>
      <b/>
      <sz val="12"/>
      <name val="Calibri Light"/>
      <family val="2"/>
    </font>
    <font>
      <b/>
      <sz val="12"/>
      <color theme="1"/>
      <name val="Calibri Light"/>
      <family val="2"/>
    </font>
    <font>
      <sz val="8"/>
      <color theme="0" tint="-0.249977111117893"/>
      <name val="Calibri Light"/>
      <family val="2"/>
    </font>
    <font>
      <sz val="8"/>
      <name val="Calibri Light"/>
      <family val="2"/>
    </font>
    <font>
      <sz val="14"/>
      <name val="Arial"/>
      <family val="2"/>
    </font>
    <font>
      <sz val="16"/>
      <name val="Arial"/>
      <family val="2"/>
    </font>
    <font>
      <b/>
      <sz val="11"/>
      <name val="Calibri Light"/>
      <family val="2"/>
    </font>
    <font>
      <b/>
      <sz val="10"/>
      <color theme="1" tint="0.14999847407452621"/>
      <name val="Calibri "/>
    </font>
    <font>
      <sz val="10"/>
      <color theme="1" tint="0.14999847407452621"/>
      <name val="Calibri "/>
    </font>
    <font>
      <b/>
      <sz val="10"/>
      <color theme="0"/>
      <name val="Calibri "/>
    </font>
    <font>
      <b/>
      <sz val="10"/>
      <name val="Calibri "/>
    </font>
    <font>
      <sz val="10"/>
      <name val="Calibri "/>
    </font>
    <font>
      <sz val="10"/>
      <color rgb="FFFF0000"/>
      <name val="Calibri "/>
    </font>
    <font>
      <b/>
      <sz val="10"/>
      <name val="Calibri Light"/>
      <family val="2"/>
    </font>
    <font>
      <sz val="9"/>
      <name val="Calibri Light"/>
      <family val="2"/>
    </font>
    <font>
      <sz val="8"/>
      <name val="Arial"/>
      <family val="2"/>
    </font>
    <font>
      <b/>
      <sz val="12"/>
      <color rgb="FF4A4A4A"/>
      <name val="Calibri"/>
      <family val="2"/>
      <scheme val="minor"/>
    </font>
    <font>
      <b/>
      <sz val="12"/>
      <color rgb="FFFFFFFF"/>
      <name val="Frutiger Black"/>
    </font>
    <font>
      <sz val="12"/>
      <color rgb="FF205740"/>
      <name val="Frutiger Black"/>
    </font>
    <font>
      <sz val="12"/>
      <color rgb="FF4A4A4A"/>
      <name val="Frutiger Light"/>
    </font>
    <font>
      <sz val="10"/>
      <name val="Arial"/>
      <family val="2"/>
    </font>
    <font>
      <sz val="10"/>
      <color theme="0"/>
      <name val="Calibri "/>
    </font>
    <font>
      <b/>
      <sz val="9"/>
      <name val="Calibri Light"/>
      <family val="2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CC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97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/>
      </bottom>
      <diagonal/>
    </border>
    <border>
      <left/>
      <right/>
      <top style="thin">
        <color theme="0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 style="thin">
        <color theme="0" tint="-0.14993743705557422"/>
      </top>
      <bottom style="thin">
        <color theme="0"/>
      </bottom>
      <diagonal/>
    </border>
    <border>
      <left/>
      <right/>
      <top style="thin">
        <color theme="0"/>
      </top>
      <bottom style="thin">
        <color theme="0" tint="-0.149937437055574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/>
      <top style="thin">
        <color theme="0" tint="-0.149998474074526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/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/>
      <bottom/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  <border>
      <left style="thin">
        <color theme="0" tint="-0.14999847407452621"/>
      </left>
      <right style="medium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/>
      <bottom style="thin">
        <color theme="0" tint="-0.14996795556505021"/>
      </bottom>
      <diagonal/>
    </border>
    <border>
      <left style="thin">
        <color theme="0"/>
      </left>
      <right/>
      <top style="thin">
        <color theme="0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14996795556505021"/>
      </bottom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 tint="-0.14999847407452621"/>
      </right>
      <top/>
      <bottom/>
      <diagonal/>
    </border>
    <border>
      <left style="medium">
        <color indexed="64"/>
      </left>
      <right style="thin">
        <color theme="0" tint="-0.14999847407452621"/>
      </right>
      <top/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0">
    <xf numFmtId="0" fontId="0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6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0" applyNumberFormat="0" applyBorder="0" applyAlignment="0" applyProtection="0"/>
    <xf numFmtId="0" fontId="20" fillId="21" borderId="0" applyNumberFormat="0" applyBorder="0" applyAlignment="0" applyProtection="0"/>
    <xf numFmtId="0" fontId="21" fillId="22" borderId="22" applyNumberFormat="0" applyAlignment="0" applyProtection="0"/>
    <xf numFmtId="0" fontId="22" fillId="23" borderId="23" applyNumberFormat="0" applyAlignment="0" applyProtection="0"/>
    <xf numFmtId="0" fontId="23" fillId="0" borderId="24" applyNumberFormat="0" applyFill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24" fillId="30" borderId="22" applyNumberFormat="0" applyAlignment="0" applyProtection="0"/>
    <xf numFmtId="0" fontId="25" fillId="31" borderId="0" applyNumberFormat="0" applyBorder="0" applyAlignment="0" applyProtection="0"/>
    <xf numFmtId="0" fontId="26" fillId="32" borderId="0" applyNumberFormat="0" applyBorder="0" applyAlignment="0" applyProtection="0"/>
    <xf numFmtId="0" fontId="18" fillId="0" borderId="0"/>
    <xf numFmtId="0" fontId="14" fillId="33" borderId="25" applyNumberFormat="0" applyFont="0" applyAlignment="0" applyProtection="0"/>
    <xf numFmtId="9" fontId="5" fillId="0" borderId="0" applyFont="0" applyFill="0" applyBorder="0" applyAlignment="0" applyProtection="0"/>
    <xf numFmtId="0" fontId="27" fillId="22" borderId="26" applyNumberFormat="0" applyAlignment="0" applyProtection="0"/>
    <xf numFmtId="164" fontId="5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27" applyNumberFormat="0" applyFill="0" applyAlignment="0" applyProtection="0"/>
    <xf numFmtId="0" fontId="32" fillId="0" borderId="28" applyNumberFormat="0" applyFill="0" applyAlignment="0" applyProtection="0"/>
    <xf numFmtId="0" fontId="33" fillId="0" borderId="29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30" applyNumberFormat="0" applyFill="0" applyAlignment="0" applyProtection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5" fillId="0" borderId="0"/>
    <xf numFmtId="0" fontId="2" fillId="0" borderId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7" borderId="0" applyNumberFormat="0" applyBorder="0" applyAlignment="0" applyProtection="0"/>
    <xf numFmtId="0" fontId="35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2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79" fillId="0" borderId="0" applyFont="0" applyFill="0" applyBorder="0" applyAlignment="0" applyProtection="0"/>
  </cellStyleXfs>
  <cellXfs count="765">
    <xf numFmtId="0" fontId="0" fillId="0" borderId="0" xfId="0"/>
    <xf numFmtId="4" fontId="0" fillId="0" borderId="0" xfId="0" applyNumberFormat="1"/>
    <xf numFmtId="4" fontId="7" fillId="0" borderId="0" xfId="0" applyNumberFormat="1" applyFont="1"/>
    <xf numFmtId="1" fontId="6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top"/>
    </xf>
    <xf numFmtId="0" fontId="6" fillId="0" borderId="2" xfId="0" applyFont="1" applyBorder="1" applyAlignment="1">
      <alignment horizontal="justify" vertical="center"/>
    </xf>
    <xf numFmtId="0" fontId="6" fillId="0" borderId="2" xfId="0" applyFont="1" applyBorder="1" applyAlignment="1">
      <alignment horizontal="center" vertical="center" wrapText="1"/>
    </xf>
    <xf numFmtId="164" fontId="6" fillId="0" borderId="2" xfId="36" applyFont="1" applyBorder="1" applyAlignment="1">
      <alignment horizontal="center" vertical="center"/>
    </xf>
    <xf numFmtId="165" fontId="6" fillId="0" borderId="2" xfId="36" applyNumberFormat="1" applyFont="1" applyBorder="1" applyAlignment="1">
      <alignment vertical="center"/>
    </xf>
    <xf numFmtId="164" fontId="6" fillId="0" borderId="2" xfId="36" applyFont="1" applyBorder="1" applyAlignment="1">
      <alignment vertical="center"/>
    </xf>
    <xf numFmtId="164" fontId="6" fillId="0" borderId="3" xfId="36" applyFont="1" applyBorder="1" applyAlignment="1">
      <alignment vertical="center"/>
    </xf>
    <xf numFmtId="0" fontId="7" fillId="9" borderId="0" xfId="0" applyFont="1" applyFill="1" applyAlignment="1">
      <alignment horizontal="center" vertical="center"/>
    </xf>
    <xf numFmtId="0" fontId="7" fillId="9" borderId="0" xfId="0" applyFont="1" applyFill="1" applyAlignment="1">
      <alignment vertical="center" wrapText="1"/>
    </xf>
    <xf numFmtId="164" fontId="7" fillId="9" borderId="0" xfId="0" applyNumberFormat="1" applyFont="1" applyFill="1" applyAlignment="1">
      <alignment vertical="center" wrapText="1"/>
    </xf>
    <xf numFmtId="164" fontId="6" fillId="0" borderId="0" xfId="36" applyFont="1" applyAlignment="1">
      <alignment horizontal="center" vertical="center"/>
    </xf>
    <xf numFmtId="0" fontId="11" fillId="9" borderId="0" xfId="0" applyFont="1" applyFill="1" applyAlignment="1">
      <alignment horizontal="center" vertical="center"/>
    </xf>
    <xf numFmtId="0" fontId="11" fillId="9" borderId="0" xfId="0" applyFont="1" applyFill="1" applyAlignment="1">
      <alignment vertical="center" wrapText="1"/>
    </xf>
    <xf numFmtId="164" fontId="11" fillId="9" borderId="0" xfId="0" applyNumberFormat="1" applyFont="1" applyFill="1" applyAlignment="1">
      <alignment vertical="center" wrapText="1"/>
    </xf>
    <xf numFmtId="0" fontId="11" fillId="0" borderId="4" xfId="0" applyFont="1" applyBorder="1" applyAlignment="1">
      <alignment horizontal="center"/>
    </xf>
    <xf numFmtId="1" fontId="7" fillId="0" borderId="2" xfId="0" applyNumberFormat="1" applyFont="1" applyBorder="1" applyAlignment="1">
      <alignment horizontal="center" vertical="center"/>
    </xf>
    <xf numFmtId="165" fontId="7" fillId="0" borderId="2" xfId="36" applyNumberFormat="1" applyFont="1" applyBorder="1" applyAlignment="1">
      <alignment horizontal="center" vertical="center"/>
    </xf>
    <xf numFmtId="164" fontId="7" fillId="0" borderId="2" xfId="36" applyFont="1" applyBorder="1" applyAlignment="1">
      <alignment vertical="center"/>
    </xf>
    <xf numFmtId="164" fontId="7" fillId="0" borderId="3" xfId="36" applyFont="1" applyBorder="1" applyAlignment="1">
      <alignment horizontal="justify" vertical="center"/>
    </xf>
    <xf numFmtId="0" fontId="6" fillId="0" borderId="0" xfId="0" applyFont="1" applyAlignment="1">
      <alignment horizontal="center" vertical="center"/>
    </xf>
    <xf numFmtId="1" fontId="7" fillId="0" borderId="2" xfId="0" applyNumberFormat="1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4" fontId="0" fillId="0" borderId="5" xfId="0" applyNumberFormat="1" applyBorder="1"/>
    <xf numFmtId="4" fontId="6" fillId="0" borderId="5" xfId="0" applyNumberFormat="1" applyFont="1" applyBorder="1"/>
    <xf numFmtId="4" fontId="6" fillId="0" borderId="6" xfId="0" applyNumberFormat="1" applyFont="1" applyBorder="1"/>
    <xf numFmtId="4" fontId="6" fillId="0" borderId="7" xfId="0" applyNumberFormat="1" applyFont="1" applyBorder="1"/>
    <xf numFmtId="4" fontId="0" fillId="0" borderId="7" xfId="0" applyNumberFormat="1" applyBorder="1"/>
    <xf numFmtId="1" fontId="8" fillId="0" borderId="2" xfId="0" applyNumberFormat="1" applyFont="1" applyBorder="1" applyAlignment="1">
      <alignment horizontal="center" vertical="top"/>
    </xf>
    <xf numFmtId="0" fontId="13" fillId="0" borderId="0" xfId="0" applyFont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9" borderId="10" xfId="0" applyFont="1" applyFill="1" applyBorder="1" applyAlignment="1">
      <alignment horizontal="center"/>
    </xf>
    <xf numFmtId="3" fontId="11" fillId="9" borderId="11" xfId="0" applyNumberFormat="1" applyFont="1" applyFill="1" applyBorder="1" applyAlignment="1">
      <alignment horizontal="center"/>
    </xf>
    <xf numFmtId="3" fontId="11" fillId="9" borderId="12" xfId="0" applyNumberFormat="1" applyFont="1" applyFill="1" applyBorder="1" applyAlignment="1">
      <alignment horizontal="center"/>
    </xf>
    <xf numFmtId="0" fontId="15" fillId="0" borderId="0" xfId="0" applyFont="1" applyAlignment="1">
      <alignment vertical="center"/>
    </xf>
    <xf numFmtId="166" fontId="16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/>
    </xf>
    <xf numFmtId="4" fontId="11" fillId="0" borderId="0" xfId="0" applyNumberFormat="1" applyFont="1" applyAlignment="1">
      <alignment vertical="center"/>
    </xf>
    <xf numFmtId="4" fontId="6" fillId="0" borderId="0" xfId="0" applyNumberFormat="1" applyFont="1"/>
    <xf numFmtId="4" fontId="6" fillId="10" borderId="0" xfId="0" applyNumberFormat="1" applyFont="1" applyFill="1"/>
    <xf numFmtId="4" fontId="6" fillId="10" borderId="6" xfId="0" applyNumberFormat="1" applyFont="1" applyFill="1" applyBorder="1"/>
    <xf numFmtId="0" fontId="6" fillId="0" borderId="13" xfId="0" applyFont="1" applyBorder="1"/>
    <xf numFmtId="0" fontId="6" fillId="0" borderId="14" xfId="0" applyFont="1" applyBorder="1"/>
    <xf numFmtId="0" fontId="6" fillId="10" borderId="13" xfId="0" applyFont="1" applyFill="1" applyBorder="1"/>
    <xf numFmtId="4" fontId="6" fillId="10" borderId="15" xfId="0" applyNumberFormat="1" applyFont="1" applyFill="1" applyBorder="1"/>
    <xf numFmtId="0" fontId="13" fillId="0" borderId="0" xfId="0" applyFont="1" applyAlignment="1">
      <alignment horizontal="right"/>
    </xf>
    <xf numFmtId="0" fontId="39" fillId="0" borderId="0" xfId="0" applyFont="1" applyAlignment="1">
      <alignment horizontal="center"/>
    </xf>
    <xf numFmtId="0" fontId="40" fillId="0" borderId="0" xfId="0" applyFont="1"/>
    <xf numFmtId="0" fontId="42" fillId="0" borderId="0" xfId="0" applyFont="1"/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vertical="center"/>
    </xf>
    <xf numFmtId="0" fontId="40" fillId="0" borderId="0" xfId="0" applyFont="1" applyAlignment="1">
      <alignment horizontal="justify" vertical="top" wrapText="1"/>
    </xf>
    <xf numFmtId="0" fontId="40" fillId="0" borderId="0" xfId="0" applyFont="1" applyAlignment="1">
      <alignment vertical="center" wrapText="1"/>
    </xf>
    <xf numFmtId="0" fontId="39" fillId="0" borderId="31" xfId="45" applyFont="1" applyBorder="1" applyAlignment="1">
      <alignment horizontal="left" vertical="center"/>
    </xf>
    <xf numFmtId="0" fontId="40" fillId="0" borderId="31" xfId="45" applyFont="1" applyBorder="1"/>
    <xf numFmtId="4" fontId="40" fillId="0" borderId="31" xfId="45" applyNumberFormat="1" applyFont="1" applyBorder="1" applyAlignment="1">
      <alignment vertical="center"/>
    </xf>
    <xf numFmtId="0" fontId="39" fillId="0" borderId="31" xfId="45" applyFont="1" applyBorder="1" applyAlignment="1">
      <alignment horizontal="right" vertical="center"/>
    </xf>
    <xf numFmtId="14" fontId="40" fillId="0" borderId="0" xfId="45" applyNumberFormat="1" applyFont="1" applyAlignment="1">
      <alignment horizontal="center" vertical="center"/>
    </xf>
    <xf numFmtId="0" fontId="40" fillId="0" borderId="31" xfId="45" applyFont="1" applyBorder="1" applyAlignment="1">
      <alignment horizontal="left" vertical="center"/>
    </xf>
    <xf numFmtId="4" fontId="39" fillId="0" borderId="31" xfId="45" applyNumberFormat="1" applyFont="1" applyBorder="1" applyAlignment="1">
      <alignment horizontal="right" vertical="center"/>
    </xf>
    <xf numFmtId="14" fontId="39" fillId="0" borderId="31" xfId="45" applyNumberFormat="1" applyFont="1" applyBorder="1" applyAlignment="1">
      <alignment horizontal="center" vertical="center"/>
    </xf>
    <xf numFmtId="4" fontId="39" fillId="0" borderId="31" xfId="45" applyNumberFormat="1" applyFont="1" applyBorder="1" applyAlignment="1">
      <alignment vertical="center"/>
    </xf>
    <xf numFmtId="0" fontId="38" fillId="0" borderId="0" xfId="0" applyFont="1" applyAlignment="1">
      <alignment vertical="center"/>
    </xf>
    <xf numFmtId="0" fontId="43" fillId="0" borderId="0" xfId="0" applyFont="1"/>
    <xf numFmtId="0" fontId="43" fillId="0" borderId="0" xfId="0" applyFont="1" applyAlignment="1">
      <alignment horizontal="left" vertical="center"/>
    </xf>
    <xf numFmtId="0" fontId="43" fillId="0" borderId="0" xfId="0" applyFont="1" applyAlignment="1">
      <alignment vertical="center"/>
    </xf>
    <xf numFmtId="0" fontId="39" fillId="0" borderId="0" xfId="0" applyFont="1" applyAlignment="1">
      <alignment horizontal="center" vertical="center" wrapText="1"/>
    </xf>
    <xf numFmtId="0" fontId="40" fillId="0" borderId="0" xfId="51" applyFont="1"/>
    <xf numFmtId="0" fontId="44" fillId="0" borderId="0" xfId="0" applyFont="1"/>
    <xf numFmtId="0" fontId="37" fillId="38" borderId="37" xfId="0" applyFont="1" applyFill="1" applyBorder="1" applyAlignment="1">
      <alignment horizontal="center" vertical="center"/>
    </xf>
    <xf numFmtId="0" fontId="39" fillId="0" borderId="31" xfId="0" applyFont="1" applyBorder="1" applyAlignment="1">
      <alignment horizontal="center"/>
    </xf>
    <xf numFmtId="0" fontId="39" fillId="0" borderId="31" xfId="0" applyFont="1" applyBorder="1" applyAlignment="1">
      <alignment horizontal="center" vertical="center" wrapText="1"/>
    </xf>
    <xf numFmtId="14" fontId="40" fillId="0" borderId="31" xfId="45" applyNumberFormat="1" applyFont="1" applyBorder="1" applyAlignment="1">
      <alignment horizontal="center" vertical="center"/>
    </xf>
    <xf numFmtId="0" fontId="40" fillId="0" borderId="0" xfId="0" applyFont="1" applyAlignment="1">
      <alignment vertical="center"/>
    </xf>
    <xf numFmtId="0" fontId="39" fillId="0" borderId="0" xfId="45" applyFont="1" applyAlignment="1">
      <alignment horizontal="left" vertical="center"/>
    </xf>
    <xf numFmtId="0" fontId="40" fillId="0" borderId="0" xfId="45" applyFont="1"/>
    <xf numFmtId="0" fontId="39" fillId="0" borderId="0" xfId="45" applyFont="1" applyAlignment="1">
      <alignment horizontal="right" vertical="center"/>
    </xf>
    <xf numFmtId="0" fontId="40" fillId="0" borderId="0" xfId="45" applyFont="1" applyAlignment="1">
      <alignment horizontal="left" vertical="center"/>
    </xf>
    <xf numFmtId="4" fontId="37" fillId="38" borderId="0" xfId="49" applyNumberFormat="1" applyFont="1" applyFill="1" applyAlignment="1">
      <alignment horizontal="center" vertical="center"/>
    </xf>
    <xf numFmtId="0" fontId="47" fillId="38" borderId="0" xfId="49" applyFont="1" applyFill="1" applyAlignment="1">
      <alignment horizontal="center" vertical="center"/>
    </xf>
    <xf numFmtId="0" fontId="37" fillId="38" borderId="0" xfId="49" applyFont="1" applyFill="1" applyAlignment="1">
      <alignment horizontal="left" vertical="center"/>
    </xf>
    <xf numFmtId="3" fontId="37" fillId="38" borderId="0" xfId="49" applyNumberFormat="1" applyFont="1" applyFill="1" applyAlignment="1">
      <alignment horizontal="left" vertical="center"/>
    </xf>
    <xf numFmtId="0" fontId="47" fillId="38" borderId="0" xfId="49" applyFont="1" applyFill="1" applyAlignment="1">
      <alignment horizontal="left" vertical="center"/>
    </xf>
    <xf numFmtId="0" fontId="40" fillId="0" borderId="0" xfId="49" applyFont="1" applyAlignment="1">
      <alignment horizontal="center" vertical="center"/>
    </xf>
    <xf numFmtId="0" fontId="43" fillId="0" borderId="0" xfId="49" applyFont="1" applyAlignment="1">
      <alignment horizontal="center" vertical="center"/>
    </xf>
    <xf numFmtId="3" fontId="43" fillId="0" borderId="0" xfId="49" applyNumberFormat="1" applyFont="1" applyAlignment="1">
      <alignment horizontal="center" vertical="center"/>
    </xf>
    <xf numFmtId="3" fontId="43" fillId="0" borderId="0" xfId="49" applyNumberFormat="1" applyFont="1" applyAlignment="1">
      <alignment horizontal="left" vertical="center"/>
    </xf>
    <xf numFmtId="0" fontId="43" fillId="0" borderId="0" xfId="49" applyFont="1" applyAlignment="1">
      <alignment horizontal="left" vertical="center"/>
    </xf>
    <xf numFmtId="10" fontId="43" fillId="0" borderId="0" xfId="50" applyNumberFormat="1" applyFont="1" applyAlignment="1">
      <alignment horizontal="center" vertical="center"/>
    </xf>
    <xf numFmtId="3" fontId="40" fillId="0" borderId="0" xfId="49" applyNumberFormat="1" applyFont="1" applyAlignment="1">
      <alignment horizontal="center" vertical="center"/>
    </xf>
    <xf numFmtId="3" fontId="40" fillId="0" borderId="0" xfId="49" applyNumberFormat="1" applyFont="1" applyAlignment="1">
      <alignment horizontal="left" vertical="center"/>
    </xf>
    <xf numFmtId="0" fontId="40" fillId="0" borderId="0" xfId="49" applyFont="1" applyAlignment="1">
      <alignment horizontal="left" vertical="center"/>
    </xf>
    <xf numFmtId="0" fontId="37" fillId="38" borderId="0" xfId="49" applyFont="1" applyFill="1" applyAlignment="1">
      <alignment horizontal="center" vertical="center"/>
    </xf>
    <xf numFmtId="3" fontId="37" fillId="38" borderId="0" xfId="49" applyNumberFormat="1" applyFont="1" applyFill="1" applyAlignment="1">
      <alignment horizontal="center" vertical="center" wrapText="1"/>
    </xf>
    <xf numFmtId="0" fontId="37" fillId="38" borderId="0" xfId="49" applyFont="1" applyFill="1" applyAlignment="1">
      <alignment horizontal="center" vertical="center" wrapText="1"/>
    </xf>
    <xf numFmtId="3" fontId="37" fillId="38" borderId="38" xfId="49" applyNumberFormat="1" applyFont="1" applyFill="1" applyBorder="1" applyAlignment="1">
      <alignment horizontal="center" vertical="center"/>
    </xf>
    <xf numFmtId="3" fontId="43" fillId="35" borderId="35" xfId="49" applyNumberFormat="1" applyFont="1" applyFill="1" applyBorder="1" applyAlignment="1">
      <alignment horizontal="center" vertical="center"/>
    </xf>
    <xf numFmtId="4" fontId="43" fillId="40" borderId="35" xfId="49" applyNumberFormat="1" applyFont="1" applyFill="1" applyBorder="1" applyAlignment="1">
      <alignment horizontal="center" vertical="center"/>
    </xf>
    <xf numFmtId="3" fontId="43" fillId="40" borderId="35" xfId="49" applyNumberFormat="1" applyFont="1" applyFill="1" applyBorder="1" applyAlignment="1">
      <alignment horizontal="center" vertical="center"/>
    </xf>
    <xf numFmtId="4" fontId="38" fillId="40" borderId="35" xfId="49" applyNumberFormat="1" applyFont="1" applyFill="1" applyBorder="1" applyAlignment="1">
      <alignment horizontal="center" vertical="center"/>
    </xf>
    <xf numFmtId="3" fontId="38" fillId="40" borderId="35" xfId="49" applyNumberFormat="1" applyFont="1" applyFill="1" applyBorder="1" applyAlignment="1">
      <alignment horizontal="center" vertical="center"/>
    </xf>
    <xf numFmtId="4" fontId="37" fillId="38" borderId="40" xfId="49" applyNumberFormat="1" applyFont="1" applyFill="1" applyBorder="1" applyAlignment="1">
      <alignment horizontal="center" vertical="center"/>
    </xf>
    <xf numFmtId="4" fontId="43" fillId="40" borderId="39" xfId="49" applyNumberFormat="1" applyFont="1" applyFill="1" applyBorder="1" applyAlignment="1">
      <alignment horizontal="center" vertical="center"/>
    </xf>
    <xf numFmtId="3" fontId="43" fillId="35" borderId="39" xfId="49" applyNumberFormat="1" applyFont="1" applyFill="1" applyBorder="1" applyAlignment="1">
      <alignment horizontal="center" vertical="center"/>
    </xf>
    <xf numFmtId="14" fontId="40" fillId="0" borderId="31" xfId="45" applyNumberFormat="1" applyFont="1" applyBorder="1" applyAlignment="1">
      <alignment horizontal="left" vertical="center"/>
    </xf>
    <xf numFmtId="0" fontId="40" fillId="0" borderId="0" xfId="49" applyFont="1"/>
    <xf numFmtId="0" fontId="39" fillId="0" borderId="34" xfId="0" applyFont="1" applyBorder="1" applyAlignment="1">
      <alignment horizontal="center"/>
    </xf>
    <xf numFmtId="0" fontId="40" fillId="0" borderId="31" xfId="45" applyFont="1" applyBorder="1" applyAlignment="1">
      <alignment horizontal="justify" vertical="top" wrapText="1"/>
    </xf>
    <xf numFmtId="0" fontId="39" fillId="0" borderId="34" xfId="45" applyFont="1" applyBorder="1" applyAlignment="1">
      <alignment horizontal="left" vertical="center"/>
    </xf>
    <xf numFmtId="0" fontId="39" fillId="0" borderId="0" xfId="49" applyFont="1" applyAlignment="1">
      <alignment horizontal="center" vertical="center"/>
    </xf>
    <xf numFmtId="0" fontId="39" fillId="0" borderId="0" xfId="49" applyFont="1" applyAlignment="1">
      <alignment vertical="center"/>
    </xf>
    <xf numFmtId="14" fontId="39" fillId="0" borderId="0" xfId="49" applyNumberFormat="1" applyFont="1" applyAlignment="1">
      <alignment horizontal="center" vertical="center"/>
    </xf>
    <xf numFmtId="0" fontId="39" fillId="0" borderId="32" xfId="49" applyFont="1" applyBorder="1" applyAlignment="1">
      <alignment horizontal="center" vertical="center"/>
    </xf>
    <xf numFmtId="4" fontId="39" fillId="0" borderId="0" xfId="45" applyNumberFormat="1" applyFont="1" applyAlignment="1">
      <alignment horizontal="right" vertical="center"/>
    </xf>
    <xf numFmtId="4" fontId="40" fillId="0" borderId="0" xfId="45" applyNumberFormat="1" applyFont="1" applyAlignment="1">
      <alignment vertical="center"/>
    </xf>
    <xf numFmtId="4" fontId="39" fillId="0" borderId="0" xfId="45" applyNumberFormat="1" applyFont="1" applyAlignment="1">
      <alignment vertical="center"/>
    </xf>
    <xf numFmtId="0" fontId="40" fillId="0" borderId="0" xfId="45" applyFont="1" applyAlignment="1">
      <alignment vertical="center"/>
    </xf>
    <xf numFmtId="0" fontId="40" fillId="0" borderId="0" xfId="45" applyFont="1" applyAlignment="1">
      <alignment vertical="top"/>
    </xf>
    <xf numFmtId="4" fontId="40" fillId="0" borderId="0" xfId="45" applyNumberFormat="1" applyFont="1" applyAlignment="1">
      <alignment vertical="top"/>
    </xf>
    <xf numFmtId="164" fontId="39" fillId="0" borderId="0" xfId="45" applyNumberFormat="1" applyFont="1" applyAlignment="1">
      <alignment horizontal="center" vertical="center"/>
    </xf>
    <xf numFmtId="1" fontId="39" fillId="0" borderId="0" xfId="45" applyNumberFormat="1" applyFont="1" applyAlignment="1">
      <alignment horizontal="center" vertical="center"/>
    </xf>
    <xf numFmtId="43" fontId="39" fillId="0" borderId="0" xfId="47" applyNumberFormat="1" applyFont="1" applyAlignment="1">
      <alignment horizontal="center" vertical="center"/>
    </xf>
    <xf numFmtId="0" fontId="49" fillId="0" borderId="0" xfId="45" applyFont="1" applyAlignment="1">
      <alignment horizontal="left" vertical="center"/>
    </xf>
    <xf numFmtId="0" fontId="39" fillId="0" borderId="0" xfId="45" applyFont="1" applyAlignment="1">
      <alignment vertical="center"/>
    </xf>
    <xf numFmtId="0" fontId="39" fillId="0" borderId="0" xfId="45" applyFont="1" applyAlignment="1">
      <alignment vertical="center" wrapText="1"/>
    </xf>
    <xf numFmtId="0" fontId="40" fillId="0" borderId="0" xfId="45" applyFont="1" applyAlignment="1">
      <alignment horizontal="right"/>
    </xf>
    <xf numFmtId="0" fontId="40" fillId="0" borderId="0" xfId="45" applyFont="1" applyAlignment="1">
      <alignment horizontal="right" vertical="center"/>
    </xf>
    <xf numFmtId="0" fontId="39" fillId="0" borderId="0" xfId="45" applyFont="1" applyAlignment="1">
      <alignment horizontal="right"/>
    </xf>
    <xf numFmtId="0" fontId="40" fillId="0" borderId="0" xfId="45" applyFont="1" applyAlignment="1">
      <alignment horizontal="center"/>
    </xf>
    <xf numFmtId="0" fontId="37" fillId="38" borderId="0" xfId="45" applyFont="1" applyFill="1" applyAlignment="1">
      <alignment horizontal="right" vertical="center" wrapText="1"/>
    </xf>
    <xf numFmtId="0" fontId="37" fillId="38" borderId="0" xfId="45" applyFont="1" applyFill="1" applyAlignment="1">
      <alignment vertical="center" wrapText="1"/>
    </xf>
    <xf numFmtId="1" fontId="43" fillId="0" borderId="0" xfId="45" applyNumberFormat="1" applyFont="1" applyAlignment="1">
      <alignment horizontal="center" vertical="center"/>
    </xf>
    <xf numFmtId="0" fontId="43" fillId="0" borderId="0" xfId="45" applyFont="1" applyAlignment="1">
      <alignment horizontal="left" vertical="center"/>
    </xf>
    <xf numFmtId="0" fontId="43" fillId="0" borderId="0" xfId="45" applyFont="1" applyAlignment="1">
      <alignment vertical="center"/>
    </xf>
    <xf numFmtId="0" fontId="43" fillId="0" borderId="0" xfId="45" applyFont="1" applyAlignment="1">
      <alignment horizontal="right"/>
    </xf>
    <xf numFmtId="10" fontId="43" fillId="0" borderId="0" xfId="46" applyNumberFormat="1" applyFont="1" applyAlignment="1">
      <alignment horizontal="left" vertical="center"/>
    </xf>
    <xf numFmtId="4" fontId="43" fillId="0" borderId="0" xfId="45" applyNumberFormat="1" applyFont="1" applyAlignment="1">
      <alignment vertical="center"/>
    </xf>
    <xf numFmtId="43" fontId="43" fillId="0" borderId="0" xfId="47" applyNumberFormat="1" applyFont="1" applyAlignment="1">
      <alignment vertical="center"/>
    </xf>
    <xf numFmtId="1" fontId="38" fillId="36" borderId="0" xfId="45" applyNumberFormat="1" applyFont="1" applyFill="1" applyAlignment="1">
      <alignment horizontal="center" vertical="center"/>
    </xf>
    <xf numFmtId="0" fontId="38" fillId="36" borderId="0" xfId="45" applyFont="1" applyFill="1" applyAlignment="1">
      <alignment horizontal="left" vertical="center"/>
    </xf>
    <xf numFmtId="0" fontId="51" fillId="36" borderId="0" xfId="45" applyFont="1" applyFill="1" applyAlignment="1">
      <alignment horizontal="left" vertical="center"/>
    </xf>
    <xf numFmtId="0" fontId="38" fillId="36" borderId="0" xfId="45" applyFont="1" applyFill="1" applyAlignment="1">
      <alignment horizontal="right"/>
    </xf>
    <xf numFmtId="43" fontId="38" fillId="36" borderId="0" xfId="47" applyNumberFormat="1" applyFont="1" applyFill="1" applyAlignment="1">
      <alignment horizontal="center" vertical="center"/>
    </xf>
    <xf numFmtId="4" fontId="38" fillId="36" borderId="0" xfId="45" applyNumberFormat="1" applyFont="1" applyFill="1" applyAlignment="1">
      <alignment vertical="center"/>
    </xf>
    <xf numFmtId="4" fontId="38" fillId="36" borderId="0" xfId="46" applyNumberFormat="1" applyFont="1" applyFill="1" applyAlignment="1">
      <alignment vertical="center"/>
    </xf>
    <xf numFmtId="0" fontId="44" fillId="0" borderId="0" xfId="45" applyFont="1" applyAlignment="1">
      <alignment vertical="center"/>
    </xf>
    <xf numFmtId="0" fontId="45" fillId="0" borderId="0" xfId="45" applyFont="1" applyAlignment="1">
      <alignment vertical="center"/>
    </xf>
    <xf numFmtId="0" fontId="45" fillId="0" borderId="0" xfId="45" applyFont="1"/>
    <xf numFmtId="0" fontId="45" fillId="0" borderId="0" xfId="45" applyFont="1" applyAlignment="1">
      <alignment horizontal="right"/>
    </xf>
    <xf numFmtId="0" fontId="45" fillId="0" borderId="0" xfId="45" applyFont="1" applyAlignment="1">
      <alignment horizontal="center" vertical="top"/>
    </xf>
    <xf numFmtId="0" fontId="46" fillId="35" borderId="0" xfId="45" applyFont="1" applyFill="1" applyAlignment="1">
      <alignment horizontal="center" vertical="center"/>
    </xf>
    <xf numFmtId="0" fontId="46" fillId="35" borderId="0" xfId="45" applyFont="1" applyFill="1" applyAlignment="1">
      <alignment horizontal="left" vertical="center"/>
    </xf>
    <xf numFmtId="0" fontId="46" fillId="35" borderId="0" xfId="45" applyFont="1" applyFill="1" applyAlignment="1">
      <alignment horizontal="right" vertical="center"/>
    </xf>
    <xf numFmtId="4" fontId="44" fillId="34" borderId="0" xfId="45" applyNumberFormat="1" applyFont="1" applyFill="1" applyAlignment="1">
      <alignment horizontal="center" vertical="center"/>
    </xf>
    <xf numFmtId="0" fontId="44" fillId="0" borderId="0" xfId="45" applyFont="1" applyAlignment="1">
      <alignment horizontal="center" vertical="center"/>
    </xf>
    <xf numFmtId="0" fontId="44" fillId="0" borderId="0" xfId="45" applyFont="1" applyAlignment="1">
      <alignment horizontal="justify" vertical="center" wrapText="1"/>
    </xf>
    <xf numFmtId="2" fontId="44" fillId="0" borderId="0" xfId="45" applyNumberFormat="1" applyFont="1" applyAlignment="1">
      <alignment horizontal="right" vertical="center"/>
    </xf>
    <xf numFmtId="4" fontId="44" fillId="0" borderId="0" xfId="45" applyNumberFormat="1" applyFont="1" applyAlignment="1">
      <alignment vertical="center"/>
    </xf>
    <xf numFmtId="3" fontId="44" fillId="0" borderId="0" xfId="45" applyNumberFormat="1" applyFont="1" applyAlignment="1">
      <alignment horizontal="center" vertical="center"/>
    </xf>
    <xf numFmtId="4" fontId="44" fillId="34" borderId="0" xfId="48" applyNumberFormat="1" applyFont="1" applyFill="1" applyAlignment="1">
      <alignment horizontal="right" vertical="center"/>
    </xf>
    <xf numFmtId="3" fontId="44" fillId="34" borderId="0" xfId="48" applyNumberFormat="1" applyFont="1" applyFill="1" applyAlignment="1">
      <alignment horizontal="center" vertical="center"/>
    </xf>
    <xf numFmtId="1" fontId="44" fillId="34" borderId="0" xfId="45" applyNumberFormat="1" applyFont="1" applyFill="1" applyAlignment="1">
      <alignment vertical="center"/>
    </xf>
    <xf numFmtId="1" fontId="44" fillId="34" borderId="0" xfId="45" applyNumberFormat="1" applyFont="1" applyFill="1" applyAlignment="1">
      <alignment horizontal="center" vertical="center"/>
    </xf>
    <xf numFmtId="4" fontId="44" fillId="34" borderId="0" xfId="48" applyNumberFormat="1" applyFont="1" applyFill="1" applyAlignment="1">
      <alignment horizontal="center" vertical="center"/>
    </xf>
    <xf numFmtId="4" fontId="44" fillId="34" borderId="0" xfId="45" applyNumberFormat="1" applyFont="1" applyFill="1" applyAlignment="1">
      <alignment horizontal="justify" vertical="center"/>
    </xf>
    <xf numFmtId="0" fontId="46" fillId="35" borderId="0" xfId="45" applyFont="1" applyFill="1" applyAlignment="1">
      <alignment vertical="center"/>
    </xf>
    <xf numFmtId="4" fontId="46" fillId="35" borderId="0" xfId="45" applyNumberFormat="1" applyFont="1" applyFill="1" applyAlignment="1">
      <alignment vertical="center"/>
    </xf>
    <xf numFmtId="4" fontId="44" fillId="34" borderId="0" xfId="45" applyNumberFormat="1" applyFont="1" applyFill="1" applyAlignment="1">
      <alignment vertical="center"/>
    </xf>
    <xf numFmtId="0" fontId="46" fillId="0" borderId="0" xfId="45" applyFont="1" applyAlignment="1">
      <alignment horizontal="justify" vertical="center" wrapText="1"/>
    </xf>
    <xf numFmtId="0" fontId="44" fillId="0" borderId="0" xfId="45" applyFont="1" applyAlignment="1">
      <alignment horizontal="right" vertical="center"/>
    </xf>
    <xf numFmtId="4" fontId="46" fillId="0" borderId="0" xfId="45" applyNumberFormat="1" applyFont="1" applyAlignment="1">
      <alignment vertical="center"/>
    </xf>
    <xf numFmtId="4" fontId="46" fillId="35" borderId="0" xfId="45" applyNumberFormat="1" applyFont="1" applyFill="1" applyAlignment="1">
      <alignment horizontal="right" vertical="center"/>
    </xf>
    <xf numFmtId="0" fontId="46" fillId="35" borderId="32" xfId="45" applyFont="1" applyFill="1" applyBorder="1" applyAlignment="1">
      <alignment horizontal="center" vertical="center"/>
    </xf>
    <xf numFmtId="0" fontId="46" fillId="35" borderId="32" xfId="45" applyFont="1" applyFill="1" applyBorder="1" applyAlignment="1">
      <alignment horizontal="left" vertical="center"/>
    </xf>
    <xf numFmtId="0" fontId="46" fillId="35" borderId="32" xfId="45" applyFont="1" applyFill="1" applyBorder="1" applyAlignment="1">
      <alignment horizontal="right" vertical="center"/>
    </xf>
    <xf numFmtId="0" fontId="36" fillId="40" borderId="37" xfId="45" applyFont="1" applyFill="1" applyBorder="1" applyAlignment="1">
      <alignment horizontal="center" vertical="center"/>
    </xf>
    <xf numFmtId="0" fontId="36" fillId="40" borderId="37" xfId="45" applyFont="1" applyFill="1" applyBorder="1" applyAlignment="1">
      <alignment vertical="center"/>
    </xf>
    <xf numFmtId="0" fontId="36" fillId="40" borderId="37" xfId="45" applyFont="1" applyFill="1" applyBorder="1" applyAlignment="1">
      <alignment horizontal="right" vertical="center"/>
    </xf>
    <xf numFmtId="0" fontId="40" fillId="0" borderId="0" xfId="45" applyFont="1" applyAlignment="1">
      <alignment horizontal="center" vertical="center"/>
    </xf>
    <xf numFmtId="4" fontId="44" fillId="0" borderId="0" xfId="45" applyNumberFormat="1" applyFont="1" applyAlignment="1">
      <alignment horizontal="center" vertical="center"/>
    </xf>
    <xf numFmtId="0" fontId="45" fillId="0" borderId="0" xfId="45" applyFont="1" applyAlignment="1">
      <alignment horizontal="center"/>
    </xf>
    <xf numFmtId="0" fontId="40" fillId="0" borderId="0" xfId="49" applyFont="1" applyAlignment="1">
      <alignment vertical="center"/>
    </xf>
    <xf numFmtId="0" fontId="40" fillId="0" borderId="31" xfId="45" applyFont="1" applyBorder="1" applyAlignment="1">
      <alignment horizontal="justify" vertical="center" wrapText="1"/>
    </xf>
    <xf numFmtId="0" fontId="40" fillId="0" borderId="31" xfId="45" applyFont="1" applyBorder="1" applyAlignment="1">
      <alignment vertical="center"/>
    </xf>
    <xf numFmtId="0" fontId="40" fillId="0" borderId="32" xfId="49" applyFont="1" applyBorder="1" applyAlignment="1">
      <alignment vertical="center"/>
    </xf>
    <xf numFmtId="10" fontId="52" fillId="34" borderId="0" xfId="46" applyNumberFormat="1" applyFont="1" applyFill="1" applyAlignment="1">
      <alignment horizontal="right" vertical="center"/>
    </xf>
    <xf numFmtId="10" fontId="52" fillId="0" borderId="0" xfId="46" applyNumberFormat="1" applyFont="1" applyAlignment="1">
      <alignment horizontal="right" vertical="center"/>
    </xf>
    <xf numFmtId="10" fontId="53" fillId="0" borderId="0" xfId="46" applyNumberFormat="1" applyFont="1" applyAlignment="1">
      <alignment horizontal="right" vertical="center"/>
    </xf>
    <xf numFmtId="0" fontId="40" fillId="0" borderId="0" xfId="49" applyFont="1" applyAlignment="1">
      <alignment horizontal="justify"/>
    </xf>
    <xf numFmtId="0" fontId="56" fillId="0" borderId="0" xfId="0" applyFont="1"/>
    <xf numFmtId="0" fontId="56" fillId="0" borderId="0" xfId="0" applyFont="1" applyAlignment="1">
      <alignment vertical="center"/>
    </xf>
    <xf numFmtId="14" fontId="40" fillId="0" borderId="0" xfId="45" applyNumberFormat="1" applyFont="1" applyAlignment="1">
      <alignment vertical="center"/>
    </xf>
    <xf numFmtId="4" fontId="40" fillId="0" borderId="0" xfId="0" applyNumberFormat="1" applyFont="1" applyAlignment="1">
      <alignment vertical="center"/>
    </xf>
    <xf numFmtId="0" fontId="43" fillId="34" borderId="42" xfId="51" applyFont="1" applyFill="1" applyBorder="1" applyAlignment="1">
      <alignment vertical="center"/>
    </xf>
    <xf numFmtId="0" fontId="43" fillId="34" borderId="42" xfId="51" applyFont="1" applyFill="1" applyBorder="1" applyAlignment="1">
      <alignment horizontal="center" vertical="center"/>
    </xf>
    <xf numFmtId="0" fontId="38" fillId="34" borderId="42" xfId="49" applyFont="1" applyFill="1" applyBorder="1" applyAlignment="1">
      <alignment horizontal="left" vertical="center"/>
    </xf>
    <xf numFmtId="0" fontId="43" fillId="34" borderId="42" xfId="49" applyFont="1" applyFill="1" applyBorder="1" applyAlignment="1">
      <alignment horizontal="center" vertical="center"/>
    </xf>
    <xf numFmtId="0" fontId="43" fillId="34" borderId="42" xfId="49" applyFont="1" applyFill="1" applyBorder="1" applyAlignment="1">
      <alignment horizontal="left" vertical="center"/>
    </xf>
    <xf numFmtId="0" fontId="38" fillId="34" borderId="42" xfId="49" applyFont="1" applyFill="1" applyBorder="1" applyAlignment="1">
      <alignment horizontal="center" vertical="center"/>
    </xf>
    <xf numFmtId="0" fontId="43" fillId="34" borderId="42" xfId="49" applyFont="1" applyFill="1" applyBorder="1" applyAlignment="1">
      <alignment horizontal="right" vertical="center"/>
    </xf>
    <xf numFmtId="3" fontId="43" fillId="34" borderId="42" xfId="49" applyNumberFormat="1" applyFont="1" applyFill="1" applyBorder="1" applyAlignment="1">
      <alignment vertical="center"/>
    </xf>
    <xf numFmtId="3" fontId="48" fillId="34" borderId="42" xfId="49" applyNumberFormat="1" applyFont="1" applyFill="1" applyBorder="1" applyAlignment="1">
      <alignment horizontal="left" vertical="center"/>
    </xf>
    <xf numFmtId="3" fontId="43" fillId="34" borderId="42" xfId="49" applyNumberFormat="1" applyFont="1" applyFill="1" applyBorder="1" applyAlignment="1">
      <alignment horizontal="left" vertical="center"/>
    </xf>
    <xf numFmtId="0" fontId="48" fillId="34" borderId="42" xfId="49" applyFont="1" applyFill="1" applyBorder="1" applyAlignment="1">
      <alignment horizontal="left" vertical="center"/>
    </xf>
    <xf numFmtId="0" fontId="43" fillId="34" borderId="42" xfId="49" applyFont="1" applyFill="1" applyBorder="1" applyAlignment="1">
      <alignment vertical="center" wrapText="1"/>
    </xf>
    <xf numFmtId="0" fontId="48" fillId="34" borderId="42" xfId="49" applyFont="1" applyFill="1" applyBorder="1" applyAlignment="1">
      <alignment horizontal="left" vertical="center" wrapText="1"/>
    </xf>
    <xf numFmtId="3" fontId="38" fillId="34" borderId="42" xfId="49" applyNumberFormat="1" applyFont="1" applyFill="1" applyBorder="1" applyAlignment="1">
      <alignment vertical="center"/>
    </xf>
    <xf numFmtId="3" fontId="38" fillId="34" borderId="42" xfId="49" applyNumberFormat="1" applyFont="1" applyFill="1" applyBorder="1" applyAlignment="1">
      <alignment horizontal="left" vertical="center"/>
    </xf>
    <xf numFmtId="0" fontId="43" fillId="34" borderId="42" xfId="45" applyFont="1" applyFill="1" applyBorder="1" applyAlignment="1">
      <alignment horizontal="left" vertical="center"/>
    </xf>
    <xf numFmtId="0" fontId="43" fillId="34" borderId="42" xfId="45" applyFont="1" applyFill="1" applyBorder="1" applyAlignment="1">
      <alignment horizontal="right"/>
    </xf>
    <xf numFmtId="43" fontId="43" fillId="34" borderId="42" xfId="47" applyNumberFormat="1" applyFont="1" applyFill="1" applyBorder="1" applyAlignment="1">
      <alignment horizontal="left" vertical="center"/>
    </xf>
    <xf numFmtId="4" fontId="43" fillId="34" borderId="42" xfId="45" applyNumberFormat="1" applyFont="1" applyFill="1" applyBorder="1" applyAlignment="1">
      <alignment vertical="center"/>
    </xf>
    <xf numFmtId="10" fontId="43" fillId="34" borderId="42" xfId="46" applyNumberFormat="1" applyFont="1" applyFill="1" applyBorder="1" applyAlignment="1">
      <alignment vertical="center"/>
    </xf>
    <xf numFmtId="0" fontId="43" fillId="34" borderId="42" xfId="45" applyFont="1" applyFill="1" applyBorder="1" applyAlignment="1">
      <alignment vertical="center"/>
    </xf>
    <xf numFmtId="0" fontId="50" fillId="34" borderId="42" xfId="45" applyFont="1" applyFill="1" applyBorder="1" applyAlignment="1">
      <alignment horizontal="left" vertical="center"/>
    </xf>
    <xf numFmtId="10" fontId="43" fillId="34" borderId="42" xfId="46" applyNumberFormat="1" applyFont="1" applyFill="1" applyBorder="1" applyAlignment="1">
      <alignment horizontal="left" vertical="center"/>
    </xf>
    <xf numFmtId="43" fontId="43" fillId="34" borderId="42" xfId="47" applyNumberFormat="1" applyFont="1" applyFill="1" applyBorder="1" applyAlignment="1">
      <alignment vertical="center"/>
    </xf>
    <xf numFmtId="0" fontId="55" fillId="0" borderId="42" xfId="0" applyFont="1" applyBorder="1" applyAlignment="1">
      <alignment vertical="center"/>
    </xf>
    <xf numFmtId="0" fontId="55" fillId="0" borderId="42" xfId="0" applyFont="1" applyBorder="1" applyAlignment="1">
      <alignment horizontal="center" vertical="center"/>
    </xf>
    <xf numFmtId="0" fontId="44" fillId="34" borderId="43" xfId="45" applyFont="1" applyFill="1" applyBorder="1" applyAlignment="1">
      <alignment horizontal="center" vertical="center"/>
    </xf>
    <xf numFmtId="4" fontId="44" fillId="34" borderId="43" xfId="45" applyNumberFormat="1" applyFont="1" applyFill="1" applyBorder="1" applyAlignment="1">
      <alignment horizontal="center" vertical="center"/>
    </xf>
    <xf numFmtId="0" fontId="44" fillId="34" borderId="43" xfId="45" applyFont="1" applyFill="1" applyBorder="1" applyAlignment="1">
      <alignment horizontal="justify" vertical="center" wrapText="1"/>
    </xf>
    <xf numFmtId="4" fontId="44" fillId="34" borderId="43" xfId="45" applyNumberFormat="1" applyFont="1" applyFill="1" applyBorder="1" applyAlignment="1">
      <alignment horizontal="right" vertical="center"/>
    </xf>
    <xf numFmtId="0" fontId="44" fillId="34" borderId="42" xfId="45" applyFont="1" applyFill="1" applyBorder="1" applyAlignment="1">
      <alignment horizontal="center" vertical="center"/>
    </xf>
    <xf numFmtId="4" fontId="44" fillId="34" borderId="42" xfId="45" applyNumberFormat="1" applyFont="1" applyFill="1" applyBorder="1" applyAlignment="1">
      <alignment horizontal="center" vertical="center"/>
    </xf>
    <xf numFmtId="4" fontId="44" fillId="34" borderId="42" xfId="45" applyNumberFormat="1" applyFont="1" applyFill="1" applyBorder="1" applyAlignment="1">
      <alignment horizontal="right" vertical="center"/>
    </xf>
    <xf numFmtId="1" fontId="44" fillId="34" borderId="43" xfId="45" applyNumberFormat="1" applyFont="1" applyFill="1" applyBorder="1" applyAlignment="1">
      <alignment horizontal="center" vertical="center" wrapText="1"/>
    </xf>
    <xf numFmtId="4" fontId="44" fillId="34" borderId="43" xfId="45" applyNumberFormat="1" applyFont="1" applyFill="1" applyBorder="1" applyAlignment="1">
      <alignment horizontal="left" vertical="center" wrapText="1"/>
    </xf>
    <xf numFmtId="4" fontId="44" fillId="34" borderId="43" xfId="48" applyNumberFormat="1" applyFont="1" applyFill="1" applyBorder="1" applyAlignment="1">
      <alignment horizontal="right" vertical="center"/>
    </xf>
    <xf numFmtId="3" fontId="44" fillId="34" borderId="43" xfId="48" applyNumberFormat="1" applyFont="1" applyFill="1" applyBorder="1" applyAlignment="1">
      <alignment horizontal="center" vertical="center"/>
    </xf>
    <xf numFmtId="1" fontId="44" fillId="34" borderId="43" xfId="45" applyNumberFormat="1" applyFont="1" applyFill="1" applyBorder="1" applyAlignment="1">
      <alignment vertical="center"/>
    </xf>
    <xf numFmtId="1" fontId="44" fillId="34" borderId="43" xfId="45" applyNumberFormat="1" applyFont="1" applyFill="1" applyBorder="1" applyAlignment="1">
      <alignment horizontal="center" vertical="center"/>
    </xf>
    <xf numFmtId="1" fontId="44" fillId="34" borderId="42" xfId="45" applyNumberFormat="1" applyFont="1" applyFill="1" applyBorder="1" applyAlignment="1">
      <alignment horizontal="center" vertical="center"/>
    </xf>
    <xf numFmtId="10" fontId="52" fillId="34" borderId="43" xfId="46" applyNumberFormat="1" applyFont="1" applyFill="1" applyBorder="1" applyAlignment="1">
      <alignment horizontal="right" vertical="center"/>
    </xf>
    <xf numFmtId="10" fontId="52" fillId="34" borderId="42" xfId="46" applyNumberFormat="1" applyFont="1" applyFill="1" applyBorder="1" applyAlignment="1">
      <alignment horizontal="right" vertical="center"/>
    </xf>
    <xf numFmtId="0" fontId="56" fillId="43" borderId="44" xfId="0" applyFont="1" applyFill="1" applyBorder="1"/>
    <xf numFmtId="0" fontId="56" fillId="41" borderId="44" xfId="0" applyFont="1" applyFill="1" applyBorder="1"/>
    <xf numFmtId="4" fontId="39" fillId="0" borderId="0" xfId="46" applyNumberFormat="1" applyFont="1" applyAlignment="1">
      <alignment horizontal="right" vertical="center"/>
    </xf>
    <xf numFmtId="0" fontId="40" fillId="0" borderId="31" xfId="45" applyFont="1" applyBorder="1" applyAlignment="1">
      <alignment wrapText="1"/>
    </xf>
    <xf numFmtId="0" fontId="58" fillId="34" borderId="43" xfId="0" applyFont="1" applyFill="1" applyBorder="1" applyAlignment="1">
      <alignment horizontal="left" vertical="center" wrapText="1"/>
    </xf>
    <xf numFmtId="0" fontId="40" fillId="34" borderId="44" xfId="0" applyFont="1" applyFill="1" applyBorder="1" applyAlignment="1">
      <alignment horizontal="left" vertical="center" wrapText="1"/>
    </xf>
    <xf numFmtId="0" fontId="40" fillId="34" borderId="43" xfId="0" applyFont="1" applyFill="1" applyBorder="1" applyAlignment="1">
      <alignment horizontal="left" wrapText="1"/>
    </xf>
    <xf numFmtId="0" fontId="40" fillId="34" borderId="0" xfId="0" applyFont="1" applyFill="1" applyAlignment="1">
      <alignment horizontal="left" wrapText="1"/>
    </xf>
    <xf numFmtId="0" fontId="38" fillId="35" borderId="32" xfId="0" applyFont="1" applyFill="1" applyBorder="1" applyAlignment="1">
      <alignment horizontal="center" vertical="center" wrapText="1"/>
    </xf>
    <xf numFmtId="0" fontId="40" fillId="34" borderId="44" xfId="0" applyFont="1" applyFill="1" applyBorder="1" applyAlignment="1">
      <alignment horizontal="center" vertical="center" wrapText="1"/>
    </xf>
    <xf numFmtId="0" fontId="40" fillId="34" borderId="44" xfId="0" applyFont="1" applyFill="1" applyBorder="1" applyAlignment="1">
      <alignment horizontal="left" vertical="center"/>
    </xf>
    <xf numFmtId="4" fontId="40" fillId="34" borderId="44" xfId="0" applyNumberFormat="1" applyFont="1" applyFill="1" applyBorder="1" applyAlignment="1">
      <alignment horizontal="center" vertical="center" wrapText="1"/>
    </xf>
    <xf numFmtId="10" fontId="40" fillId="34" borderId="44" xfId="34" applyNumberFormat="1" applyFont="1" applyFill="1" applyBorder="1" applyAlignment="1">
      <alignment horizontal="center" vertical="center" wrapText="1"/>
    </xf>
    <xf numFmtId="10" fontId="60" fillId="44" borderId="44" xfId="34" applyNumberFormat="1" applyFont="1" applyFill="1" applyBorder="1" applyAlignment="1">
      <alignment horizontal="center" vertical="center" wrapText="1"/>
    </xf>
    <xf numFmtId="10" fontId="60" fillId="34" borderId="44" xfId="34" applyNumberFormat="1" applyFont="1" applyFill="1" applyBorder="1" applyAlignment="1">
      <alignment horizontal="center" vertical="center" wrapText="1"/>
    </xf>
    <xf numFmtId="4" fontId="40" fillId="34" borderId="44" xfId="34" applyNumberFormat="1" applyFont="1" applyFill="1" applyBorder="1" applyAlignment="1">
      <alignment horizontal="center" vertical="center" wrapText="1"/>
    </xf>
    <xf numFmtId="0" fontId="56" fillId="43" borderId="44" xfId="0" applyFont="1" applyFill="1" applyBorder="1" applyAlignment="1">
      <alignment horizontal="center" vertical="center" wrapText="1"/>
    </xf>
    <xf numFmtId="0" fontId="57" fillId="42" borderId="44" xfId="0" applyFont="1" applyFill="1" applyBorder="1" applyAlignment="1">
      <alignment horizontal="center" vertical="center" wrapText="1"/>
    </xf>
    <xf numFmtId="10" fontId="60" fillId="44" borderId="0" xfId="34" applyNumberFormat="1" applyFont="1" applyFill="1" applyAlignment="1">
      <alignment horizontal="center" vertical="center" wrapText="1"/>
    </xf>
    <xf numFmtId="0" fontId="59" fillId="43" borderId="0" xfId="0" applyFont="1" applyFill="1" applyAlignment="1">
      <alignment horizontal="center" vertical="center" wrapText="1"/>
    </xf>
    <xf numFmtId="0" fontId="59" fillId="45" borderId="0" xfId="0" applyFont="1" applyFill="1" applyAlignment="1">
      <alignment horizontal="center" vertical="center" wrapText="1"/>
    </xf>
    <xf numFmtId="0" fontId="56" fillId="41" borderId="0" xfId="0" applyFont="1" applyFill="1" applyAlignment="1">
      <alignment vertical="center"/>
    </xf>
    <xf numFmtId="0" fontId="57" fillId="42" borderId="0" xfId="0" applyFont="1" applyFill="1" applyAlignment="1">
      <alignment horizontal="center" vertical="center" wrapText="1"/>
    </xf>
    <xf numFmtId="1" fontId="55" fillId="0" borderId="42" xfId="0" applyNumberFormat="1" applyFont="1" applyBorder="1" applyAlignment="1">
      <alignment horizontal="center" vertical="center"/>
    </xf>
    <xf numFmtId="0" fontId="38" fillId="35" borderId="41" xfId="51" applyFont="1" applyFill="1" applyBorder="1" applyAlignment="1">
      <alignment vertical="center"/>
    </xf>
    <xf numFmtId="0" fontId="43" fillId="0" borderId="42" xfId="49" applyFont="1" applyBorder="1" applyAlignment="1">
      <alignment horizontal="center" vertical="center"/>
    </xf>
    <xf numFmtId="0" fontId="43" fillId="46" borderId="31" xfId="0" applyFont="1" applyFill="1" applyBorder="1"/>
    <xf numFmtId="0" fontId="61" fillId="0" borderId="0" xfId="49" applyFont="1" applyAlignment="1">
      <alignment horizontal="center" vertical="center"/>
    </xf>
    <xf numFmtId="9" fontId="61" fillId="0" borderId="0" xfId="34" applyFont="1" applyAlignment="1">
      <alignment horizontal="center" vertical="center"/>
    </xf>
    <xf numFmtId="0" fontId="43" fillId="44" borderId="31" xfId="0" applyFont="1" applyFill="1" applyBorder="1"/>
    <xf numFmtId="3" fontId="43" fillId="48" borderId="35" xfId="51" applyNumberFormat="1" applyFont="1" applyFill="1" applyBorder="1" applyAlignment="1">
      <alignment horizontal="center" vertical="center"/>
    </xf>
    <xf numFmtId="4" fontId="43" fillId="48" borderId="35" xfId="51" applyNumberFormat="1" applyFont="1" applyFill="1" applyBorder="1" applyAlignment="1">
      <alignment horizontal="center" vertical="center"/>
    </xf>
    <xf numFmtId="3" fontId="43" fillId="48" borderId="45" xfId="51" applyNumberFormat="1" applyFont="1" applyFill="1" applyBorder="1" applyAlignment="1">
      <alignment horizontal="center" vertical="center"/>
    </xf>
    <xf numFmtId="0" fontId="56" fillId="0" borderId="0" xfId="49" applyFont="1" applyAlignment="1">
      <alignment vertical="center"/>
    </xf>
    <xf numFmtId="0" fontId="56" fillId="0" borderId="0" xfId="49" applyFont="1" applyAlignment="1">
      <alignment horizontal="center" vertical="center"/>
    </xf>
    <xf numFmtId="14" fontId="40" fillId="0" borderId="36" xfId="45" applyNumberFormat="1" applyFont="1" applyBorder="1" applyAlignment="1">
      <alignment horizontal="left" vertical="center"/>
    </xf>
    <xf numFmtId="0" fontId="59" fillId="0" borderId="31" xfId="45" applyFont="1" applyBorder="1" applyAlignment="1">
      <alignment horizontal="left" vertical="center"/>
    </xf>
    <xf numFmtId="14" fontId="40" fillId="0" borderId="0" xfId="51" applyNumberFormat="1" applyFont="1" applyAlignment="1">
      <alignment horizontal="left"/>
    </xf>
    <xf numFmtId="4" fontId="44" fillId="34" borderId="43" xfId="48" applyNumberFormat="1" applyFont="1" applyFill="1" applyBorder="1" applyAlignment="1">
      <alignment horizontal="center" vertical="center"/>
    </xf>
    <xf numFmtId="0" fontId="7" fillId="50" borderId="49" xfId="0" applyFont="1" applyFill="1" applyBorder="1" applyAlignment="1">
      <alignment horizontal="center" vertical="center" wrapText="1"/>
    </xf>
    <xf numFmtId="1" fontId="5" fillId="51" borderId="50" xfId="0" applyNumberFormat="1" applyFont="1" applyFill="1" applyBorder="1" applyAlignment="1">
      <alignment horizontal="center" vertical="center" wrapText="1"/>
    </xf>
    <xf numFmtId="14" fontId="5" fillId="51" borderId="50" xfId="0" applyNumberFormat="1" applyFont="1" applyFill="1" applyBorder="1" applyAlignment="1">
      <alignment vertical="center" wrapText="1"/>
    </xf>
    <xf numFmtId="0" fontId="5" fillId="51" borderId="50" xfId="0" applyFont="1" applyFill="1" applyBorder="1" applyAlignment="1">
      <alignment vertical="center" wrapText="1"/>
    </xf>
    <xf numFmtId="1" fontId="5" fillId="0" borderId="50" xfId="0" applyNumberFormat="1" applyFont="1" applyBorder="1" applyAlignment="1">
      <alignment horizontal="center" vertical="center" wrapText="1"/>
    </xf>
    <xf numFmtId="14" fontId="5" fillId="0" borderId="50" xfId="0" applyNumberFormat="1" applyFont="1" applyBorder="1" applyAlignment="1">
      <alignment vertical="center" wrapText="1"/>
    </xf>
    <xf numFmtId="0" fontId="5" fillId="0" borderId="50" xfId="0" applyFont="1" applyBorder="1" applyAlignment="1">
      <alignment vertical="center" wrapText="1"/>
    </xf>
    <xf numFmtId="168" fontId="5" fillId="0" borderId="50" xfId="0" applyNumberFormat="1" applyFont="1" applyBorder="1" applyAlignment="1">
      <alignment horizontal="center" vertical="center" wrapText="1"/>
    </xf>
    <xf numFmtId="0" fontId="63" fillId="0" borderId="50" xfId="0" applyFont="1" applyBorder="1" applyAlignment="1">
      <alignment vertical="center" wrapText="1"/>
    </xf>
    <xf numFmtId="0" fontId="64" fillId="47" borderId="50" xfId="0" applyFont="1" applyFill="1" applyBorder="1" applyAlignment="1">
      <alignment vertical="center" wrapText="1"/>
    </xf>
    <xf numFmtId="0" fontId="64" fillId="0" borderId="50" xfId="0" applyFont="1" applyBorder="1" applyAlignment="1">
      <alignment vertical="center" wrapText="1"/>
    </xf>
    <xf numFmtId="0" fontId="62" fillId="0" borderId="0" xfId="0" applyFont="1" applyAlignment="1">
      <alignment vertical="center"/>
    </xf>
    <xf numFmtId="0" fontId="62" fillId="0" borderId="0" xfId="49" applyFont="1" applyAlignment="1">
      <alignment vertical="center"/>
    </xf>
    <xf numFmtId="0" fontId="62" fillId="0" borderId="0" xfId="49" applyFont="1" applyAlignment="1">
      <alignment horizontal="center" vertical="center"/>
    </xf>
    <xf numFmtId="9" fontId="62" fillId="0" borderId="0" xfId="34" applyFont="1" applyAlignment="1">
      <alignment horizontal="center" vertical="center"/>
    </xf>
    <xf numFmtId="3" fontId="43" fillId="0" borderId="0" xfId="0" applyNumberFormat="1" applyFont="1"/>
    <xf numFmtId="0" fontId="65" fillId="37" borderId="0" xfId="0" applyFont="1" applyFill="1" applyAlignment="1">
      <alignment horizontal="center" vertical="center"/>
    </xf>
    <xf numFmtId="170" fontId="43" fillId="48" borderId="35" xfId="34" applyNumberFormat="1" applyFont="1" applyFill="1" applyBorder="1" applyAlignment="1">
      <alignment horizontal="center" vertical="center"/>
    </xf>
    <xf numFmtId="0" fontId="0" fillId="0" borderId="56" xfId="0" applyBorder="1" applyAlignment="1">
      <alignment vertical="center"/>
    </xf>
    <xf numFmtId="4" fontId="0" fillId="0" borderId="0" xfId="0" applyNumberFormat="1" applyAlignment="1">
      <alignment vertical="center"/>
    </xf>
    <xf numFmtId="4" fontId="5" fillId="0" borderId="0" xfId="0" applyNumberFormat="1" applyFont="1" applyAlignment="1">
      <alignment vertical="center"/>
    </xf>
    <xf numFmtId="0" fontId="0" fillId="0" borderId="0" xfId="0" applyAlignment="1">
      <alignment horizontal="left" vertical="center"/>
    </xf>
    <xf numFmtId="0" fontId="43" fillId="34" borderId="60" xfId="49" applyFont="1" applyFill="1" applyBorder="1" applyAlignment="1">
      <alignment horizontal="left" vertical="center"/>
    </xf>
    <xf numFmtId="0" fontId="43" fillId="34" borderId="61" xfId="49" applyFont="1" applyFill="1" applyBorder="1" applyAlignment="1">
      <alignment horizontal="left" vertical="center"/>
    </xf>
    <xf numFmtId="0" fontId="0" fillId="0" borderId="62" xfId="0" applyBorder="1" applyAlignment="1">
      <alignment horizontal="center" vertical="center"/>
    </xf>
    <xf numFmtId="3" fontId="0" fillId="0" borderId="62" xfId="0" applyNumberFormat="1" applyBorder="1" applyAlignment="1">
      <alignment horizontal="center" vertical="center"/>
    </xf>
    <xf numFmtId="4" fontId="0" fillId="0" borderId="62" xfId="0" applyNumberFormat="1" applyBorder="1" applyAlignment="1">
      <alignment horizontal="center" vertical="center"/>
    </xf>
    <xf numFmtId="4" fontId="1" fillId="0" borderId="62" xfId="46" applyNumberFormat="1" applyFont="1" applyBorder="1" applyAlignment="1">
      <alignment horizontal="center" vertical="center"/>
    </xf>
    <xf numFmtId="0" fontId="44" fillId="34" borderId="0" xfId="45" applyFont="1" applyFill="1" applyAlignment="1">
      <alignment horizontal="center" vertical="top"/>
    </xf>
    <xf numFmtId="4" fontId="44" fillId="34" borderId="0" xfId="48" applyNumberFormat="1" applyFont="1" applyFill="1" applyBorder="1" applyAlignment="1">
      <alignment vertical="center"/>
    </xf>
    <xf numFmtId="4" fontId="44" fillId="34" borderId="0" xfId="45" applyNumberFormat="1" applyFont="1" applyFill="1" applyAlignment="1">
      <alignment vertical="center" wrapText="1"/>
    </xf>
    <xf numFmtId="4" fontId="44" fillId="34" borderId="0" xfId="48" applyNumberFormat="1" applyFont="1" applyFill="1" applyBorder="1" applyAlignment="1">
      <alignment horizontal="right" vertical="center"/>
    </xf>
    <xf numFmtId="4" fontId="44" fillId="34" borderId="0" xfId="45" applyNumberFormat="1" applyFont="1" applyFill="1" applyAlignment="1">
      <alignment horizontal="right" vertical="center"/>
    </xf>
    <xf numFmtId="10" fontId="52" fillId="34" borderId="0" xfId="46" applyNumberFormat="1" applyFont="1" applyFill="1" applyBorder="1" applyAlignment="1">
      <alignment horizontal="right" vertical="center"/>
    </xf>
    <xf numFmtId="0" fontId="45" fillId="0" borderId="0" xfId="45" applyFont="1" applyAlignment="1">
      <alignment horizontal="left" vertical="top" wrapText="1"/>
    </xf>
    <xf numFmtId="1" fontId="67" fillId="0" borderId="0" xfId="0" applyNumberFormat="1" applyFont="1" applyAlignment="1">
      <alignment horizontal="center" vertical="top"/>
    </xf>
    <xf numFmtId="0" fontId="67" fillId="0" borderId="0" xfId="0" applyFont="1" applyAlignment="1">
      <alignment vertical="top"/>
    </xf>
    <xf numFmtId="0" fontId="66" fillId="0" borderId="0" xfId="0" applyFont="1" applyAlignment="1">
      <alignment horizontal="center" vertical="top"/>
    </xf>
    <xf numFmtId="0" fontId="66" fillId="0" borderId="0" xfId="45" applyFont="1" applyAlignment="1">
      <alignment horizontal="left" vertical="top"/>
    </xf>
    <xf numFmtId="0" fontId="67" fillId="0" borderId="0" xfId="45" applyFont="1" applyAlignment="1">
      <alignment vertical="top"/>
    </xf>
    <xf numFmtId="49" fontId="67" fillId="34" borderId="0" xfId="0" applyNumberFormat="1" applyFont="1" applyFill="1" applyAlignment="1">
      <alignment horizontal="center" vertical="top"/>
    </xf>
    <xf numFmtId="0" fontId="66" fillId="0" borderId="0" xfId="45" applyFont="1" applyAlignment="1">
      <alignment horizontal="right" vertical="top"/>
    </xf>
    <xf numFmtId="14" fontId="67" fillId="0" borderId="0" xfId="45" applyNumberFormat="1" applyFont="1" applyAlignment="1">
      <alignment horizontal="center" vertical="top"/>
    </xf>
    <xf numFmtId="0" fontId="67" fillId="0" borderId="0" xfId="45" applyFont="1" applyAlignment="1">
      <alignment horizontal="left" vertical="top"/>
    </xf>
    <xf numFmtId="0" fontId="67" fillId="0" borderId="0" xfId="0" applyFont="1" applyAlignment="1">
      <alignment vertical="top" wrapText="1"/>
    </xf>
    <xf numFmtId="0" fontId="68" fillId="52" borderId="0" xfId="0" applyFont="1" applyFill="1" applyAlignment="1">
      <alignment horizontal="center" vertical="top"/>
    </xf>
    <xf numFmtId="49" fontId="66" fillId="0" borderId="0" xfId="0" applyNumberFormat="1" applyFont="1" applyAlignment="1">
      <alignment horizontal="center" vertical="top"/>
    </xf>
    <xf numFmtId="0" fontId="69" fillId="40" borderId="0" xfId="0" applyFont="1" applyFill="1" applyAlignment="1">
      <alignment horizontal="center" vertical="top"/>
    </xf>
    <xf numFmtId="0" fontId="69" fillId="40" borderId="0" xfId="0" applyFont="1" applyFill="1" applyAlignment="1">
      <alignment vertical="top"/>
    </xf>
    <xf numFmtId="0" fontId="68" fillId="40" borderId="0" xfId="0" applyFont="1" applyFill="1" applyAlignment="1">
      <alignment vertical="top"/>
    </xf>
    <xf numFmtId="0" fontId="67" fillId="0" borderId="0" xfId="0" applyFont="1" applyAlignment="1">
      <alignment horizontal="justify" vertical="top"/>
    </xf>
    <xf numFmtId="4" fontId="67" fillId="0" borderId="0" xfId="36" applyNumberFormat="1" applyFont="1" applyAlignment="1">
      <alignment horizontal="center" vertical="top"/>
    </xf>
    <xf numFmtId="49" fontId="67" fillId="0" borderId="0" xfId="36" applyNumberFormat="1" applyFont="1" applyAlignment="1">
      <alignment horizontal="center" vertical="top"/>
    </xf>
    <xf numFmtId="0" fontId="66" fillId="35" borderId="32" xfId="45" applyFont="1" applyFill="1" applyBorder="1" applyAlignment="1">
      <alignment horizontal="center" vertical="top"/>
    </xf>
    <xf numFmtId="0" fontId="66" fillId="35" borderId="32" xfId="45" applyFont="1" applyFill="1" applyBorder="1" applyAlignment="1">
      <alignment horizontal="left" vertical="top"/>
    </xf>
    <xf numFmtId="0" fontId="66" fillId="35" borderId="32" xfId="45" applyFont="1" applyFill="1" applyBorder="1" applyAlignment="1">
      <alignment horizontal="right" vertical="top"/>
    </xf>
    <xf numFmtId="4" fontId="66" fillId="35" borderId="32" xfId="45" applyNumberFormat="1" applyFont="1" applyFill="1" applyBorder="1" applyAlignment="1">
      <alignment horizontal="center" vertical="top"/>
    </xf>
    <xf numFmtId="1" fontId="67" fillId="34" borderId="43" xfId="0" applyNumberFormat="1" applyFont="1" applyFill="1" applyBorder="1" applyAlignment="1">
      <alignment horizontal="center" vertical="top"/>
    </xf>
    <xf numFmtId="0" fontId="70" fillId="34" borderId="43" xfId="0" applyFont="1" applyFill="1" applyBorder="1" applyAlignment="1">
      <alignment vertical="top"/>
    </xf>
    <xf numFmtId="4" fontId="67" fillId="34" borderId="43" xfId="36" applyNumberFormat="1" applyFont="1" applyFill="1" applyBorder="1" applyAlignment="1">
      <alignment horizontal="center" vertical="top"/>
    </xf>
    <xf numFmtId="164" fontId="70" fillId="34" borderId="43" xfId="36" applyFont="1" applyFill="1" applyBorder="1" applyAlignment="1">
      <alignment horizontal="center" vertical="top"/>
    </xf>
    <xf numFmtId="49" fontId="67" fillId="34" borderId="43" xfId="36" applyNumberFormat="1" applyFont="1" applyFill="1" applyBorder="1" applyAlignment="1">
      <alignment horizontal="center" vertical="top"/>
    </xf>
    <xf numFmtId="4" fontId="67" fillId="34" borderId="43" xfId="36" applyNumberFormat="1" applyFont="1" applyFill="1" applyBorder="1" applyAlignment="1">
      <alignment horizontal="right" vertical="top"/>
    </xf>
    <xf numFmtId="0" fontId="67" fillId="34" borderId="42" xfId="0" applyFont="1" applyFill="1" applyBorder="1" applyAlignment="1">
      <alignment vertical="top"/>
    </xf>
    <xf numFmtId="164" fontId="67" fillId="34" borderId="42" xfId="36" applyFont="1" applyFill="1" applyBorder="1" applyAlignment="1">
      <alignment horizontal="center" vertical="top"/>
    </xf>
    <xf numFmtId="49" fontId="67" fillId="34" borderId="42" xfId="36" applyNumberFormat="1" applyFont="1" applyFill="1" applyBorder="1" applyAlignment="1">
      <alignment horizontal="center" vertical="top"/>
    </xf>
    <xf numFmtId="4" fontId="67" fillId="34" borderId="42" xfId="36" applyNumberFormat="1" applyFont="1" applyFill="1" applyBorder="1" applyAlignment="1">
      <alignment horizontal="center" vertical="top"/>
    </xf>
    <xf numFmtId="4" fontId="67" fillId="34" borderId="42" xfId="36" applyNumberFormat="1" applyFont="1" applyFill="1" applyBorder="1" applyAlignment="1">
      <alignment horizontal="right" vertical="top"/>
    </xf>
    <xf numFmtId="165" fontId="67" fillId="0" borderId="0" xfId="36" applyNumberFormat="1" applyFont="1" applyAlignment="1">
      <alignment horizontal="center" vertical="top"/>
    </xf>
    <xf numFmtId="164" fontId="67" fillId="34" borderId="0" xfId="36" applyFont="1" applyFill="1" applyAlignment="1">
      <alignment vertical="top"/>
    </xf>
    <xf numFmtId="0" fontId="66" fillId="35" borderId="0" xfId="45" applyFont="1" applyFill="1" applyAlignment="1">
      <alignment horizontal="center" vertical="top"/>
    </xf>
    <xf numFmtId="0" fontId="66" fillId="35" borderId="0" xfId="45" applyFont="1" applyFill="1" applyAlignment="1">
      <alignment horizontal="left" vertical="top"/>
    </xf>
    <xf numFmtId="0" fontId="66" fillId="35" borderId="0" xfId="45" applyFont="1" applyFill="1" applyAlignment="1">
      <alignment horizontal="right" vertical="top"/>
    </xf>
    <xf numFmtId="4" fontId="66" fillId="35" borderId="0" xfId="45" applyNumberFormat="1" applyFont="1" applyFill="1" applyAlignment="1">
      <alignment horizontal="right" vertical="top"/>
    </xf>
    <xf numFmtId="10" fontId="66" fillId="35" borderId="0" xfId="46" applyNumberFormat="1" applyFont="1" applyFill="1" applyAlignment="1">
      <alignment horizontal="right" vertical="top"/>
    </xf>
    <xf numFmtId="0" fontId="70" fillId="34" borderId="42" xfId="0" applyFont="1" applyFill="1" applyBorder="1" applyAlignment="1">
      <alignment vertical="top"/>
    </xf>
    <xf numFmtId="0" fontId="71" fillId="34" borderId="42" xfId="0" applyFont="1" applyFill="1" applyBorder="1" applyAlignment="1">
      <alignment vertical="top"/>
    </xf>
    <xf numFmtId="1" fontId="67" fillId="34" borderId="43" xfId="36" quotePrefix="1" applyNumberFormat="1" applyFont="1" applyFill="1" applyBorder="1" applyAlignment="1">
      <alignment horizontal="center" vertical="top"/>
    </xf>
    <xf numFmtId="49" fontId="67" fillId="34" borderId="43" xfId="36" applyNumberFormat="1" applyFont="1" applyFill="1" applyBorder="1" applyAlignment="1">
      <alignment horizontal="right" vertical="top"/>
    </xf>
    <xf numFmtId="1" fontId="67" fillId="34" borderId="42" xfId="0" applyNumberFormat="1" applyFont="1" applyFill="1" applyBorder="1" applyAlignment="1">
      <alignment horizontal="center" vertical="top"/>
    </xf>
    <xf numFmtId="1" fontId="67" fillId="34" borderId="42" xfId="36" quotePrefix="1" applyNumberFormat="1" applyFont="1" applyFill="1" applyBorder="1" applyAlignment="1">
      <alignment horizontal="center" vertical="top"/>
    </xf>
    <xf numFmtId="49" fontId="67" fillId="34" borderId="42" xfId="36" applyNumberFormat="1" applyFont="1" applyFill="1" applyBorder="1" applyAlignment="1">
      <alignment horizontal="right" vertical="top"/>
    </xf>
    <xf numFmtId="1" fontId="67" fillId="0" borderId="0" xfId="36" applyNumberFormat="1" applyFont="1" applyAlignment="1">
      <alignment horizontal="center" vertical="top"/>
    </xf>
    <xf numFmtId="49" fontId="67" fillId="0" borderId="0" xfId="36" applyNumberFormat="1" applyFont="1" applyAlignment="1">
      <alignment horizontal="right" vertical="top"/>
    </xf>
    <xf numFmtId="0" fontId="67" fillId="34" borderId="43" xfId="0" applyFont="1" applyFill="1" applyBorder="1" applyAlignment="1">
      <alignment vertical="top"/>
    </xf>
    <xf numFmtId="1" fontId="67" fillId="34" borderId="43" xfId="36" applyNumberFormat="1" applyFont="1" applyFill="1" applyBorder="1" applyAlignment="1">
      <alignment horizontal="center" vertical="top" wrapText="1"/>
    </xf>
    <xf numFmtId="1" fontId="67" fillId="34" borderId="43" xfId="36" applyNumberFormat="1" applyFont="1" applyFill="1" applyBorder="1" applyAlignment="1">
      <alignment horizontal="center" vertical="top"/>
    </xf>
    <xf numFmtId="1" fontId="67" fillId="34" borderId="42" xfId="36" applyNumberFormat="1" applyFont="1" applyFill="1" applyBorder="1" applyAlignment="1">
      <alignment horizontal="center" vertical="top"/>
    </xf>
    <xf numFmtId="164" fontId="67" fillId="0" borderId="0" xfId="36" applyFont="1" applyAlignment="1">
      <alignment vertical="top"/>
    </xf>
    <xf numFmtId="1" fontId="66" fillId="35" borderId="0" xfId="0" applyNumberFormat="1" applyFont="1" applyFill="1" applyAlignment="1">
      <alignment horizontal="center" vertical="top"/>
    </xf>
    <xf numFmtId="0" fontId="66" fillId="35" borderId="0" xfId="0" applyFont="1" applyFill="1" applyAlignment="1">
      <alignment vertical="top"/>
    </xf>
    <xf numFmtId="0" fontId="66" fillId="35" borderId="0" xfId="0" applyFont="1" applyFill="1" applyAlignment="1">
      <alignment horizontal="right" vertical="top"/>
    </xf>
    <xf numFmtId="1" fontId="70" fillId="34" borderId="42" xfId="0" applyNumberFormat="1" applyFont="1" applyFill="1" applyBorder="1" applyAlignment="1">
      <alignment horizontal="center" vertical="top"/>
    </xf>
    <xf numFmtId="1" fontId="67" fillId="0" borderId="42" xfId="36" applyNumberFormat="1" applyFont="1" applyFill="1" applyBorder="1" applyAlignment="1">
      <alignment horizontal="center" vertical="top"/>
    </xf>
    <xf numFmtId="4" fontId="67" fillId="0" borderId="42" xfId="36" applyNumberFormat="1" applyFont="1" applyFill="1" applyBorder="1" applyAlignment="1">
      <alignment horizontal="center" vertical="top"/>
    </xf>
    <xf numFmtId="4" fontId="67" fillId="0" borderId="42" xfId="36" applyNumberFormat="1" applyFont="1" applyFill="1" applyBorder="1" applyAlignment="1">
      <alignment horizontal="right" vertical="top"/>
    </xf>
    <xf numFmtId="0" fontId="66" fillId="0" borderId="0" xfId="0" applyFont="1" applyAlignment="1">
      <alignment vertical="top"/>
    </xf>
    <xf numFmtId="0" fontId="67" fillId="0" borderId="0" xfId="0" applyFont="1" applyAlignment="1">
      <alignment horizontal="center" vertical="top"/>
    </xf>
    <xf numFmtId="49" fontId="67" fillId="0" borderId="0" xfId="0" applyNumberFormat="1" applyFont="1" applyAlignment="1">
      <alignment horizontal="center" vertical="top"/>
    </xf>
    <xf numFmtId="0" fontId="67" fillId="34" borderId="0" xfId="0" applyFont="1" applyFill="1" applyAlignment="1">
      <alignment vertical="top"/>
    </xf>
    <xf numFmtId="0" fontId="36" fillId="52" borderId="37" xfId="45" applyFont="1" applyFill="1" applyBorder="1" applyAlignment="1">
      <alignment horizontal="center" vertical="center"/>
    </xf>
    <xf numFmtId="0" fontId="36" fillId="52" borderId="37" xfId="45" applyFont="1" applyFill="1" applyBorder="1" applyAlignment="1">
      <alignment horizontal="center" vertical="center" wrapText="1"/>
    </xf>
    <xf numFmtId="4" fontId="36" fillId="52" borderId="37" xfId="45" applyNumberFormat="1" applyFont="1" applyFill="1" applyBorder="1" applyAlignment="1">
      <alignment horizontal="center" vertical="center"/>
    </xf>
    <xf numFmtId="4" fontId="36" fillId="52" borderId="37" xfId="45" applyNumberFormat="1" applyFont="1" applyFill="1" applyBorder="1" applyAlignment="1">
      <alignment horizontal="center" vertical="center" wrapText="1"/>
    </xf>
    <xf numFmtId="0" fontId="72" fillId="40" borderId="35" xfId="45" applyFont="1" applyFill="1" applyBorder="1" applyAlignment="1">
      <alignment horizontal="center" vertical="center"/>
    </xf>
    <xf numFmtId="0" fontId="72" fillId="40" borderId="35" xfId="45" applyFont="1" applyFill="1" applyBorder="1" applyAlignment="1">
      <alignment vertical="center"/>
    </xf>
    <xf numFmtId="0" fontId="72" fillId="40" borderId="35" xfId="45" applyFont="1" applyFill="1" applyBorder="1" applyAlignment="1">
      <alignment horizontal="right" vertical="center"/>
    </xf>
    <xf numFmtId="4" fontId="72" fillId="40" borderId="35" xfId="45" applyNumberFormat="1" applyFont="1" applyFill="1" applyBorder="1" applyAlignment="1">
      <alignment vertical="center"/>
    </xf>
    <xf numFmtId="10" fontId="72" fillId="40" borderId="35" xfId="46" applyNumberFormat="1" applyFont="1" applyFill="1" applyBorder="1" applyAlignment="1">
      <alignment horizontal="right" vertical="center"/>
    </xf>
    <xf numFmtId="0" fontId="72" fillId="35" borderId="0" xfId="45" applyFont="1" applyFill="1" applyAlignment="1">
      <alignment horizontal="center" vertical="center"/>
    </xf>
    <xf numFmtId="0" fontId="72" fillId="35" borderId="0" xfId="45" applyFont="1" applyFill="1" applyAlignment="1">
      <alignment horizontal="left" vertical="center"/>
    </xf>
    <xf numFmtId="0" fontId="72" fillId="35" borderId="0" xfId="45" applyFont="1" applyFill="1" applyAlignment="1">
      <alignment horizontal="right" vertical="center"/>
    </xf>
    <xf numFmtId="4" fontId="72" fillId="35" borderId="0" xfId="45" applyNumberFormat="1" applyFont="1" applyFill="1" applyAlignment="1">
      <alignment horizontal="right" vertical="center"/>
    </xf>
    <xf numFmtId="0" fontId="72" fillId="40" borderId="37" xfId="45" applyFont="1" applyFill="1" applyBorder="1" applyAlignment="1">
      <alignment horizontal="center" vertical="center"/>
    </xf>
    <xf numFmtId="0" fontId="72" fillId="40" borderId="37" xfId="45" applyFont="1" applyFill="1" applyBorder="1" applyAlignment="1">
      <alignment vertical="center"/>
    </xf>
    <xf numFmtId="1" fontId="44" fillId="34" borderId="0" xfId="45" applyNumberFormat="1" applyFont="1" applyFill="1" applyAlignment="1">
      <alignment horizontal="center" vertical="center" wrapText="1"/>
    </xf>
    <xf numFmtId="4" fontId="54" fillId="52" borderId="0" xfId="45" applyNumberFormat="1" applyFont="1" applyFill="1" applyAlignment="1">
      <alignment horizontal="right" vertical="center"/>
    </xf>
    <xf numFmtId="0" fontId="40" fillId="52" borderId="0" xfId="45" applyFont="1" applyFill="1" applyAlignment="1">
      <alignment horizontal="center"/>
    </xf>
    <xf numFmtId="4" fontId="54" fillId="52" borderId="0" xfId="45" applyNumberFormat="1" applyFont="1" applyFill="1" applyAlignment="1">
      <alignment vertical="center"/>
    </xf>
    <xf numFmtId="4" fontId="72" fillId="40" borderId="37" xfId="45" applyNumberFormat="1" applyFont="1" applyFill="1" applyBorder="1" applyAlignment="1">
      <alignment horizontal="right" vertical="center"/>
    </xf>
    <xf numFmtId="4" fontId="46" fillId="35" borderId="32" xfId="45" applyNumberFormat="1" applyFont="1" applyFill="1" applyBorder="1" applyAlignment="1">
      <alignment horizontal="right" vertical="center"/>
    </xf>
    <xf numFmtId="10" fontId="54" fillId="52" borderId="0" xfId="34" applyNumberFormat="1" applyFont="1" applyFill="1" applyAlignment="1">
      <alignment horizontal="right" vertical="center"/>
    </xf>
    <xf numFmtId="10" fontId="46" fillId="35" borderId="0" xfId="34" applyNumberFormat="1" applyFont="1" applyFill="1" applyAlignment="1">
      <alignment horizontal="right" vertical="center"/>
    </xf>
    <xf numFmtId="10" fontId="46" fillId="35" borderId="0" xfId="34" applyNumberFormat="1" applyFont="1" applyFill="1" applyAlignment="1">
      <alignment vertical="center"/>
    </xf>
    <xf numFmtId="10" fontId="46" fillId="35" borderId="32" xfId="34" applyNumberFormat="1" applyFont="1" applyFill="1" applyBorder="1" applyAlignment="1">
      <alignment horizontal="right" vertical="center"/>
    </xf>
    <xf numFmtId="10" fontId="72" fillId="35" borderId="0" xfId="34" applyNumberFormat="1" applyFont="1" applyFill="1" applyAlignment="1">
      <alignment horizontal="right" vertical="center"/>
    </xf>
    <xf numFmtId="0" fontId="44" fillId="0" borderId="0" xfId="45" applyFont="1" applyAlignment="1">
      <alignment horizontal="right"/>
    </xf>
    <xf numFmtId="0" fontId="36" fillId="52" borderId="37" xfId="0" applyFont="1" applyFill="1" applyBorder="1" applyAlignment="1">
      <alignment horizontal="center" vertical="center"/>
    </xf>
    <xf numFmtId="0" fontId="36" fillId="52" borderId="32" xfId="0" applyFont="1" applyFill="1" applyBorder="1" applyAlignment="1">
      <alignment horizontal="center" vertical="center" wrapText="1"/>
    </xf>
    <xf numFmtId="0" fontId="36" fillId="52" borderId="37" xfId="0" applyFont="1" applyFill="1" applyBorder="1" applyAlignment="1">
      <alignment horizontal="center" vertical="center" wrapText="1"/>
    </xf>
    <xf numFmtId="4" fontId="57" fillId="52" borderId="0" xfId="0" applyNumberFormat="1" applyFont="1" applyFill="1" applyAlignment="1">
      <alignment horizontal="center" vertical="center" wrapText="1"/>
    </xf>
    <xf numFmtId="10" fontId="57" fillId="52" borderId="0" xfId="34" applyNumberFormat="1" applyFont="1" applyFill="1" applyAlignment="1">
      <alignment horizontal="center" vertical="center" wrapText="1"/>
    </xf>
    <xf numFmtId="0" fontId="59" fillId="40" borderId="31" xfId="0" applyFont="1" applyFill="1" applyBorder="1" applyAlignment="1">
      <alignment horizontal="center" vertical="center" wrapText="1"/>
    </xf>
    <xf numFmtId="4" fontId="58" fillId="34" borderId="43" xfId="0" applyNumberFormat="1" applyFont="1" applyFill="1" applyBorder="1" applyAlignment="1">
      <alignment horizontal="right" vertical="center" wrapText="1"/>
    </xf>
    <xf numFmtId="0" fontId="0" fillId="0" borderId="66" xfId="0" applyBorder="1" applyAlignment="1">
      <alignment horizontal="center" vertical="center"/>
    </xf>
    <xf numFmtId="1" fontId="44" fillId="34" borderId="43" xfId="45" applyNumberFormat="1" applyFont="1" applyFill="1" applyBorder="1" applyAlignment="1">
      <alignment horizontal="left" vertical="center" wrapText="1"/>
    </xf>
    <xf numFmtId="49" fontId="44" fillId="34" borderId="43" xfId="45" applyNumberFormat="1" applyFont="1" applyFill="1" applyBorder="1" applyAlignment="1">
      <alignment horizontal="center" vertical="center"/>
    </xf>
    <xf numFmtId="4" fontId="55" fillId="0" borderId="42" xfId="0" applyNumberFormat="1" applyFont="1" applyBorder="1" applyAlignment="1">
      <alignment horizontal="center" vertical="center"/>
    </xf>
    <xf numFmtId="0" fontId="55" fillId="0" borderId="42" xfId="0" applyFont="1" applyBorder="1" applyAlignment="1">
      <alignment vertical="center" wrapText="1"/>
    </xf>
    <xf numFmtId="0" fontId="43" fillId="0" borderId="42" xfId="51" applyFont="1" applyBorder="1" applyAlignment="1">
      <alignment horizontal="center" vertical="center"/>
    </xf>
    <xf numFmtId="170" fontId="40" fillId="34" borderId="43" xfId="0" applyNumberFormat="1" applyFont="1" applyFill="1" applyBorder="1" applyAlignment="1">
      <alignment horizontal="center" vertical="center" wrapText="1"/>
    </xf>
    <xf numFmtId="170" fontId="40" fillId="34" borderId="0" xfId="0" applyNumberFormat="1" applyFont="1" applyFill="1" applyAlignment="1">
      <alignment horizontal="center" vertical="center" wrapText="1"/>
    </xf>
    <xf numFmtId="2" fontId="44" fillId="34" borderId="43" xfId="45" applyNumberFormat="1" applyFont="1" applyFill="1" applyBorder="1" applyAlignment="1">
      <alignment horizontal="center" vertical="center" wrapText="1"/>
    </xf>
    <xf numFmtId="2" fontId="43" fillId="0" borderId="42" xfId="51" applyNumberFormat="1" applyFont="1" applyBorder="1" applyAlignment="1">
      <alignment horizontal="center" vertical="center"/>
    </xf>
    <xf numFmtId="0" fontId="73" fillId="0" borderId="0" xfId="45" applyFont="1" applyAlignment="1">
      <alignment horizontal="right" vertical="top"/>
    </xf>
    <xf numFmtId="0" fontId="73" fillId="0" borderId="0" xfId="45" applyFont="1" applyAlignment="1">
      <alignment horizontal="left" vertical="top"/>
    </xf>
    <xf numFmtId="14" fontId="40" fillId="0" borderId="0" xfId="51" applyNumberFormat="1" applyFont="1" applyAlignment="1">
      <alignment vertical="center"/>
    </xf>
    <xf numFmtId="0" fontId="59" fillId="40" borderId="63" xfId="0" applyFont="1" applyFill="1" applyBorder="1" applyAlignment="1">
      <alignment horizontal="center" vertical="center" wrapText="1"/>
    </xf>
    <xf numFmtId="0" fontId="40" fillId="0" borderId="0" xfId="49" applyFont="1" applyAlignment="1">
      <alignment horizontal="center" vertical="center" wrapText="1"/>
    </xf>
    <xf numFmtId="0" fontId="59" fillId="53" borderId="0" xfId="0" applyFont="1" applyFill="1" applyAlignment="1">
      <alignment horizontal="center" vertical="center" wrapText="1"/>
    </xf>
    <xf numFmtId="1" fontId="0" fillId="0" borderId="67" xfId="0" applyNumberFormat="1" applyBorder="1" applyAlignment="1">
      <alignment horizontal="center" vertical="center"/>
    </xf>
    <xf numFmtId="4" fontId="0" fillId="0" borderId="68" xfId="0" applyNumberFormat="1" applyBorder="1" applyAlignment="1">
      <alignment horizontal="center" vertical="center"/>
    </xf>
    <xf numFmtId="4" fontId="0" fillId="0" borderId="57" xfId="0" applyNumberFormat="1" applyBorder="1" applyAlignment="1">
      <alignment horizontal="center" vertical="center"/>
    </xf>
    <xf numFmtId="0" fontId="22" fillId="52" borderId="51" xfId="0" applyFont="1" applyFill="1" applyBorder="1" applyAlignment="1">
      <alignment horizontal="center" vertical="center"/>
    </xf>
    <xf numFmtId="0" fontId="22" fillId="52" borderId="54" xfId="0" applyFont="1" applyFill="1" applyBorder="1" applyAlignment="1">
      <alignment horizontal="center" vertical="center"/>
    </xf>
    <xf numFmtId="1" fontId="43" fillId="0" borderId="42" xfId="51" applyNumberFormat="1" applyFont="1" applyBorder="1" applyAlignment="1">
      <alignment horizontal="center" vertical="center"/>
    </xf>
    <xf numFmtId="0" fontId="40" fillId="0" borderId="0" xfId="0" applyFont="1" applyAlignment="1">
      <alignment vertical="top"/>
    </xf>
    <xf numFmtId="0" fontId="40" fillId="0" borderId="0" xfId="0" applyFont="1" applyAlignment="1">
      <alignment horizontal="justify" vertical="top"/>
    </xf>
    <xf numFmtId="0" fontId="39" fillId="0" borderId="69" xfId="45" applyFont="1" applyBorder="1" applyAlignment="1">
      <alignment horizontal="left" vertical="center"/>
    </xf>
    <xf numFmtId="0" fontId="40" fillId="0" borderId="69" xfId="45" applyFont="1" applyBorder="1" applyAlignment="1">
      <alignment horizontal="left" vertical="center"/>
    </xf>
    <xf numFmtId="0" fontId="40" fillId="0" borderId="69" xfId="45" applyFont="1" applyBorder="1"/>
    <xf numFmtId="0" fontId="5" fillId="0" borderId="0" xfId="0" applyFont="1" applyAlignment="1">
      <alignment vertical="center"/>
    </xf>
    <xf numFmtId="0" fontId="22" fillId="52" borderId="72" xfId="0" applyFont="1" applyFill="1" applyBorder="1" applyAlignment="1">
      <alignment horizontal="center" vertical="center" wrapText="1"/>
    </xf>
    <xf numFmtId="0" fontId="22" fillId="52" borderId="72" xfId="0" applyFont="1" applyFill="1" applyBorder="1" applyAlignment="1">
      <alignment horizontal="center" vertical="center"/>
    </xf>
    <xf numFmtId="0" fontId="22" fillId="52" borderId="73" xfId="0" applyFont="1" applyFill="1" applyBorder="1" applyAlignment="1">
      <alignment horizontal="center" vertical="center"/>
    </xf>
    <xf numFmtId="0" fontId="22" fillId="52" borderId="74" xfId="0" applyFont="1" applyFill="1" applyBorder="1" applyAlignment="1">
      <alignment horizontal="center" vertical="center"/>
    </xf>
    <xf numFmtId="0" fontId="22" fillId="52" borderId="76" xfId="0" applyFont="1" applyFill="1" applyBorder="1" applyAlignment="1">
      <alignment horizontal="center" vertical="center"/>
    </xf>
    <xf numFmtId="4" fontId="1" fillId="0" borderId="77" xfId="46" applyNumberFormat="1" applyFont="1" applyBorder="1" applyAlignment="1">
      <alignment horizontal="center" vertical="center"/>
    </xf>
    <xf numFmtId="0" fontId="22" fillId="52" borderId="10" xfId="0" applyFont="1" applyFill="1" applyBorder="1" applyAlignment="1">
      <alignment horizontal="center" vertical="center"/>
    </xf>
    <xf numFmtId="0" fontId="22" fillId="52" borderId="79" xfId="0" applyFont="1" applyFill="1" applyBorder="1" applyAlignment="1">
      <alignment horizontal="center" vertical="center"/>
    </xf>
    <xf numFmtId="3" fontId="22" fillId="52" borderId="79" xfId="0" applyNumberFormat="1" applyFont="1" applyFill="1" applyBorder="1" applyAlignment="1">
      <alignment horizontal="center" vertical="center"/>
    </xf>
    <xf numFmtId="4" fontId="22" fillId="52" borderId="80" xfId="0" applyNumberFormat="1" applyFont="1" applyFill="1" applyBorder="1" applyAlignment="1">
      <alignment horizontal="center" vertical="center"/>
    </xf>
    <xf numFmtId="4" fontId="22" fillId="52" borderId="52" xfId="0" applyNumberFormat="1" applyFont="1" applyFill="1" applyBorder="1" applyAlignment="1">
      <alignment horizontal="center" vertical="center"/>
    </xf>
    <xf numFmtId="0" fontId="22" fillId="52" borderId="55" xfId="0" applyFont="1" applyFill="1" applyBorder="1" applyAlignment="1">
      <alignment vertical="center"/>
    </xf>
    <xf numFmtId="0" fontId="22" fillId="52" borderId="57" xfId="0" applyFont="1" applyFill="1" applyBorder="1" applyAlignment="1">
      <alignment vertical="center"/>
    </xf>
    <xf numFmtId="0" fontId="37" fillId="52" borderId="37" xfId="51" applyFont="1" applyFill="1" applyBorder="1" applyAlignment="1">
      <alignment horizontal="center" vertical="center" wrapText="1"/>
    </xf>
    <xf numFmtId="0" fontId="37" fillId="54" borderId="32" xfId="51" applyFont="1" applyFill="1" applyBorder="1" applyAlignment="1">
      <alignment horizontal="center" vertical="center" wrapText="1"/>
    </xf>
    <xf numFmtId="0" fontId="37" fillId="52" borderId="32" xfId="51" applyFont="1" applyFill="1" applyBorder="1" applyAlignment="1">
      <alignment horizontal="center" vertical="center" wrapText="1"/>
    </xf>
    <xf numFmtId="0" fontId="37" fillId="52" borderId="32" xfId="51" applyFont="1" applyFill="1" applyBorder="1" applyAlignment="1">
      <alignment horizontal="center" vertical="center"/>
    </xf>
    <xf numFmtId="0" fontId="47" fillId="52" borderId="37" xfId="51" applyFont="1" applyFill="1" applyBorder="1"/>
    <xf numFmtId="0" fontId="36" fillId="52" borderId="64" xfId="0" applyFont="1" applyFill="1" applyBorder="1" applyAlignment="1">
      <alignment horizontal="center" vertical="center"/>
    </xf>
    <xf numFmtId="0" fontId="36" fillId="52" borderId="82" xfId="0" applyFont="1" applyFill="1" applyBorder="1" applyAlignment="1">
      <alignment horizontal="center" vertical="center" wrapText="1"/>
    </xf>
    <xf numFmtId="0" fontId="36" fillId="52" borderId="83" xfId="0" applyFont="1" applyFill="1" applyBorder="1" applyAlignment="1">
      <alignment horizontal="center" vertical="center"/>
    </xf>
    <xf numFmtId="0" fontId="36" fillId="52" borderId="84" xfId="0" applyFont="1" applyFill="1" applyBorder="1" applyAlignment="1">
      <alignment horizontal="center" vertical="center" wrapText="1"/>
    </xf>
    <xf numFmtId="2" fontId="44" fillId="34" borderId="43" xfId="45" applyNumberFormat="1" applyFont="1" applyFill="1" applyBorder="1" applyAlignment="1">
      <alignment horizontal="right" vertical="center" wrapText="1"/>
    </xf>
    <xf numFmtId="1" fontId="44" fillId="34" borderId="43" xfId="45" applyNumberFormat="1" applyFont="1" applyFill="1" applyBorder="1" applyAlignment="1">
      <alignment horizontal="justify" vertical="center" wrapText="1"/>
    </xf>
    <xf numFmtId="1" fontId="44" fillId="34" borderId="43" xfId="45" applyNumberFormat="1" applyFont="1" applyFill="1" applyBorder="1" applyAlignment="1">
      <alignment horizontal="left" vertical="center"/>
    </xf>
    <xf numFmtId="1" fontId="44" fillId="34" borderId="43" xfId="45" applyNumberFormat="1" applyFont="1" applyFill="1" applyBorder="1" applyAlignment="1">
      <alignment horizontal="justify" vertical="center"/>
    </xf>
    <xf numFmtId="0" fontId="57" fillId="52" borderId="0" xfId="49" applyFont="1" applyFill="1" applyAlignment="1">
      <alignment horizontal="center" vertical="center"/>
    </xf>
    <xf numFmtId="0" fontId="57" fillId="52" borderId="0" xfId="49" applyFont="1" applyFill="1" applyAlignment="1">
      <alignment horizontal="center" vertical="center" wrapText="1"/>
    </xf>
    <xf numFmtId="0" fontId="57" fillId="52" borderId="0" xfId="49" applyFont="1" applyFill="1" applyAlignment="1">
      <alignment horizontal="right" vertical="center"/>
    </xf>
    <xf numFmtId="10" fontId="57" fillId="52" borderId="0" xfId="49" applyNumberFormat="1" applyFont="1" applyFill="1" applyAlignment="1">
      <alignment horizontal="center" vertical="center"/>
    </xf>
    <xf numFmtId="4" fontId="57" fillId="52" borderId="0" xfId="49" applyNumberFormat="1" applyFont="1" applyFill="1" applyAlignment="1">
      <alignment horizontal="right" vertical="center"/>
    </xf>
    <xf numFmtId="1" fontId="40" fillId="0" borderId="0" xfId="45" applyNumberFormat="1" applyFont="1" applyAlignment="1">
      <alignment vertical="top"/>
    </xf>
    <xf numFmtId="164" fontId="40" fillId="0" borderId="0" xfId="36" applyFont="1" applyAlignment="1">
      <alignment vertical="top"/>
    </xf>
    <xf numFmtId="43" fontId="40" fillId="0" borderId="0" xfId="45" applyNumberFormat="1" applyFont="1" applyAlignment="1">
      <alignment vertical="top"/>
    </xf>
    <xf numFmtId="0" fontId="55" fillId="34" borderId="42" xfId="0" applyFont="1" applyFill="1" applyBorder="1" applyAlignment="1">
      <alignment vertical="center"/>
    </xf>
    <xf numFmtId="1" fontId="55" fillId="34" borderId="42" xfId="0" applyNumberFormat="1" applyFont="1" applyFill="1" applyBorder="1" applyAlignment="1">
      <alignment horizontal="center" vertical="center"/>
    </xf>
    <xf numFmtId="0" fontId="43" fillId="34" borderId="43" xfId="51" applyFont="1" applyFill="1" applyBorder="1" applyAlignment="1">
      <alignment horizontal="center" vertical="center"/>
    </xf>
    <xf numFmtId="0" fontId="43" fillId="34" borderId="0" xfId="51" applyFont="1" applyFill="1" applyAlignment="1">
      <alignment horizontal="center" vertical="center" wrapText="1"/>
    </xf>
    <xf numFmtId="0" fontId="43" fillId="34" borderId="0" xfId="51" applyFont="1" applyFill="1" applyAlignment="1">
      <alignment horizontal="center" vertical="center"/>
    </xf>
    <xf numFmtId="3" fontId="43" fillId="34" borderId="42" xfId="51" applyNumberFormat="1" applyFont="1" applyFill="1" applyBorder="1" applyAlignment="1">
      <alignment horizontal="center" vertical="center"/>
    </xf>
    <xf numFmtId="10" fontId="43" fillId="0" borderId="42" xfId="46" applyNumberFormat="1" applyFont="1" applyFill="1" applyBorder="1" applyAlignment="1">
      <alignment horizontal="left" vertical="center"/>
    </xf>
    <xf numFmtId="0" fontId="39" fillId="0" borderId="31" xfId="45" applyFont="1" applyBorder="1" applyAlignment="1">
      <alignment horizontal="center" vertical="center"/>
    </xf>
    <xf numFmtId="14" fontId="66" fillId="0" borderId="0" xfId="0" applyNumberFormat="1" applyFont="1" applyAlignment="1">
      <alignment horizontal="center" vertical="center"/>
    </xf>
    <xf numFmtId="0" fontId="75" fillId="0" borderId="32" xfId="0" applyFont="1" applyBorder="1" applyAlignment="1">
      <alignment vertical="center" wrapText="1"/>
    </xf>
    <xf numFmtId="0" fontId="75" fillId="0" borderId="65" xfId="0" applyFont="1" applyBorder="1" applyAlignment="1">
      <alignment vertical="center" wrapText="1"/>
    </xf>
    <xf numFmtId="0" fontId="75" fillId="0" borderId="85" xfId="0" applyFont="1" applyBorder="1" applyAlignment="1">
      <alignment vertical="center" wrapText="1"/>
    </xf>
    <xf numFmtId="0" fontId="76" fillId="52" borderId="0" xfId="0" applyFont="1" applyFill="1" applyAlignment="1">
      <alignment horizontal="center" vertical="center" wrapText="1"/>
    </xf>
    <xf numFmtId="0" fontId="77" fillId="55" borderId="0" xfId="0" applyFont="1" applyFill="1" applyAlignment="1">
      <alignment horizontal="center" vertical="center" wrapText="1"/>
    </xf>
    <xf numFmtId="0" fontId="78" fillId="55" borderId="0" xfId="0" applyFont="1" applyFill="1" applyAlignment="1">
      <alignment vertical="center" wrapText="1"/>
    </xf>
    <xf numFmtId="0" fontId="77" fillId="51" borderId="0" xfId="0" applyFont="1" applyFill="1" applyAlignment="1">
      <alignment horizontal="center" vertical="center" wrapText="1"/>
    </xf>
    <xf numFmtId="0" fontId="78" fillId="51" borderId="0" xfId="0" applyFont="1" applyFill="1" applyAlignment="1">
      <alignment vertical="center" wrapText="1"/>
    </xf>
    <xf numFmtId="171" fontId="78" fillId="51" borderId="0" xfId="0" applyNumberFormat="1" applyFont="1" applyFill="1" applyAlignment="1">
      <alignment vertical="center" wrapText="1"/>
    </xf>
    <xf numFmtId="171" fontId="78" fillId="55" borderId="0" xfId="0" applyNumberFormat="1" applyFont="1" applyFill="1" applyAlignment="1">
      <alignment vertical="center" wrapText="1"/>
    </xf>
    <xf numFmtId="0" fontId="68" fillId="52" borderId="37" xfId="0" applyFont="1" applyFill="1" applyBorder="1" applyAlignment="1">
      <alignment horizontal="center" vertical="top"/>
    </xf>
    <xf numFmtId="2" fontId="70" fillId="34" borderId="43" xfId="36" applyNumberFormat="1" applyFont="1" applyFill="1" applyBorder="1" applyAlignment="1">
      <alignment horizontal="center" vertical="top"/>
    </xf>
    <xf numFmtId="2" fontId="40" fillId="0" borderId="0" xfId="45" applyNumberFormat="1" applyFont="1" applyAlignment="1">
      <alignment vertical="center"/>
    </xf>
    <xf numFmtId="2" fontId="44" fillId="0" borderId="0" xfId="45" applyNumberFormat="1" applyFont="1" applyAlignment="1">
      <alignment horizontal="center" vertical="center"/>
    </xf>
    <xf numFmtId="2" fontId="36" fillId="52" borderId="37" xfId="45" applyNumberFormat="1" applyFont="1" applyFill="1" applyBorder="1" applyAlignment="1">
      <alignment horizontal="center" vertical="center"/>
    </xf>
    <xf numFmtId="2" fontId="72" fillId="40" borderId="35" xfId="45" applyNumberFormat="1" applyFont="1" applyFill="1" applyBorder="1" applyAlignment="1">
      <alignment vertical="center"/>
    </xf>
    <xf numFmtId="2" fontId="46" fillId="35" borderId="32" xfId="45" applyNumberFormat="1" applyFont="1" applyFill="1" applyBorder="1" applyAlignment="1">
      <alignment horizontal="left" vertical="center"/>
    </xf>
    <xf numFmtId="2" fontId="44" fillId="34" borderId="0" xfId="48" applyNumberFormat="1" applyFont="1" applyFill="1" applyAlignment="1">
      <alignment horizontal="center" vertical="center"/>
    </xf>
    <xf numFmtId="2" fontId="72" fillId="35" borderId="0" xfId="45" applyNumberFormat="1" applyFont="1" applyFill="1" applyAlignment="1">
      <alignment horizontal="left" vertical="center"/>
    </xf>
    <xf numFmtId="2" fontId="36" fillId="40" borderId="37" xfId="45" applyNumberFormat="1" applyFont="1" applyFill="1" applyBorder="1" applyAlignment="1">
      <alignment vertical="center"/>
    </xf>
    <xf numFmtId="2" fontId="46" fillId="35" borderId="0" xfId="45" applyNumberFormat="1" applyFont="1" applyFill="1" applyAlignment="1">
      <alignment horizontal="left" vertical="center"/>
    </xf>
    <xf numFmtId="2" fontId="44" fillId="34" borderId="0" xfId="48" applyNumberFormat="1" applyFont="1" applyFill="1" applyBorder="1" applyAlignment="1">
      <alignment horizontal="center" vertical="center"/>
    </xf>
    <xf numFmtId="2" fontId="44" fillId="0" borderId="0" xfId="45" applyNumberFormat="1" applyFont="1" applyAlignment="1">
      <alignment vertical="center"/>
    </xf>
    <xf numFmtId="2" fontId="54" fillId="52" borderId="0" xfId="45" applyNumberFormat="1" applyFont="1" applyFill="1" applyAlignment="1">
      <alignment vertical="center"/>
    </xf>
    <xf numFmtId="2" fontId="39" fillId="0" borderId="0" xfId="45" applyNumberFormat="1" applyFont="1" applyAlignment="1">
      <alignment horizontal="center" vertical="center"/>
    </xf>
    <xf numFmtId="2" fontId="45" fillId="0" borderId="0" xfId="45" applyNumberFormat="1" applyFont="1"/>
    <xf numFmtId="2" fontId="45" fillId="0" borderId="0" xfId="45" applyNumberFormat="1" applyFont="1" applyAlignment="1">
      <alignment horizontal="left" vertical="top" wrapText="1"/>
    </xf>
    <xf numFmtId="2" fontId="40" fillId="0" borderId="0" xfId="45" applyNumberFormat="1" applyFont="1"/>
    <xf numFmtId="0" fontId="40" fillId="39" borderId="32" xfId="51" applyFont="1" applyFill="1" applyBorder="1" applyAlignment="1">
      <alignment horizontal="center" vertical="center" wrapText="1"/>
    </xf>
    <xf numFmtId="166" fontId="38" fillId="44" borderId="46" xfId="5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4" fontId="5" fillId="0" borderId="0" xfId="0" applyNumberFormat="1" applyFont="1"/>
    <xf numFmtId="2" fontId="5" fillId="0" borderId="0" xfId="0" applyNumberFormat="1" applyFont="1"/>
    <xf numFmtId="0" fontId="5" fillId="0" borderId="2" xfId="0" applyFont="1" applyBorder="1" applyAlignment="1">
      <alignment horizontal="justify" vertical="center"/>
    </xf>
    <xf numFmtId="1" fontId="5" fillId="0" borderId="2" xfId="0" applyNumberFormat="1" applyFont="1" applyBorder="1" applyAlignment="1">
      <alignment horizontal="center"/>
    </xf>
    <xf numFmtId="164" fontId="5" fillId="0" borderId="2" xfId="36" applyFont="1" applyBorder="1" applyAlignment="1">
      <alignment horizontal="center"/>
    </xf>
    <xf numFmtId="165" fontId="5" fillId="0" borderId="2" xfId="36" applyNumberFormat="1" applyFont="1" applyBorder="1"/>
    <xf numFmtId="164" fontId="5" fillId="0" borderId="2" xfId="36" applyFont="1" applyBorder="1"/>
    <xf numFmtId="164" fontId="5" fillId="0" borderId="3" xfId="36" applyFont="1" applyBorder="1"/>
    <xf numFmtId="4" fontId="5" fillId="0" borderId="8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4" fontId="5" fillId="0" borderId="5" xfId="0" applyNumberFormat="1" applyFont="1" applyBorder="1" applyAlignment="1">
      <alignment vertical="center" wrapText="1"/>
    </xf>
    <xf numFmtId="4" fontId="5" fillId="0" borderId="7" xfId="0" applyNumberFormat="1" applyFont="1" applyBorder="1" applyAlignment="1">
      <alignment vertical="center" wrapText="1"/>
    </xf>
    <xf numFmtId="17" fontId="80" fillId="0" borderId="0" xfId="0" applyNumberFormat="1" applyFont="1" applyAlignment="1">
      <alignment horizontal="center" vertical="top" wrapText="1"/>
    </xf>
    <xf numFmtId="0" fontId="80" fillId="0" borderId="0" xfId="0" applyFont="1" applyAlignment="1">
      <alignment vertical="top"/>
    </xf>
    <xf numFmtId="44" fontId="80" fillId="0" borderId="0" xfId="79" applyFont="1" applyAlignment="1">
      <alignment horizontal="center" vertical="top"/>
    </xf>
    <xf numFmtId="44" fontId="80" fillId="0" borderId="0" xfId="79" applyFont="1" applyAlignment="1">
      <alignment vertical="top"/>
    </xf>
    <xf numFmtId="2" fontId="80" fillId="0" borderId="0" xfId="0" applyNumberFormat="1" applyFont="1" applyAlignment="1">
      <alignment horizontal="center" vertical="top"/>
    </xf>
    <xf numFmtId="0" fontId="80" fillId="0" borderId="0" xfId="0" applyFont="1" applyAlignment="1">
      <alignment horizontal="center" vertical="top"/>
    </xf>
    <xf numFmtId="1" fontId="67" fillId="0" borderId="43" xfId="36" applyNumberFormat="1" applyFont="1" applyFill="1" applyBorder="1" applyAlignment="1">
      <alignment horizontal="center" vertical="top" wrapText="1"/>
    </xf>
    <xf numFmtId="1" fontId="67" fillId="0" borderId="43" xfId="36" applyNumberFormat="1" applyFont="1" applyFill="1" applyBorder="1" applyAlignment="1">
      <alignment horizontal="center" vertical="top"/>
    </xf>
    <xf numFmtId="49" fontId="67" fillId="0" borderId="43" xfId="36" applyNumberFormat="1" applyFont="1" applyFill="1" applyBorder="1" applyAlignment="1">
      <alignment horizontal="center" vertical="top"/>
    </xf>
    <xf numFmtId="4" fontId="67" fillId="0" borderId="43" xfId="36" applyNumberFormat="1" applyFont="1" applyFill="1" applyBorder="1" applyAlignment="1">
      <alignment horizontal="center" vertical="top"/>
    </xf>
    <xf numFmtId="4" fontId="67" fillId="0" borderId="43" xfId="36" applyNumberFormat="1" applyFont="1" applyFill="1" applyBorder="1" applyAlignment="1">
      <alignment horizontal="right" vertical="top"/>
    </xf>
    <xf numFmtId="4" fontId="70" fillId="0" borderId="43" xfId="36" applyNumberFormat="1" applyFont="1" applyFill="1" applyBorder="1" applyAlignment="1">
      <alignment horizontal="right" vertical="top"/>
    </xf>
    <xf numFmtId="2" fontId="67" fillId="0" borderId="0" xfId="0" applyNumberFormat="1" applyFont="1" applyAlignment="1">
      <alignment horizontal="left" vertical="top"/>
    </xf>
    <xf numFmtId="2" fontId="67" fillId="0" borderId="0" xfId="0" applyNumberFormat="1" applyFont="1" applyAlignment="1">
      <alignment horizontal="center" vertical="top"/>
    </xf>
    <xf numFmtId="4" fontId="70" fillId="0" borderId="42" xfId="36" applyNumberFormat="1" applyFont="1" applyFill="1" applyBorder="1" applyAlignment="1">
      <alignment horizontal="right" vertical="top"/>
    </xf>
    <xf numFmtId="0" fontId="43" fillId="35" borderId="63" xfId="0" applyFont="1" applyFill="1" applyBorder="1" applyAlignment="1">
      <alignment horizontal="center" vertical="center" textRotation="90" wrapText="1"/>
    </xf>
    <xf numFmtId="0" fontId="56" fillId="0" borderId="0" xfId="45" applyFont="1" applyAlignment="1">
      <alignment horizontal="left" vertical="center"/>
    </xf>
    <xf numFmtId="0" fontId="56" fillId="0" borderId="0" xfId="45" applyFont="1"/>
    <xf numFmtId="1" fontId="44" fillId="0" borderId="0" xfId="45" applyNumberFormat="1" applyFont="1" applyAlignment="1">
      <alignment horizontal="center" vertical="center"/>
    </xf>
    <xf numFmtId="1" fontId="72" fillId="40" borderId="35" xfId="45" applyNumberFormat="1" applyFont="1" applyFill="1" applyBorder="1" applyAlignment="1">
      <alignment vertical="center"/>
    </xf>
    <xf numFmtId="1" fontId="44" fillId="34" borderId="0" xfId="48" applyNumberFormat="1" applyFont="1" applyFill="1" applyAlignment="1">
      <alignment horizontal="center" vertical="center"/>
    </xf>
    <xf numFmtId="1" fontId="72" fillId="35" borderId="0" xfId="45" applyNumberFormat="1" applyFont="1" applyFill="1" applyAlignment="1">
      <alignment horizontal="left" vertical="center"/>
    </xf>
    <xf numFmtId="0" fontId="40" fillId="0" borderId="0" xfId="45" applyFont="1" applyAlignment="1">
      <alignment horizontal="left"/>
    </xf>
    <xf numFmtId="0" fontId="57" fillId="56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22" fillId="52" borderId="58" xfId="0" applyFont="1" applyFill="1" applyBorder="1" applyAlignment="1">
      <alignment horizontal="left" vertical="center"/>
    </xf>
    <xf numFmtId="0" fontId="22" fillId="52" borderId="59" xfId="0" applyFont="1" applyFill="1" applyBorder="1" applyAlignment="1">
      <alignment horizontal="left" vertical="center"/>
    </xf>
    <xf numFmtId="169" fontId="38" fillId="44" borderId="37" xfId="51" applyNumberFormat="1" applyFont="1" applyFill="1" applyBorder="1" applyAlignment="1">
      <alignment horizontal="center" vertical="center"/>
    </xf>
    <xf numFmtId="3" fontId="38" fillId="44" borderId="35" xfId="51" applyNumberFormat="1" applyFont="1" applyFill="1" applyBorder="1" applyAlignment="1">
      <alignment horizontal="center" vertical="center"/>
    </xf>
    <xf numFmtId="0" fontId="43" fillId="35" borderId="42" xfId="51" applyFont="1" applyFill="1" applyBorder="1" applyAlignment="1">
      <alignment vertical="center"/>
    </xf>
    <xf numFmtId="0" fontId="43" fillId="35" borderId="44" xfId="51" applyFont="1" applyFill="1" applyBorder="1" applyAlignment="1">
      <alignment vertical="center"/>
    </xf>
    <xf numFmtId="17" fontId="40" fillId="35" borderId="88" xfId="49" applyNumberFormat="1" applyFont="1" applyFill="1" applyBorder="1" applyAlignment="1">
      <alignment vertical="center"/>
    </xf>
    <xf numFmtId="0" fontId="39" fillId="0" borderId="0" xfId="0" applyFont="1" applyAlignment="1">
      <alignment vertical="center" wrapText="1"/>
    </xf>
    <xf numFmtId="14" fontId="40" fillId="0" borderId="0" xfId="51" applyNumberFormat="1" applyFont="1" applyAlignment="1">
      <alignment horizontal="center" vertical="center"/>
    </xf>
    <xf numFmtId="172" fontId="43" fillId="34" borderId="42" xfId="51" applyNumberFormat="1" applyFont="1" applyFill="1" applyBorder="1" applyAlignment="1">
      <alignment horizontal="center" vertical="center"/>
    </xf>
    <xf numFmtId="172" fontId="40" fillId="0" borderId="0" xfId="51" applyNumberFormat="1" applyFont="1" applyAlignment="1">
      <alignment horizontal="center"/>
    </xf>
    <xf numFmtId="0" fontId="38" fillId="34" borderId="43" xfId="51" applyFont="1" applyFill="1" applyBorder="1" applyAlignment="1">
      <alignment horizontal="center" vertical="center"/>
    </xf>
    <xf numFmtId="171" fontId="40" fillId="35" borderId="0" xfId="49" applyNumberFormat="1" applyFont="1" applyFill="1" applyAlignment="1">
      <alignment vertical="center"/>
    </xf>
    <xf numFmtId="0" fontId="40" fillId="0" borderId="0" xfId="49" applyFont="1" applyAlignment="1">
      <alignment horizontal="center"/>
    </xf>
    <xf numFmtId="4" fontId="40" fillId="0" borderId="0" xfId="49" applyNumberFormat="1" applyFont="1"/>
    <xf numFmtId="2" fontId="55" fillId="34" borderId="42" xfId="0" applyNumberFormat="1" applyFont="1" applyFill="1" applyBorder="1" applyAlignment="1">
      <alignment horizontal="center" vertical="center"/>
    </xf>
    <xf numFmtId="3" fontId="55" fillId="0" borderId="42" xfId="0" applyNumberFormat="1" applyFont="1" applyBorder="1" applyAlignment="1">
      <alignment horizontal="center" vertical="center"/>
    </xf>
    <xf numFmtId="0" fontId="62" fillId="0" borderId="0" xfId="49" applyFont="1" applyAlignment="1">
      <alignment horizontal="left" vertical="center"/>
    </xf>
    <xf numFmtId="0" fontId="55" fillId="0" borderId="96" xfId="0" applyFont="1" applyBorder="1" applyAlignment="1">
      <alignment horizontal="center" vertical="center"/>
    </xf>
    <xf numFmtId="4" fontId="44" fillId="34" borderId="42" xfId="48" applyNumberFormat="1" applyFont="1" applyFill="1" applyBorder="1" applyAlignment="1">
      <alignment horizontal="center" vertical="center"/>
    </xf>
    <xf numFmtId="173" fontId="44" fillId="34" borderId="43" xfId="48" applyNumberFormat="1" applyFont="1" applyFill="1" applyBorder="1" applyAlignment="1">
      <alignment horizontal="center" vertical="center"/>
    </xf>
    <xf numFmtId="4" fontId="43" fillId="48" borderId="37" xfId="51" applyNumberFormat="1" applyFont="1" applyFill="1" applyBorder="1" applyAlignment="1">
      <alignment horizontal="center" vertical="center"/>
    </xf>
    <xf numFmtId="0" fontId="39" fillId="0" borderId="0" xfId="45" applyFont="1" applyAlignment="1">
      <alignment horizontal="left" vertical="center" wrapText="1"/>
    </xf>
    <xf numFmtId="0" fontId="44" fillId="0" borderId="0" xfId="45" applyFont="1" applyAlignment="1">
      <alignment horizontal="left" vertical="center"/>
    </xf>
    <xf numFmtId="0" fontId="36" fillId="52" borderId="37" xfId="45" applyFont="1" applyFill="1" applyBorder="1" applyAlignment="1">
      <alignment horizontal="left" vertical="center"/>
    </xf>
    <xf numFmtId="0" fontId="72" fillId="40" borderId="35" xfId="45" applyFont="1" applyFill="1" applyBorder="1" applyAlignment="1">
      <alignment horizontal="left" vertical="center"/>
    </xf>
    <xf numFmtId="0" fontId="44" fillId="34" borderId="43" xfId="45" applyFont="1" applyFill="1" applyBorder="1" applyAlignment="1">
      <alignment horizontal="left" vertical="center"/>
    </xf>
    <xf numFmtId="1" fontId="44" fillId="34" borderId="0" xfId="45" applyNumberFormat="1" applyFont="1" applyFill="1" applyAlignment="1">
      <alignment horizontal="left" vertical="center"/>
    </xf>
    <xf numFmtId="0" fontId="72" fillId="40" borderId="37" xfId="45" applyFont="1" applyFill="1" applyBorder="1" applyAlignment="1">
      <alignment horizontal="left" vertical="center"/>
    </xf>
    <xf numFmtId="0" fontId="45" fillId="0" borderId="0" xfId="45" applyFont="1" applyAlignment="1">
      <alignment horizontal="left"/>
    </xf>
    <xf numFmtId="9" fontId="0" fillId="0" borderId="0" xfId="34" applyFont="1"/>
    <xf numFmtId="2" fontId="0" fillId="0" borderId="0" xfId="0" applyNumberFormat="1" applyAlignment="1">
      <alignment horizontal="center"/>
    </xf>
    <xf numFmtId="44" fontId="0" fillId="0" borderId="0" xfId="79" applyFont="1" applyAlignment="1">
      <alignment horizontal="center"/>
    </xf>
    <xf numFmtId="44" fontId="0" fillId="0" borderId="0" xfId="0" applyNumberFormat="1" applyAlignment="1">
      <alignment horizontal="center"/>
    </xf>
    <xf numFmtId="164" fontId="40" fillId="0" borderId="0" xfId="36" applyFont="1"/>
    <xf numFmtId="0" fontId="7" fillId="0" borderId="86" xfId="0" applyFont="1" applyBorder="1" applyAlignment="1">
      <alignment horizontal="left"/>
    </xf>
    <xf numFmtId="0" fontId="7" fillId="0" borderId="9" xfId="0" applyFont="1" applyBorder="1" applyAlignment="1">
      <alignment horizontal="center"/>
    </xf>
    <xf numFmtId="0" fontId="7" fillId="0" borderId="87" xfId="0" applyFont="1" applyBorder="1" applyAlignment="1">
      <alignment horizontal="center"/>
    </xf>
    <xf numFmtId="0" fontId="7" fillId="0" borderId="90" xfId="0" applyFont="1" applyBorder="1" applyAlignment="1">
      <alignment horizontal="left"/>
    </xf>
    <xf numFmtId="0" fontId="0" fillId="0" borderId="86" xfId="0" applyBorder="1" applyAlignment="1">
      <alignment horizontal="left"/>
    </xf>
    <xf numFmtId="9" fontId="0" fillId="0" borderId="9" xfId="34" applyFont="1" applyBorder="1" applyAlignment="1">
      <alignment horizontal="center"/>
    </xf>
    <xf numFmtId="9" fontId="0" fillId="0" borderId="87" xfId="34" applyFont="1" applyBorder="1" applyAlignment="1">
      <alignment horizontal="center"/>
    </xf>
    <xf numFmtId="0" fontId="0" fillId="0" borderId="88" xfId="0" applyBorder="1" applyAlignment="1">
      <alignment horizontal="left"/>
    </xf>
    <xf numFmtId="9" fontId="0" fillId="0" borderId="0" xfId="34" applyFont="1" applyBorder="1" applyAlignment="1">
      <alignment horizontal="center"/>
    </xf>
    <xf numFmtId="9" fontId="0" fillId="0" borderId="89" xfId="34" applyFont="1" applyBorder="1" applyAlignment="1">
      <alignment horizontal="center"/>
    </xf>
    <xf numFmtId="0" fontId="0" fillId="0" borderId="90" xfId="0" applyBorder="1" applyAlignment="1">
      <alignment horizontal="left"/>
    </xf>
    <xf numFmtId="9" fontId="0" fillId="0" borderId="4" xfId="34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1" xfId="0" applyBorder="1" applyAlignment="1">
      <alignment horizontal="center"/>
    </xf>
    <xf numFmtId="0" fontId="0" fillId="0" borderId="86" xfId="0" applyBorder="1"/>
    <xf numFmtId="0" fontId="0" fillId="0" borderId="88" xfId="0" applyBorder="1"/>
    <xf numFmtId="0" fontId="0" fillId="0" borderId="89" xfId="0" applyBorder="1" applyAlignment="1">
      <alignment horizontal="center"/>
    </xf>
    <xf numFmtId="0" fontId="0" fillId="0" borderId="90" xfId="0" applyBorder="1"/>
    <xf numFmtId="43" fontId="7" fillId="0" borderId="4" xfId="0" applyNumberFormat="1" applyFont="1" applyBorder="1" applyAlignment="1">
      <alignment horizontal="center"/>
    </xf>
    <xf numFmtId="43" fontId="7" fillId="0" borderId="4" xfId="0" applyNumberFormat="1" applyFont="1" applyBorder="1"/>
    <xf numFmtId="43" fontId="7" fillId="0" borderId="91" xfId="0" applyNumberFormat="1" applyFont="1" applyBorder="1"/>
    <xf numFmtId="0" fontId="5" fillId="0" borderId="88" xfId="0" applyFont="1" applyBorder="1" applyAlignment="1">
      <alignment horizontal="center"/>
    </xf>
    <xf numFmtId="164" fontId="0" fillId="0" borderId="0" xfId="36" applyFont="1" applyBorder="1" applyAlignment="1">
      <alignment horizontal="center"/>
    </xf>
    <xf numFmtId="10" fontId="0" fillId="0" borderId="89" xfId="34" applyNumberFormat="1" applyFont="1" applyBorder="1" applyAlignment="1">
      <alignment horizontal="center"/>
    </xf>
    <xf numFmtId="9" fontId="5" fillId="0" borderId="88" xfId="34" applyFont="1" applyBorder="1" applyAlignment="1">
      <alignment horizontal="center"/>
    </xf>
    <xf numFmtId="9" fontId="0" fillId="0" borderId="88" xfId="34" applyFont="1" applyBorder="1" applyAlignment="1">
      <alignment horizontal="center"/>
    </xf>
    <xf numFmtId="164" fontId="0" fillId="0" borderId="0" xfId="34" applyNumberFormat="1" applyFont="1" applyBorder="1" applyAlignment="1">
      <alignment horizontal="center"/>
    </xf>
    <xf numFmtId="9" fontId="0" fillId="0" borderId="89" xfId="34" applyFont="1" applyBorder="1"/>
    <xf numFmtId="0" fontId="0" fillId="0" borderId="4" xfId="0" applyBorder="1"/>
    <xf numFmtId="0" fontId="5" fillId="0" borderId="9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91" xfId="0" applyFont="1" applyBorder="1" applyAlignment="1">
      <alignment horizontal="center"/>
    </xf>
    <xf numFmtId="9" fontId="0" fillId="0" borderId="9" xfId="34" applyFont="1" applyBorder="1" applyAlignment="1">
      <alignment horizontal="center" vertical="center"/>
    </xf>
    <xf numFmtId="9" fontId="0" fillId="0" borderId="0" xfId="34" applyFont="1" applyBorder="1" applyAlignment="1">
      <alignment horizontal="center" vertical="center"/>
    </xf>
    <xf numFmtId="9" fontId="0" fillId="0" borderId="4" xfId="34" applyFont="1" applyBorder="1" applyAlignment="1">
      <alignment horizontal="center" vertical="center"/>
    </xf>
    <xf numFmtId="0" fontId="40" fillId="0" borderId="86" xfId="49" applyFont="1" applyBorder="1"/>
    <xf numFmtId="0" fontId="40" fillId="0" borderId="9" xfId="49" applyFont="1" applyBorder="1"/>
    <xf numFmtId="0" fontId="40" fillId="0" borderId="87" xfId="49" applyFont="1" applyBorder="1"/>
    <xf numFmtId="9" fontId="0" fillId="0" borderId="91" xfId="34" applyFont="1" applyBorder="1" applyAlignment="1">
      <alignment horizontal="center"/>
    </xf>
    <xf numFmtId="2" fontId="36" fillId="52" borderId="32" xfId="0" applyNumberFormat="1" applyFont="1" applyFill="1" applyBorder="1" applyAlignment="1">
      <alignment horizontal="center" vertical="center" wrapText="1"/>
    </xf>
    <xf numFmtId="3" fontId="43" fillId="48" borderId="37" xfId="51" applyNumberFormat="1" applyFont="1" applyFill="1" applyBorder="1" applyAlignment="1">
      <alignment horizontal="center" vertical="center"/>
    </xf>
    <xf numFmtId="4" fontId="43" fillId="48" borderId="45" xfId="51" applyNumberFormat="1" applyFont="1" applyFill="1" applyBorder="1" applyAlignment="1">
      <alignment horizontal="center" vertical="center"/>
    </xf>
    <xf numFmtId="0" fontId="62" fillId="0" borderId="0" xfId="49" applyFont="1" applyAlignment="1">
      <alignment horizontal="left" vertical="center" wrapText="1"/>
    </xf>
    <xf numFmtId="0" fontId="40" fillId="34" borderId="43" xfId="49" applyFont="1" applyFill="1" applyBorder="1" applyAlignment="1">
      <alignment horizontal="left" vertical="center"/>
    </xf>
    <xf numFmtId="167" fontId="39" fillId="0" borderId="0" xfId="0" applyNumberFormat="1" applyFont="1" applyAlignment="1">
      <alignment horizontal="center" vertical="center"/>
    </xf>
    <xf numFmtId="0" fontId="41" fillId="57" borderId="0" xfId="0" applyFont="1" applyFill="1" applyAlignment="1">
      <alignment horizontal="center" vertical="center"/>
    </xf>
    <xf numFmtId="0" fontId="4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  <xf numFmtId="0" fontId="13" fillId="0" borderId="4" xfId="0" applyFont="1" applyBorder="1" applyAlignment="1">
      <alignment horizontal="justify" vertical="center"/>
    </xf>
    <xf numFmtId="0" fontId="11" fillId="0" borderId="9" xfId="0" applyFont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  <xf numFmtId="0" fontId="11" fillId="9" borderId="0" xfId="0" applyFont="1" applyFill="1" applyAlignment="1">
      <alignment horizontal="left" vertical="center" wrapText="1"/>
    </xf>
    <xf numFmtId="1" fontId="6" fillId="0" borderId="1" xfId="0" applyNumberFormat="1" applyFont="1" applyBorder="1" applyAlignment="1">
      <alignment horizontal="center" vertical="top"/>
    </xf>
    <xf numFmtId="1" fontId="6" fillId="0" borderId="2" xfId="0" applyNumberFormat="1" applyFont="1" applyBorder="1" applyAlignment="1">
      <alignment horizontal="center" vertical="top"/>
    </xf>
    <xf numFmtId="0" fontId="11" fillId="9" borderId="2" xfId="0" applyFont="1" applyFill="1" applyBorder="1" applyAlignment="1">
      <alignment horizontal="justify" vertical="justify" wrapText="1"/>
    </xf>
    <xf numFmtId="0" fontId="7" fillId="9" borderId="0" xfId="0" applyFont="1" applyFill="1" applyAlignment="1">
      <alignment horizontal="left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164" fontId="6" fillId="0" borderId="2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4" fontId="11" fillId="9" borderId="8" xfId="0" applyNumberFormat="1" applyFont="1" applyFill="1" applyBorder="1" applyAlignment="1">
      <alignment horizontal="center"/>
    </xf>
    <xf numFmtId="0" fontId="40" fillId="0" borderId="0" xfId="0" applyFont="1" applyAlignment="1">
      <alignment horizontal="justify" vertical="top" wrapText="1"/>
    </xf>
    <xf numFmtId="0" fontId="39" fillId="0" borderId="0" xfId="0" applyFont="1" applyAlignment="1">
      <alignment horizontal="left" vertical="center" wrapText="1"/>
    </xf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vertical="top" wrapText="1"/>
    </xf>
    <xf numFmtId="0" fontId="39" fillId="0" borderId="0" xfId="0" applyFont="1" applyAlignment="1">
      <alignment horizontal="left" vertical="top" wrapText="1"/>
    </xf>
    <xf numFmtId="0" fontId="37" fillId="38" borderId="37" xfId="0" applyFont="1" applyFill="1" applyBorder="1" applyAlignment="1">
      <alignment horizontal="center" vertical="center"/>
    </xf>
    <xf numFmtId="0" fontId="43" fillId="37" borderId="41" xfId="51" applyFont="1" applyFill="1" applyBorder="1" applyAlignment="1">
      <alignment horizontal="left" vertical="center"/>
    </xf>
    <xf numFmtId="0" fontId="48" fillId="0" borderId="0" xfId="0" applyFont="1" applyAlignment="1">
      <alignment horizontal="left" vertical="top" wrapText="1"/>
    </xf>
    <xf numFmtId="0" fontId="43" fillId="34" borderId="42" xfId="51" applyFont="1" applyFill="1" applyBorder="1" applyAlignment="1">
      <alignment horizontal="left" vertical="center"/>
    </xf>
    <xf numFmtId="0" fontId="7" fillId="49" borderId="47" xfId="0" applyFont="1" applyFill="1" applyBorder="1" applyAlignment="1">
      <alignment horizontal="center" vertical="center" wrapText="1"/>
    </xf>
    <xf numFmtId="0" fontId="7" fillId="49" borderId="7" xfId="0" applyFont="1" applyFill="1" applyBorder="1" applyAlignment="1">
      <alignment horizontal="center" vertical="center" wrapText="1"/>
    </xf>
    <xf numFmtId="0" fontId="7" fillId="49" borderId="48" xfId="0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47" fillId="38" borderId="0" xfId="49" applyFont="1" applyFill="1" applyAlignment="1">
      <alignment horizontal="center" vertical="center"/>
    </xf>
    <xf numFmtId="0" fontId="37" fillId="38" borderId="0" xfId="49" applyFont="1" applyFill="1" applyAlignment="1">
      <alignment horizontal="center" vertical="center" wrapText="1"/>
    </xf>
    <xf numFmtId="0" fontId="40" fillId="0" borderId="0" xfId="49" applyFont="1" applyAlignment="1">
      <alignment horizontal="center" vertical="center"/>
    </xf>
    <xf numFmtId="0" fontId="57" fillId="52" borderId="89" xfId="49" applyFont="1" applyFill="1" applyBorder="1" applyAlignment="1">
      <alignment horizontal="center" vertical="center"/>
    </xf>
    <xf numFmtId="0" fontId="57" fillId="52" borderId="90" xfId="49" applyFont="1" applyFill="1" applyBorder="1" applyAlignment="1">
      <alignment horizontal="center" vertical="center"/>
    </xf>
    <xf numFmtId="0" fontId="57" fillId="52" borderId="4" xfId="49" applyFont="1" applyFill="1" applyBorder="1" applyAlignment="1">
      <alignment horizontal="center" vertical="center"/>
    </xf>
    <xf numFmtId="0" fontId="57" fillId="52" borderId="91" xfId="49" applyFont="1" applyFill="1" applyBorder="1" applyAlignment="1">
      <alignment horizontal="center" vertical="center"/>
    </xf>
    <xf numFmtId="0" fontId="66" fillId="0" borderId="37" xfId="0" applyFont="1" applyBorder="1" applyAlignment="1">
      <alignment horizontal="center" vertical="center"/>
    </xf>
    <xf numFmtId="0" fontId="75" fillId="0" borderId="32" xfId="0" applyFont="1" applyBorder="1" applyAlignment="1">
      <alignment horizontal="center" vertical="center" wrapText="1"/>
    </xf>
    <xf numFmtId="0" fontId="75" fillId="0" borderId="0" xfId="0" applyFont="1" applyAlignment="1">
      <alignment horizontal="center" vertical="center" wrapText="1"/>
    </xf>
    <xf numFmtId="0" fontId="73" fillId="0" borderId="0" xfId="45" applyFont="1" applyAlignment="1">
      <alignment horizontal="left" vertical="top" wrapText="1"/>
    </xf>
    <xf numFmtId="0" fontId="22" fillId="52" borderId="58" xfId="0" applyFont="1" applyFill="1" applyBorder="1" applyAlignment="1">
      <alignment horizontal="left" vertical="center"/>
    </xf>
    <xf numFmtId="0" fontId="22" fillId="52" borderId="59" xfId="0" applyFont="1" applyFill="1" applyBorder="1" applyAlignment="1">
      <alignment horizontal="left" vertical="center"/>
    </xf>
    <xf numFmtId="0" fontId="37" fillId="52" borderId="70" xfId="49" applyFont="1" applyFill="1" applyBorder="1" applyAlignment="1">
      <alignment horizontal="center" vertical="center" wrapText="1"/>
    </xf>
    <xf numFmtId="0" fontId="37" fillId="52" borderId="75" xfId="49" applyFont="1" applyFill="1" applyBorder="1" applyAlignment="1">
      <alignment horizontal="center" vertical="center" wrapText="1"/>
    </xf>
    <xf numFmtId="0" fontId="37" fillId="52" borderId="71" xfId="49" applyFont="1" applyFill="1" applyBorder="1" applyAlignment="1">
      <alignment horizontal="center" vertical="center" wrapText="1"/>
    </xf>
    <xf numFmtId="0" fontId="37" fillId="52" borderId="53" xfId="49" applyFont="1" applyFill="1" applyBorder="1" applyAlignment="1">
      <alignment horizontal="center" vertical="center" wrapText="1"/>
    </xf>
    <xf numFmtId="0" fontId="0" fillId="0" borderId="78" xfId="0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5" fillId="0" borderId="94" xfId="0" applyFont="1" applyBorder="1" applyAlignment="1">
      <alignment horizontal="center" vertical="center"/>
    </xf>
    <xf numFmtId="0" fontId="5" fillId="0" borderId="95" xfId="0" applyFont="1" applyBorder="1" applyAlignment="1">
      <alignment horizontal="center" vertical="center"/>
    </xf>
    <xf numFmtId="3" fontId="0" fillId="0" borderId="66" xfId="0" applyNumberFormat="1" applyBorder="1" applyAlignment="1">
      <alignment horizontal="center" vertical="center"/>
    </xf>
    <xf numFmtId="3" fontId="0" fillId="0" borderId="94" xfId="0" applyNumberFormat="1" applyBorder="1" applyAlignment="1">
      <alignment horizontal="center" vertical="center"/>
    </xf>
    <xf numFmtId="3" fontId="0" fillId="0" borderId="95" xfId="0" applyNumberFormat="1" applyBorder="1" applyAlignment="1">
      <alignment horizontal="center" vertical="center"/>
    </xf>
    <xf numFmtId="0" fontId="37" fillId="52" borderId="37" xfId="51" applyFont="1" applyFill="1" applyBorder="1" applyAlignment="1">
      <alignment horizontal="center" vertical="center"/>
    </xf>
    <xf numFmtId="0" fontId="37" fillId="52" borderId="32" xfId="51" applyFont="1" applyFill="1" applyBorder="1" applyAlignment="1">
      <alignment horizontal="center" vertical="center" wrapText="1"/>
    </xf>
    <xf numFmtId="0" fontId="43" fillId="34" borderId="0" xfId="51" applyFont="1" applyFill="1" applyAlignment="1">
      <alignment horizontal="left" vertical="center" wrapText="1"/>
    </xf>
    <xf numFmtId="0" fontId="40" fillId="0" borderId="0" xfId="51" applyFont="1" applyAlignment="1">
      <alignment horizontal="center"/>
    </xf>
    <xf numFmtId="0" fontId="40" fillId="0" borderId="37" xfId="51" applyFont="1" applyBorder="1" applyAlignment="1">
      <alignment horizontal="center"/>
    </xf>
    <xf numFmtId="0" fontId="39" fillId="0" borderId="37" xfId="0" applyFont="1" applyBorder="1" applyAlignment="1">
      <alignment horizontal="center" vertical="center" wrapText="1"/>
    </xf>
    <xf numFmtId="0" fontId="37" fillId="52" borderId="37" xfId="51" applyFont="1" applyFill="1" applyBorder="1" applyAlignment="1">
      <alignment horizontal="center" vertical="center" wrapText="1"/>
    </xf>
    <xf numFmtId="3" fontId="43" fillId="34" borderId="44" xfId="51" applyNumberFormat="1" applyFont="1" applyFill="1" applyBorder="1" applyAlignment="1">
      <alignment horizontal="center" vertical="center" wrapText="1"/>
    </xf>
    <xf numFmtId="3" fontId="43" fillId="34" borderId="43" xfId="51" applyNumberFormat="1" applyFont="1" applyFill="1" applyBorder="1" applyAlignment="1">
      <alignment horizontal="center" vertical="center" wrapText="1"/>
    </xf>
    <xf numFmtId="3" fontId="43" fillId="34" borderId="42" xfId="51" applyNumberFormat="1" applyFont="1" applyFill="1" applyBorder="1" applyAlignment="1">
      <alignment horizontal="left" vertical="center"/>
    </xf>
    <xf numFmtId="0" fontId="37" fillId="54" borderId="41" xfId="51" applyFont="1" applyFill="1" applyBorder="1" applyAlignment="1">
      <alignment horizontal="center" vertical="center"/>
    </xf>
    <xf numFmtId="2" fontId="80" fillId="0" borderId="0" xfId="0" applyNumberFormat="1" applyFont="1" applyAlignment="1">
      <alignment horizontal="center" vertical="top"/>
    </xf>
    <xf numFmtId="0" fontId="67" fillId="34" borderId="42" xfId="0" applyFont="1" applyFill="1" applyBorder="1" applyAlignment="1">
      <alignment horizontal="left" vertical="top" wrapText="1"/>
    </xf>
    <xf numFmtId="2" fontId="80" fillId="0" borderId="0" xfId="0" applyNumberFormat="1" applyFont="1" applyAlignment="1">
      <alignment horizontal="center" vertical="center" wrapText="1"/>
    </xf>
    <xf numFmtId="0" fontId="66" fillId="0" borderId="0" xfId="0" applyFont="1" applyAlignment="1">
      <alignment horizontal="center" vertical="top" wrapText="1"/>
    </xf>
    <xf numFmtId="0" fontId="68" fillId="52" borderId="0" xfId="0" applyFont="1" applyFill="1" applyAlignment="1">
      <alignment horizontal="center" vertical="top"/>
    </xf>
    <xf numFmtId="49" fontId="68" fillId="52" borderId="0" xfId="0" applyNumberFormat="1" applyFont="1" applyFill="1" applyAlignment="1">
      <alignment horizontal="center" vertical="top" wrapText="1"/>
    </xf>
    <xf numFmtId="0" fontId="67" fillId="0" borderId="0" xfId="0" applyFont="1" applyAlignment="1">
      <alignment horizontal="left" vertical="top" wrapText="1"/>
    </xf>
    <xf numFmtId="0" fontId="67" fillId="34" borderId="43" xfId="0" applyFont="1" applyFill="1" applyBorder="1" applyAlignment="1">
      <alignment horizontal="left" vertical="top" wrapText="1"/>
    </xf>
    <xf numFmtId="0" fontId="70" fillId="0" borderId="0" xfId="0" applyFont="1" applyAlignment="1">
      <alignment horizontal="justify" vertical="top" wrapText="1"/>
    </xf>
    <xf numFmtId="0" fontId="70" fillId="0" borderId="0" xfId="0" applyFont="1" applyAlignment="1">
      <alignment horizontal="left" vertical="top"/>
    </xf>
    <xf numFmtId="0" fontId="67" fillId="34" borderId="0" xfId="0" applyFont="1" applyFill="1" applyAlignment="1">
      <alignment horizontal="left" vertical="top" wrapText="1"/>
    </xf>
    <xf numFmtId="0" fontId="39" fillId="0" borderId="86" xfId="49" applyFont="1" applyBorder="1" applyAlignment="1">
      <alignment horizontal="center"/>
    </xf>
    <xf numFmtId="0" fontId="39" fillId="0" borderId="9" xfId="49" applyFont="1" applyBorder="1" applyAlignment="1">
      <alignment horizontal="center"/>
    </xf>
    <xf numFmtId="0" fontId="39" fillId="0" borderId="87" xfId="49" applyFont="1" applyBorder="1" applyAlignment="1">
      <alignment horizontal="center"/>
    </xf>
    <xf numFmtId="0" fontId="36" fillId="52" borderId="32" xfId="0" applyFont="1" applyFill="1" applyBorder="1" applyAlignment="1">
      <alignment horizontal="center" vertical="center" wrapText="1"/>
    </xf>
    <xf numFmtId="0" fontId="36" fillId="52" borderId="37" xfId="0" applyFont="1" applyFill="1" applyBorder="1" applyAlignment="1">
      <alignment horizontal="center" vertical="center" wrapText="1"/>
    </xf>
    <xf numFmtId="0" fontId="36" fillId="52" borderId="0" xfId="0" applyFont="1" applyFill="1" applyAlignment="1">
      <alignment horizontal="center" vertical="center" wrapText="1"/>
    </xf>
    <xf numFmtId="0" fontId="36" fillId="52" borderId="43" xfId="0" applyFont="1" applyFill="1" applyBorder="1" applyAlignment="1">
      <alignment horizontal="center" vertical="center" wrapText="1"/>
    </xf>
    <xf numFmtId="0" fontId="36" fillId="52" borderId="35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86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37" fillId="38" borderId="0" xfId="45" applyFont="1" applyFill="1" applyAlignment="1">
      <alignment horizontal="left" vertical="center" wrapText="1"/>
    </xf>
    <xf numFmtId="0" fontId="40" fillId="0" borderId="0" xfId="45" applyFont="1" applyAlignment="1">
      <alignment horizontal="left" vertical="center" wrapText="1"/>
    </xf>
    <xf numFmtId="1" fontId="44" fillId="0" borderId="0" xfId="45" applyNumberFormat="1" applyFont="1" applyAlignment="1">
      <alignment horizontal="left" vertical="center" wrapText="1"/>
    </xf>
    <xf numFmtId="1" fontId="44" fillId="0" borderId="0" xfId="45" applyNumberFormat="1" applyFont="1" applyAlignment="1">
      <alignment horizontal="left" vertical="center"/>
    </xf>
    <xf numFmtId="0" fontId="36" fillId="52" borderId="35" xfId="0" applyFont="1" applyFill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6" fillId="52" borderId="64" xfId="0" applyFont="1" applyFill="1" applyBorder="1" applyAlignment="1">
      <alignment horizontal="center" vertical="center" wrapText="1"/>
    </xf>
    <xf numFmtId="0" fontId="36" fillId="52" borderId="81" xfId="0" applyFont="1" applyFill="1" applyBorder="1" applyAlignment="1">
      <alignment horizontal="center" vertical="center" wrapText="1"/>
    </xf>
    <xf numFmtId="0" fontId="46" fillId="0" borderId="0" xfId="45" applyFont="1" applyAlignment="1">
      <alignment horizontal="center" vertical="top"/>
    </xf>
    <xf numFmtId="0" fontId="44" fillId="0" borderId="0" xfId="45" applyFont="1" applyAlignment="1">
      <alignment horizontal="center" vertical="center"/>
    </xf>
    <xf numFmtId="0" fontId="45" fillId="0" borderId="0" xfId="45" applyFont="1" applyAlignment="1">
      <alignment horizontal="left" vertical="top" wrapText="1"/>
    </xf>
    <xf numFmtId="0" fontId="39" fillId="0" borderId="0" xfId="45" applyFont="1" applyAlignment="1">
      <alignment horizontal="center" vertical="center" wrapText="1"/>
    </xf>
    <xf numFmtId="4" fontId="36" fillId="52" borderId="37" xfId="45" applyNumberFormat="1" applyFont="1" applyFill="1" applyBorder="1" applyAlignment="1">
      <alignment horizontal="center" vertical="center" wrapText="1"/>
    </xf>
    <xf numFmtId="0" fontId="54" fillId="52" borderId="0" xfId="45" applyFont="1" applyFill="1" applyAlignment="1">
      <alignment horizontal="left" vertical="center" wrapText="1"/>
    </xf>
    <xf numFmtId="0" fontId="45" fillId="0" borderId="0" xfId="45" applyFont="1" applyAlignment="1">
      <alignment horizontal="justify" vertical="top" wrapText="1"/>
    </xf>
    <xf numFmtId="0" fontId="40" fillId="0" borderId="0" xfId="45" applyFont="1" applyAlignment="1">
      <alignment horizontal="left" vertical="center"/>
    </xf>
    <xf numFmtId="0" fontId="39" fillId="0" borderId="33" xfId="45" applyFont="1" applyBorder="1" applyAlignment="1">
      <alignment horizontal="center" vertical="center" wrapText="1"/>
    </xf>
    <xf numFmtId="0" fontId="39" fillId="0" borderId="35" xfId="45" applyFont="1" applyBorder="1" applyAlignment="1">
      <alignment horizontal="center" vertical="center" wrapText="1"/>
    </xf>
    <xf numFmtId="0" fontId="57" fillId="52" borderId="0" xfId="49" applyFont="1" applyFill="1" applyAlignment="1">
      <alignment horizontal="center" vertical="center"/>
    </xf>
    <xf numFmtId="0" fontId="57" fillId="52" borderId="0" xfId="49" applyFont="1" applyFill="1" applyAlignment="1">
      <alignment horizontal="right" vertical="center"/>
    </xf>
    <xf numFmtId="4" fontId="39" fillId="0" borderId="0" xfId="45" applyNumberFormat="1" applyFont="1" applyAlignment="1">
      <alignment horizontal="center"/>
    </xf>
    <xf numFmtId="0" fontId="59" fillId="40" borderId="64" xfId="0" applyFont="1" applyFill="1" applyBorder="1" applyAlignment="1">
      <alignment horizontal="center" vertical="center" wrapText="1"/>
    </xf>
    <xf numFmtId="0" fontId="59" fillId="40" borderId="37" xfId="0" applyFont="1" applyFill="1" applyBorder="1" applyAlignment="1">
      <alignment horizontal="center" vertical="center" wrapText="1"/>
    </xf>
    <xf numFmtId="0" fontId="57" fillId="52" borderId="0" xfId="0" applyFont="1" applyFill="1" applyAlignment="1">
      <alignment horizontal="center" vertical="center" wrapText="1"/>
    </xf>
    <xf numFmtId="0" fontId="59" fillId="40" borderId="35" xfId="0" applyFont="1" applyFill="1" applyBorder="1" applyAlignment="1">
      <alignment horizontal="center" vertical="center" wrapText="1"/>
    </xf>
    <xf numFmtId="0" fontId="59" fillId="40" borderId="32" xfId="0" applyFont="1" applyFill="1" applyBorder="1" applyAlignment="1">
      <alignment horizontal="center" vertical="center" wrapText="1"/>
    </xf>
    <xf numFmtId="0" fontId="59" fillId="40" borderId="33" xfId="0" applyFont="1" applyFill="1" applyBorder="1" applyAlignment="1">
      <alignment horizontal="center" vertical="center" wrapText="1"/>
    </xf>
    <xf numFmtId="0" fontId="59" fillId="40" borderId="34" xfId="0" applyFont="1" applyFill="1" applyBorder="1" applyAlignment="1">
      <alignment horizontal="center" vertical="center" wrapText="1"/>
    </xf>
    <xf numFmtId="0" fontId="59" fillId="40" borderId="63" xfId="0" applyFont="1" applyFill="1" applyBorder="1" applyAlignment="1">
      <alignment horizontal="center" vertical="center" wrapText="1"/>
    </xf>
    <xf numFmtId="0" fontId="59" fillId="40" borderId="65" xfId="0" applyFont="1" applyFill="1" applyBorder="1" applyAlignment="1">
      <alignment horizontal="center" vertical="center" wrapText="1"/>
    </xf>
    <xf numFmtId="0" fontId="59" fillId="40" borderId="31" xfId="0" applyFont="1" applyFill="1" applyBorder="1" applyAlignment="1">
      <alignment horizontal="center" vertical="center"/>
    </xf>
    <xf numFmtId="0" fontId="40" fillId="34" borderId="42" xfId="0" applyFont="1" applyFill="1" applyBorder="1" applyAlignment="1">
      <alignment horizontal="left" vertical="center"/>
    </xf>
  </cellXfs>
  <cellStyles count="80">
    <cellStyle name="20% - Ênfase1" xfId="1" builtinId="30" customBuiltin="1"/>
    <cellStyle name="20% - Ênfase1 2" xfId="61" xr:uid="{00000000-0005-0000-0000-000001000000}"/>
    <cellStyle name="20% - Ênfase2" xfId="2" builtinId="34" customBuiltin="1"/>
    <cellStyle name="20% - Ênfase2 2" xfId="62" xr:uid="{00000000-0005-0000-0000-000003000000}"/>
    <cellStyle name="20% - Ênfase3" xfId="3" builtinId="38" customBuiltin="1"/>
    <cellStyle name="20% - Ênfase3 2" xfId="63" xr:uid="{00000000-0005-0000-0000-000005000000}"/>
    <cellStyle name="20% - Ênfase4" xfId="4" builtinId="42" customBuiltin="1"/>
    <cellStyle name="20% - Ênfase4 2" xfId="64" xr:uid="{00000000-0005-0000-0000-000007000000}"/>
    <cellStyle name="20% - Ênfase5" xfId="5" builtinId="46" customBuiltin="1"/>
    <cellStyle name="20% - Ênfase5 2" xfId="56" xr:uid="{00000000-0005-0000-0000-000009000000}"/>
    <cellStyle name="20% - Ênfase6" xfId="6" builtinId="50" customBuiltin="1"/>
    <cellStyle name="20% - Ênfase6 2" xfId="58" xr:uid="{00000000-0005-0000-0000-00000B000000}"/>
    <cellStyle name="40% - Ênfase1" xfId="7" builtinId="31" customBuiltin="1"/>
    <cellStyle name="40% - Ênfase1 2" xfId="53" xr:uid="{00000000-0005-0000-0000-00000D000000}"/>
    <cellStyle name="40% - Ênfase2" xfId="8" builtinId="35" customBuiltin="1"/>
    <cellStyle name="40% - Ênfase2 2" xfId="54" xr:uid="{00000000-0005-0000-0000-00000F000000}"/>
    <cellStyle name="40% - Ênfase3" xfId="9" builtinId="39" customBuiltin="1"/>
    <cellStyle name="40% - Ênfase3 2" xfId="65" xr:uid="{00000000-0005-0000-0000-000011000000}"/>
    <cellStyle name="40% - Ênfase4" xfId="10" builtinId="43" customBuiltin="1"/>
    <cellStyle name="40% - Ênfase4 2" xfId="55" xr:uid="{00000000-0005-0000-0000-000013000000}"/>
    <cellStyle name="40% - Ênfase5" xfId="11" builtinId="47" customBuiltin="1"/>
    <cellStyle name="40% - Ênfase5 2" xfId="57" xr:uid="{00000000-0005-0000-0000-000015000000}"/>
    <cellStyle name="40% - Ênfase6" xfId="12" builtinId="51" customBuiltin="1"/>
    <cellStyle name="40% - Ênfase6 2" xfId="59" xr:uid="{00000000-0005-0000-0000-000017000000}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3 2" xfId="66" xr:uid="{00000000-0005-0000-0000-00001B000000}"/>
    <cellStyle name="60% - Ênfase4" xfId="16" builtinId="44" customBuiltin="1"/>
    <cellStyle name="60% - Ênfase4 2" xfId="67" xr:uid="{00000000-0005-0000-0000-00001D000000}"/>
    <cellStyle name="60% - Ênfase5" xfId="17" builtinId="48" customBuiltin="1"/>
    <cellStyle name="60% - Ênfase6" xfId="18" builtinId="52" customBuiltin="1"/>
    <cellStyle name="60% - Ênfase6 2" xfId="68" xr:uid="{00000000-0005-0000-0000-000020000000}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Moeda" xfId="79" builtinId="4"/>
    <cellStyle name="Neutro" xfId="31" builtinId="28" customBuiltin="1"/>
    <cellStyle name="Normal" xfId="0" builtinId="0"/>
    <cellStyle name="Normal 2" xfId="32" xr:uid="{00000000-0005-0000-0000-00002F000000}"/>
    <cellStyle name="Normal 2 2" xfId="69" xr:uid="{00000000-0005-0000-0000-000030000000}"/>
    <cellStyle name="Normal 3" xfId="45" xr:uid="{00000000-0005-0000-0000-000031000000}"/>
    <cellStyle name="Normal 3 2" xfId="73" xr:uid="{00000000-0005-0000-0000-000032000000}"/>
    <cellStyle name="Normal 4" xfId="49" xr:uid="{00000000-0005-0000-0000-000033000000}"/>
    <cellStyle name="Normal 4 2" xfId="77" xr:uid="{00000000-0005-0000-0000-000034000000}"/>
    <cellStyle name="Normal 5" xfId="51" xr:uid="{00000000-0005-0000-0000-000035000000}"/>
    <cellStyle name="Normal 6" xfId="60" xr:uid="{00000000-0005-0000-0000-000036000000}"/>
    <cellStyle name="Normal 7" xfId="52" xr:uid="{00000000-0005-0000-0000-000037000000}"/>
    <cellStyle name="Nota 2" xfId="33" xr:uid="{00000000-0005-0000-0000-000038000000}"/>
    <cellStyle name="Porcentagem" xfId="34" builtinId="5"/>
    <cellStyle name="Porcentagem 2" xfId="46" xr:uid="{00000000-0005-0000-0000-00003A000000}"/>
    <cellStyle name="Porcentagem 2 2" xfId="74" xr:uid="{00000000-0005-0000-0000-00003B000000}"/>
    <cellStyle name="Porcentagem 3" xfId="50" xr:uid="{00000000-0005-0000-0000-00003C000000}"/>
    <cellStyle name="Porcentagem 3 2" xfId="78" xr:uid="{00000000-0005-0000-0000-00003D000000}"/>
    <cellStyle name="Porcentagem 4" xfId="70" xr:uid="{00000000-0005-0000-0000-00003E000000}"/>
    <cellStyle name="Ruim" xfId="30" builtinId="27" customBuiltin="1"/>
    <cellStyle name="Saída" xfId="35" builtinId="21" customBuiltin="1"/>
    <cellStyle name="Separador de milhares 2" xfId="48" xr:uid="{00000000-0005-0000-0000-000040000000}"/>
    <cellStyle name="Separador de milhares 2 2" xfId="76" xr:uid="{00000000-0005-0000-0000-000041000000}"/>
    <cellStyle name="Texto de Aviso" xfId="37" builtinId="11" customBuiltin="1"/>
    <cellStyle name="Texto Explicativo" xfId="38" builtinId="53" customBuiltin="1"/>
    <cellStyle name="Título" xfId="39" builtinId="15" customBuiltin="1"/>
    <cellStyle name="Título 1" xfId="40" builtinId="16" customBuiltin="1"/>
    <cellStyle name="Título 2" xfId="41" builtinId="17" customBuiltin="1"/>
    <cellStyle name="Título 3" xfId="42" builtinId="18" customBuiltin="1"/>
    <cellStyle name="Título 4" xfId="43" builtinId="19" customBuiltin="1"/>
    <cellStyle name="Título 5" xfId="72" xr:uid="{00000000-0005-0000-0000-000049000000}"/>
    <cellStyle name="Total" xfId="44" builtinId="25" customBuiltin="1"/>
    <cellStyle name="Vírgula" xfId="36" builtinId="3"/>
    <cellStyle name="Vírgula 2" xfId="47" xr:uid="{00000000-0005-0000-0000-00004C000000}"/>
    <cellStyle name="Vírgula 2 2" xfId="75" xr:uid="{00000000-0005-0000-0000-00004D000000}"/>
    <cellStyle name="Vírgula 3" xfId="71" xr:uid="{00000000-0005-0000-0000-00004E000000}"/>
  </cellStyles>
  <dxfs count="3"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A0E8E6"/>
      <color rgb="FFFFCC99"/>
      <color rgb="FFC6E6A2"/>
      <color rgb="FF81E1DF"/>
      <color rgb="FFFFFF99"/>
      <color rgb="FFF48E56"/>
      <color rgb="FF00CC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297180</xdr:colOff>
      <xdr:row>7</xdr:row>
      <xdr:rowOff>175260</xdr:rowOff>
    </xdr:from>
    <xdr:to>
      <xdr:col>6</xdr:col>
      <xdr:colOff>438472</xdr:colOff>
      <xdr:row>13</xdr:row>
      <xdr:rowOff>498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4903042-6397-4A6A-8EA4-C9B5E3E1DC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3140" y="1455420"/>
          <a:ext cx="2107252" cy="9225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2819400</xdr:colOff>
      <xdr:row>0</xdr:row>
      <xdr:rowOff>19050</xdr:rowOff>
    </xdr:from>
    <xdr:to>
      <xdr:col>2</xdr:col>
      <xdr:colOff>152400</xdr:colOff>
      <xdr:row>8</xdr:row>
      <xdr:rowOff>142875</xdr:rowOff>
    </xdr:to>
    <xdr:pic>
      <xdr:nvPicPr>
        <xdr:cNvPr id="12930" name="Imagem 1" descr="brasão_rj.JPG">
          <a:extLst>
            <a:ext uri="{FF2B5EF4-FFF2-40B4-BE49-F238E27FC236}">
              <a16:creationId xmlns:a16="http://schemas.microsoft.com/office/drawing/2014/main" id="{00000000-0008-0000-0100-0000823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b="4668"/>
        <a:stretch>
          <a:fillRect/>
        </a:stretch>
      </xdr:blipFill>
      <xdr:spPr bwMode="auto">
        <a:xfrm>
          <a:off x="3248025" y="19050"/>
          <a:ext cx="1123950" cy="141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904875</xdr:colOff>
      <xdr:row>1</xdr:row>
      <xdr:rowOff>28575</xdr:rowOff>
    </xdr:from>
    <xdr:to>
      <xdr:col>3</xdr:col>
      <xdr:colOff>66675</xdr:colOff>
      <xdr:row>8</xdr:row>
      <xdr:rowOff>19050</xdr:rowOff>
    </xdr:to>
    <xdr:pic>
      <xdr:nvPicPr>
        <xdr:cNvPr id="20083" name="Imagem 1" descr="brasão_rj.JPG">
          <a:extLst>
            <a:ext uri="{FF2B5EF4-FFF2-40B4-BE49-F238E27FC236}">
              <a16:creationId xmlns:a16="http://schemas.microsoft.com/office/drawing/2014/main" id="{00000000-0008-0000-0200-0000734E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b="4668"/>
        <a:stretch>
          <a:fillRect/>
        </a:stretch>
      </xdr:blipFill>
      <xdr:spPr bwMode="auto">
        <a:xfrm>
          <a:off x="5667375" y="190500"/>
          <a:ext cx="89535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66607</xdr:colOff>
      <xdr:row>3</xdr:row>
      <xdr:rowOff>53340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C26C963-F695-4C3B-9E7D-3E0A266431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42957" cy="59626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325755</xdr:colOff>
      <xdr:row>2</xdr:row>
      <xdr:rowOff>2559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72605A2-BAF1-45A9-8553-7E37A62B73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398145</xdr:colOff>
      <xdr:row>1</xdr:row>
      <xdr:rowOff>246399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A10ADF5-0B32-4DC3-949E-A3F24507D5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436245</xdr:colOff>
      <xdr:row>1</xdr:row>
      <xdr:rowOff>124479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83E60E-07F7-48A5-A457-6D6D8B8E6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380776</xdr:colOff>
      <xdr:row>2</xdr:row>
      <xdr:rowOff>1214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F0087A7-35BB-4C38-92BF-98A27A4AD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107577</xdr:rowOff>
    </xdr:from>
    <xdr:to>
      <xdr:col>1</xdr:col>
      <xdr:colOff>380776</xdr:colOff>
      <xdr:row>2</xdr:row>
      <xdr:rowOff>108791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12FC206-63F6-4F5E-8783-5C9369F8DB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7577"/>
          <a:ext cx="1160705" cy="50323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23445</xdr:colOff>
      <xdr:row>0</xdr:row>
      <xdr:rowOff>0</xdr:rowOff>
    </xdr:from>
    <xdr:to>
      <xdr:col>1</xdr:col>
      <xdr:colOff>21101</xdr:colOff>
      <xdr:row>2</xdr:row>
      <xdr:rowOff>171664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B9B7FDD-D04E-4DC7-A16B-88913FE55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5" y="0"/>
          <a:ext cx="1156482" cy="48818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209723</xdr:colOff>
      <xdr:row>2</xdr:row>
      <xdr:rowOff>16760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E25474F-4327-4AF7-A8EE-4380CCA7A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117763</xdr:colOff>
      <xdr:row>0</xdr:row>
      <xdr:rowOff>79663</xdr:rowOff>
    </xdr:from>
    <xdr:to>
      <xdr:col>0</xdr:col>
      <xdr:colOff>1257992</xdr:colOff>
      <xdr:row>2</xdr:row>
      <xdr:rowOff>68887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4911D04-5E2B-4DC5-A795-42B4E48A4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63" y="79663"/>
          <a:ext cx="1140229" cy="487988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215705</xdr:colOff>
      <xdr:row>1</xdr:row>
      <xdr:rowOff>244934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EFEF6FE-5385-4DDE-8BF6-3708733A2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1122045</xdr:colOff>
      <xdr:row>1</xdr:row>
      <xdr:rowOff>244494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1C05EF1-D761-4128-B034-EDF3BC31C2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45720</xdr:colOff>
      <xdr:row>1</xdr:row>
      <xdr:rowOff>46374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D6BE01D-0940-4785-92A4-FCD6C892B4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123041</xdr:colOff>
      <xdr:row>1</xdr:row>
      <xdr:rowOff>45814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099C775-97EE-4418-A0A4-F7FDDB801D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131445</xdr:colOff>
      <xdr:row>1</xdr:row>
      <xdr:rowOff>46374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962B3F7-C64E-4705-8CA4-7BFD3BC627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131445</xdr:colOff>
      <xdr:row>1</xdr:row>
      <xdr:rowOff>46374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B946C9F-AFDE-4615-B48B-875A831AF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131445</xdr:colOff>
      <xdr:row>1</xdr:row>
      <xdr:rowOff>46374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7DB16B9-78D3-4995-8367-9B80143FCF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131445</xdr:colOff>
      <xdr:row>1</xdr:row>
      <xdr:rowOff>46374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7CE91C9-C1D2-4C50-9C6E-E1957A77E3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131445</xdr:colOff>
      <xdr:row>1</xdr:row>
      <xdr:rowOff>46374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EC04E89-978A-48AD-A953-0988E93EE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129374</xdr:colOff>
      <xdr:row>1</xdr:row>
      <xdr:rowOff>46788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C89BA44-6527-40FE-8C64-93B1579337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131445</xdr:colOff>
      <xdr:row>1</xdr:row>
      <xdr:rowOff>46374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FA6D5ED-5AE5-4428-AA96-EE9ED1DA6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64770</xdr:colOff>
      <xdr:row>1</xdr:row>
      <xdr:rowOff>46374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4984E0B-0A51-4026-A4B0-EFD4A386D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217170</xdr:colOff>
      <xdr:row>1</xdr:row>
      <xdr:rowOff>87072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6056EAB-8D8C-4C5E-AC3E-EBD78699F4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6499</xdr:colOff>
      <xdr:row>2</xdr:row>
      <xdr:rowOff>45814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DD5DE76-43AC-4C5C-A304-083CD5A61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1570" cy="4940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ria\OneDrive\&#193;rea%20de%20Trabalho\13.Or&#231;amento%20SAA.xlsx" TargetMode="External"/><Relationship Id="rId1" Type="http://schemas.openxmlformats.org/officeDocument/2006/relationships/externalLinkPath" Target="file:///C:\Users\adria\OneDrive\&#193;rea%20de%20Trabalho\13.Or&#231;amento%20SAA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06/relationships/xlExternalLinkPath/xlPathMissing" Target="Composi&#231;&#227;o%20dos%20custos_SAA.xlsx" TargetMode="External"/><Relationship Id="rId1" Type="http://schemas.openxmlformats.org/officeDocument/2006/relationships/externalLinkPath" Target="file:///C:\Users\Adriano%20Ferreira\Desktop\Planilhas%20PROTRATAR\Composi&#231;&#227;o%20dos%20custos_SA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pa"/>
      <sheetName val="Orç_20-30"/>
      <sheetName val="Crono_20-30"/>
      <sheetName val="Definições"/>
      <sheetName val="Município"/>
      <sheetName val="Custos"/>
      <sheetName val="DNIT04.23"/>
      <sheetName val="Coluna 39 FGV"/>
      <sheetName val="Dias trabalhados"/>
      <sheetName val="Encargos Sociais"/>
      <sheetName val="K"/>
      <sheetName val="Deslocamento"/>
      <sheetName val="Topografia para Projeto"/>
      <sheetName val="Cadastro Técnico"/>
      <sheetName val="Despesas diretas"/>
      <sheetName val="Horas trabalhadas"/>
      <sheetName val="Serviços"/>
      <sheetName val="P1"/>
      <sheetName val="P2"/>
      <sheetName val="P3"/>
      <sheetName val="P4"/>
      <sheetName val="P5"/>
      <sheetName val="P6"/>
      <sheetName val="P7a"/>
      <sheetName val="P7b"/>
      <sheetName val="P8"/>
      <sheetName val="Produto Consolidado"/>
      <sheetName val="Cronograma"/>
      <sheetName val="CP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9">
          <cell r="B49" t="str">
            <v>Veículo tipo pick-up 4X4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pa"/>
      <sheetName val="Orç_20-30"/>
      <sheetName val="Crono_20-30"/>
      <sheetName val="Definições"/>
      <sheetName val="Dados básicos do município"/>
      <sheetName val="Dias trabalhados"/>
      <sheetName val="Reajuste"/>
      <sheetName val="Deslocamento"/>
      <sheetName val="Veículo"/>
      <sheetName val="Topografia e cadastro"/>
      <sheetName val="Matriz de produtividade"/>
      <sheetName val="Custos"/>
      <sheetName val="Horas- trabalhadas "/>
      <sheetName val="Serviços"/>
      <sheetName val="K"/>
      <sheetName val="P1"/>
      <sheetName val="P2"/>
      <sheetName val="P3"/>
      <sheetName val="P4"/>
      <sheetName val="P5"/>
      <sheetName val="P6"/>
      <sheetName val="P7a"/>
      <sheetName val="P7b"/>
      <sheetName val="P8"/>
      <sheetName val="Consolidado"/>
      <sheetName val="CPP"/>
      <sheetName val="Cronogra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7">
          <cell r="B47" t="str">
            <v>Análise bacteriológica de água</v>
          </cell>
        </row>
        <row r="48">
          <cell r="B48" t="str">
            <v>Análise fisíco-química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249977111117893"/>
    <pageSetUpPr fitToPage="1"/>
  </sheetPr>
  <dimension ref="A1:J144"/>
  <sheetViews>
    <sheetView showGridLines="0" tabSelected="1" view="pageBreakPreview" topLeftCell="B1" zoomScaleNormal="100" zoomScaleSheetLayoutView="100" zoomScalePageLayoutView="40" workbookViewId="0">
      <selection activeCell="C51" sqref="C51:H51"/>
    </sheetView>
  </sheetViews>
  <sheetFormatPr defaultColWidth="8.85546875" defaultRowHeight="15.75"/>
  <cols>
    <col min="1" max="10" width="9.5703125" style="53" customWidth="1"/>
    <col min="11" max="16384" width="8.85546875" style="53"/>
  </cols>
  <sheetData>
    <row r="1" spans="1:9" ht="14.45" customHeight="1">
      <c r="A1" s="52"/>
      <c r="B1" s="52"/>
      <c r="C1" s="52"/>
      <c r="D1" s="52"/>
      <c r="E1" s="52"/>
      <c r="F1" s="52"/>
      <c r="G1" s="52"/>
      <c r="H1" s="52"/>
      <c r="I1" s="52"/>
    </row>
    <row r="2" spans="1:9" ht="14.45" customHeight="1"/>
    <row r="3" spans="1:9" ht="14.45" customHeight="1"/>
    <row r="4" spans="1:9" ht="14.45" customHeight="1"/>
    <row r="5" spans="1:9" ht="14.45" customHeight="1"/>
    <row r="6" spans="1:9" ht="14.45" customHeight="1"/>
    <row r="7" spans="1:9" ht="14.45" customHeight="1"/>
    <row r="8" spans="1:9" ht="14.45" customHeight="1"/>
    <row r="9" spans="1:9" ht="14.45" customHeight="1"/>
    <row r="10" spans="1:9" ht="14.45" customHeight="1"/>
    <row r="11" spans="1:9" ht="14.45" customHeight="1"/>
    <row r="12" spans="1:9" ht="14.45" customHeight="1"/>
    <row r="13" spans="1:9" ht="14.45" customHeight="1"/>
    <row r="14" spans="1:9" ht="14.45" customHeight="1"/>
    <row r="15" spans="1:9" ht="14.45" customHeight="1"/>
    <row r="16" spans="1:9" ht="14.45" customHeight="1"/>
    <row r="17" spans="1:10" ht="14.45" customHeight="1"/>
    <row r="18" spans="1:10" ht="14.45" customHeight="1"/>
    <row r="19" spans="1:10" ht="14.45" customHeight="1">
      <c r="A19" s="637" t="s">
        <v>0</v>
      </c>
      <c r="B19" s="637"/>
      <c r="C19" s="637"/>
      <c r="D19" s="637"/>
      <c r="E19" s="637"/>
      <c r="F19" s="637"/>
      <c r="G19" s="637"/>
      <c r="H19" s="637"/>
      <c r="I19" s="637"/>
      <c r="J19" s="637"/>
    </row>
    <row r="20" spans="1:10" ht="14.45" customHeight="1">
      <c r="A20" s="637"/>
      <c r="B20" s="637"/>
      <c r="C20" s="637"/>
      <c r="D20" s="637"/>
      <c r="E20" s="637"/>
      <c r="F20" s="637"/>
      <c r="G20" s="637"/>
      <c r="H20" s="637"/>
      <c r="I20" s="637"/>
      <c r="J20" s="637"/>
    </row>
    <row r="21" spans="1:10" ht="14.45" customHeight="1">
      <c r="A21" s="637"/>
      <c r="B21" s="637"/>
      <c r="C21" s="637"/>
      <c r="D21" s="637"/>
      <c r="E21" s="637"/>
      <c r="F21" s="637"/>
      <c r="G21" s="637"/>
      <c r="H21" s="637"/>
      <c r="I21" s="637"/>
      <c r="J21" s="637"/>
    </row>
    <row r="22" spans="1:10" ht="14.45" customHeight="1">
      <c r="A22" s="54"/>
      <c r="B22" s="54"/>
      <c r="C22" s="54"/>
      <c r="D22" s="54"/>
      <c r="E22" s="54"/>
      <c r="F22" s="54"/>
      <c r="G22" s="54"/>
      <c r="H22" s="54"/>
      <c r="I22" s="54"/>
      <c r="J22" s="54"/>
    </row>
    <row r="23" spans="1:10" ht="14.45" customHeight="1">
      <c r="A23" s="54"/>
      <c r="B23" s="54"/>
      <c r="C23" s="54"/>
      <c r="D23" s="54"/>
      <c r="E23" s="54"/>
      <c r="F23" s="54"/>
      <c r="G23" s="54"/>
      <c r="H23" s="54"/>
      <c r="I23" s="54"/>
      <c r="J23" s="54"/>
    </row>
    <row r="24" spans="1:10" ht="14.45" customHeight="1">
      <c r="A24" s="54"/>
      <c r="B24" s="54"/>
      <c r="C24" s="54"/>
      <c r="D24" s="54"/>
      <c r="E24" s="54"/>
      <c r="F24" s="54"/>
      <c r="G24" s="54"/>
      <c r="H24" s="54"/>
      <c r="I24" s="54"/>
      <c r="J24" s="54"/>
    </row>
    <row r="25" spans="1:10" ht="14.45" customHeight="1">
      <c r="A25" s="54"/>
      <c r="B25" s="636" t="s">
        <v>1</v>
      </c>
      <c r="C25" s="636"/>
      <c r="D25" s="636"/>
      <c r="E25" s="636"/>
      <c r="F25" s="636"/>
      <c r="G25" s="636"/>
      <c r="H25" s="636"/>
      <c r="I25" s="636"/>
      <c r="J25" s="54"/>
    </row>
    <row r="26" spans="1:10" ht="14.45" customHeight="1">
      <c r="A26" s="54"/>
      <c r="B26" s="636"/>
      <c r="C26" s="636"/>
      <c r="D26" s="636"/>
      <c r="E26" s="636"/>
      <c r="F26" s="636"/>
      <c r="G26" s="636"/>
      <c r="H26" s="636"/>
      <c r="I26" s="636"/>
      <c r="J26" s="54"/>
    </row>
    <row r="27" spans="1:10" ht="14.45" customHeight="1">
      <c r="A27" s="54"/>
      <c r="B27" s="54"/>
      <c r="C27" s="54"/>
      <c r="D27" s="54"/>
      <c r="E27" s="54"/>
      <c r="F27" s="54"/>
      <c r="G27" s="54"/>
      <c r="H27" s="54"/>
      <c r="I27" s="54"/>
      <c r="J27" s="54"/>
    </row>
    <row r="28" spans="1:10" ht="14.45" customHeight="1">
      <c r="A28" s="54"/>
      <c r="B28" s="54"/>
      <c r="C28" s="54"/>
      <c r="D28" s="54"/>
      <c r="E28" s="54"/>
      <c r="F28" s="54"/>
      <c r="G28" s="54"/>
      <c r="H28" s="54"/>
      <c r="I28" s="54"/>
      <c r="J28" s="54"/>
    </row>
    <row r="29" spans="1:10" ht="14.45" customHeight="1">
      <c r="A29" s="54"/>
      <c r="B29" s="54"/>
      <c r="C29" s="54"/>
      <c r="D29" s="54"/>
      <c r="E29" s="54"/>
      <c r="F29" s="54"/>
      <c r="G29" s="54"/>
      <c r="H29" s="54"/>
      <c r="I29" s="54"/>
      <c r="J29" s="54"/>
    </row>
    <row r="30" spans="1:10" ht="14.45" customHeight="1">
      <c r="A30" s="54"/>
      <c r="B30" s="636" t="s">
        <v>2</v>
      </c>
      <c r="C30" s="636"/>
      <c r="D30" s="636"/>
      <c r="E30" s="636"/>
      <c r="F30" s="636"/>
      <c r="G30" s="636"/>
      <c r="H30" s="636"/>
      <c r="I30" s="636"/>
      <c r="J30" s="54"/>
    </row>
    <row r="31" spans="1:10" ht="14.45" customHeight="1">
      <c r="A31" s="54"/>
      <c r="B31" s="636"/>
      <c r="C31" s="636"/>
      <c r="D31" s="636"/>
      <c r="E31" s="636"/>
      <c r="F31" s="636"/>
      <c r="G31" s="636"/>
      <c r="H31" s="636"/>
      <c r="I31" s="636"/>
      <c r="J31" s="54"/>
    </row>
    <row r="32" spans="1:10" ht="14.45" customHeight="1">
      <c r="A32" s="54"/>
      <c r="B32" s="54"/>
      <c r="C32" s="54"/>
      <c r="D32" s="54"/>
      <c r="E32" s="54"/>
      <c r="F32" s="54"/>
      <c r="G32" s="54"/>
      <c r="H32" s="54"/>
      <c r="I32" s="54"/>
      <c r="J32" s="54"/>
    </row>
    <row r="33" spans="1:10" ht="14.45" customHeight="1">
      <c r="A33" s="54"/>
      <c r="B33" s="54"/>
      <c r="C33" s="54"/>
      <c r="D33" s="54"/>
      <c r="E33" s="54"/>
      <c r="F33" s="54"/>
      <c r="G33" s="54"/>
      <c r="H33" s="54"/>
      <c r="I33" s="54"/>
      <c r="J33" s="54"/>
    </row>
    <row r="34" spans="1:10" ht="14.45" customHeight="1"/>
    <row r="35" spans="1:10" ht="14.45" customHeight="1"/>
    <row r="36" spans="1:10" ht="14.45" customHeight="1"/>
    <row r="37" spans="1:10" ht="14.45" customHeight="1"/>
    <row r="38" spans="1:10" ht="14.45" customHeight="1"/>
    <row r="39" spans="1:10" ht="14.45" customHeight="1"/>
    <row r="40" spans="1:10" ht="14.45" customHeight="1"/>
    <row r="41" spans="1:10" ht="14.45" customHeight="1"/>
    <row r="42" spans="1:10" ht="14.45" customHeight="1"/>
    <row r="43" spans="1:10" ht="14.45" customHeight="1"/>
    <row r="44" spans="1:10" ht="14.45" customHeight="1"/>
    <row r="45" spans="1:10" ht="14.45" customHeight="1"/>
    <row r="46" spans="1:10" ht="14.45" customHeight="1"/>
    <row r="47" spans="1:10" ht="14.45" customHeight="1"/>
    <row r="48" spans="1:10" ht="14.45" customHeight="1"/>
    <row r="49" spans="3:8" ht="14.45" customHeight="1"/>
    <row r="50" spans="3:8" ht="14.45" customHeight="1"/>
    <row r="51" spans="3:8" ht="14.45" customHeight="1">
      <c r="C51" s="635">
        <f ca="1">TODAY()</f>
        <v>46139</v>
      </c>
      <c r="D51" s="635"/>
      <c r="E51" s="635"/>
      <c r="F51" s="635"/>
      <c r="G51" s="635"/>
      <c r="H51" s="635"/>
    </row>
    <row r="52" spans="3:8" ht="14.45" customHeight="1"/>
    <row r="53" spans="3:8" ht="14.45" customHeight="1"/>
    <row r="54" spans="3:8" ht="14.45" customHeight="1"/>
    <row r="55" spans="3:8" ht="14.45" customHeight="1"/>
    <row r="56" spans="3:8" ht="14.45" customHeight="1"/>
    <row r="57" spans="3:8" ht="14.45" customHeight="1"/>
    <row r="58" spans="3:8" ht="14.45" customHeight="1"/>
    <row r="59" spans="3:8" ht="14.45" customHeight="1"/>
    <row r="60" spans="3:8" ht="14.45" customHeight="1"/>
    <row r="61" spans="3:8" ht="14.45" customHeight="1"/>
    <row r="62" spans="3:8" ht="14.45" customHeight="1"/>
    <row r="63" spans="3:8" ht="14.45" customHeight="1"/>
    <row r="64" spans="3:8" ht="14.45" customHeight="1"/>
    <row r="65" ht="14.45" customHeight="1"/>
    <row r="66" ht="14.45" customHeight="1"/>
    <row r="67" ht="14.45" customHeight="1"/>
    <row r="68" ht="14.45" customHeight="1"/>
    <row r="69" ht="14.45" customHeight="1"/>
    <row r="70" ht="14.45" customHeight="1"/>
    <row r="71" ht="14.45" customHeight="1"/>
    <row r="72" ht="14.45" customHeight="1"/>
    <row r="73" ht="14.45" customHeight="1"/>
    <row r="74" ht="14.45" customHeight="1"/>
    <row r="75" ht="14.45" customHeight="1"/>
    <row r="76" ht="14.45" customHeight="1"/>
    <row r="77" ht="14.45" customHeight="1"/>
    <row r="78" ht="14.45" customHeight="1"/>
    <row r="79" ht="14.45" customHeight="1"/>
    <row r="80" ht="14.45" customHeight="1"/>
    <row r="81" ht="14.45" customHeight="1"/>
    <row r="82" ht="14.45" customHeight="1"/>
    <row r="83" ht="14.45" customHeight="1"/>
    <row r="84" ht="14.45" customHeight="1"/>
    <row r="85" ht="14.45" customHeight="1"/>
    <row r="86" ht="14.45" customHeight="1"/>
    <row r="87" ht="14.45" customHeight="1"/>
    <row r="88" ht="14.45" customHeight="1"/>
    <row r="89" ht="14.45" customHeight="1"/>
    <row r="90" ht="14.45" customHeight="1"/>
    <row r="91" ht="14.45" customHeight="1"/>
    <row r="92" ht="14.45" customHeight="1"/>
    <row r="93" ht="14.45" customHeight="1"/>
    <row r="94" ht="14.45" customHeight="1"/>
    <row r="95" ht="14.45" customHeight="1"/>
    <row r="96" ht="14.45" customHeight="1"/>
    <row r="97" ht="14.45" customHeight="1"/>
    <row r="98" ht="14.45" customHeight="1"/>
    <row r="99" ht="14.45" customHeight="1"/>
    <row r="100" ht="14.45" customHeight="1"/>
    <row r="101" ht="14.45" customHeight="1"/>
    <row r="102" ht="14.45" customHeight="1"/>
    <row r="103" ht="14.45" customHeight="1"/>
    <row r="104" ht="14.45" customHeight="1"/>
    <row r="105" ht="14.45" customHeight="1"/>
    <row r="106" ht="14.45" customHeight="1"/>
    <row r="107" ht="14.45" customHeight="1"/>
    <row r="108" ht="14.45" customHeight="1"/>
    <row r="109" ht="14.45" customHeight="1"/>
    <row r="110" ht="14.45" customHeight="1"/>
    <row r="111" ht="14.45" customHeight="1"/>
    <row r="112" ht="14.45" customHeight="1"/>
    <row r="113" ht="14.45" customHeight="1"/>
    <row r="114" ht="14.45" customHeight="1"/>
    <row r="115" ht="14.45" customHeight="1"/>
    <row r="116" ht="14.45" customHeight="1"/>
    <row r="117" ht="14.45" customHeight="1"/>
    <row r="118" ht="14.45" customHeight="1"/>
    <row r="119" ht="14.45" customHeight="1"/>
    <row r="120" ht="14.45" customHeight="1"/>
    <row r="121" ht="14.45" customHeight="1"/>
    <row r="122" ht="14.45" customHeight="1"/>
    <row r="123" ht="14.45" customHeight="1"/>
    <row r="124" ht="14.45" customHeight="1"/>
    <row r="125" ht="14.45" customHeight="1"/>
    <row r="126" ht="14.45" customHeight="1"/>
    <row r="127" ht="14.45" customHeight="1"/>
    <row r="128" ht="14.45" customHeight="1"/>
    <row r="129" ht="14.45" customHeight="1"/>
    <row r="130" ht="14.45" customHeight="1"/>
    <row r="131" ht="14.45" customHeight="1"/>
    <row r="132" ht="14.45" customHeight="1"/>
    <row r="133" ht="14.45" customHeight="1"/>
    <row r="134" ht="14.45" customHeight="1"/>
    <row r="135" ht="14.45" customHeight="1"/>
    <row r="136" ht="14.45" customHeight="1"/>
    <row r="137" ht="14.45" customHeight="1"/>
    <row r="138" ht="14.45" customHeight="1"/>
    <row r="139" ht="14.45" customHeight="1"/>
    <row r="140" ht="14.45" customHeight="1"/>
    <row r="141" ht="14.45" customHeight="1"/>
    <row r="142" ht="14.45" customHeight="1"/>
    <row r="143" ht="14.45" customHeight="1"/>
    <row r="144" ht="14.45" customHeight="1"/>
  </sheetData>
  <mergeCells count="4">
    <mergeCell ref="C51:H51"/>
    <mergeCell ref="B30:I31"/>
    <mergeCell ref="B25:I26"/>
    <mergeCell ref="A19:J21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82"/>
  <sheetViews>
    <sheetView view="pageBreakPreview" topLeftCell="A61" zoomScaleSheetLayoutView="100" workbookViewId="0">
      <selection activeCell="E90" sqref="E90"/>
    </sheetView>
  </sheetViews>
  <sheetFormatPr defaultRowHeight="12.75"/>
  <cols>
    <col min="1" max="1" width="6.42578125" customWidth="1"/>
    <col min="2" max="2" width="56.85546875" customWidth="1"/>
    <col min="3" max="3" width="10.140625" customWidth="1"/>
    <col min="4" max="4" width="5" customWidth="1"/>
    <col min="5" max="5" width="6.7109375" customWidth="1"/>
    <col min="6" max="6" width="11.85546875" bestFit="1" customWidth="1"/>
    <col min="7" max="7" width="15.42578125" customWidth="1"/>
    <col min="9" max="9" width="7.7109375" style="28" customWidth="1"/>
    <col min="10" max="10" width="8.7109375" style="28" customWidth="1"/>
    <col min="11" max="11" width="7" style="28" bestFit="1" customWidth="1"/>
    <col min="12" max="12" width="9.140625" style="42"/>
    <col min="13" max="13" width="7.85546875" style="42" bestFit="1" customWidth="1"/>
    <col min="14" max="14" width="11.140625" bestFit="1" customWidth="1"/>
    <col min="15" max="16" width="9.28515625" bestFit="1" customWidth="1"/>
  </cols>
  <sheetData>
    <row r="1" spans="1:7">
      <c r="A1" s="638"/>
      <c r="B1" s="638"/>
      <c r="C1" s="638"/>
      <c r="D1" s="638"/>
      <c r="E1" s="638"/>
      <c r="F1" s="638"/>
      <c r="G1" s="638"/>
    </row>
    <row r="2" spans="1:7">
      <c r="A2" s="638"/>
      <c r="B2" s="638"/>
      <c r="C2" s="638"/>
      <c r="D2" s="638"/>
      <c r="E2" s="638"/>
      <c r="F2" s="638"/>
      <c r="G2" s="638"/>
    </row>
    <row r="3" spans="1:7">
      <c r="A3" s="638"/>
      <c r="B3" s="638"/>
      <c r="C3" s="638"/>
      <c r="D3" s="638"/>
      <c r="E3" s="638"/>
      <c r="F3" s="638"/>
      <c r="G3" s="638"/>
    </row>
    <row r="4" spans="1:7">
      <c r="A4" s="638"/>
      <c r="B4" s="638"/>
      <c r="C4" s="638"/>
      <c r="D4" s="638"/>
      <c r="E4" s="638"/>
      <c r="F4" s="638"/>
      <c r="G4" s="638"/>
    </row>
    <row r="5" spans="1:7">
      <c r="A5" s="638"/>
      <c r="B5" s="638"/>
      <c r="C5" s="638"/>
      <c r="D5" s="638"/>
      <c r="E5" s="638"/>
      <c r="F5" s="638"/>
      <c r="G5" s="638"/>
    </row>
    <row r="6" spans="1:7">
      <c r="A6" s="638"/>
      <c r="B6" s="638"/>
      <c r="C6" s="638"/>
      <c r="D6" s="638"/>
      <c r="E6" s="638"/>
      <c r="F6" s="638"/>
      <c r="G6" s="638"/>
    </row>
    <row r="7" spans="1:7">
      <c r="A7" s="638"/>
      <c r="B7" s="638"/>
      <c r="C7" s="638"/>
      <c r="D7" s="638"/>
      <c r="E7" s="638"/>
      <c r="F7" s="638"/>
      <c r="G7" s="638"/>
    </row>
    <row r="8" spans="1:7">
      <c r="A8" s="638"/>
      <c r="B8" s="638"/>
      <c r="C8" s="638"/>
      <c r="D8" s="638"/>
      <c r="E8" s="638"/>
      <c r="F8" s="638"/>
      <c r="G8" s="638"/>
    </row>
    <row r="9" spans="1:7">
      <c r="A9" s="638"/>
      <c r="B9" s="638"/>
      <c r="C9" s="638"/>
      <c r="D9" s="638"/>
      <c r="E9" s="638"/>
      <c r="F9" s="638"/>
      <c r="G9" s="638"/>
    </row>
    <row r="10" spans="1:7">
      <c r="A10" s="639" t="s">
        <v>3</v>
      </c>
      <c r="B10" s="639"/>
      <c r="C10" s="639"/>
      <c r="D10" s="639"/>
      <c r="E10" s="639"/>
      <c r="F10" s="639"/>
      <c r="G10" s="639"/>
    </row>
    <row r="11" spans="1:7">
      <c r="A11" s="639" t="s">
        <v>4</v>
      </c>
      <c r="B11" s="639"/>
      <c r="C11" s="639"/>
      <c r="D11" s="639"/>
      <c r="E11" s="639"/>
      <c r="F11" s="639"/>
      <c r="G11" s="639"/>
    </row>
    <row r="12" spans="1:7">
      <c r="A12" s="35"/>
      <c r="B12" s="35"/>
      <c r="C12" s="35"/>
      <c r="D12" s="35"/>
      <c r="E12" s="35"/>
      <c r="F12" s="35"/>
      <c r="G12" s="35"/>
    </row>
    <row r="13" spans="1:7">
      <c r="A13" s="35"/>
      <c r="B13" s="639" t="s">
        <v>5</v>
      </c>
      <c r="C13" s="639"/>
      <c r="D13" s="639"/>
      <c r="E13" s="639"/>
      <c r="F13" s="639"/>
      <c r="G13" s="51" t="s">
        <v>6</v>
      </c>
    </row>
    <row r="14" spans="1:7" ht="21.75" customHeight="1" thickBot="1">
      <c r="A14" s="640" t="s">
        <v>7</v>
      </c>
      <c r="B14" s="640"/>
      <c r="C14" s="640"/>
      <c r="D14" s="640"/>
      <c r="E14" s="640"/>
      <c r="F14" s="640"/>
      <c r="G14" s="640"/>
    </row>
    <row r="15" spans="1:7">
      <c r="A15" s="648" t="s">
        <v>8</v>
      </c>
      <c r="B15" s="648" t="s">
        <v>9</v>
      </c>
      <c r="C15" s="648" t="s">
        <v>10</v>
      </c>
      <c r="D15" s="648" t="s">
        <v>11</v>
      </c>
      <c r="E15" s="648" t="s">
        <v>12</v>
      </c>
      <c r="F15" s="36" t="s">
        <v>13</v>
      </c>
      <c r="G15" s="641" t="s">
        <v>14</v>
      </c>
    </row>
    <row r="16" spans="1:7" ht="13.5" thickBot="1">
      <c r="A16" s="649"/>
      <c r="B16" s="649"/>
      <c r="C16" s="649"/>
      <c r="D16" s="649"/>
      <c r="E16" s="649"/>
      <c r="F16" s="19" t="s">
        <v>15</v>
      </c>
      <c r="G16" s="642"/>
    </row>
    <row r="17" spans="1:16">
      <c r="A17" s="12">
        <v>0</v>
      </c>
      <c r="B17" s="647" t="s">
        <v>16</v>
      </c>
      <c r="C17" s="647"/>
      <c r="D17" s="647"/>
      <c r="E17" s="13"/>
      <c r="F17" s="13"/>
      <c r="G17" s="14" t="e">
        <f>SUM(G18:G20)</f>
        <v>#REF!</v>
      </c>
      <c r="I17" s="515" t="s">
        <v>17</v>
      </c>
      <c r="J17" s="515" t="s">
        <v>18</v>
      </c>
      <c r="K17" s="515" t="s">
        <v>19</v>
      </c>
    </row>
    <row r="18" spans="1:16" ht="24" customHeight="1">
      <c r="A18" s="5" t="s">
        <v>20</v>
      </c>
      <c r="B18" s="6" t="e">
        <f>IF(C18="","",VLOOKUP(C18,#REF!,2,FALSE))</f>
        <v>#REF!</v>
      </c>
      <c r="C18" s="7" t="s">
        <v>21</v>
      </c>
      <c r="D18" s="8" t="s">
        <v>22</v>
      </c>
      <c r="E18" s="9">
        <f>I18*J18*K18</f>
        <v>240</v>
      </c>
      <c r="F18" s="10" t="e">
        <f>IF(C18="","",VLOOKUP(C18,#REF!,2,FALSE))</f>
        <v>#REF!</v>
      </c>
      <c r="G18" s="11" t="e">
        <f>E18*F18</f>
        <v>#REF!</v>
      </c>
      <c r="I18" s="28">
        <v>40</v>
      </c>
      <c r="J18" s="28">
        <v>6</v>
      </c>
      <c r="K18" s="28">
        <v>1</v>
      </c>
    </row>
    <row r="19" spans="1:16">
      <c r="A19" s="5" t="s">
        <v>23</v>
      </c>
      <c r="B19" s="6" t="e">
        <f>IF(C19="","",VLOOKUP(C19,#REF!,2,FALSE))</f>
        <v>#REF!</v>
      </c>
      <c r="C19" s="7" t="s">
        <v>24</v>
      </c>
      <c r="D19" s="8" t="s">
        <v>22</v>
      </c>
      <c r="E19" s="9">
        <f>I19*J19*K19</f>
        <v>960</v>
      </c>
      <c r="F19" s="10" t="e">
        <f>IF(C19="","",VLOOKUP(C19,#REF!,2,FALSE))</f>
        <v>#REF!</v>
      </c>
      <c r="G19" s="11" t="e">
        <f>E19*F19</f>
        <v>#REF!</v>
      </c>
      <c r="I19" s="28">
        <v>160</v>
      </c>
      <c r="J19" s="28">
        <v>6</v>
      </c>
      <c r="K19" s="28">
        <v>1</v>
      </c>
    </row>
    <row r="20" spans="1:16">
      <c r="A20" s="5" t="s">
        <v>25</v>
      </c>
      <c r="B20" s="6" t="e">
        <f>IF(C20="","",VLOOKUP(C20,#REF!,2,FALSE))</f>
        <v>#REF!</v>
      </c>
      <c r="C20" s="7" t="s">
        <v>26</v>
      </c>
      <c r="D20" s="8" t="s">
        <v>22</v>
      </c>
      <c r="E20" s="9">
        <f>I20*J20*K20</f>
        <v>960</v>
      </c>
      <c r="F20" s="10" t="e">
        <f>IF(C20="","",VLOOKUP(C20,#REF!,2,FALSE))</f>
        <v>#REF!</v>
      </c>
      <c r="G20" s="11" t="e">
        <f>E20*F20</f>
        <v>#REF!</v>
      </c>
      <c r="I20" s="28">
        <v>160</v>
      </c>
      <c r="J20" s="28">
        <v>6</v>
      </c>
      <c r="K20" s="28">
        <v>1</v>
      </c>
    </row>
    <row r="21" spans="1:16">
      <c r="A21" s="16">
        <v>1</v>
      </c>
      <c r="B21" s="643" t="s">
        <v>27</v>
      </c>
      <c r="C21" s="643"/>
      <c r="D21" s="643"/>
      <c r="E21" s="17"/>
      <c r="F21" s="17"/>
      <c r="G21" s="18" t="e">
        <f>SUM(G22:G29)</f>
        <v>#REF!</v>
      </c>
      <c r="H21" s="516"/>
      <c r="I21" s="515"/>
      <c r="J21" s="515"/>
      <c r="K21" s="515"/>
      <c r="L21" s="42">
        <v>1</v>
      </c>
      <c r="M21" s="441" t="s">
        <v>28</v>
      </c>
      <c r="N21" s="516"/>
      <c r="O21" s="516"/>
      <c r="P21" s="516"/>
    </row>
    <row r="22" spans="1:16" ht="12.75" customHeight="1">
      <c r="A22" s="5" t="s">
        <v>29</v>
      </c>
      <c r="B22" s="6" t="s">
        <v>30</v>
      </c>
      <c r="C22" s="7"/>
      <c r="D22" s="8" t="s">
        <v>22</v>
      </c>
      <c r="E22" s="9">
        <f>I22*J22*K22</f>
        <v>40</v>
      </c>
      <c r="F22" s="10">
        <v>53.9</v>
      </c>
      <c r="G22" s="11">
        <f t="shared" ref="G22:G29" si="0">E22*F22</f>
        <v>2156</v>
      </c>
      <c r="H22" s="516"/>
      <c r="I22" s="28">
        <v>40</v>
      </c>
      <c r="J22" s="28">
        <v>1</v>
      </c>
      <c r="K22" s="28">
        <v>1</v>
      </c>
      <c r="L22" s="28"/>
      <c r="M22" s="28"/>
      <c r="N22" s="2">
        <v>3719.74</v>
      </c>
      <c r="O22" s="517">
        <f>N22/160</f>
        <v>23.248374999999999</v>
      </c>
      <c r="P22" s="517">
        <f>O22+O22*1.14</f>
        <v>49.751522499999993</v>
      </c>
    </row>
    <row r="23" spans="1:16">
      <c r="A23" s="5" t="s">
        <v>31</v>
      </c>
      <c r="B23" s="6" t="s">
        <v>32</v>
      </c>
      <c r="C23" s="7"/>
      <c r="D23" s="8" t="s">
        <v>22</v>
      </c>
      <c r="E23" s="9">
        <f t="shared" ref="E23:E29" si="1">I23*J23*K23</f>
        <v>160</v>
      </c>
      <c r="F23" s="10">
        <v>53.9</v>
      </c>
      <c r="G23" s="11">
        <f t="shared" si="0"/>
        <v>8624</v>
      </c>
      <c r="H23" s="516"/>
      <c r="I23" s="28">
        <v>160</v>
      </c>
      <c r="J23" s="28">
        <v>1</v>
      </c>
      <c r="K23" s="28">
        <v>1</v>
      </c>
      <c r="N23" s="517">
        <v>2076</v>
      </c>
      <c r="O23" s="517">
        <f>N23/160</f>
        <v>12.975</v>
      </c>
      <c r="P23" s="517">
        <f>O23+O23*1.14</f>
        <v>27.766500000000001</v>
      </c>
    </row>
    <row r="24" spans="1:16">
      <c r="A24" s="5" t="s">
        <v>33</v>
      </c>
      <c r="B24" s="6" t="s">
        <v>34</v>
      </c>
      <c r="C24" s="7"/>
      <c r="D24" s="8" t="s">
        <v>22</v>
      </c>
      <c r="E24" s="9">
        <f t="shared" si="1"/>
        <v>0</v>
      </c>
      <c r="F24" s="10">
        <v>53.9</v>
      </c>
      <c r="G24" s="11">
        <f t="shared" si="0"/>
        <v>0</v>
      </c>
      <c r="H24" s="516"/>
      <c r="I24" s="28">
        <v>160</v>
      </c>
      <c r="J24" s="28">
        <v>1</v>
      </c>
      <c r="K24" s="28">
        <v>0</v>
      </c>
      <c r="P24">
        <v>50</v>
      </c>
    </row>
    <row r="25" spans="1:16" ht="12.75" customHeight="1">
      <c r="A25" s="5" t="s">
        <v>35</v>
      </c>
      <c r="B25" s="6" t="e">
        <f>IF(C25="","",VLOOKUP(C25,#REF!,2,FALSE))</f>
        <v>#REF!</v>
      </c>
      <c r="C25" s="7" t="s">
        <v>36</v>
      </c>
      <c r="D25" s="8" t="s">
        <v>22</v>
      </c>
      <c r="E25" s="9">
        <f t="shared" si="1"/>
        <v>80</v>
      </c>
      <c r="F25" s="10" t="e">
        <f>IF(C25="","",VLOOKUP(C25,#REF!,2,FALSE))</f>
        <v>#REF!</v>
      </c>
      <c r="G25" s="11" t="e">
        <f t="shared" si="0"/>
        <v>#REF!</v>
      </c>
      <c r="H25" s="516"/>
      <c r="I25" s="28">
        <v>80</v>
      </c>
      <c r="J25" s="28">
        <v>1</v>
      </c>
      <c r="K25" s="515">
        <v>1</v>
      </c>
    </row>
    <row r="26" spans="1:16">
      <c r="A26" s="5" t="s">
        <v>37</v>
      </c>
      <c r="B26" s="6" t="e">
        <f>IF(C26="","",VLOOKUP(C26,#REF!,2,FALSE))</f>
        <v>#REF!</v>
      </c>
      <c r="C26" s="7" t="s">
        <v>38</v>
      </c>
      <c r="D26" s="8" t="s">
        <v>22</v>
      </c>
      <c r="E26" s="9">
        <f t="shared" si="1"/>
        <v>160</v>
      </c>
      <c r="F26" s="10" t="e">
        <f>IF(C26="","",VLOOKUP(C26,#REF!,2,FALSE))</f>
        <v>#REF!</v>
      </c>
      <c r="G26" s="11" t="e">
        <f t="shared" si="0"/>
        <v>#REF!</v>
      </c>
      <c r="H26" s="516"/>
      <c r="I26" s="28">
        <v>160</v>
      </c>
      <c r="J26" s="28">
        <v>1</v>
      </c>
      <c r="K26" s="515">
        <v>1</v>
      </c>
    </row>
    <row r="27" spans="1:16">
      <c r="A27" s="5" t="s">
        <v>39</v>
      </c>
      <c r="B27" s="6" t="e">
        <f>IF(C27="","",VLOOKUP(C27,#REF!,2,FALSE))</f>
        <v>#REF!</v>
      </c>
      <c r="C27" s="7" t="s">
        <v>40</v>
      </c>
      <c r="D27" s="8" t="s">
        <v>22</v>
      </c>
      <c r="E27" s="9">
        <f t="shared" si="1"/>
        <v>0</v>
      </c>
      <c r="F27" s="10" t="e">
        <f>IF(C27="","",VLOOKUP(C27,#REF!,2,FALSE))</f>
        <v>#REF!</v>
      </c>
      <c r="G27" s="11" t="e">
        <f t="shared" si="0"/>
        <v>#REF!</v>
      </c>
      <c r="H27" s="516"/>
      <c r="I27" s="28">
        <v>160</v>
      </c>
      <c r="J27" s="28">
        <v>1</v>
      </c>
      <c r="K27" s="515">
        <v>0</v>
      </c>
    </row>
    <row r="28" spans="1:16">
      <c r="A28" s="5" t="s">
        <v>41</v>
      </c>
      <c r="B28" s="6" t="e">
        <f>IF(C28="","",VLOOKUP(C28,#REF!,2,FALSE))</f>
        <v>#REF!</v>
      </c>
      <c r="C28" s="7" t="s">
        <v>42</v>
      </c>
      <c r="D28" s="8" t="s">
        <v>22</v>
      </c>
      <c r="E28" s="9">
        <f t="shared" si="1"/>
        <v>0</v>
      </c>
      <c r="F28" s="10" t="e">
        <f>IF(C28="","",VLOOKUP(C28,#REF!,2,FALSE))</f>
        <v>#REF!</v>
      </c>
      <c r="G28" s="11" t="e">
        <f t="shared" si="0"/>
        <v>#REF!</v>
      </c>
      <c r="H28" s="516"/>
      <c r="I28" s="28">
        <v>160</v>
      </c>
      <c r="J28" s="28">
        <v>1</v>
      </c>
      <c r="K28" s="515">
        <v>0</v>
      </c>
    </row>
    <row r="29" spans="1:16">
      <c r="A29" s="5" t="s">
        <v>43</v>
      </c>
      <c r="B29" s="6" t="e">
        <f>IF(C29="","",VLOOKUP(C29,#REF!,2,FALSE))</f>
        <v>#REF!</v>
      </c>
      <c r="C29" s="7" t="s">
        <v>44</v>
      </c>
      <c r="D29" s="8"/>
      <c r="E29" s="9">
        <f t="shared" si="1"/>
        <v>0</v>
      </c>
      <c r="F29" s="10" t="e">
        <f>IF(C29="","",VLOOKUP(C29,#REF!,2,FALSE))</f>
        <v>#REF!</v>
      </c>
      <c r="G29" s="11" t="e">
        <f t="shared" si="0"/>
        <v>#REF!</v>
      </c>
      <c r="H29" s="516"/>
      <c r="I29" s="28">
        <v>160</v>
      </c>
      <c r="J29" s="28">
        <v>1</v>
      </c>
      <c r="K29" s="515">
        <v>0</v>
      </c>
    </row>
    <row r="30" spans="1:16">
      <c r="A30" s="16">
        <v>2</v>
      </c>
      <c r="B30" s="643" t="s">
        <v>45</v>
      </c>
      <c r="C30" s="643"/>
      <c r="D30" s="643"/>
      <c r="E30" s="17"/>
      <c r="F30" s="17"/>
      <c r="G30" s="18" t="e">
        <f>SUM(G31:G39)</f>
        <v>#REF!</v>
      </c>
      <c r="H30" s="518"/>
      <c r="I30" s="515"/>
      <c r="J30" s="515"/>
      <c r="K30" s="515"/>
      <c r="L30" s="42">
        <v>1</v>
      </c>
      <c r="M30" s="441" t="s">
        <v>46</v>
      </c>
    </row>
    <row r="31" spans="1:16" ht="12" customHeight="1">
      <c r="A31" s="5" t="s">
        <v>47</v>
      </c>
      <c r="B31" s="6" t="s">
        <v>30</v>
      </c>
      <c r="C31" s="7"/>
      <c r="D31" s="8" t="s">
        <v>22</v>
      </c>
      <c r="E31" s="9">
        <f>I31*J31*K31</f>
        <v>40</v>
      </c>
      <c r="F31" s="10">
        <v>53.9</v>
      </c>
      <c r="G31" s="11">
        <f t="shared" ref="G31:G38" si="2">E31*F31</f>
        <v>2156</v>
      </c>
      <c r="H31" s="518"/>
      <c r="I31" s="28">
        <v>40</v>
      </c>
      <c r="J31" s="28">
        <v>1</v>
      </c>
      <c r="K31" s="28">
        <v>1</v>
      </c>
      <c r="L31" s="28"/>
      <c r="M31" s="28"/>
    </row>
    <row r="32" spans="1:16">
      <c r="A32" s="5" t="s">
        <v>48</v>
      </c>
      <c r="B32" s="6" t="s">
        <v>32</v>
      </c>
      <c r="C32" s="7"/>
      <c r="D32" s="8" t="s">
        <v>22</v>
      </c>
      <c r="E32" s="9">
        <f t="shared" ref="E32:E38" si="3">I32*J32*K32</f>
        <v>40</v>
      </c>
      <c r="F32" s="10">
        <v>53.9</v>
      </c>
      <c r="G32" s="11">
        <f t="shared" si="2"/>
        <v>2156</v>
      </c>
      <c r="H32" s="518"/>
      <c r="I32" s="28">
        <v>40</v>
      </c>
      <c r="J32" s="28">
        <v>1</v>
      </c>
      <c r="K32" s="28">
        <v>1</v>
      </c>
    </row>
    <row r="33" spans="1:13">
      <c r="A33" s="5" t="s">
        <v>49</v>
      </c>
      <c r="B33" s="6" t="s">
        <v>34</v>
      </c>
      <c r="C33" s="7"/>
      <c r="D33" s="8" t="s">
        <v>22</v>
      </c>
      <c r="E33" s="9">
        <f t="shared" si="3"/>
        <v>40</v>
      </c>
      <c r="F33" s="10">
        <v>53.9</v>
      </c>
      <c r="G33" s="11">
        <f t="shared" si="2"/>
        <v>2156</v>
      </c>
      <c r="H33" s="518"/>
      <c r="I33" s="28">
        <v>40</v>
      </c>
      <c r="J33" s="28">
        <v>1</v>
      </c>
      <c r="K33" s="28">
        <v>1</v>
      </c>
    </row>
    <row r="34" spans="1:13" ht="12.75" customHeight="1">
      <c r="A34" s="5" t="s">
        <v>50</v>
      </c>
      <c r="B34" s="6" t="e">
        <f>IF(C34="","",VLOOKUP(C34,#REF!,2,FALSE))</f>
        <v>#REF!</v>
      </c>
      <c r="C34" s="7" t="s">
        <v>36</v>
      </c>
      <c r="D34" s="8" t="s">
        <v>22</v>
      </c>
      <c r="E34" s="9">
        <f t="shared" si="3"/>
        <v>40</v>
      </c>
      <c r="F34" s="10" t="e">
        <f>IF(C34="","",VLOOKUP(C34,#REF!,2,FALSE))</f>
        <v>#REF!</v>
      </c>
      <c r="G34" s="11" t="e">
        <f t="shared" si="2"/>
        <v>#REF!</v>
      </c>
      <c r="H34" s="518"/>
      <c r="I34" s="28">
        <v>40</v>
      </c>
      <c r="J34" s="28">
        <v>1</v>
      </c>
      <c r="K34" s="28">
        <v>1</v>
      </c>
    </row>
    <row r="35" spans="1:13">
      <c r="A35" s="5" t="s">
        <v>51</v>
      </c>
      <c r="B35" s="6" t="e">
        <f>IF(C35="","",VLOOKUP(C35,#REF!,2,FALSE))</f>
        <v>#REF!</v>
      </c>
      <c r="C35" s="7" t="s">
        <v>38</v>
      </c>
      <c r="D35" s="8" t="s">
        <v>22</v>
      </c>
      <c r="E35" s="9">
        <f t="shared" si="3"/>
        <v>80</v>
      </c>
      <c r="F35" s="10" t="e">
        <f>IF(C35="","",VLOOKUP(C35,#REF!,2,FALSE))</f>
        <v>#REF!</v>
      </c>
      <c r="G35" s="11" t="e">
        <f t="shared" si="2"/>
        <v>#REF!</v>
      </c>
      <c r="H35" s="518"/>
      <c r="I35" s="28">
        <v>80</v>
      </c>
      <c r="J35" s="28">
        <v>1</v>
      </c>
      <c r="K35" s="28">
        <v>1</v>
      </c>
    </row>
    <row r="36" spans="1:13">
      <c r="A36" s="5" t="s">
        <v>52</v>
      </c>
      <c r="B36" s="6" t="e">
        <f>IF(C36="","",VLOOKUP(C36,#REF!,2,FALSE))</f>
        <v>#REF!</v>
      </c>
      <c r="C36" s="7" t="s">
        <v>40</v>
      </c>
      <c r="D36" s="8" t="s">
        <v>22</v>
      </c>
      <c r="E36" s="9">
        <f t="shared" si="3"/>
        <v>0</v>
      </c>
      <c r="F36" s="10" t="e">
        <f>IF(C36="","",VLOOKUP(C36,#REF!,2,FALSE))</f>
        <v>#REF!</v>
      </c>
      <c r="G36" s="11" t="e">
        <f t="shared" si="2"/>
        <v>#REF!</v>
      </c>
      <c r="H36" s="518"/>
      <c r="I36" s="28">
        <v>0</v>
      </c>
      <c r="J36" s="28">
        <v>1</v>
      </c>
      <c r="K36" s="28">
        <v>1</v>
      </c>
    </row>
    <row r="37" spans="1:13">
      <c r="A37" s="5" t="s">
        <v>53</v>
      </c>
      <c r="B37" s="6" t="e">
        <f>IF(C37="","",VLOOKUP(C37,#REF!,2,FALSE))</f>
        <v>#REF!</v>
      </c>
      <c r="C37" s="7" t="s">
        <v>42</v>
      </c>
      <c r="D37" s="8" t="s">
        <v>22</v>
      </c>
      <c r="E37" s="9">
        <f t="shared" si="3"/>
        <v>40</v>
      </c>
      <c r="F37" s="10" t="e">
        <f>IF(C37="","",VLOOKUP(C37,#REF!,2,FALSE))</f>
        <v>#REF!</v>
      </c>
      <c r="G37" s="11" t="e">
        <f t="shared" si="2"/>
        <v>#REF!</v>
      </c>
      <c r="H37" s="518"/>
      <c r="I37" s="28">
        <v>40</v>
      </c>
      <c r="J37" s="28">
        <v>1</v>
      </c>
      <c r="K37" s="28">
        <v>1</v>
      </c>
    </row>
    <row r="38" spans="1:13">
      <c r="A38" s="5" t="s">
        <v>54</v>
      </c>
      <c r="B38" s="6" t="e">
        <f>IF(C38="","",VLOOKUP(C38,#REF!,2,FALSE))</f>
        <v>#REF!</v>
      </c>
      <c r="C38" s="7" t="s">
        <v>44</v>
      </c>
      <c r="D38" s="8"/>
      <c r="E38" s="9">
        <f t="shared" si="3"/>
        <v>80</v>
      </c>
      <c r="F38" s="10" t="e">
        <f>IF(C38="","",VLOOKUP(C38,#REF!,2,FALSE))</f>
        <v>#REF!</v>
      </c>
      <c r="G38" s="11" t="e">
        <f t="shared" si="2"/>
        <v>#REF!</v>
      </c>
      <c r="H38" s="518"/>
      <c r="I38" s="28">
        <v>80</v>
      </c>
      <c r="J38" s="28">
        <v>1</v>
      </c>
      <c r="K38" s="28">
        <v>1</v>
      </c>
    </row>
    <row r="39" spans="1:13" ht="24" customHeight="1">
      <c r="A39" s="5" t="s">
        <v>55</v>
      </c>
      <c r="B39" s="6" t="e">
        <f>IF(C39="","",VLOOKUP(C39,#REF!,2,FALSE))</f>
        <v>#REF!</v>
      </c>
      <c r="C39" s="7" t="s">
        <v>56</v>
      </c>
      <c r="D39" s="8"/>
      <c r="E39" s="9">
        <f>I39*J39*K39</f>
        <v>40</v>
      </c>
      <c r="F39" s="10" t="e">
        <f>IF(C39="","",VLOOKUP(C39,#REF!,2,FALSE))</f>
        <v>#REF!</v>
      </c>
      <c r="G39" s="11" t="e">
        <f>E39*F39</f>
        <v>#REF!</v>
      </c>
      <c r="H39" s="518"/>
      <c r="I39" s="28">
        <v>40</v>
      </c>
      <c r="J39" s="28">
        <v>1</v>
      </c>
      <c r="K39" s="28">
        <v>1</v>
      </c>
    </row>
    <row r="40" spans="1:13" ht="24" customHeight="1">
      <c r="A40" s="16">
        <v>3</v>
      </c>
      <c r="B40" s="646" t="s">
        <v>57</v>
      </c>
      <c r="C40" s="646"/>
      <c r="D40" s="646"/>
      <c r="E40" s="646"/>
      <c r="F40" s="646"/>
      <c r="G40" s="18" t="e">
        <f>SUM(G41:G50)</f>
        <v>#REF!</v>
      </c>
      <c r="H40" s="518"/>
      <c r="I40" s="515"/>
      <c r="J40" s="515"/>
      <c r="K40" s="515"/>
      <c r="L40" s="42">
        <v>1</v>
      </c>
      <c r="M40" s="441" t="s">
        <v>58</v>
      </c>
    </row>
    <row r="41" spans="1:13">
      <c r="A41" s="5" t="s">
        <v>59</v>
      </c>
      <c r="B41" s="6" t="s">
        <v>30</v>
      </c>
      <c r="C41" s="7"/>
      <c r="D41" s="8" t="s">
        <v>22</v>
      </c>
      <c r="E41" s="9">
        <f>I41*J41*K41</f>
        <v>40</v>
      </c>
      <c r="F41" s="10">
        <v>53.9</v>
      </c>
      <c r="G41" s="11">
        <f t="shared" ref="G41:G50" si="4">E41*F41</f>
        <v>2156</v>
      </c>
      <c r="H41" s="518"/>
      <c r="I41" s="28">
        <v>40</v>
      </c>
      <c r="J41" s="28">
        <v>1</v>
      </c>
      <c r="K41" s="28">
        <v>1</v>
      </c>
      <c r="M41" s="28"/>
    </row>
    <row r="42" spans="1:13">
      <c r="A42" s="5" t="s">
        <v>60</v>
      </c>
      <c r="B42" s="6" t="s">
        <v>32</v>
      </c>
      <c r="C42" s="7"/>
      <c r="D42" s="8" t="s">
        <v>22</v>
      </c>
      <c r="E42" s="9">
        <f t="shared" ref="E42:E50" si="5">I42*J42*K42</f>
        <v>40</v>
      </c>
      <c r="F42" s="10">
        <v>53.9</v>
      </c>
      <c r="G42" s="11">
        <f t="shared" si="4"/>
        <v>2156</v>
      </c>
      <c r="H42" s="518"/>
      <c r="I42" s="28">
        <v>40</v>
      </c>
      <c r="J42" s="28">
        <v>1</v>
      </c>
      <c r="K42" s="28">
        <v>1</v>
      </c>
      <c r="M42" s="28"/>
    </row>
    <row r="43" spans="1:13">
      <c r="A43" s="5" t="s">
        <v>61</v>
      </c>
      <c r="B43" s="6" t="s">
        <v>34</v>
      </c>
      <c r="C43" s="7"/>
      <c r="D43" s="8" t="s">
        <v>22</v>
      </c>
      <c r="E43" s="9">
        <f t="shared" si="5"/>
        <v>40</v>
      </c>
      <c r="F43" s="10">
        <v>53.9</v>
      </c>
      <c r="G43" s="11">
        <f t="shared" si="4"/>
        <v>2156</v>
      </c>
      <c r="H43" s="518"/>
      <c r="I43" s="28">
        <v>40</v>
      </c>
      <c r="J43" s="28">
        <v>1</v>
      </c>
      <c r="K43" s="28">
        <v>1</v>
      </c>
      <c r="M43" s="28"/>
    </row>
    <row r="44" spans="1:13" ht="12.75" customHeight="1">
      <c r="A44" s="5" t="s">
        <v>62</v>
      </c>
      <c r="B44" s="6" t="e">
        <f>IF(C44="","",VLOOKUP(C44,#REF!,2,FALSE))</f>
        <v>#REF!</v>
      </c>
      <c r="C44" s="7" t="s">
        <v>36</v>
      </c>
      <c r="D44" s="8" t="s">
        <v>22</v>
      </c>
      <c r="E44" s="9">
        <f t="shared" si="5"/>
        <v>160</v>
      </c>
      <c r="F44" s="10" t="e">
        <f>IF(C44="","",VLOOKUP(C44,#REF!,2,FALSE))</f>
        <v>#REF!</v>
      </c>
      <c r="G44" s="11" t="e">
        <f t="shared" si="4"/>
        <v>#REF!</v>
      </c>
      <c r="H44" s="518"/>
      <c r="I44" s="28">
        <v>160</v>
      </c>
      <c r="J44" s="28">
        <v>1</v>
      </c>
      <c r="K44" s="28">
        <v>1</v>
      </c>
      <c r="M44" s="28"/>
    </row>
    <row r="45" spans="1:13">
      <c r="A45" s="5" t="s">
        <v>63</v>
      </c>
      <c r="B45" s="6" t="e">
        <f>IF(C45="","",VLOOKUP(C45,#REF!,2,FALSE))</f>
        <v>#REF!</v>
      </c>
      <c r="C45" s="7" t="s">
        <v>38</v>
      </c>
      <c r="D45" s="8" t="s">
        <v>22</v>
      </c>
      <c r="E45" s="9">
        <f t="shared" si="5"/>
        <v>320</v>
      </c>
      <c r="F45" s="10" t="e">
        <f>IF(C45="","",VLOOKUP(C45,#REF!,2,FALSE))</f>
        <v>#REF!</v>
      </c>
      <c r="G45" s="11" t="e">
        <f t="shared" si="4"/>
        <v>#REF!</v>
      </c>
      <c r="H45" s="518"/>
      <c r="I45" s="28">
        <v>160</v>
      </c>
      <c r="J45" s="28">
        <v>1</v>
      </c>
      <c r="K45" s="28">
        <v>2</v>
      </c>
      <c r="M45" s="28"/>
    </row>
    <row r="46" spans="1:13">
      <c r="A46" s="5" t="s">
        <v>64</v>
      </c>
      <c r="B46" s="6" t="e">
        <f>IF(C46="","",VLOOKUP(C46,#REF!,2,FALSE))</f>
        <v>#REF!</v>
      </c>
      <c r="C46" s="34" t="s">
        <v>65</v>
      </c>
      <c r="D46" s="8" t="s">
        <v>22</v>
      </c>
      <c r="E46" s="9">
        <f t="shared" si="5"/>
        <v>160</v>
      </c>
      <c r="F46" s="10" t="e">
        <f>IF(C46="","",VLOOKUP(C46,#REF!,2,FALSE))</f>
        <v>#REF!</v>
      </c>
      <c r="G46" s="11" t="e">
        <f t="shared" si="4"/>
        <v>#REF!</v>
      </c>
      <c r="H46" s="518"/>
      <c r="I46" s="28">
        <v>160</v>
      </c>
      <c r="J46" s="28">
        <v>1</v>
      </c>
      <c r="K46" s="28">
        <v>1</v>
      </c>
      <c r="M46" s="28"/>
    </row>
    <row r="47" spans="1:13">
      <c r="A47" s="5" t="s">
        <v>66</v>
      </c>
      <c r="B47" s="6" t="e">
        <f>IF(C47="","",VLOOKUP(C47,#REF!,2,FALSE))</f>
        <v>#REF!</v>
      </c>
      <c r="C47" s="7" t="s">
        <v>40</v>
      </c>
      <c r="D47" s="8" t="s">
        <v>22</v>
      </c>
      <c r="E47" s="9">
        <f t="shared" si="5"/>
        <v>160</v>
      </c>
      <c r="F47" s="10" t="e">
        <f>IF(C47="","",VLOOKUP(C47,#REF!,2,FALSE))</f>
        <v>#REF!</v>
      </c>
      <c r="G47" s="11" t="e">
        <f t="shared" si="4"/>
        <v>#REF!</v>
      </c>
      <c r="H47" s="518"/>
      <c r="I47" s="28">
        <v>160</v>
      </c>
      <c r="J47" s="28">
        <v>1</v>
      </c>
      <c r="K47" s="28">
        <v>1</v>
      </c>
      <c r="M47" s="28"/>
    </row>
    <row r="48" spans="1:13">
      <c r="A48" s="5" t="s">
        <v>67</v>
      </c>
      <c r="B48" s="6" t="e">
        <f>IF(C48="","",VLOOKUP(C48,#REF!,2,FALSE))</f>
        <v>#REF!</v>
      </c>
      <c r="C48" s="7" t="s">
        <v>42</v>
      </c>
      <c r="D48" s="8" t="s">
        <v>22</v>
      </c>
      <c r="E48" s="9">
        <f t="shared" si="5"/>
        <v>80</v>
      </c>
      <c r="F48" s="10" t="e">
        <f>IF(C48="","",VLOOKUP(C48,#REF!,2,FALSE))</f>
        <v>#REF!</v>
      </c>
      <c r="G48" s="11" t="e">
        <f t="shared" si="4"/>
        <v>#REF!</v>
      </c>
      <c r="H48" s="518"/>
      <c r="I48" s="28">
        <v>80</v>
      </c>
      <c r="J48" s="28">
        <v>1</v>
      </c>
      <c r="K48" s="28">
        <v>1</v>
      </c>
      <c r="M48" s="28"/>
    </row>
    <row r="49" spans="1:15">
      <c r="A49" s="5" t="s">
        <v>68</v>
      </c>
      <c r="B49" s="6" t="e">
        <f>IF(C49="","",VLOOKUP(C49,#REF!,2,FALSE))</f>
        <v>#REF!</v>
      </c>
      <c r="C49" s="7" t="s">
        <v>44</v>
      </c>
      <c r="D49" s="8"/>
      <c r="E49" s="9">
        <f t="shared" si="5"/>
        <v>160</v>
      </c>
      <c r="F49" s="10" t="e">
        <f>IF(C49="","",VLOOKUP(C49,#REF!,2,FALSE))</f>
        <v>#REF!</v>
      </c>
      <c r="G49" s="11" t="e">
        <f t="shared" si="4"/>
        <v>#REF!</v>
      </c>
      <c r="H49" s="518"/>
      <c r="I49" s="28">
        <v>160</v>
      </c>
      <c r="J49" s="28">
        <v>1</v>
      </c>
      <c r="K49" s="28">
        <v>1</v>
      </c>
      <c r="M49" s="28"/>
    </row>
    <row r="50" spans="1:15">
      <c r="A50" s="5" t="s">
        <v>69</v>
      </c>
      <c r="B50" s="6" t="e">
        <f>IF(C50="","",VLOOKUP(C50,#REF!,2,FALSE))</f>
        <v>#REF!</v>
      </c>
      <c r="C50" s="7" t="s">
        <v>56</v>
      </c>
      <c r="D50" s="8"/>
      <c r="E50" s="9">
        <f t="shared" si="5"/>
        <v>160</v>
      </c>
      <c r="F50" s="10" t="e">
        <f>IF(C50="","",VLOOKUP(C50,#REF!,2,FALSE))</f>
        <v>#REF!</v>
      </c>
      <c r="G50" s="11" t="e">
        <f t="shared" si="4"/>
        <v>#REF!</v>
      </c>
      <c r="H50" s="518"/>
      <c r="I50" s="28">
        <v>160</v>
      </c>
      <c r="J50" s="28">
        <v>1</v>
      </c>
      <c r="K50" s="28">
        <v>1</v>
      </c>
      <c r="M50" s="28"/>
    </row>
    <row r="51" spans="1:15" ht="24" customHeight="1">
      <c r="A51" s="16">
        <v>4</v>
      </c>
      <c r="B51" s="646" t="s">
        <v>70</v>
      </c>
      <c r="C51" s="646"/>
      <c r="D51" s="646"/>
      <c r="E51" s="646"/>
      <c r="F51" s="646"/>
      <c r="G51" s="18" t="e">
        <f>SUM(G52:G61)</f>
        <v>#REF!</v>
      </c>
      <c r="H51" s="518"/>
      <c r="I51" s="515"/>
      <c r="J51" s="515"/>
      <c r="K51" s="515"/>
      <c r="L51" s="42">
        <v>1</v>
      </c>
      <c r="M51" s="441" t="s">
        <v>71</v>
      </c>
    </row>
    <row r="52" spans="1:15" ht="12.75" customHeight="1">
      <c r="A52" s="5" t="s">
        <v>72</v>
      </c>
      <c r="B52" s="6" t="s">
        <v>30</v>
      </c>
      <c r="C52" s="7"/>
      <c r="D52" s="8" t="s">
        <v>22</v>
      </c>
      <c r="E52" s="9">
        <f>I52*J52*K52</f>
        <v>80</v>
      </c>
      <c r="F52" s="10">
        <v>53.9</v>
      </c>
      <c r="G52" s="11">
        <f t="shared" ref="G52:G61" si="6">E52*F52</f>
        <v>4312</v>
      </c>
      <c r="H52" s="518"/>
      <c r="I52" s="28">
        <v>80</v>
      </c>
      <c r="J52" s="28">
        <v>1</v>
      </c>
      <c r="K52" s="28">
        <v>1</v>
      </c>
      <c r="M52" s="28">
        <v>40</v>
      </c>
      <c r="N52" s="28">
        <v>1</v>
      </c>
      <c r="O52" s="28">
        <v>1</v>
      </c>
    </row>
    <row r="53" spans="1:15">
      <c r="A53" s="5" t="s">
        <v>73</v>
      </c>
      <c r="B53" s="6" t="s">
        <v>32</v>
      </c>
      <c r="C53" s="7"/>
      <c r="D53" s="8" t="s">
        <v>22</v>
      </c>
      <c r="E53" s="9">
        <f t="shared" ref="E53:E61" si="7">I53*J53*K53</f>
        <v>20</v>
      </c>
      <c r="F53" s="10">
        <v>53.9</v>
      </c>
      <c r="G53" s="11">
        <f t="shared" si="6"/>
        <v>1078</v>
      </c>
      <c r="H53" s="518"/>
      <c r="I53" s="28">
        <v>20</v>
      </c>
      <c r="J53" s="28">
        <v>1</v>
      </c>
      <c r="K53" s="28">
        <v>1</v>
      </c>
      <c r="M53" s="28">
        <v>20</v>
      </c>
      <c r="N53" s="28">
        <v>1</v>
      </c>
      <c r="O53" s="28">
        <v>1</v>
      </c>
    </row>
    <row r="54" spans="1:15">
      <c r="A54" s="5" t="s">
        <v>74</v>
      </c>
      <c r="B54" s="6" t="s">
        <v>34</v>
      </c>
      <c r="C54" s="7"/>
      <c r="D54" s="8" t="s">
        <v>22</v>
      </c>
      <c r="E54" s="9">
        <f t="shared" si="7"/>
        <v>80</v>
      </c>
      <c r="F54" s="10">
        <v>53.9</v>
      </c>
      <c r="G54" s="11">
        <f t="shared" si="6"/>
        <v>4312</v>
      </c>
      <c r="H54" s="518"/>
      <c r="I54" s="28">
        <v>80</v>
      </c>
      <c r="J54" s="28">
        <v>1</v>
      </c>
      <c r="K54" s="28">
        <v>1</v>
      </c>
      <c r="M54" s="28">
        <v>40</v>
      </c>
      <c r="N54" s="28">
        <v>1</v>
      </c>
      <c r="O54" s="28">
        <v>1</v>
      </c>
    </row>
    <row r="55" spans="1:15" ht="12.75" customHeight="1">
      <c r="A55" s="5" t="s">
        <v>75</v>
      </c>
      <c r="B55" s="6" t="e">
        <f>IF(C55="","",VLOOKUP(C55,#REF!,2,FALSE))</f>
        <v>#REF!</v>
      </c>
      <c r="C55" s="7" t="s">
        <v>36</v>
      </c>
      <c r="D55" s="8" t="s">
        <v>22</v>
      </c>
      <c r="E55" s="9">
        <f t="shared" si="7"/>
        <v>160</v>
      </c>
      <c r="F55" s="10" t="e">
        <f>IF(C55="","",VLOOKUP(C55,#REF!,2,FALSE))</f>
        <v>#REF!</v>
      </c>
      <c r="G55" s="11" t="e">
        <f t="shared" si="6"/>
        <v>#REF!</v>
      </c>
      <c r="H55" s="518"/>
      <c r="I55" s="28">
        <v>160</v>
      </c>
      <c r="J55" s="28">
        <v>1</v>
      </c>
      <c r="K55" s="28">
        <v>1</v>
      </c>
      <c r="M55" s="28">
        <v>80</v>
      </c>
      <c r="N55" s="28">
        <v>1</v>
      </c>
      <c r="O55" s="28">
        <v>1</v>
      </c>
    </row>
    <row r="56" spans="1:15">
      <c r="A56" s="5" t="s">
        <v>76</v>
      </c>
      <c r="B56" s="6" t="e">
        <f>IF(C56="","",VLOOKUP(C56,#REF!,2,FALSE))</f>
        <v>#REF!</v>
      </c>
      <c r="C56" s="7" t="s">
        <v>38</v>
      </c>
      <c r="D56" s="8" t="s">
        <v>22</v>
      </c>
      <c r="E56" s="9">
        <f t="shared" si="7"/>
        <v>320</v>
      </c>
      <c r="F56" s="10" t="e">
        <f>IF(C56="","",VLOOKUP(C56,#REF!,2,FALSE))</f>
        <v>#REF!</v>
      </c>
      <c r="G56" s="11" t="e">
        <f t="shared" si="6"/>
        <v>#REF!</v>
      </c>
      <c r="H56" s="518"/>
      <c r="I56" s="28">
        <v>160</v>
      </c>
      <c r="J56" s="28">
        <v>1</v>
      </c>
      <c r="K56" s="28">
        <v>2</v>
      </c>
      <c r="M56" s="28">
        <v>160</v>
      </c>
      <c r="N56" s="28">
        <v>1</v>
      </c>
      <c r="O56" s="28">
        <v>2</v>
      </c>
    </row>
    <row r="57" spans="1:15">
      <c r="A57" s="5" t="s">
        <v>77</v>
      </c>
      <c r="B57" s="6" t="e">
        <f>IF(C57="","",VLOOKUP(C57,#REF!,2,FALSE))</f>
        <v>#REF!</v>
      </c>
      <c r="C57" s="7" t="s">
        <v>65</v>
      </c>
      <c r="D57" s="8" t="s">
        <v>22</v>
      </c>
      <c r="E57" s="9">
        <f>I57*J57*K57</f>
        <v>0</v>
      </c>
      <c r="F57" s="10" t="e">
        <f>IF(C57="","",VLOOKUP(C57,#REF!,2,FALSE))</f>
        <v>#REF!</v>
      </c>
      <c r="G57" s="11" t="e">
        <f>E57*F57</f>
        <v>#REF!</v>
      </c>
      <c r="H57" s="518"/>
      <c r="I57" s="28">
        <v>160</v>
      </c>
      <c r="J57" s="28">
        <v>1</v>
      </c>
      <c r="K57" s="28">
        <v>0</v>
      </c>
      <c r="M57" s="28">
        <v>160</v>
      </c>
      <c r="N57" s="28">
        <v>1</v>
      </c>
      <c r="O57" s="28">
        <v>0</v>
      </c>
    </row>
    <row r="58" spans="1:15">
      <c r="A58" s="5" t="s">
        <v>78</v>
      </c>
      <c r="B58" s="6" t="e">
        <f>IF(C58="","",VLOOKUP(C58,#REF!,2,FALSE))</f>
        <v>#REF!</v>
      </c>
      <c r="C58" s="7" t="s">
        <v>40</v>
      </c>
      <c r="D58" s="8" t="s">
        <v>22</v>
      </c>
      <c r="E58" s="9">
        <f t="shared" si="7"/>
        <v>160</v>
      </c>
      <c r="F58" s="10" t="e">
        <f>IF(C58="","",VLOOKUP(C58,#REF!,2,FALSE))</f>
        <v>#REF!</v>
      </c>
      <c r="G58" s="11" t="e">
        <f t="shared" si="6"/>
        <v>#REF!</v>
      </c>
      <c r="H58" s="518"/>
      <c r="I58" s="28">
        <v>160</v>
      </c>
      <c r="J58" s="28">
        <v>1</v>
      </c>
      <c r="K58" s="28">
        <v>1</v>
      </c>
      <c r="M58" s="28">
        <v>160</v>
      </c>
      <c r="N58" s="28">
        <v>1</v>
      </c>
      <c r="O58" s="28">
        <v>1</v>
      </c>
    </row>
    <row r="59" spans="1:15">
      <c r="A59" s="5" t="s">
        <v>79</v>
      </c>
      <c r="B59" s="6" t="e">
        <f>IF(C59="","",VLOOKUP(C59,#REF!,2,FALSE))</f>
        <v>#REF!</v>
      </c>
      <c r="C59" s="7" t="s">
        <v>42</v>
      </c>
      <c r="D59" s="8" t="s">
        <v>22</v>
      </c>
      <c r="E59" s="9">
        <f t="shared" si="7"/>
        <v>160</v>
      </c>
      <c r="F59" s="10" t="e">
        <f>IF(C59="","",VLOOKUP(C59,#REF!,2,FALSE))</f>
        <v>#REF!</v>
      </c>
      <c r="G59" s="11" t="e">
        <f t="shared" si="6"/>
        <v>#REF!</v>
      </c>
      <c r="H59" s="518"/>
      <c r="I59" s="28">
        <v>160</v>
      </c>
      <c r="J59" s="28">
        <v>1</v>
      </c>
      <c r="K59" s="28">
        <v>1</v>
      </c>
      <c r="M59" s="28">
        <v>80</v>
      </c>
      <c r="N59" s="28">
        <v>1</v>
      </c>
      <c r="O59" s="28">
        <v>1</v>
      </c>
    </row>
    <row r="60" spans="1:15">
      <c r="A60" s="5" t="s">
        <v>80</v>
      </c>
      <c r="B60" s="6" t="e">
        <f>IF(C60="","",VLOOKUP(C60,#REF!,2,FALSE))</f>
        <v>#REF!</v>
      </c>
      <c r="C60" s="7" t="s">
        <v>44</v>
      </c>
      <c r="D60" s="8"/>
      <c r="E60" s="9">
        <f t="shared" si="7"/>
        <v>160</v>
      </c>
      <c r="F60" s="10" t="e">
        <f>IF(C60="","",VLOOKUP(C60,#REF!,2,FALSE))</f>
        <v>#REF!</v>
      </c>
      <c r="G60" s="11" t="e">
        <f t="shared" si="6"/>
        <v>#REF!</v>
      </c>
      <c r="H60" s="518"/>
      <c r="I60" s="28">
        <v>160</v>
      </c>
      <c r="J60" s="28">
        <v>1</v>
      </c>
      <c r="K60" s="28">
        <v>1</v>
      </c>
      <c r="M60" s="28">
        <v>160</v>
      </c>
      <c r="N60" s="28">
        <v>1</v>
      </c>
      <c r="O60" s="28">
        <v>1</v>
      </c>
    </row>
    <row r="61" spans="1:15">
      <c r="A61" s="5" t="s">
        <v>81</v>
      </c>
      <c r="B61" s="6" t="e">
        <f>IF(C61="","",VLOOKUP(C61,#REF!,2,FALSE))</f>
        <v>#REF!</v>
      </c>
      <c r="C61" s="7" t="s">
        <v>56</v>
      </c>
      <c r="D61" s="8"/>
      <c r="E61" s="9">
        <f t="shared" si="7"/>
        <v>160</v>
      </c>
      <c r="F61" s="10" t="e">
        <f>IF(C61="","",VLOOKUP(C61,#REF!,2,FALSE))</f>
        <v>#REF!</v>
      </c>
      <c r="G61" s="11" t="e">
        <f t="shared" si="6"/>
        <v>#REF!</v>
      </c>
      <c r="H61" s="518"/>
      <c r="I61" s="28">
        <v>160</v>
      </c>
      <c r="J61" s="28">
        <v>1</v>
      </c>
      <c r="K61" s="28">
        <v>1</v>
      </c>
      <c r="M61" s="28">
        <v>40</v>
      </c>
      <c r="N61" s="28">
        <v>1</v>
      </c>
      <c r="O61" s="28">
        <v>1</v>
      </c>
    </row>
    <row r="62" spans="1:15">
      <c r="A62" s="16">
        <v>5</v>
      </c>
      <c r="B62" s="643" t="s">
        <v>82</v>
      </c>
      <c r="C62" s="643"/>
      <c r="D62" s="643"/>
      <c r="E62" s="17"/>
      <c r="F62" s="17"/>
      <c r="G62" s="18" t="e">
        <f>SUM(G63:G70)</f>
        <v>#REF!</v>
      </c>
      <c r="H62" s="518"/>
      <c r="I62" s="515"/>
      <c r="J62" s="515"/>
      <c r="K62" s="515"/>
      <c r="L62" s="42">
        <v>1</v>
      </c>
      <c r="M62" s="441" t="s">
        <v>83</v>
      </c>
    </row>
    <row r="63" spans="1:15">
      <c r="A63" s="5" t="s">
        <v>84</v>
      </c>
      <c r="B63" s="6" t="s">
        <v>30</v>
      </c>
      <c r="C63" s="7"/>
      <c r="D63" s="8" t="s">
        <v>22</v>
      </c>
      <c r="E63" s="9">
        <f>I63*J63*K63</f>
        <v>0</v>
      </c>
      <c r="F63" s="10">
        <v>53.9</v>
      </c>
      <c r="G63" s="11">
        <f t="shared" ref="G63:G70" si="8">E63*F63</f>
        <v>0</v>
      </c>
      <c r="H63" s="518"/>
      <c r="I63" s="28">
        <v>160</v>
      </c>
      <c r="J63" s="28">
        <v>1</v>
      </c>
      <c r="K63" s="28">
        <v>0</v>
      </c>
    </row>
    <row r="64" spans="1:15">
      <c r="A64" s="5" t="s">
        <v>85</v>
      </c>
      <c r="B64" s="6" t="s">
        <v>32</v>
      </c>
      <c r="C64" s="7"/>
      <c r="D64" s="8" t="s">
        <v>22</v>
      </c>
      <c r="E64" s="9">
        <f t="shared" ref="E64:E70" si="9">I64*J64*K64</f>
        <v>20</v>
      </c>
      <c r="F64" s="10">
        <v>53.9</v>
      </c>
      <c r="G64" s="11">
        <f t="shared" si="8"/>
        <v>1078</v>
      </c>
      <c r="H64" s="518"/>
      <c r="I64" s="28">
        <v>20</v>
      </c>
      <c r="J64" s="28">
        <v>1</v>
      </c>
      <c r="K64" s="28">
        <v>1</v>
      </c>
    </row>
    <row r="65" spans="1:14">
      <c r="A65" s="5" t="s">
        <v>86</v>
      </c>
      <c r="B65" s="6" t="s">
        <v>34</v>
      </c>
      <c r="C65" s="7"/>
      <c r="D65" s="8" t="s">
        <v>22</v>
      </c>
      <c r="E65" s="9">
        <f t="shared" si="9"/>
        <v>0</v>
      </c>
      <c r="F65" s="10">
        <v>53.9</v>
      </c>
      <c r="G65" s="11">
        <f t="shared" si="8"/>
        <v>0</v>
      </c>
      <c r="H65" s="518"/>
      <c r="I65" s="28">
        <v>160</v>
      </c>
      <c r="J65" s="28">
        <v>1</v>
      </c>
      <c r="K65" s="28">
        <v>0</v>
      </c>
    </row>
    <row r="66" spans="1:14">
      <c r="A66" s="5" t="s">
        <v>87</v>
      </c>
      <c r="B66" s="6" t="e">
        <f>IF(C66="","",VLOOKUP(C66,#REF!,2,FALSE))</f>
        <v>#REF!</v>
      </c>
      <c r="C66" s="7" t="s">
        <v>36</v>
      </c>
      <c r="D66" s="8" t="s">
        <v>22</v>
      </c>
      <c r="E66" s="9">
        <f t="shared" si="9"/>
        <v>40</v>
      </c>
      <c r="F66" s="10" t="e">
        <f>IF(C66="","",VLOOKUP(C66,#REF!,2,FALSE))</f>
        <v>#REF!</v>
      </c>
      <c r="G66" s="11" t="e">
        <f t="shared" si="8"/>
        <v>#REF!</v>
      </c>
      <c r="H66" s="518"/>
      <c r="I66" s="28">
        <v>40</v>
      </c>
      <c r="J66" s="515">
        <v>1</v>
      </c>
      <c r="K66" s="28">
        <v>1</v>
      </c>
    </row>
    <row r="67" spans="1:14">
      <c r="A67" s="5" t="s">
        <v>88</v>
      </c>
      <c r="B67" s="6" t="e">
        <f>IF(C67="","",VLOOKUP(C67,#REF!,2,FALSE))</f>
        <v>#REF!</v>
      </c>
      <c r="C67" s="7" t="s">
        <v>38</v>
      </c>
      <c r="D67" s="8" t="s">
        <v>22</v>
      </c>
      <c r="E67" s="9">
        <f t="shared" si="9"/>
        <v>160</v>
      </c>
      <c r="F67" s="10" t="e">
        <f>IF(C67="","",VLOOKUP(C67,#REF!,2,FALSE))</f>
        <v>#REF!</v>
      </c>
      <c r="G67" s="11" t="e">
        <f t="shared" si="8"/>
        <v>#REF!</v>
      </c>
      <c r="H67" s="518"/>
      <c r="I67" s="28">
        <v>160</v>
      </c>
      <c r="J67" s="515">
        <v>1</v>
      </c>
      <c r="K67" s="28">
        <v>1</v>
      </c>
    </row>
    <row r="68" spans="1:14">
      <c r="A68" s="5" t="s">
        <v>89</v>
      </c>
      <c r="B68" s="6" t="e">
        <f>IF(C68="","",VLOOKUP(C68,#REF!,2,FALSE))</f>
        <v>#REF!</v>
      </c>
      <c r="C68" s="7" t="s">
        <v>40</v>
      </c>
      <c r="D68" s="8" t="s">
        <v>22</v>
      </c>
      <c r="E68" s="9">
        <f t="shared" si="9"/>
        <v>0</v>
      </c>
      <c r="F68" s="10" t="e">
        <f>IF(C68="","",VLOOKUP(C68,#REF!,2,FALSE))</f>
        <v>#REF!</v>
      </c>
      <c r="G68" s="11" t="e">
        <f t="shared" si="8"/>
        <v>#REF!</v>
      </c>
      <c r="H68" s="518"/>
      <c r="I68" s="28">
        <v>160</v>
      </c>
      <c r="J68" s="515">
        <v>1</v>
      </c>
      <c r="K68" s="28">
        <v>0</v>
      </c>
    </row>
    <row r="69" spans="1:14">
      <c r="A69" s="5" t="s">
        <v>90</v>
      </c>
      <c r="B69" s="6" t="e">
        <f>IF(C69="","",VLOOKUP(C69,#REF!,2,FALSE))</f>
        <v>#REF!</v>
      </c>
      <c r="C69" s="7" t="s">
        <v>42</v>
      </c>
      <c r="D69" s="8" t="s">
        <v>22</v>
      </c>
      <c r="E69" s="9">
        <f t="shared" si="9"/>
        <v>0</v>
      </c>
      <c r="F69" s="10" t="e">
        <f>IF(C69="","",VLOOKUP(C69,#REF!,2,FALSE))</f>
        <v>#REF!</v>
      </c>
      <c r="G69" s="11" t="e">
        <f t="shared" si="8"/>
        <v>#REF!</v>
      </c>
      <c r="H69" s="518"/>
      <c r="I69" s="28">
        <v>160</v>
      </c>
      <c r="J69" s="515">
        <v>1</v>
      </c>
      <c r="K69" s="28">
        <v>0</v>
      </c>
    </row>
    <row r="70" spans="1:14">
      <c r="A70" s="5" t="s">
        <v>91</v>
      </c>
      <c r="B70" s="6" t="e">
        <f>IF(C70="","",VLOOKUP(C70,#REF!,2,FALSE))</f>
        <v>#REF!</v>
      </c>
      <c r="C70" s="7" t="s">
        <v>44</v>
      </c>
      <c r="D70" s="8" t="s">
        <v>22</v>
      </c>
      <c r="E70" s="9">
        <f t="shared" si="9"/>
        <v>0</v>
      </c>
      <c r="F70" s="10" t="e">
        <f>IF(C70="","",VLOOKUP(C70,#REF!,2,FALSE))</f>
        <v>#REF!</v>
      </c>
      <c r="G70" s="11" t="e">
        <f t="shared" si="8"/>
        <v>#REF!</v>
      </c>
      <c r="H70" s="518"/>
      <c r="I70" s="28">
        <v>160</v>
      </c>
      <c r="J70" s="515">
        <v>1</v>
      </c>
      <c r="K70" s="28">
        <v>0</v>
      </c>
    </row>
    <row r="71" spans="1:14">
      <c r="A71" s="16">
        <v>6</v>
      </c>
      <c r="B71" s="643" t="s">
        <v>92</v>
      </c>
      <c r="C71" s="643"/>
      <c r="D71" s="643"/>
      <c r="E71" s="17"/>
      <c r="F71" s="17"/>
      <c r="G71" s="18" t="e">
        <f>SUM(G72:G76)</f>
        <v>#REF!</v>
      </c>
      <c r="H71" s="518"/>
      <c r="I71" s="515"/>
      <c r="J71" s="515"/>
      <c r="K71" s="515"/>
      <c r="L71" s="42">
        <v>1</v>
      </c>
      <c r="M71" s="441" t="s">
        <v>93</v>
      </c>
      <c r="N71" s="516" t="s">
        <v>94</v>
      </c>
    </row>
    <row r="72" spans="1:14">
      <c r="A72" s="5" t="s">
        <v>95</v>
      </c>
      <c r="B72" s="6" t="e">
        <f>IF(C72="","",VLOOKUP(C72,#REF!,2,FALSE))</f>
        <v>#REF!</v>
      </c>
      <c r="C72" s="7" t="s">
        <v>36</v>
      </c>
      <c r="D72" s="8" t="s">
        <v>22</v>
      </c>
      <c r="E72" s="9">
        <f>I72*J72*K72</f>
        <v>40</v>
      </c>
      <c r="F72" s="10" t="e">
        <f>IF(C72="","",VLOOKUP(C72,#REF!,2,FALSE))</f>
        <v>#REF!</v>
      </c>
      <c r="G72" s="11" t="e">
        <f>E72*F72</f>
        <v>#REF!</v>
      </c>
      <c r="H72" s="518"/>
      <c r="I72" s="28">
        <v>40</v>
      </c>
      <c r="J72" s="515">
        <v>1</v>
      </c>
      <c r="K72" s="515">
        <v>1</v>
      </c>
    </row>
    <row r="73" spans="1:14">
      <c r="A73" s="5" t="s">
        <v>96</v>
      </c>
      <c r="B73" s="6" t="e">
        <f>IF(C73="","",VLOOKUP(C73,#REF!,2,FALSE))</f>
        <v>#REF!</v>
      </c>
      <c r="C73" s="7" t="s">
        <v>38</v>
      </c>
      <c r="D73" s="8" t="s">
        <v>22</v>
      </c>
      <c r="E73" s="9">
        <f>I73*J73*K73</f>
        <v>160</v>
      </c>
      <c r="F73" s="10" t="e">
        <f>IF(C73="","",VLOOKUP(C73,#REF!,2,FALSE))</f>
        <v>#REF!</v>
      </c>
      <c r="G73" s="11" t="e">
        <f>E73*F73</f>
        <v>#REF!</v>
      </c>
      <c r="H73" s="518"/>
      <c r="I73" s="28">
        <v>160</v>
      </c>
      <c r="J73" s="515">
        <v>1</v>
      </c>
      <c r="K73" s="515">
        <v>1</v>
      </c>
    </row>
    <row r="74" spans="1:14">
      <c r="A74" s="5" t="s">
        <v>97</v>
      </c>
      <c r="B74" s="6" t="e">
        <f>IF(C74="","",VLOOKUP(C74,#REF!,2,FALSE))</f>
        <v>#REF!</v>
      </c>
      <c r="C74" s="7" t="s">
        <v>40</v>
      </c>
      <c r="D74" s="8" t="s">
        <v>22</v>
      </c>
      <c r="E74" s="9">
        <f>I74*J74*K74</f>
        <v>0</v>
      </c>
      <c r="F74" s="10" t="e">
        <f>IF(C74="","",VLOOKUP(C74,#REF!,2,FALSE))</f>
        <v>#REF!</v>
      </c>
      <c r="G74" s="11" t="e">
        <f>E74*F74</f>
        <v>#REF!</v>
      </c>
      <c r="H74" s="518"/>
      <c r="I74" s="28">
        <v>160</v>
      </c>
      <c r="J74" s="515">
        <v>1</v>
      </c>
      <c r="K74" s="515">
        <v>0</v>
      </c>
    </row>
    <row r="75" spans="1:14">
      <c r="A75" s="5" t="s">
        <v>98</v>
      </c>
      <c r="B75" s="6" t="s">
        <v>99</v>
      </c>
      <c r="C75" s="7"/>
      <c r="D75" s="8" t="s">
        <v>22</v>
      </c>
      <c r="E75" s="9">
        <f>I75*J75*K75</f>
        <v>160</v>
      </c>
      <c r="F75" s="10">
        <v>53.9</v>
      </c>
      <c r="G75" s="11">
        <f>E75*F75</f>
        <v>8624</v>
      </c>
      <c r="H75" s="518"/>
      <c r="I75" s="28">
        <v>160</v>
      </c>
      <c r="J75" s="515">
        <v>1</v>
      </c>
      <c r="K75" s="515">
        <v>1</v>
      </c>
    </row>
    <row r="76" spans="1:14">
      <c r="A76" s="5" t="s">
        <v>100</v>
      </c>
      <c r="B76" s="6" t="e">
        <f>IF(C76="","",VLOOKUP(C76,#REF!,2,FALSE))</f>
        <v>#REF!</v>
      </c>
      <c r="C76" s="7" t="s">
        <v>56</v>
      </c>
      <c r="D76" s="8" t="s">
        <v>22</v>
      </c>
      <c r="E76" s="9">
        <f>I76*J76*K76</f>
        <v>40</v>
      </c>
      <c r="F76" s="10" t="e">
        <f>IF(C76="","",VLOOKUP(C76,#REF!,2,FALSE))</f>
        <v>#REF!</v>
      </c>
      <c r="G76" s="11" t="e">
        <f>E76*F76</f>
        <v>#REF!</v>
      </c>
      <c r="H76" s="518"/>
      <c r="I76" s="28">
        <v>40</v>
      </c>
      <c r="J76" s="515">
        <v>1</v>
      </c>
      <c r="K76" s="515">
        <v>1</v>
      </c>
    </row>
    <row r="77" spans="1:14" hidden="1">
      <c r="A77" s="644" t="s">
        <v>101</v>
      </c>
      <c r="B77" s="645"/>
      <c r="C77" s="645"/>
      <c r="D77" s="645"/>
      <c r="E77" s="645"/>
      <c r="F77" s="645"/>
      <c r="G77" s="11" t="e">
        <f>((G17/10)*9)+SUM(G21,G30,G40,#REF!,G51,#REF!,#REF!,G62,G71)</f>
        <v>#REF!</v>
      </c>
      <c r="H77" s="518"/>
      <c r="J77" s="515"/>
      <c r="K77" s="515"/>
    </row>
    <row r="78" spans="1:14" hidden="1">
      <c r="A78" s="644" t="s">
        <v>102</v>
      </c>
      <c r="B78" s="645"/>
      <c r="C78" s="645"/>
      <c r="D78" s="645"/>
      <c r="E78" s="645"/>
      <c r="F78" s="645"/>
      <c r="G78" s="11" t="e">
        <f>G77*1.16</f>
        <v>#REF!</v>
      </c>
      <c r="H78" s="518"/>
      <c r="J78" s="515"/>
      <c r="K78" s="515"/>
    </row>
    <row r="79" spans="1:14">
      <c r="A79" s="26"/>
      <c r="B79" s="519"/>
      <c r="C79" s="520"/>
      <c r="D79" s="521"/>
      <c r="E79" s="522"/>
      <c r="F79" s="523"/>
      <c r="G79" s="524"/>
      <c r="H79" s="3"/>
      <c r="I79" s="24"/>
      <c r="J79" s="4"/>
      <c r="K79" s="15"/>
      <c r="L79" s="42">
        <f>SUM(L21:L78)</f>
        <v>6</v>
      </c>
      <c r="M79" s="441" t="s">
        <v>103</v>
      </c>
    </row>
    <row r="80" spans="1:14">
      <c r="A80" s="26"/>
      <c r="B80" s="25" t="s">
        <v>104</v>
      </c>
      <c r="C80" s="20"/>
      <c r="D80" s="20"/>
      <c r="E80" s="21"/>
      <c r="F80" s="22"/>
      <c r="G80" s="23" t="e">
        <f>SUM(G71,G62,G51,,G40,G30,G21,G17)</f>
        <v>#REF!</v>
      </c>
      <c r="H80" s="518"/>
      <c r="I80" s="515"/>
      <c r="J80" s="515"/>
      <c r="K80" s="515"/>
    </row>
    <row r="81" spans="1:11">
      <c r="A81" s="27"/>
      <c r="B81" s="25" t="s">
        <v>105</v>
      </c>
      <c r="C81" s="20"/>
      <c r="D81" s="20"/>
      <c r="E81" s="21"/>
      <c r="F81" s="22"/>
      <c r="G81" s="23" t="e">
        <f>G80*0.08</f>
        <v>#REF!</v>
      </c>
      <c r="H81" s="518"/>
      <c r="I81" s="515"/>
      <c r="J81" s="515"/>
      <c r="K81" s="515"/>
    </row>
    <row r="82" spans="1:11">
      <c r="A82" s="27"/>
      <c r="B82" s="25" t="s">
        <v>106</v>
      </c>
      <c r="C82" s="20"/>
      <c r="D82" s="20"/>
      <c r="E82" s="21"/>
      <c r="F82" s="22"/>
      <c r="G82" s="23" t="e">
        <f>SUM(G80:G81)</f>
        <v>#REF!</v>
      </c>
      <c r="H82" s="518"/>
      <c r="I82" s="515"/>
      <c r="J82" s="515"/>
      <c r="K82" s="515"/>
    </row>
  </sheetData>
  <mergeCells count="20">
    <mergeCell ref="G15:G16"/>
    <mergeCell ref="B62:D62"/>
    <mergeCell ref="B71:D71"/>
    <mergeCell ref="A77:F77"/>
    <mergeCell ref="A78:F78"/>
    <mergeCell ref="B51:F51"/>
    <mergeCell ref="B17:D17"/>
    <mergeCell ref="B21:D21"/>
    <mergeCell ref="B30:D30"/>
    <mergeCell ref="B40:F40"/>
    <mergeCell ref="A15:A16"/>
    <mergeCell ref="B15:B16"/>
    <mergeCell ref="C15:C16"/>
    <mergeCell ref="D15:D16"/>
    <mergeCell ref="E15:E16"/>
    <mergeCell ref="A1:G9"/>
    <mergeCell ref="A10:G10"/>
    <mergeCell ref="A11:G11"/>
    <mergeCell ref="B13:F13"/>
    <mergeCell ref="A14:G14"/>
  </mergeCells>
  <phoneticPr fontId="17" type="noConversion"/>
  <pageMargins left="1.02" right="0.39370078740157483" top="0.39370078740157483" bottom="0.39370078740157483" header="0" footer="0"/>
  <pageSetup paperSize="9" scale="73" orientation="portrait" r:id="rId1"/>
  <headerFooter scaleWithDoc="0">
    <oddFooter>&amp;C&amp;P</oddFooter>
    <firstFooter>Página &amp;P</first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9:K55"/>
  <sheetViews>
    <sheetView view="pageBreakPreview" topLeftCell="A4" zoomScaleSheetLayoutView="100" workbookViewId="0">
      <selection activeCell="D18" sqref="D18:H26"/>
    </sheetView>
  </sheetViews>
  <sheetFormatPr defaultRowHeight="12.75"/>
  <cols>
    <col min="1" max="1" width="71.42578125" customWidth="1"/>
    <col min="2" max="2" width="14.28515625" style="1" bestFit="1" customWidth="1"/>
    <col min="3" max="7" width="11.7109375" style="1" customWidth="1"/>
    <col min="8" max="8" width="11.7109375" customWidth="1"/>
  </cols>
  <sheetData>
    <row r="9" spans="1:8">
      <c r="A9" s="656" t="s">
        <v>107</v>
      </c>
      <c r="B9" s="656"/>
      <c r="C9" s="656"/>
      <c r="D9" s="656"/>
      <c r="E9" s="656"/>
      <c r="F9" s="656"/>
      <c r="G9" s="656"/>
      <c r="H9" s="656"/>
    </row>
    <row r="10" spans="1:8" ht="12.75" customHeight="1">
      <c r="A10" s="657" t="s">
        <v>108</v>
      </c>
      <c r="B10" s="657"/>
      <c r="C10" s="657"/>
      <c r="D10" s="657"/>
      <c r="E10" s="657"/>
      <c r="F10" s="657"/>
      <c r="G10" s="657"/>
      <c r="H10" s="657"/>
    </row>
    <row r="11" spans="1:8" ht="13.5" thickBot="1">
      <c r="A11" s="657"/>
      <c r="B11" s="657"/>
      <c r="C11" s="657"/>
      <c r="D11" s="657"/>
      <c r="E11" s="657"/>
      <c r="F11" s="657"/>
      <c r="G11" s="657"/>
      <c r="H11" s="657"/>
    </row>
    <row r="12" spans="1:8" ht="13.5" thickBot="1">
      <c r="A12" s="37" t="s">
        <v>109</v>
      </c>
      <c r="B12" s="525" t="s">
        <v>110</v>
      </c>
      <c r="C12" s="658" t="s">
        <v>111</v>
      </c>
      <c r="D12" s="658"/>
      <c r="E12" s="658"/>
      <c r="F12" s="658"/>
      <c r="G12" s="658"/>
      <c r="H12" s="658"/>
    </row>
    <row r="13" spans="1:8">
      <c r="A13" s="526"/>
      <c r="C13" s="38">
        <v>30</v>
      </c>
      <c r="D13" s="39">
        <v>60</v>
      </c>
      <c r="E13" s="39">
        <v>90</v>
      </c>
      <c r="F13" s="39">
        <v>120</v>
      </c>
      <c r="G13" s="39">
        <v>150</v>
      </c>
      <c r="H13" s="39">
        <v>180</v>
      </c>
    </row>
    <row r="14" spans="1:8">
      <c r="A14" s="43"/>
      <c r="B14"/>
      <c r="C14" s="44"/>
      <c r="D14" s="44"/>
      <c r="E14" s="44"/>
      <c r="F14" s="44"/>
      <c r="G14" s="44"/>
      <c r="H14" s="44"/>
    </row>
    <row r="15" spans="1:8" ht="12" customHeight="1">
      <c r="A15" s="650" t="s">
        <v>112</v>
      </c>
      <c r="B15" s="652" t="e">
        <f>'Orç_20-30'!$G$17/6</f>
        <v>#REF!</v>
      </c>
      <c r="C15" s="46"/>
      <c r="D15" s="31"/>
      <c r="E15" s="31"/>
      <c r="F15" s="31"/>
      <c r="G15" s="31"/>
      <c r="H15" s="47"/>
    </row>
    <row r="16" spans="1:8" ht="12" customHeight="1">
      <c r="A16" s="654"/>
      <c r="B16" s="655"/>
      <c r="C16" s="45" t="e">
        <f>('Orç_20-30'!G21+('Crono_20-30'!B15*1))*1.08</f>
        <v>#REF!</v>
      </c>
      <c r="D16" s="44"/>
      <c r="E16" s="44"/>
      <c r="F16" s="44"/>
      <c r="G16" s="44"/>
      <c r="H16" s="48"/>
    </row>
    <row r="17" spans="1:8" ht="12" customHeight="1">
      <c r="A17" s="650" t="s">
        <v>113</v>
      </c>
      <c r="B17" s="652" t="e">
        <f>'Orç_20-30'!$G$17/6</f>
        <v>#REF!</v>
      </c>
      <c r="C17" s="31"/>
      <c r="D17" s="46"/>
      <c r="E17" s="31"/>
      <c r="F17" s="31"/>
      <c r="G17" s="31"/>
      <c r="H17" s="47"/>
    </row>
    <row r="18" spans="1:8" ht="12" customHeight="1">
      <c r="A18" s="654"/>
      <c r="B18" s="655"/>
      <c r="C18" s="44"/>
      <c r="D18" s="45" t="e">
        <f>('Orç_20-30'!G30+('Crono_20-30'!B17*1))*1.08</f>
        <v>#REF!</v>
      </c>
      <c r="E18" s="44"/>
      <c r="F18" s="44"/>
      <c r="G18" s="44"/>
      <c r="H18" s="48"/>
    </row>
    <row r="19" spans="1:8" ht="12" customHeight="1">
      <c r="A19" s="650" t="s">
        <v>114</v>
      </c>
      <c r="B19" s="652" t="e">
        <f>'Orç_20-30'!$G$17/6</f>
        <v>#REF!</v>
      </c>
      <c r="C19" s="31"/>
      <c r="D19" s="31"/>
      <c r="E19" s="46"/>
      <c r="F19" s="31"/>
      <c r="G19" s="31"/>
      <c r="H19" s="47"/>
    </row>
    <row r="20" spans="1:8" ht="12" customHeight="1">
      <c r="A20" s="654"/>
      <c r="B20" s="655"/>
      <c r="C20" s="44"/>
      <c r="D20" s="44"/>
      <c r="E20" s="45" t="e">
        <f>('Orç_20-30'!G40+('Crono_20-30'!B19*1))*1.08</f>
        <v>#REF!</v>
      </c>
      <c r="F20" s="44"/>
      <c r="G20" s="44"/>
      <c r="H20" s="48"/>
    </row>
    <row r="21" spans="1:8" ht="12" customHeight="1">
      <c r="A21" s="650" t="s">
        <v>115</v>
      </c>
      <c r="B21" s="652" t="e">
        <f>'Orç_20-30'!$G$17/6</f>
        <v>#REF!</v>
      </c>
      <c r="C21" s="31"/>
      <c r="D21" s="31"/>
      <c r="E21" s="31"/>
      <c r="F21" s="46"/>
      <c r="G21" s="31"/>
      <c r="H21" s="47"/>
    </row>
    <row r="22" spans="1:8" ht="12" customHeight="1">
      <c r="A22" s="654"/>
      <c r="B22" s="655"/>
      <c r="C22" s="44"/>
      <c r="D22" s="44"/>
      <c r="E22" s="44"/>
      <c r="F22" s="45" t="e">
        <f>('Orç_20-30'!G51+('Crono_20-30'!B21*1))*1.08</f>
        <v>#REF!</v>
      </c>
      <c r="G22" s="44"/>
      <c r="H22" s="48"/>
    </row>
    <row r="23" spans="1:8" ht="12" customHeight="1">
      <c r="A23" s="650" t="s">
        <v>116</v>
      </c>
      <c r="B23" s="652" t="e">
        <f>'Orç_20-30'!$G$17/6</f>
        <v>#REF!</v>
      </c>
      <c r="C23" s="31"/>
      <c r="D23" s="31"/>
      <c r="E23" s="31"/>
      <c r="F23" s="31"/>
      <c r="G23" s="46"/>
      <c r="H23" s="47"/>
    </row>
    <row r="24" spans="1:8" ht="12" customHeight="1">
      <c r="A24" s="654"/>
      <c r="B24" s="655"/>
      <c r="C24" s="44"/>
      <c r="D24" s="44"/>
      <c r="E24" s="44"/>
      <c r="F24" s="44"/>
      <c r="G24" s="45" t="e">
        <f>('Orç_20-30'!G62+('Crono_20-30'!B23*1))*1.08</f>
        <v>#REF!</v>
      </c>
      <c r="H24" s="48"/>
    </row>
    <row r="25" spans="1:8" ht="12" customHeight="1">
      <c r="A25" s="650" t="s">
        <v>117</v>
      </c>
      <c r="B25" s="652" t="e">
        <f>'Orç_20-30'!$G$17/6</f>
        <v>#REF!</v>
      </c>
      <c r="C25" s="31"/>
      <c r="D25" s="31"/>
      <c r="E25" s="31"/>
      <c r="F25" s="31"/>
      <c r="G25" s="31"/>
      <c r="H25" s="49"/>
    </row>
    <row r="26" spans="1:8" ht="12" customHeight="1">
      <c r="A26" s="651"/>
      <c r="B26" s="653"/>
      <c r="C26" s="30"/>
      <c r="D26" s="30"/>
      <c r="E26" s="30"/>
      <c r="F26" s="30"/>
      <c r="G26" s="30"/>
      <c r="H26" s="50" t="e">
        <f>('Orç_20-30'!G71+('Crono_20-30'!B25*1))*1.08</f>
        <v>#REF!</v>
      </c>
    </row>
    <row r="27" spans="1:8">
      <c r="A27" s="527" t="s">
        <v>118</v>
      </c>
      <c r="B27" s="29"/>
      <c r="C27" s="30" t="e">
        <f t="shared" ref="C27:H27" si="0">SUM(C15:C26)</f>
        <v>#REF!</v>
      </c>
      <c r="D27" s="30" t="e">
        <f t="shared" si="0"/>
        <v>#REF!</v>
      </c>
      <c r="E27" s="30" t="e">
        <f t="shared" si="0"/>
        <v>#REF!</v>
      </c>
      <c r="F27" s="30" t="e">
        <f t="shared" si="0"/>
        <v>#REF!</v>
      </c>
      <c r="G27" s="30" t="e">
        <f t="shared" si="0"/>
        <v>#REF!</v>
      </c>
      <c r="H27" s="30" t="e">
        <f t="shared" si="0"/>
        <v>#REF!</v>
      </c>
    </row>
    <row r="28" spans="1:8">
      <c r="A28" s="528" t="s">
        <v>119</v>
      </c>
      <c r="B28" s="33"/>
      <c r="C28" s="32" t="e">
        <f>SUM(C27)</f>
        <v>#REF!</v>
      </c>
      <c r="D28" s="32" t="e">
        <f>SUM(C27:D27)</f>
        <v>#REF!</v>
      </c>
      <c r="E28" s="32" t="e">
        <f>SUM(C27:E27)</f>
        <v>#REF!</v>
      </c>
      <c r="F28" s="32" t="e">
        <f>SUM(C27:F27)</f>
        <v>#REF!</v>
      </c>
      <c r="G28" s="32" t="e">
        <f>SUM(C27:G27)</f>
        <v>#REF!</v>
      </c>
      <c r="H28" s="32" t="e">
        <f>SUM(C27:H27)</f>
        <v>#REF!</v>
      </c>
    </row>
    <row r="29" spans="1:8">
      <c r="A29" s="528" t="s">
        <v>120</v>
      </c>
      <c r="B29" s="33"/>
      <c r="C29" s="32" t="e">
        <f>(C27/$H$28)*100</f>
        <v>#REF!</v>
      </c>
      <c r="D29" s="32" t="e">
        <f t="shared" ref="D29:H30" si="1">(D27/$H$28)*100</f>
        <v>#REF!</v>
      </c>
      <c r="E29" s="32" t="e">
        <f t="shared" si="1"/>
        <v>#REF!</v>
      </c>
      <c r="F29" s="32" t="e">
        <f t="shared" si="1"/>
        <v>#REF!</v>
      </c>
      <c r="G29" s="32" t="e">
        <f t="shared" si="1"/>
        <v>#REF!</v>
      </c>
      <c r="H29" s="32" t="e">
        <f t="shared" si="1"/>
        <v>#REF!</v>
      </c>
    </row>
    <row r="30" spans="1:8">
      <c r="A30" s="528" t="s">
        <v>121</v>
      </c>
      <c r="B30" s="33"/>
      <c r="C30" s="32" t="e">
        <f>(C28/$H$28)*100</f>
        <v>#REF!</v>
      </c>
      <c r="D30" s="32" t="e">
        <f t="shared" si="1"/>
        <v>#REF!</v>
      </c>
      <c r="E30" s="32" t="e">
        <f t="shared" si="1"/>
        <v>#REF!</v>
      </c>
      <c r="F30" s="32" t="e">
        <f t="shared" si="1"/>
        <v>#REF!</v>
      </c>
      <c r="G30" s="32" t="e">
        <f t="shared" si="1"/>
        <v>#REF!</v>
      </c>
      <c r="H30" s="32" t="e">
        <f t="shared" si="1"/>
        <v>#REF!</v>
      </c>
    </row>
    <row r="34" spans="1:11" ht="14.25">
      <c r="A34" s="40"/>
    </row>
    <row r="35" spans="1:11" ht="14.25">
      <c r="A35" s="40"/>
    </row>
    <row r="36" spans="1:11" ht="14.25">
      <c r="A36" s="40"/>
    </row>
    <row r="37" spans="1:11" ht="14.25">
      <c r="A37" s="40"/>
    </row>
    <row r="38" spans="1:11" ht="14.25">
      <c r="A38" s="40"/>
    </row>
    <row r="39" spans="1:11" ht="14.25">
      <c r="A39" s="40"/>
    </row>
    <row r="40" spans="1:11" ht="14.25">
      <c r="A40" s="40"/>
    </row>
    <row r="41" spans="1:11" ht="14.25">
      <c r="A41" s="40"/>
    </row>
    <row r="42" spans="1:11" ht="14.25">
      <c r="A42" s="40"/>
    </row>
    <row r="43" spans="1:11" ht="14.25">
      <c r="A43" s="40"/>
    </row>
    <row r="44" spans="1:11" ht="14.25">
      <c r="A44" s="40"/>
    </row>
    <row r="45" spans="1:11" s="1" customFormat="1" ht="14.25">
      <c r="A45" s="40"/>
      <c r="H45"/>
      <c r="I45"/>
      <c r="J45"/>
      <c r="K45"/>
    </row>
    <row r="46" spans="1:11" s="1" customFormat="1">
      <c r="A46" s="41"/>
      <c r="H46"/>
      <c r="I46"/>
      <c r="J46"/>
      <c r="K46"/>
    </row>
    <row r="47" spans="1:11" s="1" customFormat="1">
      <c r="A47" s="41"/>
      <c r="H47"/>
      <c r="I47"/>
      <c r="J47"/>
      <c r="K47"/>
    </row>
    <row r="48" spans="1:11" s="1" customFormat="1">
      <c r="A48"/>
      <c r="H48"/>
      <c r="I48"/>
      <c r="J48"/>
      <c r="K48"/>
    </row>
    <row r="49" spans="1:11" s="1" customFormat="1">
      <c r="A49"/>
      <c r="H49"/>
      <c r="I49"/>
      <c r="J49"/>
      <c r="K49"/>
    </row>
    <row r="50" spans="1:11" s="1" customFormat="1">
      <c r="A50"/>
      <c r="H50"/>
      <c r="I50"/>
      <c r="J50"/>
      <c r="K50"/>
    </row>
    <row r="51" spans="1:11" s="1" customFormat="1">
      <c r="A51"/>
      <c r="H51"/>
      <c r="I51"/>
      <c r="J51"/>
      <c r="K51"/>
    </row>
    <row r="52" spans="1:11" s="1" customFormat="1">
      <c r="A52"/>
      <c r="H52"/>
      <c r="I52"/>
      <c r="J52"/>
      <c r="K52"/>
    </row>
    <row r="53" spans="1:11" s="1" customFormat="1">
      <c r="A53"/>
      <c r="H53"/>
      <c r="I53"/>
      <c r="J53"/>
      <c r="K53"/>
    </row>
    <row r="54" spans="1:11" s="1" customFormat="1">
      <c r="A54"/>
      <c r="H54"/>
      <c r="I54"/>
      <c r="J54"/>
      <c r="K54"/>
    </row>
    <row r="55" spans="1:11" s="1" customFormat="1">
      <c r="A55"/>
      <c r="H55"/>
      <c r="I55"/>
      <c r="J55"/>
      <c r="K55"/>
    </row>
  </sheetData>
  <mergeCells count="15">
    <mergeCell ref="A17:A18"/>
    <mergeCell ref="B17:B18"/>
    <mergeCell ref="A9:H9"/>
    <mergeCell ref="A10:H11"/>
    <mergeCell ref="C12:H12"/>
    <mergeCell ref="A15:A16"/>
    <mergeCell ref="B15:B16"/>
    <mergeCell ref="A25:A26"/>
    <mergeCell ref="B25:B26"/>
    <mergeCell ref="A19:A20"/>
    <mergeCell ref="B19:B20"/>
    <mergeCell ref="A21:A22"/>
    <mergeCell ref="B21:B22"/>
    <mergeCell ref="A23:A24"/>
    <mergeCell ref="B23:B24"/>
  </mergeCells>
  <phoneticPr fontId="17" type="noConversion"/>
  <pageMargins left="0.19685039370078741" right="0.19685039370078741" top="0.19685039370078741" bottom="0.19685039370078741" header="0" footer="0"/>
  <pageSetup paperSize="9" scale="9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-0.249977111117893"/>
  </sheetPr>
  <dimension ref="A1:J80"/>
  <sheetViews>
    <sheetView showGridLines="0" view="pageBreakPreview" topLeftCell="A22" zoomScaleNormal="100" zoomScaleSheetLayoutView="100" zoomScalePageLayoutView="55" workbookViewId="0">
      <selection activeCell="A25" sqref="A25:B27"/>
    </sheetView>
  </sheetViews>
  <sheetFormatPr defaultColWidth="8.42578125" defaultRowHeight="15.75"/>
  <cols>
    <col min="1" max="10" width="9.5703125" style="53" customWidth="1"/>
    <col min="11" max="16384" width="8.42578125" style="53"/>
  </cols>
  <sheetData>
    <row r="1" spans="1:10" ht="14.45" customHeight="1">
      <c r="A1" s="52"/>
      <c r="B1" s="52"/>
      <c r="C1" s="52"/>
      <c r="D1" s="661" t="s">
        <v>122</v>
      </c>
      <c r="E1" s="661"/>
      <c r="F1" s="661"/>
      <c r="G1" s="661"/>
      <c r="H1" s="661"/>
      <c r="I1" s="661"/>
    </row>
    <row r="2" spans="1:10" ht="14.45" customHeight="1">
      <c r="D2" s="661"/>
      <c r="E2" s="661"/>
      <c r="F2" s="661"/>
      <c r="G2" s="661"/>
      <c r="H2" s="661"/>
      <c r="I2" s="661"/>
      <c r="J2" s="56"/>
    </row>
    <row r="3" spans="1:10" ht="14.45" customHeight="1">
      <c r="D3" s="661"/>
      <c r="E3" s="661"/>
      <c r="F3" s="661"/>
      <c r="G3" s="661"/>
      <c r="H3" s="661"/>
      <c r="I3" s="661"/>
      <c r="J3" s="56"/>
    </row>
    <row r="4" spans="1:10" ht="14.45" customHeight="1">
      <c r="D4" s="661"/>
      <c r="E4" s="661"/>
      <c r="F4" s="661"/>
      <c r="G4" s="661"/>
      <c r="H4" s="661"/>
      <c r="I4" s="661"/>
    </row>
    <row r="5" spans="1:10" ht="14.45" customHeight="1">
      <c r="D5" s="55"/>
      <c r="E5" s="55"/>
      <c r="F5" s="55"/>
      <c r="G5" s="55"/>
      <c r="H5" s="55"/>
      <c r="I5" s="55"/>
    </row>
    <row r="6" spans="1:10" ht="14.45" customHeight="1">
      <c r="D6" s="55"/>
      <c r="E6" s="55"/>
      <c r="G6" s="55"/>
      <c r="H6" s="55"/>
      <c r="I6" s="55"/>
    </row>
    <row r="7" spans="1:10" ht="14.45" customHeight="1">
      <c r="A7" s="663" t="s">
        <v>123</v>
      </c>
      <c r="B7" s="663"/>
      <c r="C7" s="659" t="s">
        <v>124</v>
      </c>
      <c r="D7" s="659"/>
      <c r="E7" s="659"/>
      <c r="F7" s="659"/>
      <c r="G7" s="659"/>
      <c r="H7" s="659"/>
      <c r="I7" s="659"/>
      <c r="J7" s="659"/>
    </row>
    <row r="8" spans="1:10" ht="14.45" customHeight="1">
      <c r="A8" s="663"/>
      <c r="B8" s="663"/>
      <c r="C8" s="659"/>
      <c r="D8" s="659"/>
      <c r="E8" s="659"/>
      <c r="F8" s="659"/>
      <c r="G8" s="659"/>
      <c r="H8" s="659"/>
      <c r="I8" s="659"/>
      <c r="J8" s="659"/>
    </row>
    <row r="9" spans="1:10" ht="14.45" customHeight="1">
      <c r="A9" s="663"/>
      <c r="B9" s="663"/>
      <c r="C9" s="659"/>
      <c r="D9" s="659"/>
      <c r="E9" s="659"/>
      <c r="F9" s="659"/>
      <c r="G9" s="659"/>
      <c r="H9" s="659"/>
      <c r="I9" s="659"/>
      <c r="J9" s="659"/>
    </row>
    <row r="10" spans="1:10" ht="14.45" customHeight="1">
      <c r="A10" s="663"/>
      <c r="B10" s="663"/>
      <c r="C10" s="659"/>
      <c r="D10" s="659"/>
      <c r="E10" s="659"/>
      <c r="F10" s="659"/>
      <c r="G10" s="659"/>
      <c r="H10" s="659"/>
      <c r="I10" s="659"/>
      <c r="J10" s="659"/>
    </row>
    <row r="11" spans="1:10" ht="14.45" customHeight="1">
      <c r="A11" s="663"/>
      <c r="B11" s="663"/>
      <c r="C11" s="659"/>
      <c r="D11" s="659"/>
      <c r="E11" s="659"/>
      <c r="F11" s="659"/>
      <c r="G11" s="659"/>
      <c r="H11" s="659"/>
      <c r="I11" s="659"/>
      <c r="J11" s="659"/>
    </row>
    <row r="12" spans="1:10" ht="14.45" customHeight="1">
      <c r="A12" s="663"/>
      <c r="B12" s="663"/>
      <c r="C12" s="659"/>
      <c r="D12" s="659"/>
      <c r="E12" s="659"/>
      <c r="F12" s="659"/>
      <c r="G12" s="659"/>
      <c r="H12" s="659"/>
      <c r="I12" s="659"/>
      <c r="J12" s="659"/>
    </row>
    <row r="13" spans="1:10" ht="14.45" customHeight="1">
      <c r="A13" s="663"/>
      <c r="B13" s="663"/>
      <c r="C13" s="659"/>
      <c r="D13" s="659"/>
      <c r="E13" s="659"/>
      <c r="F13" s="659"/>
      <c r="G13" s="659"/>
      <c r="H13" s="659"/>
      <c r="I13" s="659"/>
      <c r="J13" s="659"/>
    </row>
    <row r="14" spans="1:10" ht="14.45" customHeight="1">
      <c r="A14" s="436"/>
      <c r="B14" s="436"/>
      <c r="C14" s="437"/>
      <c r="D14" s="57"/>
      <c r="E14" s="57"/>
      <c r="F14" s="57"/>
      <c r="G14" s="57"/>
      <c r="H14" s="57"/>
      <c r="I14" s="57"/>
      <c r="J14" s="437"/>
    </row>
    <row r="15" spans="1:10" ht="14.45" customHeight="1">
      <c r="A15" s="663" t="s">
        <v>125</v>
      </c>
      <c r="B15" s="663"/>
      <c r="C15" s="659" t="s">
        <v>126</v>
      </c>
      <c r="D15" s="659"/>
      <c r="E15" s="659"/>
      <c r="F15" s="659"/>
      <c r="G15" s="659"/>
      <c r="H15" s="659"/>
      <c r="I15" s="659"/>
      <c r="J15" s="659"/>
    </row>
    <row r="16" spans="1:10" ht="14.45" customHeight="1">
      <c r="A16" s="663"/>
      <c r="B16" s="663"/>
      <c r="C16" s="659"/>
      <c r="D16" s="659"/>
      <c r="E16" s="659"/>
      <c r="F16" s="659"/>
      <c r="G16" s="659"/>
      <c r="H16" s="659"/>
      <c r="I16" s="659"/>
      <c r="J16" s="659"/>
    </row>
    <row r="17" spans="1:10" ht="14.45" customHeight="1">
      <c r="A17" s="663"/>
      <c r="B17" s="663"/>
      <c r="C17" s="659"/>
      <c r="D17" s="659"/>
      <c r="E17" s="659"/>
      <c r="F17" s="659"/>
      <c r="G17" s="659"/>
      <c r="H17" s="659"/>
      <c r="I17" s="659"/>
      <c r="J17" s="659"/>
    </row>
    <row r="18" spans="1:10" ht="14.45" customHeight="1">
      <c r="A18" s="663"/>
      <c r="B18" s="663"/>
      <c r="C18" s="659"/>
      <c r="D18" s="659"/>
      <c r="E18" s="659"/>
      <c r="F18" s="659"/>
      <c r="G18" s="659"/>
      <c r="H18" s="659"/>
      <c r="I18" s="659"/>
      <c r="J18" s="659"/>
    </row>
    <row r="19" spans="1:10" ht="14.45" customHeight="1">
      <c r="A19" s="663"/>
      <c r="B19" s="663"/>
      <c r="C19" s="659"/>
      <c r="D19" s="659"/>
      <c r="E19" s="659"/>
      <c r="F19" s="659"/>
      <c r="G19" s="659"/>
      <c r="H19" s="659"/>
      <c r="I19" s="659"/>
      <c r="J19" s="659"/>
    </row>
    <row r="20" spans="1:10" ht="14.45" customHeight="1">
      <c r="A20" s="663"/>
      <c r="B20" s="663"/>
      <c r="C20" s="659"/>
      <c r="D20" s="659"/>
      <c r="E20" s="659"/>
      <c r="F20" s="659"/>
      <c r="G20" s="659"/>
      <c r="H20" s="659"/>
      <c r="I20" s="659"/>
      <c r="J20" s="659"/>
    </row>
    <row r="21" spans="1:10" ht="14.45" customHeight="1">
      <c r="A21" s="663"/>
      <c r="B21" s="663"/>
      <c r="C21" s="659"/>
      <c r="D21" s="659"/>
      <c r="E21" s="659"/>
      <c r="F21" s="659"/>
      <c r="G21" s="659"/>
      <c r="H21" s="659"/>
      <c r="I21" s="659"/>
      <c r="J21" s="659"/>
    </row>
    <row r="22" spans="1:10" ht="14.45" customHeight="1">
      <c r="A22" s="663"/>
      <c r="B22" s="663"/>
      <c r="C22" s="659"/>
      <c r="D22" s="659"/>
      <c r="E22" s="659"/>
      <c r="F22" s="659"/>
      <c r="G22" s="659"/>
      <c r="H22" s="659"/>
      <c r="I22" s="659"/>
      <c r="J22" s="659"/>
    </row>
    <row r="23" spans="1:10" ht="14.45" customHeight="1">
      <c r="A23" s="663"/>
      <c r="B23" s="663"/>
      <c r="C23" s="659"/>
      <c r="D23" s="659"/>
      <c r="E23" s="659"/>
      <c r="F23" s="659"/>
      <c r="G23" s="659"/>
      <c r="H23" s="659"/>
      <c r="I23" s="659"/>
      <c r="J23" s="659"/>
    </row>
    <row r="24" spans="1:10" ht="14.45" customHeight="1">
      <c r="A24" s="436"/>
      <c r="B24" s="436"/>
      <c r="C24" s="437"/>
      <c r="D24" s="437"/>
      <c r="E24" s="57"/>
      <c r="F24" s="57"/>
      <c r="G24" s="57"/>
      <c r="H24" s="57"/>
      <c r="I24" s="57"/>
      <c r="J24" s="437"/>
    </row>
    <row r="25" spans="1:10" ht="14.45" customHeight="1">
      <c r="A25" s="662" t="s">
        <v>127</v>
      </c>
      <c r="B25" s="662"/>
      <c r="C25" s="659" t="s">
        <v>128</v>
      </c>
      <c r="D25" s="659"/>
      <c r="E25" s="659"/>
      <c r="F25" s="659"/>
      <c r="G25" s="659"/>
      <c r="H25" s="659"/>
      <c r="I25" s="659"/>
      <c r="J25" s="659"/>
    </row>
    <row r="26" spans="1:10" ht="14.45" customHeight="1">
      <c r="A26" s="662"/>
      <c r="B26" s="662"/>
      <c r="C26" s="659"/>
      <c r="D26" s="659"/>
      <c r="E26" s="659"/>
      <c r="F26" s="659"/>
      <c r="G26" s="659"/>
      <c r="H26" s="659"/>
      <c r="I26" s="659"/>
      <c r="J26" s="659"/>
    </row>
    <row r="27" spans="1:10" ht="24" customHeight="1">
      <c r="A27" s="662"/>
      <c r="B27" s="662"/>
      <c r="C27" s="659"/>
      <c r="D27" s="659"/>
      <c r="E27" s="659"/>
      <c r="F27" s="659"/>
      <c r="G27" s="659"/>
      <c r="H27" s="659"/>
      <c r="I27" s="659"/>
      <c r="J27" s="659"/>
    </row>
    <row r="28" spans="1:10" ht="14.45" customHeight="1">
      <c r="A28" s="436"/>
      <c r="B28" s="436"/>
      <c r="C28" s="57"/>
      <c r="D28" s="57"/>
      <c r="E28" s="57"/>
      <c r="F28" s="57"/>
      <c r="G28" s="57"/>
      <c r="H28" s="57"/>
      <c r="I28" s="57"/>
      <c r="J28" s="57"/>
    </row>
    <row r="29" spans="1:10" ht="14.45" customHeight="1">
      <c r="A29" s="663" t="s">
        <v>129</v>
      </c>
      <c r="B29" s="663"/>
      <c r="C29" s="659" t="s">
        <v>130</v>
      </c>
      <c r="D29" s="659"/>
      <c r="E29" s="659"/>
      <c r="F29" s="659"/>
      <c r="G29" s="659"/>
      <c r="H29" s="659"/>
      <c r="I29" s="659"/>
      <c r="J29" s="659"/>
    </row>
    <row r="30" spans="1:10" ht="14.45" customHeight="1">
      <c r="A30" s="663"/>
      <c r="B30" s="663"/>
      <c r="C30" s="659"/>
      <c r="D30" s="659"/>
      <c r="E30" s="659"/>
      <c r="F30" s="659"/>
      <c r="G30" s="659"/>
      <c r="H30" s="659"/>
      <c r="I30" s="659"/>
      <c r="J30" s="659"/>
    </row>
    <row r="31" spans="1:10" ht="14.45" customHeight="1">
      <c r="A31" s="663"/>
      <c r="B31" s="663"/>
      <c r="C31" s="659"/>
      <c r="D31" s="659"/>
      <c r="E31" s="659"/>
      <c r="F31" s="659"/>
      <c r="G31" s="659"/>
      <c r="H31" s="659"/>
      <c r="I31" s="659"/>
      <c r="J31" s="659"/>
    </row>
    <row r="32" spans="1:10" ht="14.45" customHeight="1">
      <c r="A32" s="663"/>
      <c r="B32" s="663"/>
      <c r="C32" s="659"/>
      <c r="D32" s="659"/>
      <c r="E32" s="659"/>
      <c r="F32" s="659"/>
      <c r="G32" s="659"/>
      <c r="H32" s="659"/>
      <c r="I32" s="659"/>
      <c r="J32" s="659"/>
    </row>
    <row r="33" spans="1:10" ht="14.45" customHeight="1">
      <c r="A33" s="663"/>
      <c r="B33" s="663"/>
      <c r="C33" s="659"/>
      <c r="D33" s="659"/>
      <c r="E33" s="659"/>
      <c r="F33" s="659"/>
      <c r="G33" s="659"/>
      <c r="H33" s="659"/>
      <c r="I33" s="659"/>
      <c r="J33" s="659"/>
    </row>
    <row r="34" spans="1:10" ht="14.45" customHeight="1">
      <c r="A34" s="663"/>
      <c r="B34" s="663"/>
      <c r="C34" s="659"/>
      <c r="D34" s="659"/>
      <c r="E34" s="659"/>
      <c r="F34" s="659"/>
      <c r="G34" s="659"/>
      <c r="H34" s="659"/>
      <c r="I34" s="659"/>
      <c r="J34" s="659"/>
    </row>
    <row r="35" spans="1:10" ht="14.45" customHeight="1">
      <c r="A35" s="663"/>
      <c r="B35" s="663"/>
      <c r="C35" s="659"/>
      <c r="D35" s="659"/>
      <c r="E35" s="659"/>
      <c r="F35" s="659"/>
      <c r="G35" s="659"/>
      <c r="H35" s="659"/>
      <c r="I35" s="659"/>
      <c r="J35" s="659"/>
    </row>
    <row r="36" spans="1:10" ht="14.45" customHeight="1">
      <c r="A36" s="663"/>
      <c r="B36" s="663"/>
      <c r="C36" s="659"/>
      <c r="D36" s="659"/>
      <c r="E36" s="659"/>
      <c r="F36" s="659"/>
      <c r="G36" s="659"/>
      <c r="H36" s="659"/>
      <c r="I36" s="659"/>
      <c r="J36" s="659"/>
    </row>
    <row r="37" spans="1:10" ht="14.45" customHeight="1">
      <c r="A37" s="663"/>
      <c r="B37" s="663"/>
      <c r="C37" s="659"/>
      <c r="D37" s="659"/>
      <c r="E37" s="659"/>
      <c r="F37" s="659"/>
      <c r="G37" s="659"/>
      <c r="H37" s="659"/>
      <c r="I37" s="659"/>
      <c r="J37" s="659"/>
    </row>
    <row r="38" spans="1:10" ht="14.45" customHeight="1">
      <c r="A38" s="663"/>
      <c r="B38" s="663"/>
      <c r="C38" s="659"/>
      <c r="D38" s="659"/>
      <c r="E38" s="659"/>
      <c r="F38" s="659"/>
      <c r="G38" s="659"/>
      <c r="H38" s="659"/>
      <c r="I38" s="659"/>
      <c r="J38" s="659"/>
    </row>
    <row r="39" spans="1:10" ht="14.45" customHeight="1">
      <c r="C39" s="57"/>
      <c r="D39" s="57"/>
      <c r="E39" s="57"/>
      <c r="F39" s="57"/>
      <c r="G39" s="57"/>
      <c r="H39" s="57"/>
      <c r="I39" s="57"/>
      <c r="J39" s="57"/>
    </row>
    <row r="40" spans="1:10" ht="14.45" customHeight="1">
      <c r="A40" s="660" t="s">
        <v>131</v>
      </c>
      <c r="B40" s="660"/>
      <c r="C40" s="659" t="s">
        <v>132</v>
      </c>
      <c r="D40" s="659"/>
      <c r="E40" s="659"/>
      <c r="F40" s="659"/>
      <c r="G40" s="659"/>
      <c r="H40" s="659"/>
      <c r="I40" s="659"/>
      <c r="J40" s="659"/>
    </row>
    <row r="41" spans="1:10" ht="14.45" customHeight="1">
      <c r="A41" s="660"/>
      <c r="B41" s="660"/>
      <c r="C41" s="659"/>
      <c r="D41" s="659"/>
      <c r="E41" s="659"/>
      <c r="F41" s="659"/>
      <c r="G41" s="659"/>
      <c r="H41" s="659"/>
      <c r="I41" s="659"/>
      <c r="J41" s="659"/>
    </row>
    <row r="42" spans="1:10" ht="14.45" customHeight="1">
      <c r="A42" s="660"/>
      <c r="B42" s="660"/>
      <c r="C42" s="659"/>
      <c r="D42" s="659"/>
      <c r="E42" s="659"/>
      <c r="F42" s="659"/>
      <c r="G42" s="659"/>
      <c r="H42" s="659"/>
      <c r="I42" s="659"/>
      <c r="J42" s="659"/>
    </row>
    <row r="43" spans="1:10" ht="14.45" customHeight="1">
      <c r="A43" s="660"/>
      <c r="B43" s="660"/>
      <c r="C43" s="659"/>
      <c r="D43" s="659"/>
      <c r="E43" s="659"/>
      <c r="F43" s="659"/>
      <c r="G43" s="659"/>
      <c r="H43" s="659"/>
      <c r="I43" s="659"/>
      <c r="J43" s="659"/>
    </row>
    <row r="44" spans="1:10" ht="14.45" customHeight="1">
      <c r="A44" s="660"/>
      <c r="B44" s="660"/>
      <c r="C44" s="659"/>
      <c r="D44" s="659"/>
      <c r="E44" s="659"/>
      <c r="F44" s="659"/>
      <c r="G44" s="659"/>
      <c r="H44" s="659"/>
      <c r="I44" s="659"/>
      <c r="J44" s="659"/>
    </row>
    <row r="45" spans="1:10" ht="14.45" customHeight="1">
      <c r="A45" s="660"/>
      <c r="B45" s="660"/>
      <c r="C45" s="659"/>
      <c r="D45" s="659"/>
      <c r="E45" s="659"/>
      <c r="F45" s="659"/>
      <c r="G45" s="659"/>
      <c r="H45" s="659"/>
      <c r="I45" s="659"/>
      <c r="J45" s="659"/>
    </row>
    <row r="46" spans="1:10" ht="14.45" customHeight="1">
      <c r="A46" s="660"/>
      <c r="B46" s="660"/>
      <c r="C46" s="659"/>
      <c r="D46" s="659"/>
      <c r="E46" s="659"/>
      <c r="F46" s="659"/>
      <c r="G46" s="659"/>
      <c r="H46" s="659"/>
      <c r="I46" s="659"/>
      <c r="J46" s="659"/>
    </row>
    <row r="47" spans="1:10" ht="14.45" customHeight="1">
      <c r="C47" s="659"/>
      <c r="D47" s="659"/>
      <c r="E47" s="659"/>
      <c r="F47" s="659"/>
      <c r="G47" s="659"/>
      <c r="H47" s="659"/>
      <c r="I47" s="659"/>
      <c r="J47" s="659"/>
    </row>
    <row r="48" spans="1:10" ht="14.45" customHeight="1">
      <c r="C48" s="659"/>
      <c r="D48" s="659"/>
      <c r="E48" s="659"/>
      <c r="F48" s="659"/>
      <c r="G48" s="659"/>
      <c r="H48" s="659"/>
      <c r="I48" s="659"/>
      <c r="J48" s="659"/>
    </row>
    <row r="49" spans="3:10" ht="14.45" customHeight="1">
      <c r="C49" s="58"/>
      <c r="D49" s="58"/>
      <c r="E49" s="58"/>
      <c r="F49" s="58"/>
      <c r="G49" s="58"/>
      <c r="H49" s="58"/>
      <c r="I49" s="58"/>
      <c r="J49" s="58"/>
    </row>
    <row r="50" spans="3:10" ht="14.45" customHeight="1"/>
    <row r="51" spans="3:10" ht="14.45" customHeight="1"/>
    <row r="52" spans="3:10" ht="14.45" customHeight="1"/>
    <row r="53" spans="3:10" ht="14.45" customHeight="1"/>
    <row r="54" spans="3:10" ht="14.45" customHeight="1"/>
    <row r="55" spans="3:10" ht="14.45" customHeight="1"/>
    <row r="56" spans="3:10" ht="14.45" customHeight="1"/>
    <row r="57" spans="3:10" ht="14.45" customHeight="1"/>
    <row r="58" spans="3:10" ht="14.45" customHeight="1"/>
    <row r="59" spans="3:10" ht="14.45" customHeight="1"/>
    <row r="60" spans="3:10" ht="14.45" customHeight="1"/>
    <row r="61" spans="3:10" ht="14.45" customHeight="1"/>
    <row r="62" spans="3:10" ht="14.45" customHeight="1"/>
    <row r="63" spans="3:10" ht="14.45" customHeight="1"/>
    <row r="64" spans="3:10" ht="14.45" customHeight="1"/>
    <row r="65" ht="14.45" customHeight="1"/>
    <row r="66" ht="14.45" customHeight="1"/>
    <row r="67" ht="14.45" customHeight="1"/>
    <row r="68" ht="14.45" customHeight="1"/>
    <row r="69" ht="14.45" customHeight="1"/>
    <row r="70" ht="14.45" customHeight="1"/>
    <row r="71" ht="14.45" customHeight="1"/>
    <row r="72" ht="14.45" customHeight="1"/>
    <row r="73" ht="14.45" customHeight="1"/>
    <row r="74" ht="14.45" customHeight="1"/>
    <row r="75" ht="14.45" customHeight="1"/>
    <row r="76" ht="14.45" customHeight="1"/>
    <row r="77" ht="14.45" customHeight="1"/>
    <row r="78" ht="14.45" customHeight="1"/>
    <row r="79" ht="14.45" customHeight="1"/>
    <row r="80" ht="14.45" customHeight="1"/>
  </sheetData>
  <mergeCells count="11">
    <mergeCell ref="C40:J48"/>
    <mergeCell ref="A40:B46"/>
    <mergeCell ref="D1:I4"/>
    <mergeCell ref="C25:J27"/>
    <mergeCell ref="A25:B27"/>
    <mergeCell ref="C29:J38"/>
    <mergeCell ref="A29:B38"/>
    <mergeCell ref="A7:B13"/>
    <mergeCell ref="C15:J23"/>
    <mergeCell ref="A15:B23"/>
    <mergeCell ref="C7:J1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K28"/>
  <sheetViews>
    <sheetView showGridLines="0" zoomScale="90" zoomScaleNormal="90" zoomScaleSheetLayoutView="100" zoomScalePageLayoutView="40" workbookViewId="0">
      <selection activeCell="H6" sqref="H6"/>
    </sheetView>
  </sheetViews>
  <sheetFormatPr defaultColWidth="9.140625" defaultRowHeight="15.75"/>
  <cols>
    <col min="1" max="1" width="12.140625" style="53" customWidth="1"/>
    <col min="2" max="2" width="42.7109375" style="53" customWidth="1"/>
    <col min="3" max="3" width="20.7109375" style="53" customWidth="1"/>
    <col min="4" max="4" width="13.7109375" style="53" customWidth="1"/>
    <col min="5" max="5" width="39.42578125" style="53" bestFit="1" customWidth="1"/>
    <col min="6" max="6" width="1.5703125" style="53" customWidth="1"/>
    <col min="7" max="7" width="3.7109375" style="53" customWidth="1"/>
    <col min="8" max="8" width="14.85546875" style="53" customWidth="1"/>
    <col min="9" max="10" width="9.140625" style="53" customWidth="1"/>
    <col min="11" max="11" width="5.42578125" style="53" customWidth="1"/>
    <col min="12" max="16384" width="9.140625" style="53"/>
  </cols>
  <sheetData>
    <row r="1" spans="1:11" ht="19.899999999999999" customHeight="1">
      <c r="A1" s="661" t="str">
        <f>Capa!A19</f>
        <v xml:space="preserve">ORÇAMENTO PARA ELABORAÇÃO DE PROJETOS DE SISTEMA DE ESGOTAMENTO SANITÁRIO </v>
      </c>
      <c r="B1" s="661"/>
      <c r="C1" s="661"/>
      <c r="D1" s="661"/>
      <c r="E1" s="661"/>
      <c r="F1" s="661"/>
      <c r="G1" s="661"/>
      <c r="H1" s="661"/>
      <c r="I1" s="56"/>
      <c r="J1" s="56"/>
      <c r="K1" s="56"/>
    </row>
    <row r="2" spans="1:11" ht="19.899999999999999" customHeight="1">
      <c r="A2" s="661"/>
      <c r="B2" s="661"/>
      <c r="C2" s="661"/>
      <c r="D2" s="661"/>
      <c r="E2" s="661"/>
      <c r="F2" s="661"/>
      <c r="G2" s="661"/>
      <c r="H2" s="661"/>
      <c r="I2" s="56"/>
      <c r="J2" s="56"/>
      <c r="K2" s="56"/>
    </row>
    <row r="3" spans="1:11" ht="19.899999999999999" customHeight="1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</row>
    <row r="4" spans="1:11" ht="19.899999999999999" customHeight="1">
      <c r="A4" s="59" t="s">
        <v>133</v>
      </c>
      <c r="B4" s="60"/>
      <c r="C4" s="60"/>
      <c r="F4" s="60"/>
      <c r="G4" s="62" t="s">
        <v>134</v>
      </c>
      <c r="H4" s="276">
        <f ca="1">Capa!C51</f>
        <v>46139</v>
      </c>
      <c r="I4" s="197"/>
    </row>
    <row r="5" spans="1:11" ht="19.899999999999999" customHeight="1">
      <c r="A5" s="59" t="s">
        <v>135</v>
      </c>
      <c r="B5" s="64" t="str">
        <f>Capa!B25</f>
        <v>CBH-SANTO ANTÔNIO</v>
      </c>
      <c r="C5" s="60"/>
      <c r="D5" s="60"/>
      <c r="E5" s="60"/>
      <c r="F5" s="60"/>
      <c r="G5" s="65"/>
      <c r="H5" s="66"/>
    </row>
    <row r="6" spans="1:11" ht="19.899999999999999" customHeight="1">
      <c r="A6" s="59" t="s">
        <v>136</v>
      </c>
      <c r="B6" s="64" t="str">
        <f>Capa!B30</f>
        <v>Açucena/MG</v>
      </c>
      <c r="C6" s="60"/>
      <c r="E6" s="60"/>
      <c r="F6" s="60"/>
      <c r="G6" s="61"/>
      <c r="H6" s="67"/>
    </row>
    <row r="7" spans="1:11" ht="19.899999999999999" customHeight="1"/>
    <row r="8" spans="1:11" ht="19.899999999999999" customHeight="1">
      <c r="A8" s="664" t="s">
        <v>137</v>
      </c>
      <c r="B8" s="664"/>
      <c r="C8" s="75" t="s">
        <v>138</v>
      </c>
      <c r="D8" s="75" t="s">
        <v>139</v>
      </c>
      <c r="E8" s="75" t="s">
        <v>140</v>
      </c>
      <c r="F8" s="68"/>
      <c r="G8" s="68" t="s">
        <v>141</v>
      </c>
      <c r="H8" s="69"/>
      <c r="I8" s="69"/>
      <c r="J8" s="69"/>
      <c r="K8" s="69"/>
    </row>
    <row r="9" spans="1:11" ht="28.5" customHeight="1">
      <c r="A9" s="665" t="s">
        <v>142</v>
      </c>
      <c r="B9" s="665"/>
      <c r="C9" s="513" t="s">
        <v>143</v>
      </c>
      <c r="D9" s="296"/>
      <c r="E9" s="296"/>
      <c r="F9" s="68"/>
      <c r="G9" s="267"/>
      <c r="H9" s="70" t="s">
        <v>144</v>
      </c>
      <c r="I9" s="69"/>
      <c r="J9" s="69"/>
      <c r="K9" s="69"/>
    </row>
    <row r="10" spans="1:11" ht="28.5" customHeight="1">
      <c r="A10" s="199" t="s">
        <v>145</v>
      </c>
      <c r="B10" s="199"/>
      <c r="C10" s="273">
        <v>8</v>
      </c>
      <c r="D10" s="200" t="s">
        <v>103</v>
      </c>
      <c r="E10" s="200" t="s">
        <v>146</v>
      </c>
      <c r="F10" s="68"/>
      <c r="G10" s="267"/>
      <c r="H10" s="70"/>
      <c r="I10" s="69"/>
      <c r="J10" s="69"/>
      <c r="K10" s="69"/>
    </row>
    <row r="11" spans="1:11" ht="19.899999999999999" customHeight="1">
      <c r="A11" s="667" t="s">
        <v>147</v>
      </c>
      <c r="B11" s="667"/>
      <c r="C11" s="575">
        <v>99.1</v>
      </c>
      <c r="D11" s="200" t="s">
        <v>148</v>
      </c>
      <c r="E11" s="200" t="s">
        <v>149</v>
      </c>
      <c r="F11" s="71"/>
      <c r="G11" s="270"/>
      <c r="H11" s="70" t="s">
        <v>150</v>
      </c>
      <c r="I11" s="69"/>
      <c r="J11" s="69"/>
      <c r="K11" s="69"/>
    </row>
    <row r="12" spans="1:11" ht="19.899999999999999" customHeight="1">
      <c r="A12" s="199" t="s">
        <v>151</v>
      </c>
      <c r="B12" s="199"/>
      <c r="C12" s="273">
        <v>8943</v>
      </c>
      <c r="D12" s="200" t="s">
        <v>152</v>
      </c>
      <c r="E12" s="200" t="s">
        <v>153</v>
      </c>
      <c r="F12" s="71"/>
      <c r="I12" s="69"/>
      <c r="J12" s="69"/>
      <c r="K12" s="69"/>
    </row>
    <row r="13" spans="1:11" ht="19.899999999999999" customHeight="1">
      <c r="A13" s="199" t="s">
        <v>154</v>
      </c>
      <c r="B13" s="199"/>
      <c r="C13" s="273">
        <v>6000</v>
      </c>
      <c r="D13" s="200" t="s">
        <v>152</v>
      </c>
      <c r="E13" s="200" t="s">
        <v>155</v>
      </c>
      <c r="F13" s="71"/>
      <c r="I13" s="69"/>
      <c r="J13" s="69"/>
      <c r="K13" s="69"/>
    </row>
    <row r="14" spans="1:11" ht="19.899999999999999" customHeight="1">
      <c r="A14" s="199" t="s">
        <v>156</v>
      </c>
      <c r="B14" s="199"/>
      <c r="C14" s="273">
        <v>6000</v>
      </c>
      <c r="D14" s="200" t="s">
        <v>152</v>
      </c>
      <c r="E14" s="200" t="s">
        <v>155</v>
      </c>
      <c r="F14" s="71"/>
      <c r="G14" s="69"/>
      <c r="H14" s="69"/>
      <c r="I14" s="69"/>
      <c r="J14" s="69"/>
      <c r="K14" s="69"/>
    </row>
    <row r="15" spans="1:11" ht="19.899999999999999" customHeight="1">
      <c r="A15" s="199" t="s">
        <v>157</v>
      </c>
      <c r="B15" s="199"/>
      <c r="C15" s="632">
        <v>2.59</v>
      </c>
      <c r="D15" s="200" t="s">
        <v>158</v>
      </c>
      <c r="E15" s="200" t="s">
        <v>159</v>
      </c>
      <c r="F15" s="71"/>
      <c r="G15" s="295"/>
      <c r="H15" s="69"/>
      <c r="I15" s="69"/>
      <c r="J15" s="69"/>
      <c r="K15" s="69"/>
    </row>
    <row r="16" spans="1:11" ht="19.899999999999999" customHeight="1">
      <c r="A16" s="199" t="s">
        <v>160</v>
      </c>
      <c r="B16" s="199"/>
      <c r="C16" s="631">
        <v>136.62</v>
      </c>
      <c r="D16" s="200" t="s">
        <v>161</v>
      </c>
      <c r="E16" s="200" t="s">
        <v>162</v>
      </c>
      <c r="F16" s="71"/>
      <c r="G16" s="295"/>
      <c r="H16" s="69"/>
      <c r="I16" s="69"/>
      <c r="J16" s="69"/>
      <c r="K16" s="69"/>
    </row>
    <row r="17" spans="1:11" ht="19.899999999999999" customHeight="1">
      <c r="A17" s="199" t="s">
        <v>163</v>
      </c>
      <c r="B17" s="199"/>
      <c r="C17" s="271">
        <v>2305</v>
      </c>
      <c r="D17" s="200" t="s">
        <v>164</v>
      </c>
      <c r="E17" s="200" t="s">
        <v>155</v>
      </c>
      <c r="F17" s="71"/>
      <c r="G17" s="69"/>
      <c r="H17" s="69"/>
      <c r="I17" s="69"/>
      <c r="J17" s="69"/>
      <c r="K17" s="69"/>
    </row>
    <row r="18" spans="1:11" ht="19.899999999999999" customHeight="1">
      <c r="A18" s="199" t="s">
        <v>165</v>
      </c>
      <c r="B18" s="199"/>
      <c r="C18" s="297">
        <v>0.438</v>
      </c>
      <c r="D18" s="200" t="s">
        <v>166</v>
      </c>
      <c r="E18" s="200" t="s">
        <v>155</v>
      </c>
      <c r="F18" s="71"/>
      <c r="G18" s="69"/>
      <c r="H18" s="69"/>
      <c r="I18" s="69"/>
      <c r="J18" s="69"/>
      <c r="K18" s="69"/>
    </row>
    <row r="19" spans="1:11" ht="19.899999999999999" customHeight="1">
      <c r="A19" s="199" t="s">
        <v>167</v>
      </c>
      <c r="B19" s="199"/>
      <c r="C19" s="272">
        <v>12.04</v>
      </c>
      <c r="D19" s="200" t="s">
        <v>168</v>
      </c>
      <c r="E19" s="200" t="s">
        <v>162</v>
      </c>
      <c r="F19" s="71"/>
      <c r="G19" s="69"/>
      <c r="H19" s="69"/>
      <c r="I19" s="69"/>
      <c r="J19" s="69"/>
      <c r="K19" s="69"/>
    </row>
    <row r="20" spans="1:11" ht="19.899999999999999" customHeight="1">
      <c r="A20" s="265" t="s">
        <v>169</v>
      </c>
      <c r="B20" s="558"/>
      <c r="C20" s="556">
        <f>((C16*C14*1.2*1.5)/86400)*0.8</f>
        <v>13.662000000000001</v>
      </c>
      <c r="D20" s="200" t="s">
        <v>170</v>
      </c>
      <c r="E20" s="200" t="s">
        <v>150</v>
      </c>
      <c r="F20" s="71"/>
      <c r="G20" s="295"/>
      <c r="H20" s="69"/>
      <c r="I20" s="69"/>
      <c r="J20" s="69"/>
      <c r="K20" s="69"/>
    </row>
    <row r="21" spans="1:11" ht="19.899999999999999" customHeight="1">
      <c r="A21" s="265" t="s">
        <v>171</v>
      </c>
      <c r="B21" s="558"/>
      <c r="C21" s="557">
        <f>C19*C17*0.8</f>
        <v>22201.759999999998</v>
      </c>
      <c r="D21" s="200" t="s">
        <v>172</v>
      </c>
      <c r="E21" s="200" t="s">
        <v>173</v>
      </c>
      <c r="F21" s="71"/>
      <c r="G21" s="69"/>
      <c r="H21" s="69"/>
      <c r="I21" s="69"/>
      <c r="J21" s="69"/>
      <c r="K21" s="69"/>
    </row>
    <row r="22" spans="1:11" ht="19.899999999999999" customHeight="1">
      <c r="A22" s="265" t="s">
        <v>174</v>
      </c>
      <c r="B22" s="558"/>
      <c r="C22" s="557">
        <f>C21*C18</f>
        <v>9724.3708799999986</v>
      </c>
      <c r="D22" s="200"/>
      <c r="E22" s="200" t="s">
        <v>150</v>
      </c>
      <c r="F22" s="71"/>
      <c r="G22" s="69"/>
      <c r="H22" s="69"/>
      <c r="I22" s="69"/>
      <c r="J22" s="69"/>
      <c r="K22" s="69"/>
    </row>
    <row r="23" spans="1:11" ht="19.899999999999999" customHeight="1">
      <c r="A23" s="265" t="s">
        <v>175</v>
      </c>
      <c r="B23" s="559"/>
      <c r="C23" s="514">
        <f>ROUNDUP(C21/120,0)</f>
        <v>186</v>
      </c>
      <c r="D23" s="200" t="s">
        <v>164</v>
      </c>
      <c r="E23" s="200" t="s">
        <v>150</v>
      </c>
      <c r="F23" s="71"/>
      <c r="G23" s="69"/>
      <c r="H23" s="69"/>
      <c r="I23" s="69"/>
      <c r="J23" s="69"/>
      <c r="K23" s="69"/>
    </row>
    <row r="24" spans="1:11" ht="19.899999999999999" customHeight="1">
      <c r="A24" s="265" t="s">
        <v>176</v>
      </c>
      <c r="B24" s="265"/>
      <c r="C24" s="514">
        <f>C22/1000</f>
        <v>9.7243708799999986</v>
      </c>
      <c r="D24" s="200" t="s">
        <v>177</v>
      </c>
      <c r="E24" s="200" t="s">
        <v>150</v>
      </c>
      <c r="F24" s="71"/>
      <c r="G24" s="69"/>
      <c r="H24" s="69"/>
      <c r="I24" s="69"/>
      <c r="J24" s="69"/>
      <c r="K24" s="69"/>
    </row>
    <row r="25" spans="1:11" ht="19.899999999999999" customHeight="1">
      <c r="A25" s="265" t="s">
        <v>178</v>
      </c>
      <c r="B25" s="265"/>
      <c r="C25" s="514">
        <f>C21/1000</f>
        <v>22.20176</v>
      </c>
      <c r="D25" s="200" t="s">
        <v>177</v>
      </c>
      <c r="E25" s="200" t="s">
        <v>150</v>
      </c>
      <c r="F25" s="68"/>
      <c r="G25" s="69"/>
      <c r="H25" s="69"/>
      <c r="I25" s="69"/>
      <c r="J25" s="69"/>
      <c r="K25" s="69"/>
    </row>
    <row r="26" spans="1:11" ht="19.899999999999999" customHeight="1">
      <c r="A26" s="666" t="s">
        <v>179</v>
      </c>
      <c r="B26" s="666"/>
      <c r="C26" s="666"/>
      <c r="D26" s="666"/>
      <c r="E26" s="666"/>
      <c r="F26" s="666"/>
      <c r="G26" s="666"/>
      <c r="H26" s="666"/>
    </row>
    <row r="27" spans="1:11" s="73" customFormat="1" ht="19.899999999999999" customHeight="1">
      <c r="A27" s="666"/>
      <c r="B27" s="666"/>
      <c r="C27" s="666"/>
      <c r="D27" s="666"/>
      <c r="E27" s="666"/>
      <c r="F27" s="666"/>
      <c r="G27" s="666"/>
      <c r="H27" s="666"/>
    </row>
    <row r="28" spans="1:11" ht="19.899999999999999" customHeight="1">
      <c r="A28" s="74"/>
      <c r="B28" s="74"/>
      <c r="C28" s="74"/>
      <c r="D28" s="74"/>
      <c r="E28" s="74"/>
    </row>
  </sheetData>
  <mergeCells count="5">
    <mergeCell ref="A8:B8"/>
    <mergeCell ref="A1:H2"/>
    <mergeCell ref="A9:B9"/>
    <mergeCell ref="A26:H27"/>
    <mergeCell ref="A11:B11"/>
  </mergeCells>
  <printOptions horizontalCentered="1"/>
  <pageMargins left="0.51181102362204722" right="0.51181102362204722" top="0.47244094488188981" bottom="0.78740157480314965" header="0.31496062992125984" footer="0.31496062992125984"/>
  <pageSetup paperSize="9" scale="93" fitToHeight="0" orientation="landscape" r:id="rId1"/>
  <cellWatches>
    <cellWatch r="C25"/>
  </cellWatche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-0.249977111117893"/>
    <pageSetUpPr fitToPage="1"/>
  </sheetPr>
  <dimension ref="A1:N74"/>
  <sheetViews>
    <sheetView showGridLines="0" view="pageBreakPreview" topLeftCell="B1" zoomScaleSheetLayoutView="100" workbookViewId="0">
      <selection sqref="A1:H2"/>
    </sheetView>
  </sheetViews>
  <sheetFormatPr defaultColWidth="9.140625" defaultRowHeight="15.75"/>
  <cols>
    <col min="1" max="1" width="11" style="89" customWidth="1"/>
    <col min="2" max="2" width="73.85546875" style="89" bestFit="1" customWidth="1"/>
    <col min="3" max="3" width="10.42578125" style="95" bestFit="1" customWidth="1"/>
    <col min="4" max="4" width="10.42578125" style="96" bestFit="1" customWidth="1"/>
    <col min="5" max="5" width="8.7109375" style="97" bestFit="1" customWidth="1"/>
    <col min="6" max="6" width="12.28515625" style="89" customWidth="1"/>
    <col min="7" max="7" width="9.140625" style="89"/>
    <col min="8" max="8" width="12.140625" style="89" customWidth="1"/>
    <col min="9" max="9" width="9.140625" style="89"/>
    <col min="10" max="10" width="10.5703125" style="89" bestFit="1" customWidth="1"/>
    <col min="11" max="11" width="9.28515625" style="89" bestFit="1" customWidth="1"/>
    <col min="12" max="12" width="11.140625" style="89" bestFit="1" customWidth="1"/>
    <col min="13" max="13" width="15.140625" style="89" bestFit="1" customWidth="1"/>
    <col min="14" max="14" width="54.28515625" style="89" bestFit="1" customWidth="1"/>
    <col min="15" max="15" width="15.140625" style="89" bestFit="1" customWidth="1"/>
    <col min="16" max="16" width="54.28515625" style="89" bestFit="1" customWidth="1"/>
    <col min="17" max="16384" width="9.140625" style="89"/>
  </cols>
  <sheetData>
    <row r="1" spans="1:8" ht="20.100000000000001" customHeight="1">
      <c r="A1" s="671" t="str">
        <f>Capa!A19</f>
        <v xml:space="preserve">ORÇAMENTO PARA ELABORAÇÃO DE PROJETOS DE SISTEMA DE ESGOTAMENTO SANITÁRIO </v>
      </c>
      <c r="B1" s="671"/>
      <c r="C1" s="671"/>
      <c r="D1" s="671"/>
      <c r="E1" s="671"/>
      <c r="F1" s="671"/>
      <c r="G1" s="671"/>
      <c r="H1" s="671"/>
    </row>
    <row r="2" spans="1:8" ht="20.100000000000001" customHeight="1">
      <c r="A2" s="671"/>
      <c r="B2" s="671"/>
      <c r="C2" s="671"/>
      <c r="D2" s="671"/>
      <c r="E2" s="671"/>
      <c r="F2" s="671"/>
      <c r="G2" s="671"/>
      <c r="H2" s="671"/>
    </row>
    <row r="3" spans="1:8" ht="20.100000000000001" customHeight="1">
      <c r="A3" s="52"/>
      <c r="B3" s="52"/>
      <c r="C3" s="72"/>
      <c r="D3" s="72"/>
      <c r="E3" s="72"/>
      <c r="F3" s="72"/>
      <c r="G3" s="72"/>
      <c r="H3" s="72"/>
    </row>
    <row r="4" spans="1:8" ht="20.100000000000001" customHeight="1">
      <c r="A4" s="80" t="s">
        <v>180</v>
      </c>
      <c r="B4" s="80"/>
      <c r="C4" s="81"/>
      <c r="D4" s="53"/>
      <c r="E4" s="81"/>
      <c r="F4" s="81"/>
      <c r="G4" s="82" t="s">
        <v>134</v>
      </c>
      <c r="H4" s="63">
        <f ca="1">'Dados Básicos do município'!H4</f>
        <v>46139</v>
      </c>
    </row>
    <row r="5" spans="1:8" ht="20.100000000000001" customHeight="1">
      <c r="A5" s="80" t="s">
        <v>135</v>
      </c>
      <c r="B5" s="83" t="str">
        <f>'Dados Básicos do município'!B5</f>
        <v>CBH-SANTO ANTÔNIO</v>
      </c>
      <c r="C5" s="89"/>
      <c r="D5" s="53"/>
      <c r="E5" s="81"/>
      <c r="F5" s="81"/>
      <c r="G5" s="81"/>
      <c r="H5" s="81"/>
    </row>
    <row r="6" spans="1:8" ht="20.100000000000001" customHeight="1">
      <c r="A6" s="80" t="s">
        <v>136</v>
      </c>
      <c r="B6" s="83" t="str">
        <f>'Dados Básicos do município'!B6</f>
        <v>Açucena/MG</v>
      </c>
      <c r="C6" s="89"/>
      <c r="D6" s="53"/>
      <c r="E6" s="81"/>
      <c r="G6" s="81"/>
      <c r="H6" s="81"/>
    </row>
    <row r="7" spans="1:8" ht="15" customHeight="1">
      <c r="A7" s="80"/>
      <c r="B7" s="80"/>
      <c r="C7" s="83"/>
      <c r="D7" s="53"/>
      <c r="E7" s="81"/>
      <c r="F7" s="81"/>
      <c r="G7" s="81"/>
      <c r="H7" s="81"/>
    </row>
    <row r="8" spans="1:8" ht="20.100000000000001" customHeight="1">
      <c r="A8" s="98" t="s">
        <v>181</v>
      </c>
      <c r="B8" s="100" t="s">
        <v>182</v>
      </c>
      <c r="C8" s="99" t="s">
        <v>183</v>
      </c>
      <c r="D8" s="99" t="s">
        <v>139</v>
      </c>
      <c r="E8" s="673" t="s">
        <v>184</v>
      </c>
      <c r="F8" s="673"/>
      <c r="G8" s="673"/>
      <c r="H8" s="673"/>
    </row>
    <row r="9" spans="1:8" ht="5.0999999999999996" customHeight="1">
      <c r="A9" s="90"/>
      <c r="B9" s="90"/>
      <c r="C9" s="91"/>
      <c r="D9" s="92"/>
      <c r="E9" s="93"/>
      <c r="F9" s="90"/>
      <c r="G9" s="90"/>
      <c r="H9" s="90"/>
    </row>
    <row r="10" spans="1:8" ht="20.100000000000001" customHeight="1">
      <c r="A10" s="201">
        <v>1</v>
      </c>
      <c r="B10" s="201" t="s">
        <v>185</v>
      </c>
      <c r="C10" s="107">
        <f>C17</f>
        <v>116.57142857142857</v>
      </c>
      <c r="D10" s="206"/>
      <c r="E10" s="206"/>
      <c r="F10" s="207"/>
      <c r="G10" s="207"/>
      <c r="H10" s="207"/>
    </row>
    <row r="11" spans="1:8" ht="20.100000000000001" customHeight="1">
      <c r="A11" s="202" t="s">
        <v>29</v>
      </c>
      <c r="B11" s="303" t="s">
        <v>186</v>
      </c>
      <c r="C11" s="102">
        <v>366</v>
      </c>
      <c r="D11" s="208" t="s">
        <v>187</v>
      </c>
      <c r="E11" s="203" t="s">
        <v>188</v>
      </c>
      <c r="F11" s="209"/>
      <c r="G11" s="209"/>
      <c r="H11" s="209"/>
    </row>
    <row r="12" spans="1:8" ht="20.100000000000001" customHeight="1">
      <c r="A12" s="202" t="s">
        <v>31</v>
      </c>
      <c r="B12" s="302" t="s">
        <v>189</v>
      </c>
      <c r="C12" s="102">
        <v>7</v>
      </c>
      <c r="D12" s="208" t="s">
        <v>187</v>
      </c>
      <c r="E12" s="203" t="s">
        <v>188</v>
      </c>
      <c r="F12" s="209"/>
      <c r="G12" s="209"/>
      <c r="H12" s="209"/>
    </row>
    <row r="13" spans="1:8" ht="20.100000000000001" customHeight="1">
      <c r="A13" s="202" t="s">
        <v>33</v>
      </c>
      <c r="B13" s="203" t="s">
        <v>190</v>
      </c>
      <c r="C13" s="102">
        <v>2</v>
      </c>
      <c r="D13" s="208" t="s">
        <v>187</v>
      </c>
      <c r="E13" s="203" t="s">
        <v>188</v>
      </c>
      <c r="F13" s="209"/>
      <c r="G13" s="209"/>
      <c r="H13" s="209"/>
    </row>
    <row r="14" spans="1:8" ht="20.100000000000001" customHeight="1">
      <c r="A14" s="202" t="s">
        <v>35</v>
      </c>
      <c r="B14" s="203" t="s">
        <v>191</v>
      </c>
      <c r="C14" s="103">
        <f>C11/C12</f>
        <v>52.285714285714285</v>
      </c>
      <c r="D14" s="208" t="s">
        <v>192</v>
      </c>
      <c r="E14" s="203" t="s">
        <v>150</v>
      </c>
      <c r="F14" s="209" t="s">
        <v>193</v>
      </c>
      <c r="G14" s="209"/>
      <c r="H14" s="209"/>
    </row>
    <row r="15" spans="1:8" ht="20.100000000000001" customHeight="1">
      <c r="A15" s="202" t="s">
        <v>37</v>
      </c>
      <c r="B15" s="203" t="s">
        <v>194</v>
      </c>
      <c r="C15" s="103">
        <f>C14*2</f>
        <v>104.57142857142857</v>
      </c>
      <c r="D15" s="208" t="s">
        <v>187</v>
      </c>
      <c r="E15" s="203" t="s">
        <v>150</v>
      </c>
      <c r="F15" s="209" t="s">
        <v>195</v>
      </c>
      <c r="G15" s="209"/>
      <c r="H15" s="209"/>
    </row>
    <row r="16" spans="1:8" ht="20.100000000000001" customHeight="1">
      <c r="A16" s="202" t="s">
        <v>39</v>
      </c>
      <c r="B16" s="203" t="s">
        <v>196</v>
      </c>
      <c r="C16" s="102">
        <v>12</v>
      </c>
      <c r="D16" s="208" t="s">
        <v>187</v>
      </c>
      <c r="E16" s="210"/>
      <c r="F16" s="211"/>
      <c r="G16" s="211"/>
      <c r="H16" s="211"/>
    </row>
    <row r="17" spans="1:8" ht="20.100000000000001" customHeight="1">
      <c r="A17" s="202" t="s">
        <v>41</v>
      </c>
      <c r="B17" s="203" t="s">
        <v>197</v>
      </c>
      <c r="C17" s="108">
        <f>C15+C16</f>
        <v>116.57142857142857</v>
      </c>
      <c r="D17" s="208" t="s">
        <v>187</v>
      </c>
      <c r="E17" s="203" t="s">
        <v>150</v>
      </c>
      <c r="F17" s="209" t="s">
        <v>198</v>
      </c>
      <c r="G17" s="209"/>
      <c r="H17" s="209"/>
    </row>
    <row r="18" spans="1:8" ht="5.0999999999999996" customHeight="1">
      <c r="A18" s="202"/>
      <c r="B18" s="202"/>
      <c r="C18" s="91"/>
      <c r="D18" s="208"/>
      <c r="E18" s="203"/>
      <c r="F18" s="209"/>
      <c r="G18" s="209"/>
      <c r="H18" s="209"/>
    </row>
    <row r="19" spans="1:8" ht="20.100000000000001" customHeight="1">
      <c r="A19" s="201">
        <v>2</v>
      </c>
      <c r="B19" s="201" t="s">
        <v>199</v>
      </c>
      <c r="C19" s="107">
        <f>C24</f>
        <v>166.28571428571431</v>
      </c>
      <c r="D19" s="206"/>
      <c r="E19" s="206"/>
      <c r="F19" s="207"/>
      <c r="G19" s="207"/>
      <c r="H19" s="207"/>
    </row>
    <row r="20" spans="1:8" ht="20.100000000000001" customHeight="1">
      <c r="A20" s="202" t="s">
        <v>47</v>
      </c>
      <c r="B20" s="203" t="s">
        <v>200</v>
      </c>
      <c r="C20" s="103">
        <f>C11-C17</f>
        <v>249.42857142857144</v>
      </c>
      <c r="D20" s="208" t="s">
        <v>187</v>
      </c>
      <c r="E20" s="203" t="s">
        <v>150</v>
      </c>
      <c r="F20" s="209" t="s">
        <v>201</v>
      </c>
      <c r="G20" s="209"/>
      <c r="H20" s="209"/>
    </row>
    <row r="21" spans="1:8" ht="20.100000000000001" customHeight="1">
      <c r="A21" s="202" t="s">
        <v>48</v>
      </c>
      <c r="B21" s="203" t="s">
        <v>202</v>
      </c>
      <c r="C21" s="102">
        <v>8</v>
      </c>
      <c r="D21" s="208" t="s">
        <v>203</v>
      </c>
      <c r="E21" s="203" t="s">
        <v>188</v>
      </c>
      <c r="F21" s="209" t="s">
        <v>204</v>
      </c>
      <c r="G21" s="209"/>
      <c r="H21" s="209"/>
    </row>
    <row r="22" spans="1:8" ht="20.100000000000001" customHeight="1">
      <c r="A22" s="202" t="s">
        <v>49</v>
      </c>
      <c r="B22" s="203" t="s">
        <v>205</v>
      </c>
      <c r="C22" s="103">
        <f>C20*C21</f>
        <v>1995.4285714285716</v>
      </c>
      <c r="D22" s="208" t="s">
        <v>203</v>
      </c>
      <c r="E22" s="203" t="s">
        <v>150</v>
      </c>
      <c r="F22" s="209" t="s">
        <v>206</v>
      </c>
      <c r="G22" s="209"/>
      <c r="H22" s="209"/>
    </row>
    <row r="23" spans="1:8" ht="20.100000000000001" customHeight="1">
      <c r="A23" s="202" t="s">
        <v>50</v>
      </c>
      <c r="B23" s="203" t="s">
        <v>207</v>
      </c>
      <c r="C23" s="102">
        <v>12</v>
      </c>
      <c r="D23" s="208" t="s">
        <v>103</v>
      </c>
      <c r="E23" s="203" t="s">
        <v>188</v>
      </c>
      <c r="F23" s="209"/>
      <c r="G23" s="209"/>
      <c r="H23" s="209"/>
    </row>
    <row r="24" spans="1:8" ht="20.100000000000001" customHeight="1">
      <c r="A24" s="202" t="s">
        <v>51</v>
      </c>
      <c r="B24" s="203" t="s">
        <v>208</v>
      </c>
      <c r="C24" s="108">
        <f>C22/C23</f>
        <v>166.28571428571431</v>
      </c>
      <c r="D24" s="208" t="s">
        <v>203</v>
      </c>
      <c r="E24" s="203" t="s">
        <v>150</v>
      </c>
      <c r="F24" s="209" t="s">
        <v>209</v>
      </c>
      <c r="G24" s="209"/>
      <c r="H24" s="209"/>
    </row>
    <row r="25" spans="1:8" ht="5.0999999999999996" customHeight="1">
      <c r="A25" s="202"/>
      <c r="B25" s="203"/>
      <c r="C25" s="91"/>
      <c r="D25" s="208"/>
      <c r="E25" s="203"/>
      <c r="F25" s="209"/>
      <c r="G25" s="209"/>
      <c r="H25" s="209"/>
    </row>
    <row r="26" spans="1:8" ht="20.100000000000001" customHeight="1">
      <c r="A26" s="201">
        <v>3</v>
      </c>
      <c r="B26" s="201" t="s">
        <v>210</v>
      </c>
      <c r="C26" s="107">
        <f>C27+C29+C31+C35+C40</f>
        <v>202.5311475409836</v>
      </c>
      <c r="D26" s="212" t="s">
        <v>211</v>
      </c>
      <c r="E26" s="212"/>
      <c r="F26" s="209" t="s">
        <v>212</v>
      </c>
      <c r="G26" s="209"/>
      <c r="H26" s="209"/>
    </row>
    <row r="27" spans="1:8" ht="20.100000000000001" customHeight="1">
      <c r="A27" s="204" t="s">
        <v>59</v>
      </c>
      <c r="B27" s="201" t="s">
        <v>213</v>
      </c>
      <c r="C27" s="105">
        <f>C21*(C28-((C28/C12)+(C28/C12)+(C28*(C16/C11))))</f>
        <v>163.55971896955504</v>
      </c>
      <c r="D27" s="208" t="s">
        <v>203</v>
      </c>
      <c r="E27" s="203" t="s">
        <v>150</v>
      </c>
      <c r="F27" s="209"/>
      <c r="G27" s="209"/>
      <c r="H27" s="209"/>
    </row>
    <row r="28" spans="1:8" ht="20.100000000000001" customHeight="1">
      <c r="A28" s="205" t="s">
        <v>214</v>
      </c>
      <c r="B28" s="203" t="s">
        <v>215</v>
      </c>
      <c r="C28" s="102">
        <v>30</v>
      </c>
      <c r="D28" s="208" t="s">
        <v>216</v>
      </c>
      <c r="E28" s="203" t="s">
        <v>188</v>
      </c>
      <c r="F28" s="209"/>
      <c r="G28" s="209"/>
      <c r="H28" s="209"/>
    </row>
    <row r="29" spans="1:8" ht="20.100000000000001" customHeight="1">
      <c r="A29" s="204" t="s">
        <v>60</v>
      </c>
      <c r="B29" s="201" t="s">
        <v>217</v>
      </c>
      <c r="C29" s="106">
        <f>C30*C21</f>
        <v>24</v>
      </c>
      <c r="D29" s="208" t="s">
        <v>203</v>
      </c>
      <c r="E29" s="203" t="s">
        <v>150</v>
      </c>
      <c r="F29" s="209" t="s">
        <v>218</v>
      </c>
      <c r="G29" s="209"/>
      <c r="H29" s="209"/>
    </row>
    <row r="30" spans="1:8" ht="20.100000000000001" customHeight="1">
      <c r="A30" s="205" t="s">
        <v>219</v>
      </c>
      <c r="B30" s="203" t="s">
        <v>220</v>
      </c>
      <c r="C30" s="102">
        <v>3</v>
      </c>
      <c r="D30" s="208" t="s">
        <v>216</v>
      </c>
      <c r="E30" s="208" t="s">
        <v>188</v>
      </c>
      <c r="F30" s="209"/>
      <c r="G30" s="209"/>
      <c r="H30" s="209"/>
    </row>
    <row r="31" spans="1:8" ht="20.100000000000001" customHeight="1">
      <c r="A31" s="204" t="s">
        <v>61</v>
      </c>
      <c r="B31" s="201" t="s">
        <v>221</v>
      </c>
      <c r="C31" s="105">
        <f>C21*(C33-C34)*(C32/100)</f>
        <v>8.571428571428573</v>
      </c>
      <c r="D31" s="208" t="s">
        <v>203</v>
      </c>
      <c r="E31" s="203" t="s">
        <v>150</v>
      </c>
      <c r="F31" s="209" t="s">
        <v>222</v>
      </c>
      <c r="G31" s="209"/>
      <c r="H31" s="209"/>
    </row>
    <row r="32" spans="1:8" ht="20.100000000000001" customHeight="1">
      <c r="A32" s="205" t="s">
        <v>223</v>
      </c>
      <c r="B32" s="203" t="s">
        <v>224</v>
      </c>
      <c r="C32" s="102">
        <v>10</v>
      </c>
      <c r="D32" s="208" t="s">
        <v>166</v>
      </c>
      <c r="E32" s="203" t="s">
        <v>188</v>
      </c>
      <c r="F32" s="209"/>
      <c r="G32" s="209"/>
      <c r="H32" s="209"/>
    </row>
    <row r="33" spans="1:8" ht="20.100000000000001" customHeight="1">
      <c r="A33" s="205" t="s">
        <v>225</v>
      </c>
      <c r="B33" s="203" t="s">
        <v>226</v>
      </c>
      <c r="C33" s="102">
        <v>15</v>
      </c>
      <c r="D33" s="208" t="s">
        <v>216</v>
      </c>
      <c r="E33" s="203" t="s">
        <v>188</v>
      </c>
      <c r="F33" s="209" t="s">
        <v>227</v>
      </c>
      <c r="G33" s="209"/>
      <c r="H33" s="209"/>
    </row>
    <row r="34" spans="1:8" ht="20.100000000000001" customHeight="1">
      <c r="A34" s="205" t="s">
        <v>228</v>
      </c>
      <c r="B34" s="203" t="s">
        <v>229</v>
      </c>
      <c r="C34" s="103">
        <f>(C33/C12)*C13</f>
        <v>4.2857142857142856</v>
      </c>
      <c r="D34" s="208" t="s">
        <v>216</v>
      </c>
      <c r="E34" s="203" t="s">
        <v>150</v>
      </c>
      <c r="F34" s="209" t="s">
        <v>230</v>
      </c>
      <c r="G34" s="209"/>
      <c r="H34" s="209"/>
    </row>
    <row r="35" spans="1:8" ht="20.100000000000001" customHeight="1">
      <c r="A35" s="204" t="s">
        <v>62</v>
      </c>
      <c r="B35" s="201" t="s">
        <v>231</v>
      </c>
      <c r="C35" s="105">
        <f>C36*C21*(C38/100)*(C39/100)*(C23/C37)</f>
        <v>3.2</v>
      </c>
      <c r="D35" s="208" t="s">
        <v>203</v>
      </c>
      <c r="E35" s="203" t="s">
        <v>150</v>
      </c>
      <c r="F35" s="209" t="s">
        <v>232</v>
      </c>
      <c r="G35" s="209"/>
      <c r="H35" s="209"/>
    </row>
    <row r="36" spans="1:8" ht="20.100000000000001" customHeight="1">
      <c r="A36" s="205" t="s">
        <v>233</v>
      </c>
      <c r="B36" s="203" t="s">
        <v>234</v>
      </c>
      <c r="C36" s="104">
        <f>C12-C13</f>
        <v>5</v>
      </c>
      <c r="D36" s="208" t="s">
        <v>216</v>
      </c>
      <c r="E36" s="203" t="s">
        <v>150</v>
      </c>
      <c r="F36" s="209" t="s">
        <v>235</v>
      </c>
      <c r="G36" s="209" t="s">
        <v>236</v>
      </c>
      <c r="H36" s="209"/>
    </row>
    <row r="37" spans="1:8" ht="20.100000000000001" customHeight="1">
      <c r="A37" s="205" t="s">
        <v>237</v>
      </c>
      <c r="B37" s="203" t="s">
        <v>238</v>
      </c>
      <c r="C37" s="102">
        <v>24</v>
      </c>
      <c r="D37" s="208" t="s">
        <v>103</v>
      </c>
      <c r="E37" s="203" t="s">
        <v>188</v>
      </c>
      <c r="F37" s="209"/>
      <c r="G37" s="209"/>
      <c r="H37" s="209"/>
    </row>
    <row r="38" spans="1:8" ht="20.100000000000001" customHeight="1">
      <c r="A38" s="205" t="s">
        <v>239</v>
      </c>
      <c r="B38" s="203" t="s">
        <v>240</v>
      </c>
      <c r="C38" s="102">
        <v>80</v>
      </c>
      <c r="D38" s="208" t="s">
        <v>166</v>
      </c>
      <c r="E38" s="203" t="s">
        <v>188</v>
      </c>
      <c r="F38" s="209"/>
      <c r="G38" s="209"/>
      <c r="H38" s="209"/>
    </row>
    <row r="39" spans="1:8" ht="20.100000000000001" customHeight="1">
      <c r="A39" s="205" t="s">
        <v>241</v>
      </c>
      <c r="B39" s="203" t="s">
        <v>242</v>
      </c>
      <c r="C39" s="102">
        <v>20</v>
      </c>
      <c r="D39" s="208" t="s">
        <v>166</v>
      </c>
      <c r="E39" s="203" t="s">
        <v>188</v>
      </c>
      <c r="F39" s="209"/>
      <c r="G39" s="209"/>
      <c r="H39" s="209"/>
    </row>
    <row r="40" spans="1:8" ht="20.100000000000001" customHeight="1">
      <c r="A40" s="204" t="s">
        <v>63</v>
      </c>
      <c r="B40" s="201" t="s">
        <v>243</v>
      </c>
      <c r="C40" s="105">
        <f>C41*C21*(C42/100)*(C43/100)</f>
        <v>3.2</v>
      </c>
      <c r="D40" s="208" t="s">
        <v>203</v>
      </c>
      <c r="E40" s="203" t="s">
        <v>150</v>
      </c>
      <c r="F40" s="209" t="s">
        <v>244</v>
      </c>
      <c r="G40" s="209"/>
      <c r="H40" s="209"/>
    </row>
    <row r="41" spans="1:8" ht="20.100000000000001" customHeight="1">
      <c r="A41" s="205" t="s">
        <v>245</v>
      </c>
      <c r="B41" s="203" t="s">
        <v>246</v>
      </c>
      <c r="C41" s="102">
        <v>5</v>
      </c>
      <c r="D41" s="208" t="s">
        <v>216</v>
      </c>
      <c r="E41" s="203" t="s">
        <v>188</v>
      </c>
      <c r="F41" s="209"/>
      <c r="G41" s="209"/>
      <c r="H41" s="209"/>
    </row>
    <row r="42" spans="1:8" ht="20.100000000000001" customHeight="1">
      <c r="A42" s="205" t="s">
        <v>247</v>
      </c>
      <c r="B42" s="203" t="s">
        <v>248</v>
      </c>
      <c r="C42" s="102">
        <v>80</v>
      </c>
      <c r="D42" s="208" t="s">
        <v>166</v>
      </c>
      <c r="E42" s="203" t="s">
        <v>188</v>
      </c>
      <c r="F42" s="209"/>
      <c r="G42" s="209"/>
      <c r="H42" s="209"/>
    </row>
    <row r="43" spans="1:8" ht="20.100000000000001" customHeight="1">
      <c r="A43" s="205" t="s">
        <v>249</v>
      </c>
      <c r="B43" s="203" t="s">
        <v>250</v>
      </c>
      <c r="C43" s="109">
        <v>10</v>
      </c>
      <c r="D43" s="208" t="s">
        <v>166</v>
      </c>
      <c r="E43" s="203" t="s">
        <v>188</v>
      </c>
      <c r="F43" s="209"/>
      <c r="G43" s="209"/>
      <c r="H43" s="209"/>
    </row>
    <row r="44" spans="1:8" ht="5.0999999999999996" customHeight="1">
      <c r="A44" s="202"/>
      <c r="B44" s="202"/>
      <c r="C44" s="91"/>
      <c r="D44" s="208"/>
      <c r="E44" s="203"/>
      <c r="F44" s="202"/>
      <c r="G44" s="202"/>
      <c r="H44" s="202"/>
    </row>
    <row r="45" spans="1:8" ht="20.100000000000001" customHeight="1">
      <c r="A45" s="201">
        <v>4</v>
      </c>
      <c r="B45" s="201" t="s">
        <v>251</v>
      </c>
      <c r="C45" s="101">
        <v>5</v>
      </c>
      <c r="D45" s="213" t="s">
        <v>211</v>
      </c>
      <c r="E45" s="203" t="s">
        <v>188</v>
      </c>
      <c r="F45" s="202"/>
      <c r="G45" s="202"/>
      <c r="H45" s="202"/>
    </row>
    <row r="46" spans="1:8" ht="5.0999999999999996" customHeight="1">
      <c r="A46" s="90"/>
      <c r="B46" s="90"/>
      <c r="C46" s="91"/>
      <c r="D46" s="92"/>
      <c r="E46" s="93"/>
      <c r="F46" s="90"/>
      <c r="G46" s="90"/>
      <c r="H46" s="90"/>
    </row>
    <row r="47" spans="1:8" ht="20.100000000000001" customHeight="1">
      <c r="A47" s="85" t="s">
        <v>252</v>
      </c>
      <c r="B47" s="86" t="s">
        <v>253</v>
      </c>
      <c r="C47" s="84">
        <f>C26+C45</f>
        <v>207.5311475409836</v>
      </c>
      <c r="D47" s="87" t="s">
        <v>211</v>
      </c>
      <c r="E47" s="88" t="s">
        <v>150</v>
      </c>
      <c r="F47" s="672" t="s">
        <v>254</v>
      </c>
      <c r="G47" s="672"/>
      <c r="H47" s="672"/>
    </row>
    <row r="48" spans="1:8" ht="20.100000000000001" customHeight="1">
      <c r="A48" s="85" t="s">
        <v>255</v>
      </c>
      <c r="B48" s="86" t="s">
        <v>256</v>
      </c>
      <c r="C48" s="84">
        <f>C22-C47</f>
        <v>1787.897423887588</v>
      </c>
      <c r="D48" s="87" t="s">
        <v>211</v>
      </c>
      <c r="E48" s="88" t="s">
        <v>150</v>
      </c>
      <c r="F48" s="672" t="s">
        <v>257</v>
      </c>
      <c r="G48" s="672"/>
      <c r="H48" s="672"/>
    </row>
    <row r="49" spans="1:14" ht="20.100000000000001" customHeight="1">
      <c r="A49" s="85" t="s">
        <v>258</v>
      </c>
      <c r="B49" s="86" t="s">
        <v>259</v>
      </c>
      <c r="C49" s="84">
        <f>C48/C23</f>
        <v>148.99145199063233</v>
      </c>
      <c r="D49" s="87" t="s">
        <v>260</v>
      </c>
      <c r="E49" s="88" t="s">
        <v>150</v>
      </c>
      <c r="F49" s="672" t="s">
        <v>261</v>
      </c>
      <c r="G49" s="672"/>
      <c r="H49" s="672"/>
    </row>
    <row r="50" spans="1:14" ht="20.100000000000001" customHeight="1">
      <c r="A50" s="90"/>
      <c r="B50" s="90"/>
      <c r="C50" s="94"/>
      <c r="D50" s="92"/>
      <c r="E50" s="90"/>
      <c r="F50" s="90"/>
      <c r="G50" s="90"/>
      <c r="H50" s="90"/>
      <c r="J50" s="668" t="s">
        <v>262</v>
      </c>
      <c r="K50" s="669"/>
      <c r="L50" s="669"/>
      <c r="M50" s="669"/>
      <c r="N50" s="670"/>
    </row>
    <row r="51" spans="1:14" ht="20.100000000000001" customHeight="1">
      <c r="A51" s="90"/>
      <c r="B51" s="90"/>
      <c r="C51" s="94"/>
      <c r="D51" s="90"/>
      <c r="E51" s="90"/>
      <c r="F51" s="90"/>
      <c r="G51" s="90"/>
      <c r="H51" s="90"/>
      <c r="J51" s="280" t="s">
        <v>263</v>
      </c>
      <c r="K51" s="280" t="s">
        <v>264</v>
      </c>
      <c r="L51" s="280" t="s">
        <v>265</v>
      </c>
      <c r="M51" s="280" t="s">
        <v>266</v>
      </c>
      <c r="N51" s="280" t="s">
        <v>267</v>
      </c>
    </row>
    <row r="52" spans="1:14" ht="20.100000000000001" customHeight="1">
      <c r="A52" s="90"/>
      <c r="B52" s="90"/>
      <c r="C52" s="91"/>
      <c r="D52" s="90"/>
      <c r="E52" s="90"/>
      <c r="F52" s="90"/>
      <c r="G52" s="90"/>
      <c r="H52" s="90"/>
      <c r="J52" s="281">
        <v>1</v>
      </c>
      <c r="K52" s="281"/>
      <c r="L52" s="282">
        <v>44197</v>
      </c>
      <c r="M52" s="283" t="s">
        <v>268</v>
      </c>
      <c r="N52" s="283" t="s">
        <v>269</v>
      </c>
    </row>
    <row r="53" spans="1:14" ht="20.100000000000001" customHeight="1">
      <c r="A53" s="90"/>
      <c r="B53" s="90"/>
      <c r="C53" s="91"/>
      <c r="D53" s="90"/>
      <c r="E53" s="90"/>
      <c r="F53" s="90"/>
      <c r="G53" s="90"/>
      <c r="H53" s="90"/>
      <c r="J53" s="281"/>
      <c r="K53" s="281">
        <v>1</v>
      </c>
      <c r="L53" s="282">
        <v>44226</v>
      </c>
      <c r="M53" s="290" t="s">
        <v>270</v>
      </c>
      <c r="N53" s="283" t="s">
        <v>271</v>
      </c>
    </row>
    <row r="54" spans="1:14" ht="20.100000000000001" customHeight="1">
      <c r="A54" s="90"/>
      <c r="B54" s="90"/>
      <c r="C54" s="91"/>
      <c r="D54" s="90"/>
      <c r="E54" s="90"/>
      <c r="F54" s="90"/>
      <c r="G54" s="90"/>
      <c r="H54" s="90"/>
      <c r="J54" s="284">
        <v>1</v>
      </c>
      <c r="K54" s="284"/>
      <c r="L54" s="285">
        <v>44242</v>
      </c>
      <c r="M54" s="286" t="s">
        <v>272</v>
      </c>
      <c r="N54" s="286" t="s">
        <v>273</v>
      </c>
    </row>
    <row r="55" spans="1:14" ht="20.100000000000001" customHeight="1">
      <c r="A55" s="90"/>
      <c r="B55" s="90"/>
      <c r="C55" s="91"/>
      <c r="D55" s="90"/>
      <c r="E55" s="90"/>
      <c r="F55" s="90"/>
      <c r="G55" s="90"/>
      <c r="H55" s="90"/>
      <c r="J55" s="284">
        <v>1</v>
      </c>
      <c r="K55" s="284"/>
      <c r="L55" s="285">
        <v>44243</v>
      </c>
      <c r="M55" s="286" t="s">
        <v>274</v>
      </c>
      <c r="N55" s="286" t="s">
        <v>273</v>
      </c>
    </row>
    <row r="56" spans="1:14" ht="20.100000000000001" customHeight="1">
      <c r="A56" s="90"/>
      <c r="B56" s="90"/>
      <c r="C56" s="91"/>
      <c r="D56" s="90"/>
      <c r="E56" s="90"/>
      <c r="F56" s="90"/>
      <c r="G56" s="90"/>
      <c r="H56" s="90"/>
      <c r="J56" s="284">
        <v>1</v>
      </c>
      <c r="K56" s="287"/>
      <c r="L56" s="285">
        <v>44288</v>
      </c>
      <c r="M56" s="286" t="s">
        <v>268</v>
      </c>
      <c r="N56" s="286" t="s">
        <v>275</v>
      </c>
    </row>
    <row r="57" spans="1:14" ht="20.100000000000001" customHeight="1">
      <c r="A57" s="90"/>
      <c r="B57" s="90"/>
      <c r="C57" s="91"/>
      <c r="D57" s="90"/>
      <c r="E57" s="90"/>
      <c r="F57" s="90"/>
      <c r="G57" s="90"/>
      <c r="H57" s="90"/>
      <c r="J57" s="284">
        <v>1</v>
      </c>
      <c r="K57" s="284"/>
      <c r="L57" s="285">
        <v>44307</v>
      </c>
      <c r="M57" s="286" t="s">
        <v>276</v>
      </c>
      <c r="N57" s="286" t="s">
        <v>277</v>
      </c>
    </row>
    <row r="58" spans="1:14" ht="20.100000000000001" customHeight="1">
      <c r="D58" s="89"/>
      <c r="E58" s="89"/>
      <c r="J58" s="284">
        <v>1</v>
      </c>
      <c r="K58" s="284"/>
      <c r="L58" s="285">
        <v>43952</v>
      </c>
      <c r="M58" s="290" t="s">
        <v>278</v>
      </c>
      <c r="N58" s="286" t="s">
        <v>279</v>
      </c>
    </row>
    <row r="59" spans="1:14" ht="20.100000000000001" customHeight="1">
      <c r="D59" s="89"/>
      <c r="E59" s="89"/>
      <c r="J59" s="284">
        <v>1</v>
      </c>
      <c r="K59" s="284"/>
      <c r="L59" s="285">
        <v>44350</v>
      </c>
      <c r="M59" s="286" t="s">
        <v>280</v>
      </c>
      <c r="N59" s="286" t="s">
        <v>281</v>
      </c>
    </row>
    <row r="60" spans="1:14" ht="20.100000000000001" customHeight="1">
      <c r="D60" s="89"/>
      <c r="E60" s="89"/>
      <c r="J60" s="284"/>
      <c r="K60" s="284">
        <v>1</v>
      </c>
      <c r="L60" s="285">
        <v>44360</v>
      </c>
      <c r="M60" s="289" t="s">
        <v>282</v>
      </c>
      <c r="N60" s="286" t="s">
        <v>283</v>
      </c>
    </row>
    <row r="61" spans="1:14" ht="20.100000000000001" customHeight="1">
      <c r="D61" s="89"/>
      <c r="E61" s="89"/>
      <c r="J61" s="284">
        <v>1</v>
      </c>
      <c r="K61" s="284"/>
      <c r="L61" s="285">
        <v>44446</v>
      </c>
      <c r="M61" s="286" t="s">
        <v>274</v>
      </c>
      <c r="N61" s="286" t="s">
        <v>284</v>
      </c>
    </row>
    <row r="62" spans="1:14" ht="20.100000000000001" customHeight="1">
      <c r="D62" s="89"/>
      <c r="E62" s="89"/>
      <c r="J62" s="284">
        <v>1</v>
      </c>
      <c r="K62" s="284"/>
      <c r="L62" s="285">
        <v>44481</v>
      </c>
      <c r="M62" s="286" t="s">
        <v>274</v>
      </c>
      <c r="N62" s="286" t="s">
        <v>285</v>
      </c>
    </row>
    <row r="63" spans="1:14" ht="20.100000000000001" customHeight="1">
      <c r="J63" s="284">
        <v>1</v>
      </c>
      <c r="K63" s="284"/>
      <c r="L63" s="285">
        <v>44502</v>
      </c>
      <c r="M63" s="286" t="s">
        <v>274</v>
      </c>
      <c r="N63" s="286" t="s">
        <v>286</v>
      </c>
    </row>
    <row r="64" spans="1:14" ht="20.100000000000001" customHeight="1">
      <c r="J64" s="284">
        <v>1</v>
      </c>
      <c r="K64" s="284"/>
      <c r="L64" s="285">
        <v>44515</v>
      </c>
      <c r="M64" s="286" t="s">
        <v>272</v>
      </c>
      <c r="N64" s="286" t="s">
        <v>287</v>
      </c>
    </row>
    <row r="65" spans="3:14" ht="20.100000000000001" customHeight="1">
      <c r="C65" s="89"/>
      <c r="D65" s="89"/>
      <c r="E65" s="89"/>
      <c r="J65" s="284">
        <v>1</v>
      </c>
      <c r="K65" s="284"/>
      <c r="L65" s="285">
        <v>44555</v>
      </c>
      <c r="M65" s="288" t="s">
        <v>278</v>
      </c>
      <c r="N65" s="286" t="s">
        <v>288</v>
      </c>
    </row>
    <row r="66" spans="3:14" ht="20.100000000000001" customHeight="1">
      <c r="C66" s="89"/>
      <c r="D66" s="89"/>
      <c r="E66" s="89"/>
    </row>
    <row r="67" spans="3:14" ht="20.100000000000001" customHeight="1">
      <c r="C67" s="89"/>
      <c r="D67" s="89"/>
      <c r="E67" s="89"/>
    </row>
    <row r="68" spans="3:14" ht="20.100000000000001" customHeight="1">
      <c r="C68" s="89"/>
      <c r="D68" s="89"/>
      <c r="E68" s="89"/>
    </row>
    <row r="69" spans="3:14" ht="20.100000000000001" customHeight="1">
      <c r="C69" s="89"/>
      <c r="D69" s="89"/>
      <c r="E69" s="89"/>
    </row>
    <row r="70" spans="3:14" ht="20.100000000000001" customHeight="1">
      <c r="C70" s="89"/>
      <c r="D70" s="89"/>
      <c r="E70" s="89"/>
    </row>
    <row r="71" spans="3:14" ht="20.100000000000001" customHeight="1">
      <c r="C71" s="89"/>
      <c r="D71" s="89"/>
      <c r="E71" s="89"/>
    </row>
    <row r="72" spans="3:14" ht="20.100000000000001" customHeight="1">
      <c r="C72" s="89"/>
      <c r="D72" s="89"/>
      <c r="E72" s="89"/>
    </row>
    <row r="73" spans="3:14" ht="20.100000000000001" customHeight="1">
      <c r="C73" s="89"/>
      <c r="D73" s="89"/>
      <c r="E73" s="89"/>
    </row>
    <row r="74" spans="3:14" ht="20.100000000000001" customHeight="1">
      <c r="C74" s="89"/>
      <c r="D74" s="89"/>
      <c r="E74" s="89"/>
    </row>
  </sheetData>
  <mergeCells count="6">
    <mergeCell ref="J50:N50"/>
    <mergeCell ref="A1:H2"/>
    <mergeCell ref="F47:H47"/>
    <mergeCell ref="F48:H48"/>
    <mergeCell ref="F49:H49"/>
    <mergeCell ref="E8:H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-0.249977111117893"/>
    <pageSetUpPr fitToPage="1"/>
  </sheetPr>
  <dimension ref="A1:Y21"/>
  <sheetViews>
    <sheetView workbookViewId="0">
      <selection sqref="A1:I1"/>
    </sheetView>
  </sheetViews>
  <sheetFormatPr defaultColWidth="9.140625" defaultRowHeight="15.75"/>
  <cols>
    <col min="1" max="1" width="10.42578125" style="187" customWidth="1"/>
    <col min="2" max="10" width="11.7109375" style="187" customWidth="1"/>
    <col min="11" max="11" width="12.7109375" style="187" customWidth="1"/>
    <col min="12" max="13" width="9.5703125" style="187" bestFit="1" customWidth="1"/>
    <col min="14" max="14" width="9" style="187" bestFit="1" customWidth="1"/>
    <col min="15" max="17" width="3.85546875" style="187" customWidth="1"/>
    <col min="18" max="18" width="14.85546875" style="89" customWidth="1"/>
    <col min="19" max="19" width="15.28515625" style="89" customWidth="1"/>
    <col min="20" max="20" width="14" style="89" customWidth="1"/>
    <col min="21" max="21" width="9.140625" style="89"/>
    <col min="22" max="22" width="12" style="89" customWidth="1"/>
    <col min="23" max="23" width="17.140625" style="89" bestFit="1" customWidth="1"/>
    <col min="24" max="25" width="15.42578125" style="89" customWidth="1"/>
    <col min="26" max="16384" width="9.140625" style="187"/>
  </cols>
  <sheetData>
    <row r="1" spans="1:14" ht="28.9" customHeight="1">
      <c r="A1" s="679" t="s">
        <v>289</v>
      </c>
      <c r="B1" s="679"/>
      <c r="C1" s="679"/>
      <c r="D1" s="679"/>
      <c r="E1" s="679"/>
      <c r="F1" s="679"/>
      <c r="G1" s="679"/>
      <c r="H1" s="679"/>
      <c r="I1" s="679"/>
      <c r="J1" s="483" t="s">
        <v>134</v>
      </c>
      <c r="K1" s="484">
        <f ca="1">Capa!C51</f>
        <v>46139</v>
      </c>
      <c r="L1" s="56"/>
      <c r="M1" s="56"/>
      <c r="N1" s="56"/>
    </row>
    <row r="2" spans="1:14" ht="33" customHeight="1">
      <c r="A2" s="680" t="s">
        <v>290</v>
      </c>
      <c r="B2" s="680"/>
      <c r="C2" s="680"/>
      <c r="D2" s="680"/>
      <c r="E2" s="680"/>
      <c r="F2" s="680"/>
      <c r="G2" s="680"/>
      <c r="H2" s="680"/>
      <c r="I2" s="680"/>
      <c r="J2" s="485"/>
      <c r="K2" s="486"/>
    </row>
    <row r="3" spans="1:14">
      <c r="A3" s="681" t="s">
        <v>291</v>
      </c>
      <c r="B3" s="681"/>
      <c r="C3" s="681"/>
      <c r="D3" s="681"/>
      <c r="E3" s="681"/>
      <c r="F3" s="681"/>
      <c r="G3" s="681"/>
      <c r="H3" s="681"/>
      <c r="I3" s="681"/>
      <c r="J3" s="487"/>
      <c r="K3" s="189"/>
    </row>
    <row r="4" spans="1:14">
      <c r="B4" s="115"/>
      <c r="C4" s="115"/>
      <c r="D4" s="115"/>
      <c r="E4" s="116"/>
      <c r="F4" s="116"/>
      <c r="G4" s="115"/>
      <c r="H4" s="117"/>
      <c r="I4" s="117"/>
      <c r="J4" s="117"/>
      <c r="K4" s="118"/>
    </row>
    <row r="5" spans="1:14">
      <c r="A5" s="488" t="s">
        <v>292</v>
      </c>
      <c r="B5" s="488">
        <v>2012</v>
      </c>
      <c r="C5" s="488">
        <v>2013</v>
      </c>
      <c r="D5" s="488">
        <v>2014</v>
      </c>
      <c r="E5" s="488">
        <v>2015</v>
      </c>
      <c r="F5" s="488">
        <v>2016</v>
      </c>
      <c r="G5" s="488">
        <v>2017</v>
      </c>
      <c r="H5" s="488">
        <v>2018</v>
      </c>
      <c r="I5" s="488">
        <v>2019</v>
      </c>
      <c r="J5" s="488">
        <v>2020</v>
      </c>
      <c r="K5" s="488">
        <v>2021</v>
      </c>
      <c r="L5" s="488">
        <v>2022</v>
      </c>
      <c r="M5" s="488">
        <v>2023</v>
      </c>
      <c r="N5" s="488">
        <v>2024</v>
      </c>
    </row>
    <row r="6" spans="1:14">
      <c r="A6" s="489" t="s">
        <v>293</v>
      </c>
      <c r="B6" s="490">
        <v>178.82900000000001</v>
      </c>
      <c r="C6" s="490">
        <v>185.32499999999999</v>
      </c>
      <c r="D6" s="490">
        <v>192.333</v>
      </c>
      <c r="E6" s="490">
        <v>199.928</v>
      </c>
      <c r="F6" s="490">
        <v>206.78399999999999</v>
      </c>
      <c r="G6" s="490">
        <v>213.434</v>
      </c>
      <c r="H6" s="490">
        <v>220.124</v>
      </c>
      <c r="I6" s="490">
        <v>226.40899999999999</v>
      </c>
      <c r="J6" s="490">
        <v>239.08600000000001</v>
      </c>
      <c r="K6" s="490">
        <v>245.714</v>
      </c>
      <c r="L6" s="490">
        <v>258.00900000000001</v>
      </c>
      <c r="M6" s="490">
        <v>276.13299999999998</v>
      </c>
      <c r="N6" s="494">
        <v>290.267</v>
      </c>
    </row>
    <row r="7" spans="1:14">
      <c r="A7" s="491" t="s">
        <v>294</v>
      </c>
      <c r="B7" s="492">
        <v>178.45599999999999</v>
      </c>
      <c r="C7" s="492">
        <v>185.47399999999999</v>
      </c>
      <c r="D7" s="492">
        <v>192.614</v>
      </c>
      <c r="E7" s="492">
        <v>200.41499999999999</v>
      </c>
      <c r="F7" s="492">
        <v>206.10300000000001</v>
      </c>
      <c r="G7" s="492">
        <v>214.39099999999999</v>
      </c>
      <c r="H7" s="492">
        <v>220.74100000000001</v>
      </c>
      <c r="I7" s="492">
        <v>226.11699999999999</v>
      </c>
      <c r="J7" s="493">
        <v>239.69</v>
      </c>
      <c r="K7" s="492">
        <v>245.83600000000001</v>
      </c>
      <c r="L7" s="492">
        <v>259.05</v>
      </c>
      <c r="M7" s="492">
        <v>277.43700000000001</v>
      </c>
      <c r="N7" s="493">
        <v>288.77199999999999</v>
      </c>
    </row>
    <row r="8" spans="1:14">
      <c r="A8" s="489" t="s">
        <v>295</v>
      </c>
      <c r="B8" s="494">
        <v>178.73</v>
      </c>
      <c r="C8" s="490">
        <v>185.97399999999999</v>
      </c>
      <c r="D8" s="490">
        <v>192.91800000000001</v>
      </c>
      <c r="E8" s="490">
        <v>200.952</v>
      </c>
      <c r="F8" s="490">
        <v>206.392</v>
      </c>
      <c r="G8" s="490">
        <v>213.959</v>
      </c>
      <c r="H8" s="490">
        <v>221.529</v>
      </c>
      <c r="I8" s="490">
        <v>225.755</v>
      </c>
      <c r="J8" s="490">
        <v>239.613</v>
      </c>
      <c r="K8" s="490">
        <v>276.13299999999998</v>
      </c>
      <c r="L8" s="490">
        <v>259.78500000000003</v>
      </c>
      <c r="M8" s="490">
        <v>277.09300000000002</v>
      </c>
      <c r="N8" s="494">
        <v>289.85700000000003</v>
      </c>
    </row>
    <row r="9" spans="1:14">
      <c r="A9" s="491" t="s">
        <v>296</v>
      </c>
      <c r="B9" s="492">
        <v>178.98699999999999</v>
      </c>
      <c r="C9" s="492">
        <v>186.15700000000001</v>
      </c>
      <c r="D9" s="492">
        <v>193.488</v>
      </c>
      <c r="E9" s="492">
        <v>201.065</v>
      </c>
      <c r="F9" s="492">
        <v>206.33600000000001</v>
      </c>
      <c r="G9" s="492">
        <v>215.33500000000001</v>
      </c>
      <c r="H9" s="493">
        <v>222.09</v>
      </c>
      <c r="I9" s="492">
        <v>226.119</v>
      </c>
      <c r="J9" s="492">
        <v>239.05500000000001</v>
      </c>
      <c r="K9" s="492">
        <v>247.32599999999999</v>
      </c>
      <c r="L9" s="492">
        <v>259.91300000000001</v>
      </c>
      <c r="M9" s="492">
        <v>277.97199999999998</v>
      </c>
      <c r="N9" s="493">
        <v>289.58300000000003</v>
      </c>
    </row>
    <row r="10" spans="1:14">
      <c r="A10" s="489" t="s">
        <v>297</v>
      </c>
      <c r="B10" s="490">
        <v>180.119</v>
      </c>
      <c r="C10" s="490">
        <v>186.46700000000001</v>
      </c>
      <c r="D10" s="490">
        <v>194.13200000000001</v>
      </c>
      <c r="E10" s="490">
        <v>201.46</v>
      </c>
      <c r="F10" s="490">
        <v>206.78800000000001</v>
      </c>
      <c r="G10" s="490">
        <v>215.28399999999999</v>
      </c>
      <c r="H10" s="490">
        <v>222.637</v>
      </c>
      <c r="I10" s="490">
        <v>227.136</v>
      </c>
      <c r="J10" s="490">
        <v>239.39500000000001</v>
      </c>
      <c r="K10" s="490">
        <v>247.64500000000001</v>
      </c>
      <c r="L10" s="490">
        <v>260.548</v>
      </c>
      <c r="M10" s="490">
        <v>277.43700000000001</v>
      </c>
      <c r="N10" s="494">
        <v>290.572</v>
      </c>
    </row>
    <row r="11" spans="1:14">
      <c r="A11" s="491" t="s">
        <v>298</v>
      </c>
      <c r="B11" s="492">
        <v>181.55799999999999</v>
      </c>
      <c r="C11" s="492">
        <v>187.994</v>
      </c>
      <c r="D11" s="492">
        <v>195.11600000000001</v>
      </c>
      <c r="E11" s="492">
        <v>201.89400000000001</v>
      </c>
      <c r="F11" s="492">
        <v>208.63800000000001</v>
      </c>
      <c r="G11" s="492">
        <v>216.17599999999999</v>
      </c>
      <c r="H11" s="492">
        <v>223.10900000000001</v>
      </c>
      <c r="I11" s="492">
        <v>229.96600000000001</v>
      </c>
      <c r="J11" s="492">
        <v>240.00299999999999</v>
      </c>
      <c r="K11" s="492">
        <v>249.93700000000001</v>
      </c>
      <c r="L11" s="492">
        <v>263.50200000000001</v>
      </c>
      <c r="M11" s="492">
        <v>282.935</v>
      </c>
      <c r="N11" s="493">
        <v>293.83600000000001</v>
      </c>
    </row>
    <row r="12" spans="1:14">
      <c r="A12" s="489" t="s">
        <v>299</v>
      </c>
      <c r="B12" s="490">
        <v>184.512</v>
      </c>
      <c r="C12" s="490">
        <v>189.39500000000001</v>
      </c>
      <c r="D12" s="490">
        <v>195.94399999999999</v>
      </c>
      <c r="E12" s="490">
        <v>203.065</v>
      </c>
      <c r="F12" s="490">
        <v>209.86699999999999</v>
      </c>
      <c r="G12" s="490">
        <v>216.619</v>
      </c>
      <c r="H12" s="490">
        <v>223.233</v>
      </c>
      <c r="I12" s="490">
        <v>230.827</v>
      </c>
      <c r="J12" s="490">
        <v>240.929</v>
      </c>
      <c r="K12" s="490">
        <v>277.43700000000001</v>
      </c>
      <c r="L12" s="490">
        <v>266.49099999999999</v>
      </c>
      <c r="M12" s="490">
        <v>287.45999999999998</v>
      </c>
      <c r="N12" s="494">
        <v>295.84500000000003</v>
      </c>
    </row>
    <row r="13" spans="1:14">
      <c r="A13" s="491" t="s">
        <v>300</v>
      </c>
      <c r="B13" s="492">
        <v>184.67500000000001</v>
      </c>
      <c r="C13" s="492">
        <v>190.32499999999999</v>
      </c>
      <c r="D13" s="492">
        <v>197.363</v>
      </c>
      <c r="E13" s="492">
        <v>204.333</v>
      </c>
      <c r="F13" s="492">
        <v>210.21199999999999</v>
      </c>
      <c r="G13" s="492">
        <v>216.648</v>
      </c>
      <c r="H13" s="492">
        <v>223.328</v>
      </c>
      <c r="I13" s="492">
        <v>230.78299999999999</v>
      </c>
      <c r="J13" s="492">
        <v>242.10300000000001</v>
      </c>
      <c r="K13" s="492">
        <v>251.964</v>
      </c>
      <c r="L13" s="492">
        <v>269.72000000000003</v>
      </c>
      <c r="M13" s="492">
        <v>289.59899999999999</v>
      </c>
      <c r="N13" s="493">
        <v>297.48099999999999</v>
      </c>
    </row>
    <row r="14" spans="1:14">
      <c r="A14" s="489" t="s">
        <v>301</v>
      </c>
      <c r="B14" s="490">
        <v>184.971</v>
      </c>
      <c r="C14" s="490">
        <v>190.298</v>
      </c>
      <c r="D14" s="490">
        <v>198.27099999999999</v>
      </c>
      <c r="E14" s="494">
        <v>204.68</v>
      </c>
      <c r="F14" s="490">
        <v>210.386</v>
      </c>
      <c r="G14" s="490">
        <v>216.929</v>
      </c>
      <c r="H14" s="490">
        <v>223.666</v>
      </c>
      <c r="I14" s="490">
        <v>231.01900000000001</v>
      </c>
      <c r="J14" s="490">
        <v>243.71799999999999</v>
      </c>
      <c r="K14" s="490">
        <v>252.42500000000001</v>
      </c>
      <c r="L14" s="490">
        <v>270.28800000000001</v>
      </c>
      <c r="M14" s="490">
        <v>289.83800000000002</v>
      </c>
      <c r="N14" s="490"/>
    </row>
    <row r="15" spans="1:14">
      <c r="A15" s="491" t="s">
        <v>302</v>
      </c>
      <c r="B15" s="492">
        <v>184.59200000000001</v>
      </c>
      <c r="C15" s="493">
        <v>190.54</v>
      </c>
      <c r="D15" s="492">
        <v>198.648</v>
      </c>
      <c r="E15" s="492">
        <v>204.73699999999999</v>
      </c>
      <c r="F15" s="492">
        <v>211.327</v>
      </c>
      <c r="G15" s="492">
        <v>217.65100000000001</v>
      </c>
      <c r="H15" s="492">
        <v>224.273</v>
      </c>
      <c r="I15" s="492">
        <v>231.095</v>
      </c>
      <c r="J15" s="492">
        <v>244.381</v>
      </c>
      <c r="K15" s="492">
        <v>255.76599999999999</v>
      </c>
      <c r="L15" s="492">
        <v>271.37200000000001</v>
      </c>
      <c r="M15" s="493">
        <v>291.49799999999999</v>
      </c>
      <c r="N15" s="492"/>
    </row>
    <row r="16" spans="1:14">
      <c r="A16" s="489" t="s">
        <v>303</v>
      </c>
      <c r="B16" s="490">
        <v>184.67099999999999</v>
      </c>
      <c r="C16" s="490">
        <v>190.87200000000001</v>
      </c>
      <c r="D16" s="490">
        <v>199.03700000000001</v>
      </c>
      <c r="E16" s="490">
        <v>205.26300000000001</v>
      </c>
      <c r="F16" s="490">
        <v>211.32499999999999</v>
      </c>
      <c r="G16" s="490">
        <v>218.05799999999999</v>
      </c>
      <c r="H16" s="494">
        <v>225.13</v>
      </c>
      <c r="I16" s="490">
        <v>234.64699999999999</v>
      </c>
      <c r="J16" s="490">
        <v>244.83799999999999</v>
      </c>
      <c r="K16" s="490">
        <v>256.72500000000002</v>
      </c>
      <c r="L16" s="490">
        <v>273.77300000000002</v>
      </c>
      <c r="M16" s="494">
        <v>290.48599999999999</v>
      </c>
      <c r="N16" s="490"/>
    </row>
    <row r="17" spans="1:14">
      <c r="A17" s="491" t="s">
        <v>304</v>
      </c>
      <c r="B17" s="492">
        <v>185.184</v>
      </c>
      <c r="C17" s="492">
        <v>191.59800000000001</v>
      </c>
      <c r="D17" s="492">
        <v>199.559</v>
      </c>
      <c r="E17" s="492">
        <v>205.53399999999999</v>
      </c>
      <c r="F17" s="492">
        <v>212.13200000000001</v>
      </c>
      <c r="G17" s="492">
        <v>218.489</v>
      </c>
      <c r="H17" s="492">
        <v>225.392</v>
      </c>
      <c r="I17" s="493">
        <v>236.55</v>
      </c>
      <c r="J17" s="492">
        <v>245.291</v>
      </c>
      <c r="K17" s="492">
        <v>257.14800000000002</v>
      </c>
      <c r="L17" s="492">
        <v>273.67599999999999</v>
      </c>
      <c r="M17" s="493">
        <v>290.18900000000002</v>
      </c>
      <c r="N17" s="492"/>
    </row>
    <row r="19" spans="1:14">
      <c r="H19" s="560">
        <v>45383</v>
      </c>
      <c r="I19" s="566">
        <f>N9</f>
        <v>289.58300000000003</v>
      </c>
      <c r="J19" s="674" t="s">
        <v>305</v>
      </c>
      <c r="K19" s="675">
        <f>I20/I19</f>
        <v>1.0272737004589356</v>
      </c>
    </row>
    <row r="20" spans="1:14">
      <c r="H20" s="560">
        <v>45505</v>
      </c>
      <c r="I20" s="566">
        <f>N13</f>
        <v>297.48099999999999</v>
      </c>
      <c r="J20" s="674"/>
      <c r="K20" s="675"/>
    </row>
    <row r="21" spans="1:14" ht="16.5" thickBot="1">
      <c r="H21" s="676" t="s">
        <v>306</v>
      </c>
      <c r="I21" s="677"/>
      <c r="J21" s="677"/>
      <c r="K21" s="678"/>
    </row>
  </sheetData>
  <mergeCells count="6">
    <mergeCell ref="J19:J20"/>
    <mergeCell ref="K19:K20"/>
    <mergeCell ref="H21:K21"/>
    <mergeCell ref="A1:I1"/>
    <mergeCell ref="A2:I2"/>
    <mergeCell ref="A3:I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4" orientation="landscape" r:id="rId1"/>
  <headerFooter>
    <oddFooter>&amp;L&amp;F&amp;C&amp;A&amp;R&amp;P/&amp;N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-0.249977111117893"/>
    <pageSetUpPr fitToPage="1"/>
  </sheetPr>
  <dimension ref="A1:L28"/>
  <sheetViews>
    <sheetView showGridLines="0" view="pageBreakPreview" zoomScale="85" zoomScaleNormal="130" zoomScaleSheetLayoutView="85" workbookViewId="0">
      <selection activeCell="P14" sqref="P14"/>
    </sheetView>
  </sheetViews>
  <sheetFormatPr defaultColWidth="9.140625" defaultRowHeight="20.25" customHeight="1"/>
  <cols>
    <col min="1" max="1" width="11.28515625" style="73" customWidth="1"/>
    <col min="2" max="2" width="28" style="73" bestFit="1" customWidth="1"/>
    <col min="3" max="3" width="12" style="73" customWidth="1"/>
    <col min="4" max="4" width="18.5703125" style="73" customWidth="1"/>
    <col min="5" max="5" width="15.140625" style="73" bestFit="1" customWidth="1"/>
    <col min="6" max="6" width="15.7109375" style="73" customWidth="1"/>
    <col min="7" max="7" width="12.42578125" customWidth="1"/>
    <col min="8" max="8" width="12.140625" bestFit="1" customWidth="1"/>
    <col min="9" max="9" width="14.7109375" bestFit="1" customWidth="1"/>
    <col min="10" max="10" width="8.7109375" bestFit="1" customWidth="1"/>
    <col min="11" max="11" width="10.140625" bestFit="1" customWidth="1"/>
    <col min="12" max="12" width="10.85546875" customWidth="1"/>
  </cols>
  <sheetData>
    <row r="1" spans="1:12" ht="20.25" customHeight="1">
      <c r="A1" s="671" t="s">
        <v>0</v>
      </c>
      <c r="B1" s="671"/>
      <c r="C1" s="671"/>
      <c r="D1" s="671"/>
      <c r="E1" s="671"/>
      <c r="F1" s="671"/>
      <c r="G1" s="671"/>
      <c r="H1" s="671"/>
      <c r="I1" s="671"/>
      <c r="J1" s="671"/>
      <c r="K1" s="671"/>
    </row>
    <row r="2" spans="1:12" ht="20.25" customHeight="1">
      <c r="A2" s="671"/>
      <c r="B2" s="671"/>
      <c r="C2" s="671"/>
      <c r="D2" s="671"/>
      <c r="E2" s="671"/>
      <c r="F2" s="671"/>
      <c r="G2" s="671"/>
      <c r="H2" s="671"/>
      <c r="I2" s="671"/>
      <c r="J2" s="671"/>
      <c r="K2" s="671"/>
    </row>
    <row r="3" spans="1:12" ht="20.25" customHeight="1">
      <c r="A3" s="671"/>
      <c r="B3" s="671"/>
      <c r="C3" s="671"/>
      <c r="D3" s="671"/>
      <c r="E3" s="671"/>
      <c r="F3" s="671"/>
      <c r="G3" s="671"/>
      <c r="H3" s="671"/>
      <c r="I3" s="671"/>
      <c r="J3" s="671"/>
      <c r="K3" s="671"/>
    </row>
    <row r="4" spans="1:12" ht="20.25" customHeight="1">
      <c r="A4" s="277" t="s">
        <v>307</v>
      </c>
      <c r="B4" s="59"/>
      <c r="C4" s="59"/>
      <c r="D4" s="60"/>
      <c r="E4" s="62" t="s">
        <v>134</v>
      </c>
      <c r="F4" s="278">
        <f ca="1">'Dados Básicos do município'!H4</f>
        <v>46139</v>
      </c>
    </row>
    <row r="5" spans="1:12" ht="20.25" customHeight="1">
      <c r="A5" s="59" t="s">
        <v>135</v>
      </c>
      <c r="B5" s="64" t="str">
        <f>'Dados Básicos do município'!B5</f>
        <v>CBH-SANTO ANTÔNIO</v>
      </c>
      <c r="C5" s="89"/>
      <c r="D5" s="53"/>
      <c r="E5" s="60"/>
      <c r="F5" s="60"/>
    </row>
    <row r="6" spans="1:12" ht="20.25" customHeight="1" thickBot="1">
      <c r="A6" s="438" t="s">
        <v>136</v>
      </c>
      <c r="B6" s="439" t="str">
        <f>'Dados Básicos do município'!B6</f>
        <v>Açucena/MG</v>
      </c>
      <c r="C6" s="89"/>
      <c r="D6" s="53"/>
      <c r="F6" s="440"/>
    </row>
    <row r="7" spans="1:12" ht="50.25" customHeight="1" thickBot="1">
      <c r="A7" s="685" t="s">
        <v>181</v>
      </c>
      <c r="B7" s="687" t="s">
        <v>308</v>
      </c>
      <c r="C7" s="687" t="s">
        <v>309</v>
      </c>
      <c r="D7" s="442" t="s">
        <v>310</v>
      </c>
      <c r="E7" s="442" t="s">
        <v>311</v>
      </c>
      <c r="F7" s="442" t="s">
        <v>312</v>
      </c>
      <c r="G7" s="442" t="s">
        <v>313</v>
      </c>
      <c r="H7" s="443" t="s">
        <v>314</v>
      </c>
      <c r="I7" s="442" t="s">
        <v>315</v>
      </c>
      <c r="J7" s="442" t="s">
        <v>316</v>
      </c>
      <c r="K7" s="444" t="s">
        <v>118</v>
      </c>
      <c r="L7" s="445" t="s">
        <v>317</v>
      </c>
    </row>
    <row r="8" spans="1:12" ht="20.25" customHeight="1">
      <c r="A8" s="686"/>
      <c r="B8" s="688"/>
      <c r="C8" s="688"/>
      <c r="D8" s="433" t="s">
        <v>148</v>
      </c>
      <c r="E8" s="433" t="s">
        <v>148</v>
      </c>
      <c r="F8" s="433" t="s">
        <v>187</v>
      </c>
      <c r="G8" s="433" t="s">
        <v>318</v>
      </c>
      <c r="H8" s="434" t="s">
        <v>318</v>
      </c>
      <c r="I8" s="434" t="s">
        <v>318</v>
      </c>
      <c r="J8" s="434" t="s">
        <v>318</v>
      </c>
      <c r="K8" s="434" t="s">
        <v>318</v>
      </c>
      <c r="L8" s="446" t="s">
        <v>318</v>
      </c>
    </row>
    <row r="9" spans="1:12" ht="20.25" customHeight="1">
      <c r="A9" s="689">
        <v>1</v>
      </c>
      <c r="B9" s="692" t="str">
        <f>Capa!B30</f>
        <v>Açucena/MG</v>
      </c>
      <c r="C9" s="304" t="s">
        <v>319</v>
      </c>
      <c r="D9" s="695">
        <f>'Dados Básicos do município'!C11</f>
        <v>99.1</v>
      </c>
      <c r="E9" s="305">
        <f>($D$9*2)+($C$25*F9)</f>
        <v>218.2</v>
      </c>
      <c r="F9" s="430">
        <v>1</v>
      </c>
      <c r="G9" s="306">
        <f>$K$20/30</f>
        <v>83.057000000000002</v>
      </c>
      <c r="H9" s="431">
        <f>(E9/$C$26)*$C$27</f>
        <v>136.1568</v>
      </c>
      <c r="I9" s="306">
        <v>0</v>
      </c>
      <c r="J9" s="306">
        <f>(G9+H9+I9)*$C$28</f>
        <v>10.96069</v>
      </c>
      <c r="K9" s="307">
        <f>G9+H9+I9+J9</f>
        <v>230.17448999999999</v>
      </c>
      <c r="L9" s="447">
        <f>K9/F9</f>
        <v>230.17448999999999</v>
      </c>
    </row>
    <row r="10" spans="1:12" ht="20.25" customHeight="1">
      <c r="A10" s="690"/>
      <c r="B10" s="693"/>
      <c r="C10" s="304" t="s">
        <v>319</v>
      </c>
      <c r="D10" s="696"/>
      <c r="E10" s="305">
        <f t="shared" ref="E10:E18" si="0">($D$9*2)+($C$25*F10)</f>
        <v>238.2</v>
      </c>
      <c r="F10" s="430">
        <v>2</v>
      </c>
      <c r="G10" s="306">
        <f t="shared" ref="G10:G18" si="1">$K$20/30</f>
        <v>83.057000000000002</v>
      </c>
      <c r="H10" s="431">
        <f>(E10/$C$26)*$C$27</f>
        <v>148.63679999999999</v>
      </c>
      <c r="I10" s="306">
        <v>0</v>
      </c>
      <c r="J10" s="306">
        <f t="shared" ref="J10:J18" si="2">(G10+H10+I10)*$C$28</f>
        <v>11.584690000000002</v>
      </c>
      <c r="K10" s="307">
        <f t="shared" ref="K10:K18" si="3">G10+H10+I10+J10</f>
        <v>243.27849000000001</v>
      </c>
      <c r="L10" s="447">
        <f t="shared" ref="L10:L18" si="4">K10/F10</f>
        <v>121.639245</v>
      </c>
    </row>
    <row r="11" spans="1:12" ht="20.25" customHeight="1">
      <c r="A11" s="690"/>
      <c r="B11" s="693"/>
      <c r="C11" s="304" t="s">
        <v>319</v>
      </c>
      <c r="D11" s="696"/>
      <c r="E11" s="305">
        <f t="shared" si="0"/>
        <v>258.2</v>
      </c>
      <c r="F11" s="430">
        <v>3</v>
      </c>
      <c r="G11" s="306">
        <f t="shared" si="1"/>
        <v>83.057000000000002</v>
      </c>
      <c r="H11" s="431">
        <f t="shared" ref="H11:H18" si="5">(E11/$C$26)*$C$27</f>
        <v>161.11680000000001</v>
      </c>
      <c r="I11" s="306">
        <v>0</v>
      </c>
      <c r="J11" s="306">
        <f t="shared" si="2"/>
        <v>12.208690000000002</v>
      </c>
      <c r="K11" s="307">
        <f t="shared" si="3"/>
        <v>256.38249000000002</v>
      </c>
      <c r="L11" s="447">
        <f t="shared" si="4"/>
        <v>85.460830000000001</v>
      </c>
    </row>
    <row r="12" spans="1:12" ht="20.25" customHeight="1">
      <c r="A12" s="690"/>
      <c r="B12" s="693"/>
      <c r="C12" s="304" t="s">
        <v>319</v>
      </c>
      <c r="D12" s="696"/>
      <c r="E12" s="305">
        <f t="shared" si="0"/>
        <v>278.2</v>
      </c>
      <c r="F12" s="430">
        <v>4</v>
      </c>
      <c r="G12" s="306">
        <f t="shared" si="1"/>
        <v>83.057000000000002</v>
      </c>
      <c r="H12" s="431">
        <f t="shared" si="5"/>
        <v>173.5968</v>
      </c>
      <c r="I12" s="306">
        <v>0</v>
      </c>
      <c r="J12" s="306">
        <f t="shared" si="2"/>
        <v>12.832689999999999</v>
      </c>
      <c r="K12" s="307">
        <f t="shared" si="3"/>
        <v>269.48649</v>
      </c>
      <c r="L12" s="447">
        <f t="shared" si="4"/>
        <v>67.371622500000001</v>
      </c>
    </row>
    <row r="13" spans="1:12" ht="20.25" customHeight="1">
      <c r="A13" s="690"/>
      <c r="B13" s="693"/>
      <c r="C13" s="304" t="s">
        <v>319</v>
      </c>
      <c r="D13" s="696"/>
      <c r="E13" s="305">
        <f t="shared" si="0"/>
        <v>298.2</v>
      </c>
      <c r="F13" s="430">
        <v>5</v>
      </c>
      <c r="G13" s="306">
        <f t="shared" si="1"/>
        <v>83.057000000000002</v>
      </c>
      <c r="H13" s="431">
        <f t="shared" si="5"/>
        <v>186.07680000000002</v>
      </c>
      <c r="I13" s="306">
        <v>0</v>
      </c>
      <c r="J13" s="306">
        <f t="shared" si="2"/>
        <v>13.456690000000002</v>
      </c>
      <c r="K13" s="307">
        <f t="shared" si="3"/>
        <v>282.59048999999999</v>
      </c>
      <c r="L13" s="447">
        <f t="shared" si="4"/>
        <v>56.518097999999995</v>
      </c>
    </row>
    <row r="14" spans="1:12" ht="20.25" customHeight="1">
      <c r="A14" s="690"/>
      <c r="B14" s="693"/>
      <c r="C14" s="304" t="s">
        <v>319</v>
      </c>
      <c r="D14" s="696"/>
      <c r="E14" s="305">
        <f t="shared" si="0"/>
        <v>318.2</v>
      </c>
      <c r="F14" s="430">
        <v>6</v>
      </c>
      <c r="G14" s="306">
        <f t="shared" si="1"/>
        <v>83.057000000000002</v>
      </c>
      <c r="H14" s="431">
        <f t="shared" si="5"/>
        <v>198.55680000000001</v>
      </c>
      <c r="I14" s="306">
        <v>0</v>
      </c>
      <c r="J14" s="306">
        <f t="shared" si="2"/>
        <v>14.080690000000002</v>
      </c>
      <c r="K14" s="307">
        <f t="shared" si="3"/>
        <v>295.69449000000003</v>
      </c>
      <c r="L14" s="447">
        <f t="shared" si="4"/>
        <v>49.282415000000007</v>
      </c>
    </row>
    <row r="15" spans="1:12" ht="20.25" customHeight="1">
      <c r="A15" s="690"/>
      <c r="B15" s="693"/>
      <c r="C15" s="304" t="s">
        <v>319</v>
      </c>
      <c r="D15" s="696"/>
      <c r="E15" s="305">
        <f t="shared" si="0"/>
        <v>338.2</v>
      </c>
      <c r="F15" s="430">
        <v>7</v>
      </c>
      <c r="G15" s="306">
        <f t="shared" si="1"/>
        <v>83.057000000000002</v>
      </c>
      <c r="H15" s="431">
        <f t="shared" si="5"/>
        <v>211.0368</v>
      </c>
      <c r="I15" s="306">
        <v>0</v>
      </c>
      <c r="J15" s="306">
        <f t="shared" si="2"/>
        <v>14.704689999999999</v>
      </c>
      <c r="K15" s="307">
        <f t="shared" si="3"/>
        <v>308.79849000000002</v>
      </c>
      <c r="L15" s="447">
        <f t="shared" si="4"/>
        <v>44.114070000000005</v>
      </c>
    </row>
    <row r="16" spans="1:12" ht="20.25" customHeight="1">
      <c r="A16" s="690"/>
      <c r="B16" s="693"/>
      <c r="C16" s="304" t="s">
        <v>319</v>
      </c>
      <c r="D16" s="696"/>
      <c r="E16" s="305">
        <f t="shared" si="0"/>
        <v>358.2</v>
      </c>
      <c r="F16" s="430">
        <v>8</v>
      </c>
      <c r="G16" s="306">
        <f t="shared" si="1"/>
        <v>83.057000000000002</v>
      </c>
      <c r="H16" s="431">
        <f t="shared" si="5"/>
        <v>223.51680000000002</v>
      </c>
      <c r="I16" s="306">
        <v>0</v>
      </c>
      <c r="J16" s="306">
        <f t="shared" si="2"/>
        <v>15.328690000000002</v>
      </c>
      <c r="K16" s="307">
        <f t="shared" si="3"/>
        <v>321.90249</v>
      </c>
      <c r="L16" s="447">
        <f t="shared" si="4"/>
        <v>40.23781125</v>
      </c>
    </row>
    <row r="17" spans="1:12" ht="20.25" customHeight="1">
      <c r="A17" s="690"/>
      <c r="B17" s="693"/>
      <c r="C17" s="304" t="s">
        <v>319</v>
      </c>
      <c r="D17" s="696"/>
      <c r="E17" s="305">
        <f t="shared" si="0"/>
        <v>378.2</v>
      </c>
      <c r="F17" s="430">
        <v>9</v>
      </c>
      <c r="G17" s="306">
        <f t="shared" si="1"/>
        <v>83.057000000000002</v>
      </c>
      <c r="H17" s="431">
        <f t="shared" si="5"/>
        <v>235.99680000000001</v>
      </c>
      <c r="I17" s="306">
        <v>0</v>
      </c>
      <c r="J17" s="306">
        <f t="shared" si="2"/>
        <v>15.952690000000002</v>
      </c>
      <c r="K17" s="307">
        <f t="shared" si="3"/>
        <v>335.00649000000004</v>
      </c>
      <c r="L17" s="447">
        <f t="shared" si="4"/>
        <v>37.22294333333334</v>
      </c>
    </row>
    <row r="18" spans="1:12" ht="20.25" customHeight="1" thickBot="1">
      <c r="A18" s="691"/>
      <c r="B18" s="694"/>
      <c r="C18" s="414" t="s">
        <v>319</v>
      </c>
      <c r="D18" s="697"/>
      <c r="E18" s="305">
        <f t="shared" si="0"/>
        <v>398.2</v>
      </c>
      <c r="F18" s="430">
        <v>10</v>
      </c>
      <c r="G18" s="306">
        <f t="shared" si="1"/>
        <v>83.057000000000002</v>
      </c>
      <c r="H18" s="431">
        <f t="shared" si="5"/>
        <v>248.4768</v>
      </c>
      <c r="I18" s="306">
        <v>0</v>
      </c>
      <c r="J18" s="306">
        <f t="shared" si="2"/>
        <v>16.576689999999999</v>
      </c>
      <c r="K18" s="307">
        <f t="shared" si="3"/>
        <v>348.11048999999997</v>
      </c>
      <c r="L18" s="447">
        <f t="shared" si="4"/>
        <v>34.811048999999997</v>
      </c>
    </row>
    <row r="19" spans="1:12" ht="20.25" customHeight="1" thickBot="1">
      <c r="A19" s="448">
        <v>4</v>
      </c>
      <c r="B19" s="449" t="s">
        <v>320</v>
      </c>
      <c r="C19" s="449" t="s">
        <v>319</v>
      </c>
      <c r="D19" s="450">
        <f>SUM(D9:D18)/10</f>
        <v>9.91</v>
      </c>
      <c r="E19" s="450">
        <f t="shared" ref="E19:L19" si="6">AVERAGE(E9:E18)</f>
        <v>308.19999999999993</v>
      </c>
      <c r="F19" s="450">
        <f t="shared" si="6"/>
        <v>5.5</v>
      </c>
      <c r="G19" s="450">
        <f t="shared" si="6"/>
        <v>83.057000000000002</v>
      </c>
      <c r="H19" s="450">
        <f t="shared" si="6"/>
        <v>192.3168</v>
      </c>
      <c r="I19" s="450">
        <f t="shared" si="6"/>
        <v>0</v>
      </c>
      <c r="J19" s="450">
        <f t="shared" si="6"/>
        <v>13.768690000000001</v>
      </c>
      <c r="K19" s="450">
        <f t="shared" si="6"/>
        <v>289.14249000000007</v>
      </c>
      <c r="L19" s="451">
        <f t="shared" si="6"/>
        <v>76.683257408333333</v>
      </c>
    </row>
    <row r="20" spans="1:12" ht="12" customHeight="1" thickBot="1">
      <c r="A20" s="441" t="s">
        <v>321</v>
      </c>
      <c r="B20" s="42"/>
      <c r="C20" s="42"/>
      <c r="D20" s="42"/>
      <c r="E20" s="42"/>
      <c r="F20" s="42"/>
      <c r="G20" s="42"/>
      <c r="H20" s="42"/>
      <c r="I20" s="683" t="s">
        <v>322</v>
      </c>
      <c r="J20" s="684"/>
      <c r="K20" s="452">
        <v>2491.71</v>
      </c>
    </row>
    <row r="21" spans="1:12" ht="20.25" customHeight="1" thickBot="1">
      <c r="A21" s="424" t="s">
        <v>323</v>
      </c>
      <c r="B21" s="425" t="s">
        <v>324</v>
      </c>
      <c r="C21" s="425"/>
      <c r="D21" s="425"/>
      <c r="E21" s="300"/>
      <c r="F21" s="300"/>
      <c r="G21" s="299"/>
      <c r="H21" s="432"/>
      <c r="I21" s="554" t="s">
        <v>325</v>
      </c>
      <c r="J21" s="555"/>
      <c r="K21" s="452">
        <f>K19/E19</f>
        <v>0.93816512005191477</v>
      </c>
    </row>
    <row r="22" spans="1:12" ht="20.25" customHeight="1" thickBot="1">
      <c r="A22" s="424"/>
      <c r="B22" s="425" t="s">
        <v>326</v>
      </c>
      <c r="C22" s="425"/>
      <c r="D22" s="425"/>
      <c r="E22" s="300"/>
      <c r="F22" s="300"/>
      <c r="G22" s="299"/>
      <c r="H22" s="299"/>
      <c r="I22" s="453" t="s">
        <v>327</v>
      </c>
      <c r="J22" s="454"/>
      <c r="K22" s="452">
        <f>L19</f>
        <v>76.683257408333333</v>
      </c>
    </row>
    <row r="23" spans="1:12" ht="20.25" customHeight="1" thickBot="1">
      <c r="A23" s="424" t="s">
        <v>328</v>
      </c>
      <c r="B23" s="425" t="s">
        <v>329</v>
      </c>
      <c r="C23" s="425"/>
      <c r="D23" s="425"/>
      <c r="E23" s="300"/>
      <c r="F23" s="300"/>
      <c r="G23" s="299"/>
      <c r="H23" s="299"/>
    </row>
    <row r="24" spans="1:12" ht="18" customHeight="1">
      <c r="A24" s="424" t="s">
        <v>330</v>
      </c>
      <c r="B24" s="425" t="s">
        <v>331</v>
      </c>
      <c r="C24" s="425" t="s">
        <v>332</v>
      </c>
      <c r="D24" s="425"/>
      <c r="E24" s="301"/>
      <c r="F24" s="42"/>
      <c r="G24" s="42"/>
      <c r="H24" s="42"/>
      <c r="I24" s="298"/>
      <c r="J24" s="298"/>
      <c r="K24" s="42"/>
    </row>
    <row r="25" spans="1:12" ht="20.100000000000001" customHeight="1">
      <c r="A25" s="424" t="s">
        <v>333</v>
      </c>
      <c r="B25" s="425" t="s">
        <v>334</v>
      </c>
      <c r="C25" s="425">
        <v>20</v>
      </c>
      <c r="D25" s="425" t="s">
        <v>148</v>
      </c>
      <c r="E25" s="301"/>
      <c r="F25" s="42"/>
      <c r="G25" s="42"/>
      <c r="H25" s="42"/>
      <c r="I25" s="42"/>
      <c r="J25" s="42"/>
      <c r="K25" s="42"/>
    </row>
    <row r="26" spans="1:12" ht="20.100000000000001" customHeight="1">
      <c r="A26" s="424" t="s">
        <v>335</v>
      </c>
      <c r="B26" s="425" t="s">
        <v>336</v>
      </c>
      <c r="C26" s="425">
        <v>10</v>
      </c>
      <c r="D26" s="425" t="s">
        <v>337</v>
      </c>
      <c r="E26" s="42"/>
      <c r="F26" s="42"/>
      <c r="G26" s="42"/>
      <c r="H26" s="42"/>
    </row>
    <row r="27" spans="1:12" ht="27" customHeight="1">
      <c r="A27" s="424" t="s">
        <v>338</v>
      </c>
      <c r="B27" s="425" t="s">
        <v>339</v>
      </c>
      <c r="C27" s="425">
        <v>6.24</v>
      </c>
      <c r="D27" s="425" t="s">
        <v>340</v>
      </c>
      <c r="E27" s="682" t="s">
        <v>341</v>
      </c>
      <c r="F27" s="682"/>
      <c r="G27" s="682"/>
      <c r="H27" s="682"/>
      <c r="I27" s="682"/>
      <c r="J27" s="682"/>
      <c r="K27" s="682"/>
      <c r="L27" s="682"/>
    </row>
    <row r="28" spans="1:12" ht="20.100000000000001" customHeight="1">
      <c r="A28" s="424" t="s">
        <v>342</v>
      </c>
      <c r="B28" s="425" t="s">
        <v>343</v>
      </c>
      <c r="C28" s="425">
        <v>0.05</v>
      </c>
      <c r="D28" s="425" t="s">
        <v>344</v>
      </c>
      <c r="E28" s="42"/>
      <c r="F28" s="42"/>
      <c r="G28" s="42"/>
      <c r="H28" s="42"/>
    </row>
  </sheetData>
  <mergeCells count="9">
    <mergeCell ref="E27:L27"/>
    <mergeCell ref="A1:K3"/>
    <mergeCell ref="I20:J20"/>
    <mergeCell ref="A7:A8"/>
    <mergeCell ref="B7:B8"/>
    <mergeCell ref="C7:C8"/>
    <mergeCell ref="A9:A18"/>
    <mergeCell ref="B9:B18"/>
    <mergeCell ref="D9:D18"/>
  </mergeCells>
  <phoneticPr fontId="6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81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2D772-0084-48BC-8119-23FE9F0B0650}">
  <sheetPr>
    <tabColor theme="8" tint="-0.249977111117893"/>
    <pageSetUpPr fitToPage="1"/>
  </sheetPr>
  <dimension ref="A1:G9"/>
  <sheetViews>
    <sheetView showGridLines="0" view="pageBreakPreview" zoomScale="85" zoomScaleNormal="130" zoomScaleSheetLayoutView="85" workbookViewId="0">
      <selection activeCell="Q15" sqref="Q15"/>
    </sheetView>
  </sheetViews>
  <sheetFormatPr defaultColWidth="9.140625" defaultRowHeight="20.25" customHeight="1"/>
  <cols>
    <col min="1" max="1" width="11.28515625" style="73" customWidth="1"/>
    <col min="2" max="2" width="28" style="73" bestFit="1" customWidth="1"/>
    <col min="3" max="3" width="12" style="73" customWidth="1"/>
    <col min="4" max="4" width="11" style="73" bestFit="1" customWidth="1"/>
    <col min="5" max="6" width="16.42578125" style="73" bestFit="1" customWidth="1"/>
    <col min="7" max="7" width="17.7109375" bestFit="1" customWidth="1"/>
  </cols>
  <sheetData>
    <row r="1" spans="1:7" ht="20.25" customHeight="1">
      <c r="A1" s="561"/>
      <c r="B1" s="671" t="str">
        <f>Capa!A19</f>
        <v xml:space="preserve">ORÇAMENTO PARA ELABORAÇÃO DE PROJETOS DE SISTEMA DE ESGOTAMENTO SANITÁRIO </v>
      </c>
      <c r="C1" s="671"/>
      <c r="D1" s="671"/>
      <c r="E1" s="671"/>
      <c r="F1" s="671"/>
      <c r="G1" s="671"/>
    </row>
    <row r="2" spans="1:7" ht="20.25" customHeight="1">
      <c r="A2" s="561"/>
      <c r="B2" s="671"/>
      <c r="C2" s="671"/>
      <c r="D2" s="671"/>
      <c r="E2" s="671"/>
      <c r="F2" s="671"/>
      <c r="G2" s="671"/>
    </row>
    <row r="3" spans="1:7" ht="20.25" customHeight="1">
      <c r="A3" s="561"/>
      <c r="B3" s="671"/>
      <c r="C3" s="671"/>
      <c r="D3" s="671"/>
      <c r="E3" s="671"/>
      <c r="F3" s="671"/>
      <c r="G3" s="671"/>
    </row>
    <row r="4" spans="1:7" ht="20.25" customHeight="1">
      <c r="A4" s="277" t="s">
        <v>307</v>
      </c>
      <c r="B4" s="59"/>
      <c r="C4" s="59"/>
      <c r="D4" s="60"/>
      <c r="F4" s="483" t="s">
        <v>134</v>
      </c>
      <c r="G4" s="562">
        <f ca="1">'Dados Básicos do município'!H4</f>
        <v>46139</v>
      </c>
    </row>
    <row r="5" spans="1:7" ht="20.25" customHeight="1">
      <c r="A5" s="59" t="s">
        <v>135</v>
      </c>
      <c r="B5" s="64" t="str">
        <f>'Dados Básicos do município'!B5</f>
        <v>CBH-SANTO ANTÔNIO</v>
      </c>
      <c r="C5" s="89"/>
      <c r="D5" s="53"/>
      <c r="E5" s="60"/>
      <c r="F5" s="60"/>
    </row>
    <row r="6" spans="1:7" ht="20.25" customHeight="1">
      <c r="A6" s="438" t="s">
        <v>136</v>
      </c>
      <c r="B6" s="439" t="str">
        <f>'Dados Básicos do município'!B6</f>
        <v>Açucena/MG</v>
      </c>
      <c r="C6" s="89"/>
      <c r="D6" s="53"/>
      <c r="F6" s="440"/>
    </row>
    <row r="7" spans="1:7" ht="20.25" customHeight="1">
      <c r="A7" s="459"/>
      <c r="B7" s="459"/>
      <c r="C7" s="459"/>
      <c r="D7" s="698" t="s">
        <v>345</v>
      </c>
      <c r="E7" s="698"/>
      <c r="F7" s="698"/>
      <c r="G7" s="698"/>
    </row>
    <row r="8" spans="1:7" ht="20.25" customHeight="1">
      <c r="A8" s="699" t="s">
        <v>346</v>
      </c>
      <c r="B8" s="699"/>
      <c r="C8" s="457" t="s">
        <v>139</v>
      </c>
      <c r="D8" s="458" t="s">
        <v>347</v>
      </c>
      <c r="E8" s="458" t="s">
        <v>348</v>
      </c>
      <c r="F8" s="458" t="s">
        <v>349</v>
      </c>
      <c r="G8" s="458" t="s">
        <v>350</v>
      </c>
    </row>
    <row r="9" spans="1:7" ht="20.25" customHeight="1">
      <c r="A9" s="700" t="str">
        <f>[1]Custos!B49</f>
        <v>Veículo tipo pick-up 4X4</v>
      </c>
      <c r="B9" s="700"/>
      <c r="C9" s="479" t="s">
        <v>351</v>
      </c>
      <c r="D9" s="480">
        <v>1</v>
      </c>
      <c r="E9" s="480">
        <v>2</v>
      </c>
      <c r="F9" s="480">
        <v>3</v>
      </c>
      <c r="G9" s="480">
        <v>4</v>
      </c>
    </row>
  </sheetData>
  <mergeCells count="4">
    <mergeCell ref="D7:G7"/>
    <mergeCell ref="A8:B8"/>
    <mergeCell ref="A9:B9"/>
    <mergeCell ref="B1:G3"/>
  </mergeCells>
  <printOptions horizontalCentered="1"/>
  <pageMargins left="0.51181102362204722" right="0.51181102362204722" top="0.78740157480314965" bottom="0.78740157480314965" header="0.31496062992125984" footer="0.31496062992125984"/>
  <pageSetup paperSize="9" fitToHeight="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8" tint="-0.249977111117893"/>
    <pageSetUpPr fitToPage="1"/>
  </sheetPr>
  <dimension ref="A1:G20"/>
  <sheetViews>
    <sheetView showGridLines="0" view="pageBreakPreview" zoomScale="130" zoomScaleNormal="130" zoomScaleSheetLayoutView="130" workbookViewId="0">
      <selection activeCell="D12" sqref="D12"/>
    </sheetView>
  </sheetViews>
  <sheetFormatPr defaultColWidth="9.140625" defaultRowHeight="12.75" customHeight="1"/>
  <cols>
    <col min="1" max="1" width="17" style="73" customWidth="1"/>
    <col min="2" max="3" width="20.42578125" style="73" customWidth="1"/>
    <col min="4" max="4" width="14.5703125" style="73" customWidth="1"/>
    <col min="5" max="5" width="13.140625" style="73" bestFit="1" customWidth="1"/>
    <col min="6" max="6" width="11.7109375" style="73" bestFit="1" customWidth="1"/>
    <col min="7" max="7" width="14.28515625" style="73" bestFit="1" customWidth="1"/>
    <col min="8" max="8" width="9.140625" customWidth="1"/>
  </cols>
  <sheetData>
    <row r="1" spans="1:7" ht="12.75" customHeight="1">
      <c r="A1" s="701"/>
      <c r="B1" s="671" t="str">
        <f>Veículo!B1</f>
        <v xml:space="preserve">ORÇAMENTO PARA ELABORAÇÃO DE PROJETOS DE SISTEMA DE ESGOTAMENTO SANITÁRIO </v>
      </c>
      <c r="C1" s="671"/>
      <c r="D1" s="671"/>
      <c r="E1" s="671"/>
      <c r="F1" s="671"/>
      <c r="G1" s="671"/>
    </row>
    <row r="2" spans="1:7" ht="12.75" customHeight="1">
      <c r="A2" s="701"/>
      <c r="B2" s="671"/>
      <c r="C2" s="671"/>
      <c r="D2" s="671"/>
      <c r="E2" s="671"/>
      <c r="F2" s="671"/>
      <c r="G2" s="671"/>
    </row>
    <row r="3" spans="1:7" ht="23.25" customHeight="1">
      <c r="A3" s="702"/>
      <c r="B3" s="703"/>
      <c r="C3" s="703"/>
      <c r="D3" s="703"/>
      <c r="E3" s="703"/>
      <c r="F3" s="703"/>
      <c r="G3" s="703"/>
    </row>
    <row r="4" spans="1:7" ht="20.100000000000001" customHeight="1">
      <c r="A4" s="277" t="s">
        <v>352</v>
      </c>
      <c r="B4" s="277"/>
      <c r="C4" s="277"/>
      <c r="D4" s="59"/>
      <c r="E4" s="59"/>
      <c r="F4" s="62" t="s">
        <v>134</v>
      </c>
      <c r="G4" s="426">
        <f ca="1">'Dados Básicos do município'!H4</f>
        <v>46139</v>
      </c>
    </row>
    <row r="5" spans="1:7" ht="20.100000000000001" customHeight="1">
      <c r="A5" s="59" t="s">
        <v>135</v>
      </c>
      <c r="B5" s="64" t="str">
        <f>'Dados Básicos do município'!B5</f>
        <v>CBH-SANTO ANTÔNIO</v>
      </c>
      <c r="C5" s="59"/>
      <c r="E5" s="89"/>
      <c r="F5" s="53"/>
      <c r="G5" s="53"/>
    </row>
    <row r="6" spans="1:7" ht="20.100000000000001" customHeight="1">
      <c r="A6" s="59" t="s">
        <v>136</v>
      </c>
      <c r="B6" s="64" t="str">
        <f>'Dados Básicos do município'!B6</f>
        <v>Açucena/MG</v>
      </c>
      <c r="C6" s="59"/>
      <c r="E6" s="89"/>
      <c r="F6" s="53"/>
      <c r="G6" s="53"/>
    </row>
    <row r="7" spans="1:7" ht="9.9499999999999993" customHeight="1"/>
    <row r="8" spans="1:7" s="553" customFormat="1" ht="26.25" customHeight="1">
      <c r="A8" s="704" t="s">
        <v>109</v>
      </c>
      <c r="B8" s="704"/>
      <c r="C8" s="704"/>
      <c r="D8" s="704" t="s">
        <v>353</v>
      </c>
      <c r="E8" s="704"/>
      <c r="F8" s="455" t="s">
        <v>354</v>
      </c>
      <c r="G8" s="455" t="s">
        <v>355</v>
      </c>
    </row>
    <row r="9" spans="1:7" ht="30.6" customHeight="1">
      <c r="A9" s="708"/>
      <c r="B9" s="708"/>
      <c r="C9" s="708"/>
      <c r="D9" s="456" t="s">
        <v>356</v>
      </c>
      <c r="E9" s="456" t="s">
        <v>357</v>
      </c>
      <c r="F9" s="456" t="s">
        <v>358</v>
      </c>
      <c r="G9" s="456" t="s">
        <v>358</v>
      </c>
    </row>
    <row r="10" spans="1:7" ht="20.100000000000001" customHeight="1">
      <c r="A10" s="667" t="s">
        <v>359</v>
      </c>
      <c r="B10" s="667"/>
      <c r="C10" s="667"/>
      <c r="D10" s="478">
        <v>0.72118000000000004</v>
      </c>
      <c r="E10" s="478">
        <f>D10*2</f>
        <v>1.4423600000000001</v>
      </c>
      <c r="F10" s="478">
        <f>('Dados Básicos do município'!C15/D10)/20</f>
        <v>0.17956682104329014</v>
      </c>
      <c r="G10" s="478">
        <f>('Dados Básicos do município'!C15/E10)/20</f>
        <v>8.9783410521645068E-2</v>
      </c>
    </row>
    <row r="11" spans="1:7" ht="20.100000000000001" customHeight="1">
      <c r="A11" s="707" t="s">
        <v>360</v>
      </c>
      <c r="B11" s="707"/>
      <c r="C11" s="707"/>
      <c r="D11" s="563">
        <v>1.9852999999999999E-2</v>
      </c>
      <c r="E11" s="563">
        <v>1.8060000000000001E-3</v>
      </c>
      <c r="F11" s="200">
        <f>D11*('Dados Básicos do município'!C24)</f>
        <v>0.19305793508063995</v>
      </c>
      <c r="G11" s="478">
        <f>E11*('Dados Básicos do município'!C24)</f>
        <v>1.7562213809279997E-2</v>
      </c>
    </row>
    <row r="12" spans="1:7" ht="20.100000000000001" customHeight="1">
      <c r="A12" s="707" t="s">
        <v>361</v>
      </c>
      <c r="B12" s="707"/>
      <c r="C12" s="707"/>
      <c r="D12" s="564">
        <f>(D11/4)*1.25</f>
        <v>6.2040624999999995E-3</v>
      </c>
      <c r="E12" s="564">
        <f>(E11/4)*1.25</f>
        <v>5.6437499999999999E-4</v>
      </c>
      <c r="F12" s="478">
        <f>D12*'Dados Básicos do município'!C23</f>
        <v>1.1539556249999998</v>
      </c>
      <c r="G12" s="478">
        <f>E12*'Dados Básicos do município'!C23</f>
        <v>0.10497375</v>
      </c>
    </row>
    <row r="13" spans="1:7" ht="6.6" customHeight="1">
      <c r="A13" s="481"/>
      <c r="B13" s="481"/>
      <c r="C13" s="481"/>
      <c r="D13" s="481"/>
      <c r="E13" s="200"/>
      <c r="F13" s="200"/>
      <c r="G13" s="478"/>
    </row>
    <row r="14" spans="1:7" ht="18" customHeight="1">
      <c r="A14" s="481"/>
      <c r="B14" s="481"/>
      <c r="C14" s="481"/>
      <c r="D14" s="705" t="s">
        <v>362</v>
      </c>
      <c r="E14" s="200"/>
      <c r="F14" s="200" t="s">
        <v>363</v>
      </c>
      <c r="G14" s="478">
        <f>F10</f>
        <v>0.17956682104329014</v>
      </c>
    </row>
    <row r="15" spans="1:7" ht="15">
      <c r="A15" s="481"/>
      <c r="B15" s="481"/>
      <c r="C15" s="481"/>
      <c r="D15" s="706"/>
      <c r="E15" s="200"/>
      <c r="F15" s="200" t="s">
        <v>364</v>
      </c>
      <c r="G15" s="478">
        <f>G10</f>
        <v>8.9783410521645068E-2</v>
      </c>
    </row>
    <row r="16" spans="1:7" ht="15">
      <c r="A16" s="481"/>
      <c r="B16" s="481"/>
      <c r="C16" s="481"/>
      <c r="D16" s="481"/>
      <c r="E16" s="200"/>
      <c r="F16" s="200"/>
      <c r="G16" s="478"/>
    </row>
    <row r="17" spans="1:7" ht="12.75" customHeight="1">
      <c r="A17" s="481"/>
      <c r="B17" s="481"/>
      <c r="C17" s="481"/>
      <c r="D17" s="705" t="s">
        <v>365</v>
      </c>
      <c r="E17" s="200"/>
      <c r="F17" s="200" t="s">
        <v>363</v>
      </c>
      <c r="G17" s="478">
        <f>SUM(F11:F11)</f>
        <v>0.19305793508063995</v>
      </c>
    </row>
    <row r="18" spans="1:7" ht="12.75" customHeight="1">
      <c r="A18" s="481"/>
      <c r="B18" s="481"/>
      <c r="C18" s="481"/>
      <c r="D18" s="706"/>
      <c r="E18" s="200"/>
      <c r="F18" s="200" t="s">
        <v>364</v>
      </c>
      <c r="G18" s="478">
        <f>SUM(G11:G11)</f>
        <v>1.7562213809279997E-2</v>
      </c>
    </row>
    <row r="19" spans="1:7" ht="27" customHeight="1">
      <c r="A19" s="481"/>
      <c r="B19" s="481"/>
      <c r="C19" s="481"/>
      <c r="D19" s="481" t="s">
        <v>366</v>
      </c>
      <c r="E19" s="200"/>
      <c r="F19" s="200"/>
      <c r="G19" s="565">
        <f>SUM(G14:G18)</f>
        <v>0.47997038045485518</v>
      </c>
    </row>
    <row r="20" spans="1:7" ht="12.75" customHeight="1">
      <c r="A20" s="481"/>
      <c r="B20" s="481"/>
      <c r="C20" s="481"/>
      <c r="D20" s="481"/>
      <c r="E20" s="200"/>
      <c r="F20" s="200"/>
      <c r="G20" s="478"/>
    </row>
  </sheetData>
  <mergeCells count="10">
    <mergeCell ref="A1:A3"/>
    <mergeCell ref="B1:G3"/>
    <mergeCell ref="A10:C10"/>
    <mergeCell ref="A8:C8"/>
    <mergeCell ref="D17:D18"/>
    <mergeCell ref="A12:C12"/>
    <mergeCell ref="A11:C11"/>
    <mergeCell ref="A9:C9"/>
    <mergeCell ref="D8:E8"/>
    <mergeCell ref="D14:D15"/>
  </mergeCells>
  <printOptions horizontalCentered="1"/>
  <pageMargins left="0.51181102362204722" right="0.51181102362204722" top="0.78740157480314965" bottom="0.78740157480314965" header="0.31496062992125984" footer="0.31496062992125984"/>
  <pageSetup paperSize="9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-0.249977111117893"/>
    <pageSetUpPr fitToPage="1"/>
  </sheetPr>
  <dimension ref="A1:O114"/>
  <sheetViews>
    <sheetView showGridLines="0" view="pageBreakPreview" zoomScale="90" zoomScaleSheetLayoutView="90" workbookViewId="0">
      <selection sqref="A1:J2"/>
    </sheetView>
  </sheetViews>
  <sheetFormatPr defaultColWidth="9.140625" defaultRowHeight="12.75" zeroHeight="1"/>
  <cols>
    <col min="1" max="1" width="14" style="316" customWidth="1"/>
    <col min="2" max="2" width="4.7109375" style="316" customWidth="1"/>
    <col min="3" max="3" width="56.85546875" style="316" customWidth="1"/>
    <col min="4" max="4" width="15.42578125" style="377" customWidth="1"/>
    <col min="5" max="5" width="10.5703125" style="377" customWidth="1"/>
    <col min="6" max="6" width="12.85546875" style="377" bestFit="1" customWidth="1"/>
    <col min="7" max="7" width="11.42578125" style="320" bestFit="1" customWidth="1"/>
    <col min="8" max="8" width="10.42578125" style="320" bestFit="1" customWidth="1"/>
    <col min="9" max="9" width="14" style="320" customWidth="1"/>
    <col min="10" max="10" width="14" style="379" customWidth="1"/>
    <col min="11" max="11" width="2.7109375" style="316" customWidth="1"/>
    <col min="12" max="12" width="13.42578125" style="316" bestFit="1" customWidth="1"/>
    <col min="13" max="13" width="14.5703125" style="316" bestFit="1" customWidth="1"/>
    <col min="14" max="14" width="13.42578125" style="316" bestFit="1" customWidth="1"/>
    <col min="15" max="15" width="14.5703125" style="316" bestFit="1" customWidth="1"/>
    <col min="16" max="16384" width="9.140625" style="316"/>
  </cols>
  <sheetData>
    <row r="1" spans="1:15" ht="19.899999999999999" customHeight="1">
      <c r="A1" s="712" t="str">
        <f>Capa!A19</f>
        <v xml:space="preserve">ORÇAMENTO PARA ELABORAÇÃO DE PROJETOS DE SISTEMA DE ESGOTAMENTO SANITÁRIO </v>
      </c>
      <c r="B1" s="712"/>
      <c r="C1" s="712"/>
      <c r="D1" s="712"/>
      <c r="E1" s="712"/>
      <c r="F1" s="712"/>
      <c r="G1" s="712"/>
      <c r="H1" s="712"/>
      <c r="I1" s="712"/>
      <c r="J1" s="712"/>
    </row>
    <row r="2" spans="1:15" ht="19.899999999999999" customHeight="1">
      <c r="A2" s="712"/>
      <c r="B2" s="712"/>
      <c r="C2" s="712"/>
      <c r="D2" s="712"/>
      <c r="E2" s="712"/>
      <c r="F2" s="712"/>
      <c r="G2" s="712"/>
      <c r="H2" s="712"/>
      <c r="I2" s="712"/>
      <c r="J2" s="712"/>
    </row>
    <row r="3" spans="1:15" ht="19.899999999999999" customHeight="1">
      <c r="A3" s="318" t="s">
        <v>367</v>
      </c>
      <c r="B3" s="318"/>
      <c r="C3" s="319"/>
      <c r="D3" s="316"/>
      <c r="E3" s="319"/>
      <c r="F3" s="319"/>
      <c r="G3" s="319"/>
      <c r="I3" s="321" t="s">
        <v>134</v>
      </c>
      <c r="J3" s="322">
        <f ca="1">'Dados Básicos do município'!H4</f>
        <v>46139</v>
      </c>
    </row>
    <row r="4" spans="1:15" ht="19.899999999999999" customHeight="1">
      <c r="A4" s="318" t="s">
        <v>135</v>
      </c>
      <c r="B4" s="318"/>
      <c r="C4" s="323" t="str">
        <f>'Dados Básicos do município'!B5</f>
        <v>CBH-SANTO ANTÔNIO</v>
      </c>
      <c r="D4" s="316"/>
      <c r="E4" s="319"/>
      <c r="F4" s="319"/>
      <c r="G4" s="319"/>
      <c r="H4" s="319"/>
      <c r="I4" s="319"/>
      <c r="J4" s="319"/>
    </row>
    <row r="5" spans="1:15" ht="19.899999999999999" customHeight="1">
      <c r="A5" s="318" t="s">
        <v>136</v>
      </c>
      <c r="B5" s="318"/>
      <c r="C5" s="323" t="str">
        <f>'Dados Básicos do município'!B6</f>
        <v>Açucena/MG</v>
      </c>
      <c r="D5" s="316"/>
      <c r="E5" s="319"/>
      <c r="F5" s="319"/>
      <c r="H5" s="319"/>
      <c r="I5" s="319"/>
      <c r="J5" s="319"/>
    </row>
    <row r="6" spans="1:15" ht="9" customHeight="1">
      <c r="A6" s="317"/>
      <c r="B6" s="317"/>
      <c r="C6" s="317"/>
      <c r="D6" s="324"/>
      <c r="E6" s="324"/>
      <c r="F6" s="324"/>
      <c r="G6" s="317"/>
      <c r="H6" s="316"/>
      <c r="I6" s="316"/>
      <c r="J6" s="316"/>
    </row>
    <row r="7" spans="1:15" ht="19.899999999999999" customHeight="1">
      <c r="A7" s="713" t="s">
        <v>8</v>
      </c>
      <c r="B7" s="713" t="s">
        <v>182</v>
      </c>
      <c r="C7" s="713"/>
      <c r="D7" s="713" t="s">
        <v>140</v>
      </c>
      <c r="E7" s="713" t="s">
        <v>368</v>
      </c>
      <c r="F7" s="495" t="s">
        <v>369</v>
      </c>
      <c r="G7" s="714" t="s">
        <v>370</v>
      </c>
      <c r="H7" s="714" t="s">
        <v>139</v>
      </c>
      <c r="I7" s="713" t="s">
        <v>371</v>
      </c>
      <c r="J7" s="713"/>
    </row>
    <row r="8" spans="1:15" ht="19.899999999999999" customHeight="1">
      <c r="A8" s="713"/>
      <c r="B8" s="713"/>
      <c r="C8" s="713"/>
      <c r="D8" s="713"/>
      <c r="E8" s="713"/>
      <c r="F8" s="325" t="s">
        <v>372</v>
      </c>
      <c r="G8" s="714"/>
      <c r="H8" s="714"/>
      <c r="I8" s="325" t="s">
        <v>373</v>
      </c>
      <c r="J8" s="325" t="s">
        <v>374</v>
      </c>
    </row>
    <row r="9" spans="1:15" ht="7.5" customHeight="1">
      <c r="A9" s="317"/>
      <c r="B9" s="317"/>
      <c r="C9" s="317"/>
      <c r="D9" s="317"/>
      <c r="E9" s="317"/>
      <c r="F9" s="317"/>
      <c r="G9" s="326"/>
      <c r="H9" s="326"/>
      <c r="I9" s="326"/>
      <c r="J9" s="317"/>
    </row>
    <row r="10" spans="1:15" ht="19.5" customHeight="1">
      <c r="A10" s="327">
        <v>1</v>
      </c>
      <c r="B10" s="328" t="s">
        <v>375</v>
      </c>
      <c r="C10" s="328"/>
      <c r="D10" s="329"/>
      <c r="E10" s="329"/>
      <c r="F10" s="329"/>
      <c r="G10" s="329"/>
      <c r="H10" s="329"/>
      <c r="I10" s="329"/>
      <c r="J10" s="329"/>
      <c r="L10" s="711" t="s">
        <v>306</v>
      </c>
      <c r="M10" s="711"/>
      <c r="N10" s="711"/>
      <c r="O10" s="711"/>
    </row>
    <row r="11" spans="1:15" ht="6.6" customHeight="1">
      <c r="A11" s="315"/>
      <c r="B11" s="315"/>
      <c r="C11" s="330"/>
      <c r="D11" s="331"/>
      <c r="E11" s="331"/>
      <c r="F11" s="331"/>
      <c r="G11" s="332"/>
      <c r="H11" s="332"/>
      <c r="I11" s="332"/>
      <c r="J11" s="331"/>
      <c r="L11" s="711"/>
      <c r="M11" s="711"/>
      <c r="N11" s="711"/>
      <c r="O11" s="711"/>
    </row>
    <row r="12" spans="1:15" ht="19.5" customHeight="1">
      <c r="A12" s="333" t="s">
        <v>29</v>
      </c>
      <c r="B12" s="334" t="s">
        <v>376</v>
      </c>
      <c r="C12" s="334"/>
      <c r="D12" s="334"/>
      <c r="E12" s="335"/>
      <c r="F12" s="335"/>
      <c r="G12" s="333"/>
      <c r="H12" s="334"/>
      <c r="I12" s="334"/>
      <c r="J12" s="336"/>
      <c r="L12" s="529">
        <v>45383</v>
      </c>
      <c r="M12" s="534" t="s">
        <v>377</v>
      </c>
      <c r="N12" s="529"/>
      <c r="O12" s="530"/>
    </row>
    <row r="13" spans="1:15" ht="19.5" customHeight="1">
      <c r="A13" s="337" t="s">
        <v>378</v>
      </c>
      <c r="B13" s="338" t="s">
        <v>379</v>
      </c>
      <c r="C13" s="338"/>
      <c r="D13" s="339" t="s">
        <v>306</v>
      </c>
      <c r="E13" s="340" t="s">
        <v>380</v>
      </c>
      <c r="F13" s="496">
        <f>'Dias trabalhados'!$C$49</f>
        <v>148.99145199063233</v>
      </c>
      <c r="G13" s="537" t="s">
        <v>381</v>
      </c>
      <c r="H13" s="341" t="s">
        <v>382</v>
      </c>
      <c r="I13" s="342">
        <f>M13</f>
        <v>18353.98075125266</v>
      </c>
      <c r="J13" s="342">
        <f>ROUND(I13/F13,2)</f>
        <v>123.19</v>
      </c>
      <c r="L13" s="531">
        <v>17866.689999999999</v>
      </c>
      <c r="M13" s="532">
        <f>L13*Reajuste!$K$19</f>
        <v>18353.98075125266</v>
      </c>
      <c r="N13" s="530"/>
      <c r="O13" s="530"/>
    </row>
    <row r="14" spans="1:15" ht="19.5" customHeight="1">
      <c r="A14" s="337" t="s">
        <v>383</v>
      </c>
      <c r="B14" s="343" t="s">
        <v>384</v>
      </c>
      <c r="C14" s="343"/>
      <c r="D14" s="339" t="s">
        <v>306</v>
      </c>
      <c r="E14" s="344" t="s">
        <v>385</v>
      </c>
      <c r="F14" s="496">
        <f>'Dias trabalhados'!$C$49</f>
        <v>148.99145199063233</v>
      </c>
      <c r="G14" s="537" t="s">
        <v>381</v>
      </c>
      <c r="H14" s="345" t="s">
        <v>382</v>
      </c>
      <c r="I14" s="342">
        <f t="shared" ref="I14:I17" si="0">M14</f>
        <v>12717.607320733603</v>
      </c>
      <c r="J14" s="342">
        <f t="shared" ref="J14:J17" si="1">ROUND(I14/F14,2)</f>
        <v>85.36</v>
      </c>
      <c r="L14" s="531">
        <v>12379.96</v>
      </c>
      <c r="M14" s="532">
        <f>L14*Reajuste!$K$19</f>
        <v>12717.607320733603</v>
      </c>
      <c r="N14" s="530"/>
      <c r="O14" s="530"/>
    </row>
    <row r="15" spans="1:15" ht="19.5" customHeight="1">
      <c r="A15" s="337" t="s">
        <v>386</v>
      </c>
      <c r="B15" s="343" t="s">
        <v>387</v>
      </c>
      <c r="C15" s="343"/>
      <c r="D15" s="339" t="s">
        <v>306</v>
      </c>
      <c r="E15" s="344" t="s">
        <v>388</v>
      </c>
      <c r="F15" s="496">
        <f>'Dias trabalhados'!$C$49</f>
        <v>148.99145199063233</v>
      </c>
      <c r="G15" s="537" t="s">
        <v>381</v>
      </c>
      <c r="H15" s="345" t="s">
        <v>382</v>
      </c>
      <c r="I15" s="342">
        <f t="shared" si="0"/>
        <v>12329.338952908145</v>
      </c>
      <c r="J15" s="342">
        <f t="shared" si="1"/>
        <v>82.75</v>
      </c>
      <c r="L15" s="531">
        <v>12002</v>
      </c>
      <c r="M15" s="532">
        <f>L15*Reajuste!$K$19</f>
        <v>12329.338952908145</v>
      </c>
      <c r="N15" s="530"/>
      <c r="O15" s="530"/>
    </row>
    <row r="16" spans="1:15" ht="19.5" customHeight="1">
      <c r="A16" s="337" t="s">
        <v>389</v>
      </c>
      <c r="B16" s="343" t="s">
        <v>390</v>
      </c>
      <c r="C16" s="343"/>
      <c r="D16" s="339" t="s">
        <v>306</v>
      </c>
      <c r="E16" s="344" t="s">
        <v>391</v>
      </c>
      <c r="F16" s="496">
        <f>'Dias trabalhados'!$C$49</f>
        <v>148.99145199063233</v>
      </c>
      <c r="G16" s="537" t="s">
        <v>381</v>
      </c>
      <c r="H16" s="345" t="s">
        <v>382</v>
      </c>
      <c r="I16" s="342">
        <f t="shared" si="0"/>
        <v>2877.8559081506851</v>
      </c>
      <c r="J16" s="342">
        <f t="shared" si="1"/>
        <v>19.32</v>
      </c>
      <c r="L16" s="531">
        <v>2801.45</v>
      </c>
      <c r="M16" s="532">
        <f>L16*Reajuste!$K$19</f>
        <v>2877.8559081506851</v>
      </c>
      <c r="N16" s="530"/>
      <c r="O16" s="530"/>
    </row>
    <row r="17" spans="1:15" ht="19.5" customHeight="1">
      <c r="A17" s="337" t="s">
        <v>392</v>
      </c>
      <c r="B17" s="343" t="s">
        <v>393</v>
      </c>
      <c r="C17" s="343"/>
      <c r="D17" s="346" t="s">
        <v>306</v>
      </c>
      <c r="E17" s="344" t="s">
        <v>394</v>
      </c>
      <c r="F17" s="496">
        <f>'Dias trabalhados'!$C$49</f>
        <v>148.99145199063233</v>
      </c>
      <c r="G17" s="537" t="s">
        <v>381</v>
      </c>
      <c r="H17" s="345" t="s">
        <v>382</v>
      </c>
      <c r="I17" s="342">
        <f t="shared" si="0"/>
        <v>1892.6079747775245</v>
      </c>
      <c r="J17" s="342">
        <f t="shared" si="1"/>
        <v>12.7</v>
      </c>
      <c r="L17" s="531">
        <v>1842.36</v>
      </c>
      <c r="M17" s="532">
        <f>L17*Reajuste!$K$19</f>
        <v>1892.6079747775245</v>
      </c>
      <c r="N17" s="530"/>
      <c r="O17" s="530"/>
    </row>
    <row r="18" spans="1:15" ht="5.45" customHeight="1">
      <c r="A18" s="315"/>
      <c r="B18" s="315"/>
      <c r="C18" s="330"/>
      <c r="D18" s="348"/>
      <c r="E18" s="348"/>
      <c r="F18" s="348"/>
      <c r="G18" s="332"/>
      <c r="H18" s="332"/>
      <c r="I18" s="332"/>
      <c r="J18" s="349"/>
      <c r="L18" s="531"/>
      <c r="M18" s="532"/>
      <c r="N18" s="530"/>
      <c r="O18" s="530"/>
    </row>
    <row r="19" spans="1:15" ht="20.45" customHeight="1">
      <c r="A19" s="327">
        <v>2</v>
      </c>
      <c r="B19" s="328" t="s">
        <v>395</v>
      </c>
      <c r="C19" s="328"/>
      <c r="D19" s="329"/>
      <c r="E19" s="329"/>
      <c r="F19" s="329"/>
      <c r="G19" s="329"/>
      <c r="H19" s="329"/>
      <c r="I19" s="329"/>
      <c r="J19" s="329"/>
      <c r="L19" s="531"/>
      <c r="M19" s="532"/>
      <c r="N19" s="530"/>
      <c r="O19" s="530"/>
    </row>
    <row r="20" spans="1:15" ht="6.6" customHeight="1">
      <c r="A20" s="315"/>
      <c r="B20" s="315"/>
      <c r="C20" s="330"/>
      <c r="D20" s="331"/>
      <c r="E20" s="331"/>
      <c r="F20" s="331"/>
      <c r="G20" s="332"/>
      <c r="H20" s="332"/>
      <c r="I20" s="332"/>
      <c r="J20" s="331"/>
      <c r="L20" s="531"/>
      <c r="M20" s="532"/>
      <c r="N20" s="530"/>
      <c r="O20" s="530"/>
    </row>
    <row r="21" spans="1:15" ht="19.149999999999999" customHeight="1">
      <c r="A21" s="350" t="s">
        <v>47</v>
      </c>
      <c r="B21" s="351" t="s">
        <v>396</v>
      </c>
      <c r="C21" s="351"/>
      <c r="D21" s="351"/>
      <c r="E21" s="352"/>
      <c r="F21" s="352"/>
      <c r="G21" s="350"/>
      <c r="H21" s="351"/>
      <c r="I21" s="352"/>
      <c r="J21" s="353"/>
      <c r="K21" s="354"/>
      <c r="L21" s="531"/>
      <c r="M21" s="532"/>
      <c r="N21" s="530"/>
      <c r="O21" s="530"/>
    </row>
    <row r="22" spans="1:15" ht="19.149999999999999" customHeight="1">
      <c r="A22" s="337" t="s">
        <v>378</v>
      </c>
      <c r="B22" s="355" t="s">
        <v>397</v>
      </c>
      <c r="C22" s="356"/>
      <c r="D22" s="339" t="s">
        <v>306</v>
      </c>
      <c r="E22" s="344" t="s">
        <v>398</v>
      </c>
      <c r="F22" s="496">
        <f>'Dias trabalhados'!$C$49</f>
        <v>148.99145199063233</v>
      </c>
      <c r="G22" s="537" t="s">
        <v>381</v>
      </c>
      <c r="H22" s="345" t="s">
        <v>382</v>
      </c>
      <c r="I22" s="342">
        <f>M22</f>
        <v>11454.2558511722</v>
      </c>
      <c r="J22" s="342">
        <f t="shared" ref="J22:J27" si="2">ROUND(I22/F22,2)</f>
        <v>76.88</v>
      </c>
      <c r="L22" s="531">
        <v>11150.15</v>
      </c>
      <c r="M22" s="532">
        <f>L22*Reajuste!$K$19</f>
        <v>11454.2558511722</v>
      </c>
      <c r="N22" s="530"/>
      <c r="O22" s="530"/>
    </row>
    <row r="23" spans="1:15" ht="19.149999999999999" customHeight="1">
      <c r="A23" s="337" t="s">
        <v>383</v>
      </c>
      <c r="B23" s="355" t="s">
        <v>399</v>
      </c>
      <c r="C23" s="356"/>
      <c r="D23" s="339" t="s">
        <v>306</v>
      </c>
      <c r="E23" s="344" t="s">
        <v>400</v>
      </c>
      <c r="F23" s="496">
        <f>'Dias trabalhados'!$C$49</f>
        <v>148.99145199063233</v>
      </c>
      <c r="G23" s="537" t="s">
        <v>381</v>
      </c>
      <c r="H23" s="345" t="s">
        <v>382</v>
      </c>
      <c r="I23" s="342">
        <f t="shared" ref="I23:I27" si="3">M23</f>
        <v>15989.042601741123</v>
      </c>
      <c r="J23" s="342">
        <f t="shared" si="2"/>
        <v>107.32</v>
      </c>
      <c r="L23" s="531">
        <v>15564.54</v>
      </c>
      <c r="M23" s="532">
        <f>L23*Reajuste!$K$19</f>
        <v>15989.042601741123</v>
      </c>
      <c r="N23" s="530"/>
      <c r="O23" s="530"/>
    </row>
    <row r="24" spans="1:15" ht="19.149999999999999" customHeight="1">
      <c r="A24" s="337" t="s">
        <v>386</v>
      </c>
      <c r="B24" s="355" t="s">
        <v>401</v>
      </c>
      <c r="C24" s="356"/>
      <c r="D24" s="346" t="s">
        <v>306</v>
      </c>
      <c r="E24" s="344" t="s">
        <v>400</v>
      </c>
      <c r="F24" s="496">
        <f>'Dias trabalhados'!$C$49</f>
        <v>148.99145199063233</v>
      </c>
      <c r="G24" s="537" t="s">
        <v>381</v>
      </c>
      <c r="H24" s="345" t="s">
        <v>382</v>
      </c>
      <c r="I24" s="342">
        <f t="shared" si="3"/>
        <v>15989.042601741123</v>
      </c>
      <c r="J24" s="342">
        <f t="shared" si="2"/>
        <v>107.32</v>
      </c>
      <c r="L24" s="531">
        <v>15564.54</v>
      </c>
      <c r="M24" s="532">
        <f>L24*Reajuste!$K$19</f>
        <v>15989.042601741123</v>
      </c>
      <c r="N24" s="530"/>
      <c r="O24" s="530"/>
    </row>
    <row r="25" spans="1:15" ht="19.149999999999999" customHeight="1">
      <c r="A25" s="337" t="s">
        <v>389</v>
      </c>
      <c r="B25" s="355" t="s">
        <v>402</v>
      </c>
      <c r="C25" s="356"/>
      <c r="D25" s="346" t="s">
        <v>306</v>
      </c>
      <c r="E25" s="344" t="s">
        <v>400</v>
      </c>
      <c r="F25" s="496">
        <f>'Dias trabalhados'!$C$49</f>
        <v>148.99145199063233</v>
      </c>
      <c r="G25" s="537" t="s">
        <v>381</v>
      </c>
      <c r="H25" s="345" t="s">
        <v>382</v>
      </c>
      <c r="I25" s="342">
        <f t="shared" si="3"/>
        <v>15989.042601741123</v>
      </c>
      <c r="J25" s="342">
        <f t="shared" si="2"/>
        <v>107.32</v>
      </c>
      <c r="L25" s="531">
        <v>15564.54</v>
      </c>
      <c r="M25" s="532">
        <f>L25*Reajuste!$K$19</f>
        <v>15989.042601741123</v>
      </c>
      <c r="N25" s="530"/>
      <c r="O25" s="530"/>
    </row>
    <row r="26" spans="1:15" ht="19.149999999999999" customHeight="1">
      <c r="A26" s="337" t="s">
        <v>392</v>
      </c>
      <c r="B26" s="355" t="s">
        <v>403</v>
      </c>
      <c r="C26" s="356"/>
      <c r="D26" s="346" t="s">
        <v>306</v>
      </c>
      <c r="E26" s="344" t="s">
        <v>404</v>
      </c>
      <c r="F26" s="496">
        <f>'Dias trabalhados'!$C$49</f>
        <v>148.99145199063233</v>
      </c>
      <c r="G26" s="537" t="s">
        <v>381</v>
      </c>
      <c r="H26" s="345" t="s">
        <v>382</v>
      </c>
      <c r="I26" s="342">
        <f t="shared" si="3"/>
        <v>15035.979153403341</v>
      </c>
      <c r="J26" s="342">
        <f t="shared" si="2"/>
        <v>100.92</v>
      </c>
      <c r="L26" s="531">
        <v>14636.78</v>
      </c>
      <c r="M26" s="532">
        <f>L26*Reajuste!$K$19</f>
        <v>15035.979153403341</v>
      </c>
      <c r="N26" s="530"/>
      <c r="O26" s="530"/>
    </row>
    <row r="27" spans="1:15" ht="19.149999999999999" customHeight="1">
      <c r="A27" s="337" t="s">
        <v>405</v>
      </c>
      <c r="B27" s="355" t="s">
        <v>406</v>
      </c>
      <c r="C27" s="356"/>
      <c r="D27" s="346" t="s">
        <v>306</v>
      </c>
      <c r="E27" s="344" t="s">
        <v>391</v>
      </c>
      <c r="F27" s="496">
        <f>'Dias trabalhados'!$C$49</f>
        <v>148.99145199063233</v>
      </c>
      <c r="G27" s="537" t="s">
        <v>381</v>
      </c>
      <c r="H27" s="345" t="s">
        <v>382</v>
      </c>
      <c r="I27" s="342">
        <f t="shared" si="3"/>
        <v>2138.2188438202515</v>
      </c>
      <c r="J27" s="342">
        <f t="shared" si="2"/>
        <v>14.35</v>
      </c>
      <c r="L27" s="531">
        <v>2081.4499999999998</v>
      </c>
      <c r="M27" s="532">
        <f>L27*Reajuste!$K$19</f>
        <v>2138.2188438202515</v>
      </c>
      <c r="N27" s="530"/>
      <c r="O27" s="530"/>
    </row>
    <row r="28" spans="1:15" ht="5.45" customHeight="1">
      <c r="A28" s="315"/>
      <c r="B28" s="315"/>
      <c r="C28" s="330"/>
      <c r="D28" s="348"/>
      <c r="E28" s="348"/>
      <c r="F28" s="348"/>
      <c r="G28" s="332"/>
      <c r="H28" s="332"/>
      <c r="I28" s="332"/>
      <c r="J28" s="349"/>
      <c r="L28" s="533"/>
      <c r="M28" s="530"/>
      <c r="N28" s="530"/>
      <c r="O28" s="530"/>
    </row>
    <row r="29" spans="1:15" ht="20.45" customHeight="1">
      <c r="A29" s="327">
        <v>3</v>
      </c>
      <c r="B29" s="328" t="s">
        <v>129</v>
      </c>
      <c r="C29" s="328"/>
      <c r="D29" s="329"/>
      <c r="E29" s="329"/>
      <c r="F29" s="329"/>
      <c r="G29" s="329"/>
      <c r="H29" s="329"/>
      <c r="I29" s="329"/>
      <c r="J29" s="329"/>
      <c r="L29" s="709" t="s">
        <v>407</v>
      </c>
      <c r="M29" s="709"/>
      <c r="N29" s="530"/>
      <c r="O29" s="530"/>
    </row>
    <row r="30" spans="1:15" ht="6.6" customHeight="1">
      <c r="A30" s="315"/>
      <c r="B30" s="315"/>
      <c r="C30" s="330"/>
      <c r="D30" s="331"/>
      <c r="E30" s="331"/>
      <c r="F30" s="331"/>
      <c r="G30" s="332"/>
      <c r="H30" s="332"/>
      <c r="I30" s="332"/>
      <c r="J30" s="331"/>
      <c r="L30" s="533"/>
      <c r="M30" s="530"/>
      <c r="N30" s="530"/>
      <c r="O30" s="530"/>
    </row>
    <row r="31" spans="1:15" ht="19.149999999999999" customHeight="1">
      <c r="A31" s="350" t="s">
        <v>59</v>
      </c>
      <c r="B31" s="351" t="s">
        <v>408</v>
      </c>
      <c r="C31" s="351"/>
      <c r="D31" s="351"/>
      <c r="E31" s="352"/>
      <c r="F31" s="352"/>
      <c r="G31" s="350"/>
      <c r="H31" s="351"/>
      <c r="I31" s="352"/>
      <c r="J31" s="353"/>
      <c r="K31" s="354"/>
      <c r="L31" s="533"/>
      <c r="M31" s="530"/>
      <c r="N31" s="530"/>
      <c r="O31" s="530"/>
    </row>
    <row r="32" spans="1:15" ht="21" customHeight="1">
      <c r="A32" s="337" t="s">
        <v>378</v>
      </c>
      <c r="B32" s="716" t="s">
        <v>409</v>
      </c>
      <c r="C32" s="716"/>
      <c r="D32" s="365" t="s">
        <v>407</v>
      </c>
      <c r="E32" s="357">
        <v>65001207</v>
      </c>
      <c r="F32" s="357">
        <v>65001207</v>
      </c>
      <c r="G32" s="341" t="s">
        <v>410</v>
      </c>
      <c r="H32" s="341" t="s">
        <v>411</v>
      </c>
      <c r="I32" s="358" t="s">
        <v>412</v>
      </c>
      <c r="J32" s="342">
        <v>1316.83</v>
      </c>
      <c r="L32" s="533"/>
      <c r="M32" s="534"/>
      <c r="N32" s="531"/>
      <c r="O32" s="532"/>
    </row>
    <row r="33" spans="1:15" ht="24" customHeight="1">
      <c r="A33" s="359" t="s">
        <v>383</v>
      </c>
      <c r="B33" s="716" t="s">
        <v>413</v>
      </c>
      <c r="C33" s="716"/>
      <c r="D33" s="365" t="s">
        <v>407</v>
      </c>
      <c r="E33" s="357">
        <v>65001208</v>
      </c>
      <c r="F33" s="357">
        <v>65001208</v>
      </c>
      <c r="G33" s="341" t="s">
        <v>410</v>
      </c>
      <c r="H33" s="341" t="s">
        <v>148</v>
      </c>
      <c r="I33" s="358" t="s">
        <v>412</v>
      </c>
      <c r="J33" s="342">
        <v>9.32</v>
      </c>
      <c r="L33" s="533"/>
      <c r="M33" s="534"/>
      <c r="N33" s="531"/>
      <c r="O33" s="532"/>
    </row>
    <row r="34" spans="1:15" ht="23.25" customHeight="1">
      <c r="A34" s="359" t="s">
        <v>386</v>
      </c>
      <c r="B34" s="716" t="s">
        <v>414</v>
      </c>
      <c r="C34" s="716"/>
      <c r="D34" s="365" t="s">
        <v>407</v>
      </c>
      <c r="E34" s="357">
        <v>65001209</v>
      </c>
      <c r="F34" s="357">
        <v>65001209</v>
      </c>
      <c r="G34" s="341" t="s">
        <v>410</v>
      </c>
      <c r="H34" s="341" t="s">
        <v>411</v>
      </c>
      <c r="I34" s="358" t="s">
        <v>412</v>
      </c>
      <c r="J34" s="342">
        <v>482.46</v>
      </c>
      <c r="L34" s="533"/>
      <c r="M34" s="534"/>
      <c r="N34" s="531"/>
      <c r="O34" s="532"/>
    </row>
    <row r="35" spans="1:15" ht="21" customHeight="1">
      <c r="A35" s="359" t="s">
        <v>389</v>
      </c>
      <c r="B35" s="710" t="s">
        <v>415</v>
      </c>
      <c r="C35" s="710"/>
      <c r="D35" s="365" t="s">
        <v>407</v>
      </c>
      <c r="E35" s="360">
        <v>65001210</v>
      </c>
      <c r="F35" s="360">
        <v>65001210</v>
      </c>
      <c r="G35" s="341" t="s">
        <v>410</v>
      </c>
      <c r="H35" s="345" t="s">
        <v>172</v>
      </c>
      <c r="I35" s="361" t="s">
        <v>412</v>
      </c>
      <c r="J35" s="342">
        <v>145.19999999999999</v>
      </c>
      <c r="L35" s="533"/>
      <c r="M35" s="534"/>
      <c r="N35" s="531"/>
      <c r="O35" s="532"/>
    </row>
    <row r="36" spans="1:15" ht="7.15" customHeight="1">
      <c r="A36" s="315"/>
      <c r="B36" s="315"/>
      <c r="C36" s="330"/>
      <c r="D36" s="362"/>
      <c r="E36" s="362"/>
      <c r="F36" s="362"/>
      <c r="G36" s="332"/>
      <c r="H36" s="332"/>
      <c r="I36" s="363"/>
      <c r="J36" s="331"/>
      <c r="L36" s="533"/>
      <c r="M36" s="534"/>
      <c r="N36" s="531"/>
      <c r="O36" s="532"/>
    </row>
    <row r="37" spans="1:15" ht="19.149999999999999" customHeight="1">
      <c r="A37" s="350" t="s">
        <v>60</v>
      </c>
      <c r="B37" s="351" t="s">
        <v>416</v>
      </c>
      <c r="C37" s="351"/>
      <c r="D37" s="351"/>
      <c r="E37" s="352"/>
      <c r="F37" s="352"/>
      <c r="G37" s="350"/>
      <c r="H37" s="351"/>
      <c r="I37" s="352"/>
      <c r="J37" s="353"/>
      <c r="K37" s="354"/>
      <c r="L37" s="533"/>
      <c r="M37" s="534"/>
      <c r="N37" s="531"/>
      <c r="O37" s="532"/>
    </row>
    <row r="38" spans="1:15" ht="20.25" customHeight="1">
      <c r="A38" s="337" t="s">
        <v>378</v>
      </c>
      <c r="B38" s="364" t="s">
        <v>417</v>
      </c>
      <c r="C38" s="364"/>
      <c r="D38" s="365" t="s">
        <v>407</v>
      </c>
      <c r="E38" s="366">
        <v>65003710</v>
      </c>
      <c r="F38" s="366">
        <v>65003710</v>
      </c>
      <c r="G38" s="341" t="s">
        <v>410</v>
      </c>
      <c r="H38" s="341" t="s">
        <v>148</v>
      </c>
      <c r="I38" s="358" t="s">
        <v>412</v>
      </c>
      <c r="J38" s="342">
        <v>4.62</v>
      </c>
      <c r="L38" s="533"/>
      <c r="M38" s="534"/>
      <c r="N38" s="531"/>
      <c r="O38" s="532"/>
    </row>
    <row r="39" spans="1:15" ht="21" customHeight="1">
      <c r="A39" s="359" t="s">
        <v>383</v>
      </c>
      <c r="B39" s="710" t="s">
        <v>418</v>
      </c>
      <c r="C39" s="710"/>
      <c r="D39" s="365" t="s">
        <v>407</v>
      </c>
      <c r="E39" s="367">
        <v>65001667</v>
      </c>
      <c r="F39" s="367">
        <v>65001667</v>
      </c>
      <c r="G39" s="341" t="s">
        <v>410</v>
      </c>
      <c r="H39" s="346" t="s">
        <v>351</v>
      </c>
      <c r="I39" s="347" t="s">
        <v>412</v>
      </c>
      <c r="J39" s="342">
        <v>50814.45</v>
      </c>
      <c r="L39" s="533"/>
      <c r="M39" s="534"/>
      <c r="N39" s="531"/>
      <c r="O39" s="532"/>
    </row>
    <row r="40" spans="1:15" ht="20.25" customHeight="1">
      <c r="A40" s="359" t="s">
        <v>386</v>
      </c>
      <c r="B40" s="710" t="s">
        <v>419</v>
      </c>
      <c r="C40" s="710"/>
      <c r="D40" s="365" t="s">
        <v>407</v>
      </c>
      <c r="E40" s="367">
        <v>65001668</v>
      </c>
      <c r="F40" s="367">
        <v>65001668</v>
      </c>
      <c r="G40" s="341" t="s">
        <v>410</v>
      </c>
      <c r="H40" s="341" t="s">
        <v>351</v>
      </c>
      <c r="I40" s="347" t="s">
        <v>412</v>
      </c>
      <c r="J40" s="342">
        <v>26804.01</v>
      </c>
      <c r="L40" s="533"/>
      <c r="M40" s="534"/>
      <c r="N40" s="531"/>
      <c r="O40" s="532"/>
    </row>
    <row r="41" spans="1:15" ht="7.9" customHeight="1">
      <c r="A41" s="315"/>
      <c r="B41" s="315"/>
      <c r="C41" s="330"/>
      <c r="D41" s="348"/>
      <c r="E41" s="348"/>
      <c r="F41" s="348"/>
      <c r="G41" s="332"/>
      <c r="H41" s="332"/>
      <c r="I41" s="363"/>
      <c r="J41" s="368"/>
      <c r="L41" s="533"/>
      <c r="M41" s="534"/>
      <c r="N41" s="531"/>
      <c r="O41" s="532"/>
    </row>
    <row r="42" spans="1:15" ht="19.149999999999999" customHeight="1">
      <c r="A42" s="350" t="s">
        <v>61</v>
      </c>
      <c r="B42" s="351" t="s">
        <v>420</v>
      </c>
      <c r="C42" s="351"/>
      <c r="D42" s="351"/>
      <c r="E42" s="352"/>
      <c r="F42" s="352"/>
      <c r="G42" s="350"/>
      <c r="H42" s="351"/>
      <c r="I42" s="352"/>
      <c r="J42" s="353"/>
      <c r="K42" s="354"/>
      <c r="L42" s="533"/>
      <c r="M42" s="534"/>
      <c r="N42" s="531"/>
      <c r="O42" s="532"/>
    </row>
    <row r="43" spans="1:15" ht="18.75" customHeight="1">
      <c r="A43" s="337" t="s">
        <v>378</v>
      </c>
      <c r="B43" s="710" t="s">
        <v>418</v>
      </c>
      <c r="C43" s="710"/>
      <c r="D43" s="365" t="s">
        <v>407</v>
      </c>
      <c r="E43" s="367">
        <v>65001667</v>
      </c>
      <c r="F43" s="367">
        <v>65001667</v>
      </c>
      <c r="G43" s="341" t="s">
        <v>410</v>
      </c>
      <c r="H43" s="346" t="s">
        <v>351</v>
      </c>
      <c r="I43" s="347" t="s">
        <v>412</v>
      </c>
      <c r="J43" s="342">
        <v>50814.45</v>
      </c>
      <c r="L43" s="533"/>
      <c r="M43" s="534"/>
      <c r="N43" s="531"/>
      <c r="O43" s="532"/>
    </row>
    <row r="44" spans="1:15" ht="19.5" customHeight="1">
      <c r="A44" s="359" t="s">
        <v>383</v>
      </c>
      <c r="B44" s="710" t="s">
        <v>419</v>
      </c>
      <c r="C44" s="710"/>
      <c r="D44" s="365" t="s">
        <v>407</v>
      </c>
      <c r="E44" s="367">
        <v>65001668</v>
      </c>
      <c r="F44" s="367">
        <v>65001668</v>
      </c>
      <c r="G44" s="341" t="s">
        <v>410</v>
      </c>
      <c r="H44" s="341" t="s">
        <v>351</v>
      </c>
      <c r="I44" s="347" t="s">
        <v>412</v>
      </c>
      <c r="J44" s="342">
        <v>26804.01</v>
      </c>
      <c r="L44" s="533"/>
      <c r="M44" s="534"/>
      <c r="N44" s="531"/>
      <c r="O44" s="532"/>
    </row>
    <row r="45" spans="1:15" ht="7.9" customHeight="1">
      <c r="A45" s="315"/>
      <c r="B45" s="315"/>
      <c r="C45" s="330"/>
      <c r="D45" s="348"/>
      <c r="E45" s="348"/>
      <c r="F45" s="348"/>
      <c r="G45" s="332"/>
      <c r="H45" s="332"/>
      <c r="I45" s="363"/>
      <c r="J45" s="368"/>
    </row>
    <row r="46" spans="1:15" ht="20.45" customHeight="1">
      <c r="A46" s="327">
        <v>4</v>
      </c>
      <c r="B46" s="328" t="s">
        <v>421</v>
      </c>
      <c r="C46" s="328"/>
      <c r="D46" s="329"/>
      <c r="E46" s="329"/>
      <c r="F46" s="329"/>
      <c r="G46" s="329"/>
      <c r="H46" s="329"/>
      <c r="I46" s="329"/>
      <c r="J46" s="329"/>
    </row>
    <row r="47" spans="1:15" ht="7.9" customHeight="1">
      <c r="A47" s="315"/>
      <c r="B47" s="315"/>
      <c r="C47" s="330"/>
      <c r="D47" s="348"/>
      <c r="E47" s="348"/>
      <c r="F47" s="348"/>
      <c r="G47" s="332"/>
      <c r="H47" s="332"/>
      <c r="I47" s="363"/>
      <c r="J47" s="368"/>
    </row>
    <row r="48" spans="1:15" ht="19.149999999999999" customHeight="1">
      <c r="A48" s="350" t="s">
        <v>72</v>
      </c>
      <c r="B48" s="351" t="s">
        <v>422</v>
      </c>
      <c r="C48" s="351"/>
      <c r="D48" s="351"/>
      <c r="E48" s="352"/>
      <c r="F48" s="352"/>
      <c r="G48" s="350"/>
      <c r="H48" s="351"/>
      <c r="I48" s="352"/>
      <c r="J48" s="353"/>
      <c r="K48" s="354"/>
      <c r="L48" s="533"/>
      <c r="M48" s="534"/>
      <c r="N48" s="531"/>
      <c r="O48" s="532"/>
    </row>
    <row r="49" spans="1:15" ht="18.75" customHeight="1">
      <c r="A49" s="337" t="s">
        <v>378</v>
      </c>
      <c r="B49" s="710" t="s">
        <v>423</v>
      </c>
      <c r="C49" s="710"/>
      <c r="D49" s="365" t="s">
        <v>407</v>
      </c>
      <c r="E49" s="367">
        <v>65001114</v>
      </c>
      <c r="F49" s="367">
        <v>65001114</v>
      </c>
      <c r="G49" s="341" t="s">
        <v>410</v>
      </c>
      <c r="H49" s="346" t="s">
        <v>411</v>
      </c>
      <c r="I49" s="347" t="s">
        <v>412</v>
      </c>
      <c r="J49" s="342">
        <v>371.18</v>
      </c>
      <c r="L49" s="533"/>
      <c r="M49" s="534"/>
      <c r="N49" s="531"/>
      <c r="O49" s="532"/>
    </row>
    <row r="50" spans="1:15" ht="19.5" customHeight="1">
      <c r="A50" s="359" t="s">
        <v>383</v>
      </c>
      <c r="B50" s="710" t="s">
        <v>424</v>
      </c>
      <c r="C50" s="710"/>
      <c r="D50" s="365" t="s">
        <v>407</v>
      </c>
      <c r="E50" s="367">
        <v>65001115</v>
      </c>
      <c r="F50" s="367">
        <v>65001115</v>
      </c>
      <c r="G50" s="341" t="s">
        <v>410</v>
      </c>
      <c r="H50" s="341" t="s">
        <v>411</v>
      </c>
      <c r="I50" s="347" t="s">
        <v>412</v>
      </c>
      <c r="J50" s="342">
        <v>120.28</v>
      </c>
      <c r="L50" s="533"/>
      <c r="M50" s="534"/>
      <c r="N50" s="531"/>
      <c r="O50" s="532"/>
    </row>
    <row r="51" spans="1:15" ht="19.5" customHeight="1">
      <c r="A51" s="369" t="s">
        <v>72</v>
      </c>
      <c r="B51" s="370" t="s">
        <v>421</v>
      </c>
      <c r="C51" s="370"/>
      <c r="D51" s="370"/>
      <c r="E51" s="370"/>
      <c r="F51" s="370"/>
      <c r="G51" s="370"/>
      <c r="H51" s="370"/>
      <c r="I51" s="371"/>
      <c r="J51" s="370"/>
    </row>
    <row r="52" spans="1:15" ht="19.5" customHeight="1">
      <c r="A52" s="337" t="s">
        <v>378</v>
      </c>
      <c r="B52" s="364" t="s">
        <v>425</v>
      </c>
      <c r="C52" s="364"/>
      <c r="D52" s="535" t="s">
        <v>426</v>
      </c>
      <c r="E52" s="536" t="s">
        <v>412</v>
      </c>
      <c r="F52" s="536" t="s">
        <v>412</v>
      </c>
      <c r="G52" s="341" t="s">
        <v>427</v>
      </c>
      <c r="H52" s="538" t="s">
        <v>351</v>
      </c>
      <c r="I52" s="539" t="s">
        <v>412</v>
      </c>
      <c r="J52" s="540">
        <f>Deslocamento!K20</f>
        <v>2491.71</v>
      </c>
      <c r="L52" s="541"/>
      <c r="N52" s="542"/>
    </row>
    <row r="53" spans="1:15" ht="19.5" customHeight="1">
      <c r="A53" s="372" t="s">
        <v>383</v>
      </c>
      <c r="B53" s="343" t="s">
        <v>428</v>
      </c>
      <c r="C53" s="343"/>
      <c r="D53" s="373" t="s">
        <v>429</v>
      </c>
      <c r="E53" s="536" t="s">
        <v>412</v>
      </c>
      <c r="F53" s="536" t="s">
        <v>412</v>
      </c>
      <c r="G53" s="537" t="s">
        <v>427</v>
      </c>
      <c r="H53" s="374" t="s">
        <v>411</v>
      </c>
      <c r="I53" s="375" t="s">
        <v>412</v>
      </c>
      <c r="J53" s="543">
        <v>25.61</v>
      </c>
      <c r="L53" s="542"/>
      <c r="N53" s="542"/>
    </row>
    <row r="54" spans="1:15" ht="21" customHeight="1">
      <c r="A54" s="372" t="s">
        <v>386</v>
      </c>
      <c r="B54" s="343" t="s">
        <v>430</v>
      </c>
      <c r="C54" s="343"/>
      <c r="D54" s="373" t="s">
        <v>429</v>
      </c>
      <c r="E54" s="536" t="s">
        <v>412</v>
      </c>
      <c r="F54" s="536" t="s">
        <v>412</v>
      </c>
      <c r="G54" s="537" t="s">
        <v>427</v>
      </c>
      <c r="H54" s="374" t="s">
        <v>411</v>
      </c>
      <c r="I54" s="375" t="s">
        <v>412</v>
      </c>
      <c r="J54" s="543">
        <v>335</v>
      </c>
      <c r="L54" s="542"/>
      <c r="N54" s="542"/>
    </row>
    <row r="55" spans="1:15" ht="15.6" customHeight="1">
      <c r="A55" s="376" t="s">
        <v>431</v>
      </c>
      <c r="B55" s="376"/>
      <c r="D55" s="316"/>
      <c r="G55" s="378"/>
      <c r="H55" s="378"/>
      <c r="I55" s="378"/>
      <c r="J55" s="316"/>
      <c r="L55" s="542"/>
      <c r="N55" s="542"/>
    </row>
    <row r="56" spans="1:15" ht="15.6" customHeight="1">
      <c r="A56" s="324" t="s">
        <v>432</v>
      </c>
      <c r="B56" s="715" t="s">
        <v>433</v>
      </c>
      <c r="C56" s="715"/>
      <c r="D56" s="715"/>
      <c r="E56" s="715"/>
      <c r="F56" s="715"/>
      <c r="G56" s="715"/>
      <c r="H56" s="715"/>
      <c r="I56" s="715"/>
      <c r="J56" s="715"/>
      <c r="L56" s="542"/>
      <c r="N56" s="542"/>
    </row>
    <row r="57" spans="1:15">
      <c r="A57" s="316" t="s">
        <v>434</v>
      </c>
      <c r="B57" s="719" t="s">
        <v>435</v>
      </c>
      <c r="C57" s="719"/>
      <c r="D57" s="719"/>
      <c r="E57" s="719"/>
      <c r="F57" s="719"/>
      <c r="G57" s="719"/>
      <c r="H57" s="719"/>
      <c r="I57" s="719"/>
      <c r="J57" s="719"/>
      <c r="L57" s="542"/>
      <c r="N57" s="542"/>
    </row>
    <row r="58" spans="1:15" ht="16.5" customHeight="1">
      <c r="B58" s="715" t="s">
        <v>436</v>
      </c>
      <c r="C58" s="715"/>
      <c r="D58" s="715"/>
      <c r="E58" s="715"/>
      <c r="F58" s="715"/>
      <c r="G58" s="715"/>
      <c r="H58" s="715"/>
      <c r="I58" s="715"/>
      <c r="J58" s="715"/>
      <c r="L58" s="542"/>
      <c r="N58" s="542"/>
    </row>
    <row r="59" spans="1:15" ht="14.45" customHeight="1">
      <c r="A59" s="316" t="s">
        <v>437</v>
      </c>
      <c r="B59" s="715" t="s">
        <v>438</v>
      </c>
      <c r="C59" s="715"/>
      <c r="D59" s="715"/>
      <c r="E59" s="715"/>
      <c r="F59" s="715"/>
      <c r="G59" s="715"/>
      <c r="H59" s="715"/>
      <c r="I59" s="715"/>
      <c r="J59" s="715"/>
      <c r="L59" s="542"/>
      <c r="N59" s="542"/>
    </row>
    <row r="60" spans="1:15">
      <c r="B60" s="718" t="s">
        <v>439</v>
      </c>
      <c r="C60" s="718"/>
      <c r="D60" s="718"/>
      <c r="E60" s="718"/>
      <c r="F60" s="718"/>
      <c r="G60" s="718"/>
      <c r="H60" s="718"/>
      <c r="I60" s="718"/>
      <c r="J60" s="718"/>
      <c r="L60" s="542"/>
      <c r="N60" s="542"/>
    </row>
    <row r="61" spans="1:15" ht="30.75" customHeight="1">
      <c r="B61" s="717" t="s">
        <v>440</v>
      </c>
      <c r="C61" s="717"/>
      <c r="D61" s="717"/>
      <c r="E61" s="717"/>
      <c r="F61" s="717"/>
      <c r="G61" s="717"/>
      <c r="H61" s="717"/>
      <c r="I61" s="717"/>
      <c r="J61" s="717"/>
      <c r="L61" s="542"/>
      <c r="N61" s="542"/>
    </row>
    <row r="62" spans="1:15">
      <c r="L62" s="542"/>
      <c r="N62" s="542"/>
    </row>
    <row r="63" spans="1:15">
      <c r="L63" s="542"/>
      <c r="N63" s="542"/>
    </row>
    <row r="64" spans="1:15">
      <c r="L64" s="542"/>
      <c r="N64" s="542"/>
    </row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</sheetData>
  <mergeCells count="27">
    <mergeCell ref="B58:J58"/>
    <mergeCell ref="G7:G8"/>
    <mergeCell ref="B32:C32"/>
    <mergeCell ref="B61:J61"/>
    <mergeCell ref="B60:J60"/>
    <mergeCell ref="B59:J59"/>
    <mergeCell ref="B39:C39"/>
    <mergeCell ref="B57:J57"/>
    <mergeCell ref="B35:C35"/>
    <mergeCell ref="B44:C44"/>
    <mergeCell ref="B56:J56"/>
    <mergeCell ref="B43:C43"/>
    <mergeCell ref="B40:C40"/>
    <mergeCell ref="B33:C33"/>
    <mergeCell ref="B34:C34"/>
    <mergeCell ref="A1:J2"/>
    <mergeCell ref="I7:J7"/>
    <mergeCell ref="A7:A8"/>
    <mergeCell ref="H7:H8"/>
    <mergeCell ref="D7:D8"/>
    <mergeCell ref="B7:C8"/>
    <mergeCell ref="E7:E8"/>
    <mergeCell ref="L29:M29"/>
    <mergeCell ref="B49:C49"/>
    <mergeCell ref="B50:C50"/>
    <mergeCell ref="L10:M11"/>
    <mergeCell ref="N10:O11"/>
  </mergeCells>
  <phoneticPr fontId="6" type="noConversion"/>
  <conditionalFormatting sqref="A14:A17">
    <cfRule type="duplicateValues" dxfId="2" priority="2"/>
  </conditionalFormatting>
  <conditionalFormatting sqref="A23:A25">
    <cfRule type="duplicateValues" dxfId="1" priority="1"/>
  </conditionalFormatting>
  <printOptions horizontalCentered="1"/>
  <pageMargins left="0.51181102362204722" right="0.51181102362204722" top="0.78740157480314965" bottom="0.78740157480314965" header="0.31496062992125984" footer="0.31496062992125984"/>
  <pageSetup paperSize="9" scale="57" fitToHeight="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8" tint="-0.249977111117893"/>
    <pageSetUpPr fitToPage="1"/>
  </sheetPr>
  <dimension ref="A1:AA49"/>
  <sheetViews>
    <sheetView showGridLines="0" zoomScale="70" zoomScaleNormal="70" zoomScaleSheetLayoutView="90" workbookViewId="0">
      <selection activeCell="I8" sqref="I8"/>
    </sheetView>
  </sheetViews>
  <sheetFormatPr defaultColWidth="9.140625" defaultRowHeight="15.75"/>
  <cols>
    <col min="1" max="1" width="31.5703125" style="111" bestFit="1" customWidth="1"/>
    <col min="2" max="2" width="26" style="111" bestFit="1" customWidth="1"/>
    <col min="3" max="3" width="17.85546875" style="111" bestFit="1" customWidth="1"/>
    <col min="4" max="4" width="21.140625" style="111" bestFit="1" customWidth="1"/>
    <col min="5" max="5" width="16" style="111" bestFit="1" customWidth="1"/>
    <col min="6" max="6" width="10.7109375" style="111" bestFit="1" customWidth="1"/>
    <col min="7" max="7" width="13.7109375" style="111" bestFit="1" customWidth="1"/>
    <col min="8" max="8" width="19.28515625" style="111" bestFit="1" customWidth="1"/>
    <col min="9" max="9" width="18.42578125" style="111" bestFit="1" customWidth="1"/>
    <col min="10" max="10" width="14.5703125" style="111" bestFit="1" customWidth="1"/>
    <col min="11" max="11" width="16.28515625" style="111" bestFit="1" customWidth="1"/>
    <col min="12" max="12" width="11.5703125" style="111" bestFit="1" customWidth="1"/>
    <col min="13" max="13" width="12" style="111" bestFit="1" customWidth="1"/>
    <col min="14" max="14" width="9.140625" style="111" customWidth="1"/>
    <col min="15" max="16384" width="9.140625" style="111"/>
  </cols>
  <sheetData>
    <row r="1" spans="1:13" ht="20.25" customHeight="1">
      <c r="A1" s="661" t="str">
        <f>Custos!A1</f>
        <v xml:space="preserve">ORÇAMENTO PARA ELABORAÇÃO DE PROJETOS DE SISTEMA DE ESGOTAMENTO SANITÁRIO </v>
      </c>
      <c r="B1" s="661"/>
      <c r="C1" s="661"/>
      <c r="D1" s="661"/>
      <c r="E1" s="661"/>
      <c r="F1" s="661"/>
      <c r="G1" s="661"/>
      <c r="H1" s="661"/>
      <c r="I1" s="661"/>
      <c r="J1" s="661"/>
      <c r="K1" s="661"/>
      <c r="L1" s="661"/>
      <c r="M1"/>
    </row>
    <row r="2" spans="1:13" ht="20.25" customHeight="1">
      <c r="A2" s="661"/>
      <c r="B2" s="661"/>
      <c r="C2" s="661"/>
      <c r="D2" s="661"/>
      <c r="E2" s="661"/>
      <c r="F2" s="661"/>
      <c r="G2" s="661"/>
      <c r="H2" s="661"/>
      <c r="I2" s="661"/>
      <c r="J2" s="661"/>
      <c r="K2" s="661"/>
      <c r="L2" s="661"/>
      <c r="M2"/>
    </row>
    <row r="3" spans="1:13" ht="14.25" customHeight="1">
      <c r="A3" s="112"/>
      <c r="B3" s="76"/>
      <c r="C3" s="76"/>
      <c r="D3" s="77"/>
      <c r="E3" s="77"/>
      <c r="F3" s="77"/>
      <c r="G3" s="77"/>
      <c r="H3" s="77"/>
      <c r="I3" s="77"/>
      <c r="J3" s="77"/>
      <c r="K3" s="113"/>
      <c r="M3"/>
    </row>
    <row r="4" spans="1:13" ht="20.25" customHeight="1">
      <c r="A4" s="114" t="s">
        <v>441</v>
      </c>
      <c r="B4" s="59"/>
      <c r="C4" s="59"/>
      <c r="D4" s="60"/>
      <c r="E4" s="81"/>
      <c r="F4" s="53"/>
      <c r="G4" s="60"/>
      <c r="K4" s="62" t="s">
        <v>134</v>
      </c>
      <c r="L4" s="78">
        <f ca="1">'Dados Básicos do município'!H4</f>
        <v>46139</v>
      </c>
      <c r="M4"/>
    </row>
    <row r="5" spans="1:13" ht="20.25" customHeight="1">
      <c r="A5" s="114" t="s">
        <v>135</v>
      </c>
      <c r="B5" s="64" t="str">
        <f>'Dados Básicos do município'!B5</f>
        <v>CBH-SANTO ANTÔNIO</v>
      </c>
      <c r="C5" s="83"/>
      <c r="D5" s="89"/>
      <c r="E5" s="89"/>
      <c r="F5" s="53"/>
      <c r="G5" s="60"/>
      <c r="H5" s="60"/>
      <c r="I5" s="60"/>
      <c r="J5" s="60"/>
      <c r="K5" s="189" t="s">
        <v>442</v>
      </c>
      <c r="L5" s="568">
        <f>'Dias trabalhados'!C49</f>
        <v>148.99145199063233</v>
      </c>
      <c r="M5"/>
    </row>
    <row r="6" spans="1:13" ht="20.25" customHeight="1">
      <c r="A6" s="114" t="s">
        <v>136</v>
      </c>
      <c r="B6" s="64" t="str">
        <f>'Dados Básicos do município'!B6</f>
        <v>Açucena/MG</v>
      </c>
      <c r="C6" s="83"/>
      <c r="D6" s="89"/>
      <c r="E6" s="89"/>
      <c r="F6" s="53"/>
      <c r="G6" s="60"/>
      <c r="H6" s="60"/>
      <c r="I6" s="60"/>
      <c r="J6" s="60"/>
      <c r="K6" s="188" t="s">
        <v>443</v>
      </c>
      <c r="L6" s="588">
        <f>'Dados Básicos do município'!C10</f>
        <v>8</v>
      </c>
      <c r="M6"/>
    </row>
    <row r="7" spans="1:13" ht="39.6" customHeight="1">
      <c r="A7" s="724" t="s">
        <v>444</v>
      </c>
      <c r="B7" s="724"/>
      <c r="C7" s="409">
        <v>1</v>
      </c>
      <c r="D7" s="407">
        <v>2</v>
      </c>
      <c r="E7" s="407">
        <v>3</v>
      </c>
      <c r="F7" s="407">
        <v>4</v>
      </c>
      <c r="G7" s="407">
        <v>5</v>
      </c>
      <c r="H7" s="407">
        <v>6</v>
      </c>
      <c r="I7" s="407" t="s">
        <v>445</v>
      </c>
      <c r="J7" s="407" t="s">
        <v>446</v>
      </c>
      <c r="K7" s="407">
        <v>8</v>
      </c>
      <c r="L7" s="725" t="s">
        <v>447</v>
      </c>
      <c r="M7" s="409" t="s">
        <v>448</v>
      </c>
    </row>
    <row r="8" spans="1:13" s="89" customFormat="1" ht="43.5" customHeight="1">
      <c r="A8" s="723" t="s">
        <v>449</v>
      </c>
      <c r="B8" s="723"/>
      <c r="C8" s="408" t="s">
        <v>450</v>
      </c>
      <c r="D8" s="408" t="s">
        <v>451</v>
      </c>
      <c r="E8" s="408" t="s">
        <v>452</v>
      </c>
      <c r="F8" s="408" t="s">
        <v>453</v>
      </c>
      <c r="G8" s="408" t="s">
        <v>454</v>
      </c>
      <c r="H8" s="408" t="s">
        <v>455</v>
      </c>
      <c r="I8" s="408" t="s">
        <v>456</v>
      </c>
      <c r="J8" s="408" t="s">
        <v>457</v>
      </c>
      <c r="K8" s="408" t="s">
        <v>458</v>
      </c>
      <c r="L8" s="726"/>
      <c r="M8" s="630">
        <f>MAX(M9:M19)</f>
        <v>8</v>
      </c>
    </row>
    <row r="9" spans="1:13" ht="20.25" customHeight="1">
      <c r="A9" s="727" t="s">
        <v>375</v>
      </c>
      <c r="B9" s="476" t="s">
        <v>459</v>
      </c>
      <c r="C9" s="569">
        <f>IF(B39="","",B39*$B$38*$L$5)</f>
        <v>25.541391769822681</v>
      </c>
      <c r="D9" s="569">
        <f>IF(C39="","",C39*$C$38*$L$5)</f>
        <v>8.5137972566075621</v>
      </c>
      <c r="E9" s="569">
        <f>IF(D39="","",D39*$D$38*$L$5)</f>
        <v>8.5137972566075621</v>
      </c>
      <c r="F9" s="569">
        <f>IF(E39="","",E39*$E$38*$L$5)</f>
        <v>51.082783539645362</v>
      </c>
      <c r="G9" s="569">
        <f>IF(F39="","",F39*$F$38*$L$5)</f>
        <v>68.110378052860497</v>
      </c>
      <c r="H9" s="569">
        <f>IF(G39="","",G39*$G$38*$L$5)</f>
        <v>8.5137972566075621</v>
      </c>
      <c r="I9" s="569">
        <f>IF(H39="","",H39*$H$38*$L$5)</f>
        <v>4.2568986283037811</v>
      </c>
      <c r="J9" s="569">
        <f>IF(I39="","",I39*$I$38*$L$5)</f>
        <v>8.5137972566075621</v>
      </c>
      <c r="K9" s="569">
        <f>IF(J39="","",J39*$J$38*$L$5)</f>
        <v>25.541391769822685</v>
      </c>
      <c r="L9" s="569">
        <f>SUM(C9:K9)</f>
        <v>208.58803278688529</v>
      </c>
      <c r="M9" s="569">
        <f>L9/$L$5</f>
        <v>1.4000000000000001</v>
      </c>
    </row>
    <row r="10" spans="1:13" ht="20.25" customHeight="1">
      <c r="A10" s="727"/>
      <c r="B10" s="476" t="s">
        <v>460</v>
      </c>
      <c r="C10" s="569">
        <f t="shared" ref="C10:C19" si="0">IF(B40="","",B40*$B$38*$L$5)</f>
        <v>17.027594513215124</v>
      </c>
      <c r="D10" s="569">
        <f t="shared" ref="D10:D19" si="1">IF(C40="","",C40*$C$38*$L$5)</f>
        <v>25.541391769822681</v>
      </c>
      <c r="E10" s="569">
        <f t="shared" ref="E10:E19" si="2">IF(D40="","",D40*$D$38*$L$5)</f>
        <v>25.541391769822681</v>
      </c>
      <c r="F10" s="569">
        <f t="shared" ref="F10:F19" si="3">IF(E40="","",E40*$E$38*$L$5)</f>
        <v>51.082783539645362</v>
      </c>
      <c r="G10" s="569">
        <f t="shared" ref="G10:G19" si="4">IF(F40="","",F40*$F$38*$L$5)</f>
        <v>136.22075610572099</v>
      </c>
      <c r="H10" s="569">
        <f t="shared" ref="H10:H19" si="5">IF(G40="","",G40*$G$38*$L$5)</f>
        <v>0</v>
      </c>
      <c r="I10" s="569">
        <f t="shared" ref="I10:I19" si="6">IF(H40="","",H40*$H$38*$L$5)</f>
        <v>0</v>
      </c>
      <c r="J10" s="569">
        <f t="shared" ref="J10:J19" si="7">IF(I40="","",I40*$I$38*$L$5)</f>
        <v>0</v>
      </c>
      <c r="K10" s="569">
        <f t="shared" ref="K10:K19" si="8">IF(J40="","",J40*$J$38*$L$5)</f>
        <v>25.541391769822685</v>
      </c>
      <c r="L10" s="569">
        <f t="shared" ref="L10:L19" si="9">SUM(C10:K10)</f>
        <v>280.95530946804951</v>
      </c>
      <c r="M10" s="569">
        <f t="shared" ref="M10:M19" si="10">L10/$L$5</f>
        <v>1.8857142857142855</v>
      </c>
    </row>
    <row r="11" spans="1:13" ht="20.25" customHeight="1">
      <c r="A11" s="727"/>
      <c r="B11" s="476" t="s">
        <v>461</v>
      </c>
      <c r="C11" s="569">
        <f t="shared" si="0"/>
        <v>0</v>
      </c>
      <c r="D11" s="569">
        <f t="shared" si="1"/>
        <v>25.541391769822681</v>
      </c>
      <c r="E11" s="569">
        <f t="shared" si="2"/>
        <v>25.541391769822681</v>
      </c>
      <c r="F11" s="569">
        <f t="shared" si="3"/>
        <v>51.082783539645362</v>
      </c>
      <c r="G11" s="569">
        <f t="shared" si="4"/>
        <v>136.22075610572099</v>
      </c>
      <c r="H11" s="569">
        <f t="shared" si="5"/>
        <v>0</v>
      </c>
      <c r="I11" s="569">
        <f t="shared" si="6"/>
        <v>0</v>
      </c>
      <c r="J11" s="569">
        <f t="shared" si="7"/>
        <v>0</v>
      </c>
      <c r="K11" s="569">
        <f t="shared" si="8"/>
        <v>25.541391769822685</v>
      </c>
      <c r="L11" s="569">
        <f t="shared" si="9"/>
        <v>263.92771495483441</v>
      </c>
      <c r="M11" s="569">
        <f t="shared" si="10"/>
        <v>1.7714285714285714</v>
      </c>
    </row>
    <row r="12" spans="1:13" ht="20.25" customHeight="1">
      <c r="A12" s="727"/>
      <c r="B12" s="476" t="s">
        <v>390</v>
      </c>
      <c r="C12" s="569">
        <f t="shared" si="0"/>
        <v>0</v>
      </c>
      <c r="D12" s="569">
        <f t="shared" si="1"/>
        <v>0</v>
      </c>
      <c r="E12" s="569">
        <f t="shared" si="2"/>
        <v>0</v>
      </c>
      <c r="F12" s="569">
        <f t="shared" si="3"/>
        <v>0</v>
      </c>
      <c r="G12" s="569">
        <f t="shared" si="4"/>
        <v>340.55189026430247</v>
      </c>
      <c r="H12" s="569">
        <f t="shared" si="5"/>
        <v>0</v>
      </c>
      <c r="I12" s="569">
        <f t="shared" si="6"/>
        <v>0</v>
      </c>
      <c r="J12" s="569">
        <f t="shared" si="7"/>
        <v>0</v>
      </c>
      <c r="K12" s="569">
        <f t="shared" si="8"/>
        <v>255.41391769822684</v>
      </c>
      <c r="L12" s="569">
        <f t="shared" ref="L12" si="11">SUM(C12:K12)</f>
        <v>595.96580796252931</v>
      </c>
      <c r="M12" s="569">
        <f t="shared" si="10"/>
        <v>4</v>
      </c>
    </row>
    <row r="13" spans="1:13" ht="20.25" customHeight="1">
      <c r="A13" s="727"/>
      <c r="B13" s="476" t="s">
        <v>462</v>
      </c>
      <c r="C13" s="569">
        <f t="shared" si="0"/>
        <v>42.568986283037809</v>
      </c>
      <c r="D13" s="569">
        <f t="shared" si="1"/>
        <v>85.137972566075618</v>
      </c>
      <c r="E13" s="569">
        <f t="shared" si="2"/>
        <v>85.137972566075618</v>
      </c>
      <c r="F13" s="569">
        <f t="shared" si="3"/>
        <v>170.27594513215124</v>
      </c>
      <c r="G13" s="569">
        <f t="shared" si="4"/>
        <v>340.55189026430247</v>
      </c>
      <c r="H13" s="569">
        <f t="shared" si="5"/>
        <v>85.137972566075618</v>
      </c>
      <c r="I13" s="569">
        <f t="shared" si="6"/>
        <v>42.568986283037809</v>
      </c>
      <c r="J13" s="569">
        <f t="shared" si="7"/>
        <v>85.137972566075618</v>
      </c>
      <c r="K13" s="569">
        <f t="shared" si="8"/>
        <v>255.41391769822684</v>
      </c>
      <c r="L13" s="569">
        <f t="shared" si="9"/>
        <v>1191.9316159250586</v>
      </c>
      <c r="M13" s="569">
        <f t="shared" si="10"/>
        <v>8</v>
      </c>
    </row>
    <row r="14" spans="1:13" ht="20.25" customHeight="1">
      <c r="A14" s="727" t="s">
        <v>463</v>
      </c>
      <c r="B14" s="476" t="s">
        <v>464</v>
      </c>
      <c r="C14" s="569">
        <f t="shared" si="0"/>
        <v>0</v>
      </c>
      <c r="D14" s="569">
        <f t="shared" si="1"/>
        <v>0</v>
      </c>
      <c r="E14" s="569">
        <f t="shared" si="2"/>
        <v>0</v>
      </c>
      <c r="F14" s="569">
        <f t="shared" si="3"/>
        <v>85.137972566075618</v>
      </c>
      <c r="G14" s="569">
        <f t="shared" si="4"/>
        <v>0</v>
      </c>
      <c r="H14" s="569">
        <f t="shared" si="5"/>
        <v>0</v>
      </c>
      <c r="I14" s="569">
        <f t="shared" si="6"/>
        <v>0</v>
      </c>
      <c r="J14" s="569">
        <f t="shared" si="7"/>
        <v>0</v>
      </c>
      <c r="K14" s="569">
        <f t="shared" si="8"/>
        <v>0</v>
      </c>
      <c r="L14" s="569">
        <f t="shared" si="9"/>
        <v>85.137972566075618</v>
      </c>
      <c r="M14" s="569">
        <f t="shared" si="10"/>
        <v>0.5714285714285714</v>
      </c>
    </row>
    <row r="15" spans="1:13" customFormat="1" ht="20.25" customHeight="1">
      <c r="A15" s="727"/>
      <c r="B15" s="476" t="s">
        <v>465</v>
      </c>
      <c r="C15" s="569">
        <f t="shared" si="0"/>
        <v>0</v>
      </c>
      <c r="D15" s="569">
        <f t="shared" si="1"/>
        <v>0</v>
      </c>
      <c r="E15" s="569">
        <f t="shared" si="2"/>
        <v>0</v>
      </c>
      <c r="F15" s="569">
        <f t="shared" si="3"/>
        <v>0</v>
      </c>
      <c r="G15" s="569">
        <f t="shared" si="4"/>
        <v>34.055189026430249</v>
      </c>
      <c r="H15" s="569">
        <f t="shared" si="5"/>
        <v>0</v>
      </c>
      <c r="I15" s="569">
        <f t="shared" si="6"/>
        <v>0</v>
      </c>
      <c r="J15" s="569">
        <f t="shared" si="7"/>
        <v>0</v>
      </c>
      <c r="K15" s="569">
        <f t="shared" si="8"/>
        <v>114.93626296420207</v>
      </c>
      <c r="L15" s="569">
        <f t="shared" si="9"/>
        <v>148.99145199063233</v>
      </c>
      <c r="M15" s="569">
        <f t="shared" si="10"/>
        <v>1</v>
      </c>
    </row>
    <row r="16" spans="1:13" customFormat="1" ht="20.25" customHeight="1">
      <c r="A16" s="727"/>
      <c r="B16" s="476" t="s">
        <v>466</v>
      </c>
      <c r="C16" s="569">
        <f t="shared" si="0"/>
        <v>0</v>
      </c>
      <c r="D16" s="569">
        <f t="shared" si="1"/>
        <v>0</v>
      </c>
      <c r="E16" s="569">
        <f t="shared" si="2"/>
        <v>0</v>
      </c>
      <c r="F16" s="569">
        <f t="shared" si="3"/>
        <v>0</v>
      </c>
      <c r="G16" s="569">
        <f t="shared" si="4"/>
        <v>34.055189026430249</v>
      </c>
      <c r="H16" s="569">
        <f t="shared" si="5"/>
        <v>0</v>
      </c>
      <c r="I16" s="569">
        <f t="shared" si="6"/>
        <v>0</v>
      </c>
      <c r="J16" s="569">
        <f t="shared" si="7"/>
        <v>0</v>
      </c>
      <c r="K16" s="569">
        <f t="shared" si="8"/>
        <v>114.93626296420207</v>
      </c>
      <c r="L16" s="569">
        <f t="shared" si="9"/>
        <v>148.99145199063233</v>
      </c>
      <c r="M16" s="569">
        <f t="shared" si="10"/>
        <v>1</v>
      </c>
    </row>
    <row r="17" spans="1:27" customFormat="1" ht="20.25" customHeight="1">
      <c r="A17" s="727"/>
      <c r="B17" s="476" t="s">
        <v>467</v>
      </c>
      <c r="C17" s="569">
        <f t="shared" si="0"/>
        <v>0</v>
      </c>
      <c r="D17" s="569">
        <f t="shared" si="1"/>
        <v>0</v>
      </c>
      <c r="E17" s="569">
        <f t="shared" si="2"/>
        <v>0</v>
      </c>
      <c r="F17" s="569">
        <f t="shared" si="3"/>
        <v>0</v>
      </c>
      <c r="G17" s="569">
        <f t="shared" si="4"/>
        <v>34.055189026430249</v>
      </c>
      <c r="H17" s="569">
        <f t="shared" si="5"/>
        <v>0</v>
      </c>
      <c r="I17" s="569">
        <f t="shared" si="6"/>
        <v>0</v>
      </c>
      <c r="J17" s="569">
        <f t="shared" si="7"/>
        <v>0</v>
      </c>
      <c r="K17" s="569">
        <f t="shared" si="8"/>
        <v>114.93626296420207</v>
      </c>
      <c r="L17" s="569">
        <f t="shared" si="9"/>
        <v>148.99145199063233</v>
      </c>
      <c r="M17" s="569">
        <f t="shared" si="10"/>
        <v>1</v>
      </c>
    </row>
    <row r="18" spans="1:27" customFormat="1" ht="20.25" customHeight="1">
      <c r="A18" s="727"/>
      <c r="B18" s="476" t="s">
        <v>403</v>
      </c>
      <c r="C18" s="569">
        <f t="shared" si="0"/>
        <v>0</v>
      </c>
      <c r="D18" s="569">
        <f t="shared" si="1"/>
        <v>0</v>
      </c>
      <c r="E18" s="569">
        <f t="shared" si="2"/>
        <v>0</v>
      </c>
      <c r="F18" s="569">
        <f t="shared" si="3"/>
        <v>0</v>
      </c>
      <c r="G18" s="569">
        <f t="shared" si="4"/>
        <v>0</v>
      </c>
      <c r="H18" s="569">
        <f t="shared" si="5"/>
        <v>0</v>
      </c>
      <c r="I18" s="569">
        <f t="shared" si="6"/>
        <v>42.568986283037809</v>
      </c>
      <c r="J18" s="569">
        <f t="shared" si="7"/>
        <v>85.137972566075618</v>
      </c>
      <c r="K18" s="569">
        <f t="shared" si="8"/>
        <v>0</v>
      </c>
      <c r="L18" s="569">
        <f t="shared" si="9"/>
        <v>127.70695884911342</v>
      </c>
      <c r="M18" s="569">
        <f t="shared" si="10"/>
        <v>0.8571428571428571</v>
      </c>
    </row>
    <row r="19" spans="1:27" customFormat="1" ht="20.25" customHeight="1">
      <c r="A19" s="727"/>
      <c r="B19" s="476" t="s">
        <v>468</v>
      </c>
      <c r="C19" s="569">
        <f t="shared" si="0"/>
        <v>0</v>
      </c>
      <c r="D19" s="569">
        <f t="shared" si="1"/>
        <v>85.137972566075618</v>
      </c>
      <c r="E19" s="569">
        <f t="shared" si="2"/>
        <v>85.137972566075618</v>
      </c>
      <c r="F19" s="569">
        <f t="shared" si="3"/>
        <v>0</v>
      </c>
      <c r="G19" s="569">
        <f t="shared" si="4"/>
        <v>0</v>
      </c>
      <c r="H19" s="569">
        <f t="shared" si="5"/>
        <v>0</v>
      </c>
      <c r="I19" s="569">
        <f t="shared" si="6"/>
        <v>0</v>
      </c>
      <c r="J19" s="569">
        <f t="shared" si="7"/>
        <v>0</v>
      </c>
      <c r="K19" s="569">
        <f t="shared" si="8"/>
        <v>0</v>
      </c>
      <c r="L19" s="569">
        <f t="shared" si="9"/>
        <v>170.27594513215124</v>
      </c>
      <c r="M19" s="569">
        <f t="shared" si="10"/>
        <v>1.1428571428571428</v>
      </c>
    </row>
    <row r="20" spans="1:27" customFormat="1" ht="12.75"/>
    <row r="21" spans="1:27" customFormat="1" ht="13.5" thickBot="1"/>
    <row r="22" spans="1:27" customFormat="1">
      <c r="A22" s="731" t="s">
        <v>469</v>
      </c>
      <c r="B22" s="728" t="s">
        <v>470</v>
      </c>
      <c r="C22" s="729"/>
      <c r="D22" s="729"/>
      <c r="E22" s="729"/>
      <c r="F22" s="729"/>
      <c r="G22" s="729"/>
      <c r="H22" s="729"/>
      <c r="I22" s="729"/>
      <c r="J22" s="730"/>
      <c r="K22" s="720" t="s">
        <v>471</v>
      </c>
      <c r="L22" s="721"/>
      <c r="M22" s="722"/>
      <c r="Z22" s="553"/>
    </row>
    <row r="23" spans="1:27" s="553" customFormat="1" ht="13.5" thickBot="1">
      <c r="A23" s="732"/>
      <c r="B23" s="603" t="s">
        <v>472</v>
      </c>
      <c r="C23" s="603" t="s">
        <v>473</v>
      </c>
      <c r="D23" s="603" t="s">
        <v>46</v>
      </c>
      <c r="E23" s="603" t="s">
        <v>58</v>
      </c>
      <c r="F23" s="603" t="s">
        <v>474</v>
      </c>
      <c r="G23" s="603" t="s">
        <v>71</v>
      </c>
      <c r="H23" s="603" t="s">
        <v>475</v>
      </c>
      <c r="I23" s="603" t="s">
        <v>476</v>
      </c>
      <c r="J23" s="604" t="s">
        <v>477</v>
      </c>
      <c r="K23" s="620" t="s">
        <v>478</v>
      </c>
      <c r="L23" s="621" t="s">
        <v>479</v>
      </c>
      <c r="M23" s="622" t="s">
        <v>480</v>
      </c>
    </row>
    <row r="24" spans="1:27" customFormat="1">
      <c r="A24" s="605" t="s">
        <v>481</v>
      </c>
      <c r="B24" s="601" t="s">
        <v>482</v>
      </c>
      <c r="C24" s="601" t="s">
        <v>482</v>
      </c>
      <c r="D24" s="601" t="s">
        <v>482</v>
      </c>
      <c r="E24" s="601" t="s">
        <v>482</v>
      </c>
      <c r="F24" s="601" t="s">
        <v>482</v>
      </c>
      <c r="G24" s="601" t="s">
        <v>482</v>
      </c>
      <c r="H24" s="601" t="s">
        <v>482</v>
      </c>
      <c r="I24" s="601" t="s">
        <v>482</v>
      </c>
      <c r="J24" s="602" t="s">
        <v>482</v>
      </c>
      <c r="K24" s="612" t="s">
        <v>472</v>
      </c>
      <c r="L24" s="613">
        <v>0.25</v>
      </c>
      <c r="M24" s="614">
        <f t="shared" ref="M24:M32" si="12">L24/$L$33</f>
        <v>3.5714285714285712E-2</v>
      </c>
      <c r="N24" s="111"/>
      <c r="O24" s="111"/>
      <c r="P24" s="111"/>
      <c r="Q24" s="111"/>
      <c r="R24" s="111"/>
      <c r="S24" s="111"/>
      <c r="T24" s="111"/>
      <c r="U24" s="111"/>
      <c r="V24" s="111"/>
      <c r="W24" s="111"/>
      <c r="X24" s="111"/>
      <c r="Y24" s="111"/>
      <c r="Z24" s="111"/>
      <c r="AA24" s="111"/>
    </row>
    <row r="25" spans="1:27" customFormat="1">
      <c r="A25" s="606" t="s">
        <v>483</v>
      </c>
      <c r="B25" s="553" t="s">
        <v>482</v>
      </c>
      <c r="C25" s="553" t="s">
        <v>482</v>
      </c>
      <c r="D25" s="553" t="s">
        <v>482</v>
      </c>
      <c r="E25" s="553" t="s">
        <v>482</v>
      </c>
      <c r="F25" s="553" t="s">
        <v>482</v>
      </c>
      <c r="G25" s="553"/>
      <c r="H25" s="553"/>
      <c r="I25" s="553"/>
      <c r="J25" s="607" t="s">
        <v>482</v>
      </c>
      <c r="K25" s="615" t="s">
        <v>473</v>
      </c>
      <c r="L25" s="613">
        <v>0.5</v>
      </c>
      <c r="M25" s="614">
        <f t="shared" si="12"/>
        <v>7.1428571428571425E-2</v>
      </c>
      <c r="N25" s="111"/>
      <c r="O25" s="111"/>
      <c r="P25" s="111"/>
      <c r="Q25" s="111"/>
      <c r="R25" s="111"/>
      <c r="S25" s="111"/>
      <c r="T25" s="111"/>
      <c r="U25" s="111"/>
      <c r="V25" s="111"/>
      <c r="W25" s="111"/>
      <c r="X25" s="111"/>
      <c r="Y25" s="111"/>
      <c r="Z25" s="111"/>
      <c r="AA25" s="111"/>
    </row>
    <row r="26" spans="1:27" customFormat="1">
      <c r="A26" s="606" t="s">
        <v>484</v>
      </c>
      <c r="B26" s="553"/>
      <c r="C26" s="553" t="s">
        <v>482</v>
      </c>
      <c r="D26" s="553" t="s">
        <v>482</v>
      </c>
      <c r="E26" s="553" t="s">
        <v>482</v>
      </c>
      <c r="F26" s="553" t="s">
        <v>482</v>
      </c>
      <c r="G26" s="553"/>
      <c r="H26" s="553"/>
      <c r="I26" s="553"/>
      <c r="J26" s="607" t="s">
        <v>482</v>
      </c>
      <c r="K26" s="615" t="s">
        <v>46</v>
      </c>
      <c r="L26" s="613">
        <v>0.5</v>
      </c>
      <c r="M26" s="614">
        <f t="shared" si="12"/>
        <v>7.1428571428571425E-2</v>
      </c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</row>
    <row r="27" spans="1:27" customFormat="1">
      <c r="A27" s="606" t="s">
        <v>485</v>
      </c>
      <c r="B27" s="553"/>
      <c r="C27" s="553"/>
      <c r="D27" s="553"/>
      <c r="E27" s="553"/>
      <c r="F27" s="553" t="s">
        <v>482</v>
      </c>
      <c r="G27" s="553"/>
      <c r="H27" s="553"/>
      <c r="I27" s="553"/>
      <c r="J27" s="607" t="s">
        <v>482</v>
      </c>
      <c r="K27" s="615" t="s">
        <v>58</v>
      </c>
      <c r="L27" s="613">
        <v>1</v>
      </c>
      <c r="M27" s="614">
        <f t="shared" si="12"/>
        <v>0.14285714285714285</v>
      </c>
      <c r="N27" s="111"/>
      <c r="O27" s="111"/>
      <c r="P27" s="111"/>
      <c r="Q27" s="111"/>
      <c r="R27" s="111"/>
      <c r="S27" s="111"/>
      <c r="T27" s="111"/>
      <c r="U27" s="111"/>
      <c r="V27" s="111"/>
      <c r="W27" s="111"/>
      <c r="X27" s="111"/>
      <c r="Y27" s="111"/>
      <c r="Z27" s="111"/>
      <c r="AA27" s="111"/>
    </row>
    <row r="28" spans="1:27" customFormat="1">
      <c r="A28" s="606" t="s">
        <v>486</v>
      </c>
      <c r="B28" s="553" t="s">
        <v>482</v>
      </c>
      <c r="C28" s="553" t="s">
        <v>482</v>
      </c>
      <c r="D28" s="553" t="s">
        <v>482</v>
      </c>
      <c r="E28" s="553" t="s">
        <v>482</v>
      </c>
      <c r="F28" s="553" t="s">
        <v>482</v>
      </c>
      <c r="G28" s="553" t="s">
        <v>482</v>
      </c>
      <c r="H28" s="553" t="s">
        <v>482</v>
      </c>
      <c r="I28" s="553" t="s">
        <v>482</v>
      </c>
      <c r="J28" s="607" t="s">
        <v>482</v>
      </c>
      <c r="K28" s="615" t="s">
        <v>474</v>
      </c>
      <c r="L28" s="613">
        <v>2</v>
      </c>
      <c r="M28" s="614">
        <f t="shared" si="12"/>
        <v>0.2857142857142857</v>
      </c>
      <c r="N28" s="111"/>
      <c r="O28" s="111"/>
      <c r="P28" s="111"/>
      <c r="Q28" s="111"/>
      <c r="R28" s="111"/>
      <c r="S28" s="111"/>
      <c r="T28" s="111"/>
      <c r="U28" s="111"/>
      <c r="V28" s="111"/>
      <c r="W28" s="111"/>
      <c r="X28" s="111"/>
      <c r="Y28" s="111"/>
      <c r="Z28" s="111"/>
      <c r="AA28" s="111"/>
    </row>
    <row r="29" spans="1:27" customFormat="1">
      <c r="A29" s="606" t="s">
        <v>487</v>
      </c>
      <c r="B29" s="553"/>
      <c r="C29" s="553"/>
      <c r="D29" s="553"/>
      <c r="E29" s="553" t="s">
        <v>482</v>
      </c>
      <c r="F29" s="553"/>
      <c r="G29" s="553"/>
      <c r="H29" s="553"/>
      <c r="I29" s="553"/>
      <c r="J29" s="607"/>
      <c r="K29" s="615" t="s">
        <v>71</v>
      </c>
      <c r="L29" s="613">
        <v>0.5</v>
      </c>
      <c r="M29" s="614">
        <f t="shared" si="12"/>
        <v>7.1428571428571425E-2</v>
      </c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</row>
    <row r="30" spans="1:27" customFormat="1">
      <c r="A30" s="606" t="s">
        <v>488</v>
      </c>
      <c r="B30" s="553"/>
      <c r="C30" s="553"/>
      <c r="D30" s="553"/>
      <c r="E30" s="553"/>
      <c r="F30" s="553" t="s">
        <v>482</v>
      </c>
      <c r="G30" s="553"/>
      <c r="H30" s="553"/>
      <c r="I30" s="553"/>
      <c r="J30" s="607" t="s">
        <v>482</v>
      </c>
      <c r="K30" s="615" t="s">
        <v>475</v>
      </c>
      <c r="L30" s="613">
        <v>0.25</v>
      </c>
      <c r="M30" s="614">
        <f t="shared" si="12"/>
        <v>3.5714285714285712E-2</v>
      </c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  <c r="Z30" s="111"/>
      <c r="AA30" s="111"/>
    </row>
    <row r="31" spans="1:27" customFormat="1">
      <c r="A31" s="606" t="s">
        <v>489</v>
      </c>
      <c r="B31" s="553"/>
      <c r="C31" s="553"/>
      <c r="D31" s="553"/>
      <c r="E31" s="553"/>
      <c r="F31" s="553" t="s">
        <v>482</v>
      </c>
      <c r="G31" s="553"/>
      <c r="H31" s="553"/>
      <c r="I31" s="553"/>
      <c r="J31" s="607" t="s">
        <v>482</v>
      </c>
      <c r="K31" s="615" t="s">
        <v>476</v>
      </c>
      <c r="L31" s="613">
        <v>0.5</v>
      </c>
      <c r="M31" s="614">
        <f t="shared" si="12"/>
        <v>7.1428571428571425E-2</v>
      </c>
      <c r="N31" s="111"/>
      <c r="O31" s="111"/>
      <c r="P31" s="111"/>
      <c r="Q31" s="111"/>
      <c r="R31" s="111"/>
      <c r="S31" s="111"/>
      <c r="T31" s="111"/>
      <c r="U31" s="111"/>
      <c r="V31" s="111"/>
      <c r="W31" s="111"/>
      <c r="X31" s="111"/>
      <c r="Y31" s="111"/>
      <c r="Z31" s="111"/>
      <c r="AA31" s="111"/>
    </row>
    <row r="32" spans="1:27" customFormat="1">
      <c r="A32" s="606" t="s">
        <v>490</v>
      </c>
      <c r="B32" s="553"/>
      <c r="C32" s="553"/>
      <c r="D32" s="553"/>
      <c r="E32" s="553"/>
      <c r="F32" s="553" t="s">
        <v>482</v>
      </c>
      <c r="G32" s="553"/>
      <c r="H32" s="553"/>
      <c r="I32" s="553"/>
      <c r="J32" s="607" t="s">
        <v>482</v>
      </c>
      <c r="K32" s="615" t="s">
        <v>477</v>
      </c>
      <c r="L32" s="613">
        <v>1.5</v>
      </c>
      <c r="M32" s="614">
        <f t="shared" si="12"/>
        <v>0.21428571428571427</v>
      </c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</row>
    <row r="33" spans="1:24" customFormat="1" ht="12.75">
      <c r="A33" s="606" t="s">
        <v>491</v>
      </c>
      <c r="B33" s="553"/>
      <c r="C33" s="553"/>
      <c r="D33" s="553"/>
      <c r="E33" s="553"/>
      <c r="F33" s="553"/>
      <c r="G33" s="553"/>
      <c r="H33" s="553" t="s">
        <v>482</v>
      </c>
      <c r="I33" s="553" t="s">
        <v>482</v>
      </c>
      <c r="J33" s="607"/>
      <c r="K33" s="616"/>
      <c r="L33" s="617">
        <f>SUM(L24:L32)</f>
        <v>7</v>
      </c>
      <c r="M33" s="618"/>
      <c r="N33" s="585"/>
      <c r="O33" s="553"/>
      <c r="P33" s="553"/>
      <c r="Q33" s="553"/>
      <c r="R33" s="553"/>
      <c r="S33" s="553"/>
      <c r="T33" s="553"/>
      <c r="U33" s="553"/>
      <c r="V33" s="553"/>
      <c r="W33" s="553"/>
      <c r="X33" s="553"/>
    </row>
    <row r="34" spans="1:24" customFormat="1" ht="12.75">
      <c r="A34" s="606" t="s">
        <v>492</v>
      </c>
      <c r="B34" s="553"/>
      <c r="C34" s="553" t="s">
        <v>482</v>
      </c>
      <c r="D34" s="553" t="s">
        <v>482</v>
      </c>
      <c r="E34" s="553"/>
      <c r="F34" s="553"/>
      <c r="G34" s="553"/>
      <c r="H34" s="553"/>
      <c r="I34" s="553"/>
      <c r="J34" s="607"/>
      <c r="K34" s="606"/>
      <c r="M34" s="607"/>
      <c r="N34" s="586"/>
      <c r="O34" s="587"/>
      <c r="P34" s="553"/>
      <c r="Q34" s="553"/>
      <c r="R34" s="553"/>
      <c r="S34" s="553"/>
      <c r="T34" s="553"/>
      <c r="U34" s="553"/>
      <c r="V34" s="553"/>
      <c r="W34" s="553"/>
      <c r="X34" s="553"/>
    </row>
    <row r="35" spans="1:24" customFormat="1" ht="13.5" thickBot="1">
      <c r="A35" s="608"/>
      <c r="B35" s="603"/>
      <c r="C35" s="603"/>
      <c r="D35" s="603"/>
      <c r="E35" s="603"/>
      <c r="F35" s="603"/>
      <c r="G35" s="603"/>
      <c r="H35" s="603"/>
      <c r="I35" s="603"/>
      <c r="J35" s="604"/>
      <c r="K35" s="608"/>
      <c r="L35" s="619"/>
      <c r="M35" s="604"/>
      <c r="N35" s="586"/>
      <c r="O35" s="587"/>
      <c r="P35" s="553"/>
      <c r="Q35" s="553"/>
      <c r="R35" s="553"/>
      <c r="S35" s="553"/>
      <c r="T35" s="553"/>
      <c r="U35" s="553"/>
      <c r="V35" s="553"/>
      <c r="W35" s="553"/>
      <c r="X35" s="553"/>
    </row>
    <row r="36" spans="1:24" ht="16.5" thickBot="1">
      <c r="A36" s="626"/>
      <c r="B36" s="627"/>
      <c r="C36" s="627"/>
      <c r="D36" s="627"/>
      <c r="E36" s="627"/>
      <c r="F36" s="627"/>
      <c r="G36" s="627"/>
      <c r="H36" s="627"/>
      <c r="I36" s="627"/>
      <c r="J36" s="628"/>
    </row>
    <row r="37" spans="1:24" s="567" customFormat="1">
      <c r="A37" s="589" t="s">
        <v>478</v>
      </c>
      <c r="B37" s="590" t="s">
        <v>472</v>
      </c>
      <c r="C37" s="590" t="s">
        <v>473</v>
      </c>
      <c r="D37" s="590" t="s">
        <v>46</v>
      </c>
      <c r="E37" s="590" t="s">
        <v>58</v>
      </c>
      <c r="F37" s="590" t="s">
        <v>474</v>
      </c>
      <c r="G37" s="590" t="s">
        <v>71</v>
      </c>
      <c r="H37" s="590" t="s">
        <v>475</v>
      </c>
      <c r="I37" s="590" t="s">
        <v>476</v>
      </c>
      <c r="J37" s="591" t="s">
        <v>477</v>
      </c>
      <c r="K37" s="553"/>
      <c r="L37" s="553"/>
      <c r="M37" s="553"/>
      <c r="N37" s="553"/>
      <c r="O37" s="553"/>
    </row>
    <row r="38" spans="1:24" s="567" customFormat="1" ht="16.5" thickBot="1">
      <c r="A38" s="592" t="s">
        <v>493</v>
      </c>
      <c r="B38" s="609">
        <f>M24*L6</f>
        <v>0.2857142857142857</v>
      </c>
      <c r="C38" s="610">
        <f>M25*L6</f>
        <v>0.5714285714285714</v>
      </c>
      <c r="D38" s="610">
        <f>M26*L6</f>
        <v>0.5714285714285714</v>
      </c>
      <c r="E38" s="610">
        <f>M27*L6</f>
        <v>1.1428571428571428</v>
      </c>
      <c r="F38" s="610">
        <f>M28*L6</f>
        <v>2.2857142857142856</v>
      </c>
      <c r="G38" s="610">
        <f>M29*L6</f>
        <v>0.5714285714285714</v>
      </c>
      <c r="H38" s="610">
        <f>M30*L6</f>
        <v>0.2857142857142857</v>
      </c>
      <c r="I38" s="610">
        <f>M31*L6</f>
        <v>0.5714285714285714</v>
      </c>
      <c r="J38" s="611">
        <f>M32*L6</f>
        <v>1.7142857142857142</v>
      </c>
      <c r="N38" s="553"/>
      <c r="O38" s="553"/>
    </row>
    <row r="39" spans="1:24">
      <c r="A39" s="593" t="s">
        <v>481</v>
      </c>
      <c r="B39" s="623">
        <f>IF(B24="",0,0.6)</f>
        <v>0.6</v>
      </c>
      <c r="C39" s="594">
        <f>IF(C24="",0,0.1)</f>
        <v>0.1</v>
      </c>
      <c r="D39" s="594">
        <f>IF(D24="",0,0.1)</f>
        <v>0.1</v>
      </c>
      <c r="E39" s="594">
        <f>IF(E24="",0,0.3)</f>
        <v>0.3</v>
      </c>
      <c r="F39" s="594">
        <f>IF(F24="",0,0.2)</f>
        <v>0.2</v>
      </c>
      <c r="G39" s="594">
        <f>IF(G24="",0,0.1)</f>
        <v>0.1</v>
      </c>
      <c r="H39" s="594">
        <f>IF(H24="",0,0.1)</f>
        <v>0.1</v>
      </c>
      <c r="I39" s="594">
        <f>IF(I24="",0,0.1)</f>
        <v>0.1</v>
      </c>
      <c r="J39" s="595">
        <f>IF(J24="",0,0.1)</f>
        <v>0.1</v>
      </c>
      <c r="N39" s="584"/>
      <c r="O39"/>
    </row>
    <row r="40" spans="1:24">
      <c r="A40" s="596" t="s">
        <v>483</v>
      </c>
      <c r="B40" s="624">
        <f>IF(B25="",0,0.4)</f>
        <v>0.4</v>
      </c>
      <c r="C40" s="597">
        <f>IF(C25="",0,0.3)</f>
        <v>0.3</v>
      </c>
      <c r="D40" s="597">
        <f>IF(D25="",0,0.3)</f>
        <v>0.3</v>
      </c>
      <c r="E40" s="597">
        <f>IF(E25="",0,0.3)</f>
        <v>0.3</v>
      </c>
      <c r="F40" s="597">
        <f>IF(F25="",0,0.4)</f>
        <v>0.4</v>
      </c>
      <c r="G40" s="597">
        <f>IF(G25="",0,0.1)</f>
        <v>0</v>
      </c>
      <c r="H40" s="597">
        <f t="shared" ref="H40:I42" si="13">IF(H25="",0,0)</f>
        <v>0</v>
      </c>
      <c r="I40" s="597">
        <f t="shared" si="13"/>
        <v>0</v>
      </c>
      <c r="J40" s="598">
        <f>IF(J25="",0,0.1)</f>
        <v>0.1</v>
      </c>
      <c r="N40" s="584"/>
      <c r="O40"/>
    </row>
    <row r="41" spans="1:24">
      <c r="A41" s="596" t="s">
        <v>484</v>
      </c>
      <c r="B41" s="624">
        <f>IF(B26="",0,0)</f>
        <v>0</v>
      </c>
      <c r="C41" s="597">
        <f>IF(C26="",0,0.3)</f>
        <v>0.3</v>
      </c>
      <c r="D41" s="597">
        <f>IF(D26="",0,0.3)</f>
        <v>0.3</v>
      </c>
      <c r="E41" s="597">
        <f>IF(E26="",0,0.3)</f>
        <v>0.3</v>
      </c>
      <c r="F41" s="597">
        <f>IF(F26="",0,0.4)</f>
        <v>0.4</v>
      </c>
      <c r="G41" s="597">
        <f>IF(G26="",0,0.1)</f>
        <v>0</v>
      </c>
      <c r="H41" s="597">
        <f t="shared" si="13"/>
        <v>0</v>
      </c>
      <c r="I41" s="597">
        <f t="shared" si="13"/>
        <v>0</v>
      </c>
      <c r="J41" s="598">
        <f>IF(J26="",0,0.1)</f>
        <v>0.1</v>
      </c>
      <c r="N41" s="584"/>
      <c r="O41"/>
    </row>
    <row r="42" spans="1:24">
      <c r="A42" s="596" t="s">
        <v>485</v>
      </c>
      <c r="B42" s="624">
        <f>IF(B27="",0,0)</f>
        <v>0</v>
      </c>
      <c r="C42" s="597">
        <f>IF(C27="",0,0)</f>
        <v>0</v>
      </c>
      <c r="D42" s="597">
        <f>IF(D27="",0,0)</f>
        <v>0</v>
      </c>
      <c r="E42" s="597">
        <f>IF(E27="",0,0)</f>
        <v>0</v>
      </c>
      <c r="F42" s="597">
        <f>IF(F27="",0,1)</f>
        <v>1</v>
      </c>
      <c r="G42" s="597">
        <f>IF(G27="",0,0.1)</f>
        <v>0</v>
      </c>
      <c r="H42" s="597">
        <f t="shared" si="13"/>
        <v>0</v>
      </c>
      <c r="I42" s="597">
        <f t="shared" si="13"/>
        <v>0</v>
      </c>
      <c r="J42" s="598">
        <f>IF(J27="",0,1)</f>
        <v>1</v>
      </c>
      <c r="N42" s="584"/>
      <c r="O42"/>
    </row>
    <row r="43" spans="1:24">
      <c r="A43" s="596" t="s">
        <v>486</v>
      </c>
      <c r="B43" s="624">
        <f>IF(B28="",0,1)</f>
        <v>1</v>
      </c>
      <c r="C43" s="597">
        <f>IF(C28="",0,1)</f>
        <v>1</v>
      </c>
      <c r="D43" s="597">
        <f>IF(D28="",0,1)</f>
        <v>1</v>
      </c>
      <c r="E43" s="597">
        <f>IF(E28="",0,1)</f>
        <v>1</v>
      </c>
      <c r="F43" s="597">
        <f>IF(F28="",0,1)</f>
        <v>1</v>
      </c>
      <c r="G43" s="597">
        <f>IF(G28="",0,1)</f>
        <v>1</v>
      </c>
      <c r="H43" s="597">
        <f>IF(H28="",0,1)</f>
        <v>1</v>
      </c>
      <c r="I43" s="597">
        <f>IF(I28="",0,1)</f>
        <v>1</v>
      </c>
      <c r="J43" s="598">
        <f>IF(J28="",0,1)</f>
        <v>1</v>
      </c>
      <c r="N43" s="584"/>
      <c r="O43"/>
    </row>
    <row r="44" spans="1:24">
      <c r="A44" s="596" t="s">
        <v>487</v>
      </c>
      <c r="B44" s="624">
        <f t="shared" ref="B44:D48" si="14">IF(B29="",0,0)</f>
        <v>0</v>
      </c>
      <c r="C44" s="597">
        <f t="shared" si="14"/>
        <v>0</v>
      </c>
      <c r="D44" s="597">
        <f t="shared" si="14"/>
        <v>0</v>
      </c>
      <c r="E44" s="597">
        <f>IF(E29="",0,0.5)</f>
        <v>0.5</v>
      </c>
      <c r="F44" s="597">
        <f>IF(F29="",0,0)</f>
        <v>0</v>
      </c>
      <c r="G44" s="597">
        <f>IF(G29="",0,0)</f>
        <v>0</v>
      </c>
      <c r="H44" s="597">
        <f>IF(H29="",0,0)</f>
        <v>0</v>
      </c>
      <c r="I44" s="597">
        <f>IF(I29="",0,0)</f>
        <v>0</v>
      </c>
      <c r="J44" s="598">
        <f>IF(J29="",0,0)</f>
        <v>0</v>
      </c>
      <c r="N44" s="584"/>
      <c r="O44"/>
    </row>
    <row r="45" spans="1:24">
      <c r="A45" s="596" t="s">
        <v>488</v>
      </c>
      <c r="B45" s="624">
        <f t="shared" si="14"/>
        <v>0</v>
      </c>
      <c r="C45" s="597">
        <f t="shared" si="14"/>
        <v>0</v>
      </c>
      <c r="D45" s="597">
        <f t="shared" si="14"/>
        <v>0</v>
      </c>
      <c r="E45" s="597">
        <f>IF(E30="",0,0)</f>
        <v>0</v>
      </c>
      <c r="F45" s="597">
        <f>IF(F30="",0,0.1)</f>
        <v>0.1</v>
      </c>
      <c r="G45" s="597">
        <f t="shared" ref="G45:I47" si="15">IF(G30="",0,0)</f>
        <v>0</v>
      </c>
      <c r="H45" s="597">
        <f t="shared" si="15"/>
        <v>0</v>
      </c>
      <c r="I45" s="597">
        <f t="shared" si="15"/>
        <v>0</v>
      </c>
      <c r="J45" s="598">
        <f>IF(J30="",0,0.45)</f>
        <v>0.45</v>
      </c>
      <c r="N45" s="584"/>
      <c r="O45"/>
    </row>
    <row r="46" spans="1:24">
      <c r="A46" s="596" t="s">
        <v>489</v>
      </c>
      <c r="B46" s="624">
        <f t="shared" si="14"/>
        <v>0</v>
      </c>
      <c r="C46" s="597">
        <f t="shared" si="14"/>
        <v>0</v>
      </c>
      <c r="D46" s="597">
        <f t="shared" si="14"/>
        <v>0</v>
      </c>
      <c r="E46" s="597">
        <f>IF(E31="",0,0)</f>
        <v>0</v>
      </c>
      <c r="F46" s="597">
        <f>IF(F31="",0,0.1)</f>
        <v>0.1</v>
      </c>
      <c r="G46" s="597">
        <f t="shared" si="15"/>
        <v>0</v>
      </c>
      <c r="H46" s="597">
        <f t="shared" si="15"/>
        <v>0</v>
      </c>
      <c r="I46" s="597">
        <f t="shared" si="15"/>
        <v>0</v>
      </c>
      <c r="J46" s="598">
        <f>IF(J31="",0,0.45)</f>
        <v>0.45</v>
      </c>
      <c r="N46" s="584"/>
      <c r="O46"/>
    </row>
    <row r="47" spans="1:24">
      <c r="A47" s="596" t="s">
        <v>490</v>
      </c>
      <c r="B47" s="624">
        <f t="shared" si="14"/>
        <v>0</v>
      </c>
      <c r="C47" s="597">
        <f t="shared" si="14"/>
        <v>0</v>
      </c>
      <c r="D47" s="597">
        <f t="shared" si="14"/>
        <v>0</v>
      </c>
      <c r="E47" s="597">
        <f>IF(E32="",0,0)</f>
        <v>0</v>
      </c>
      <c r="F47" s="597">
        <f>IF(F32="",0,0.1)</f>
        <v>0.1</v>
      </c>
      <c r="G47" s="597">
        <f t="shared" si="15"/>
        <v>0</v>
      </c>
      <c r="H47" s="597">
        <f t="shared" si="15"/>
        <v>0</v>
      </c>
      <c r="I47" s="597">
        <f t="shared" si="15"/>
        <v>0</v>
      </c>
      <c r="J47" s="598">
        <f>IF(J32="",0,0.45)</f>
        <v>0.45</v>
      </c>
      <c r="N47" s="584"/>
      <c r="O47"/>
    </row>
    <row r="48" spans="1:24">
      <c r="A48" s="596" t="s">
        <v>491</v>
      </c>
      <c r="B48" s="624">
        <f t="shared" si="14"/>
        <v>0</v>
      </c>
      <c r="C48" s="597">
        <f t="shared" si="14"/>
        <v>0</v>
      </c>
      <c r="D48" s="597">
        <f t="shared" si="14"/>
        <v>0</v>
      </c>
      <c r="E48" s="597">
        <f>IF(E33="",0,0)</f>
        <v>0</v>
      </c>
      <c r="F48" s="597">
        <f>IF(F33="",0,0)</f>
        <v>0</v>
      </c>
      <c r="G48" s="597">
        <f>IF(G33="",0,0)</f>
        <v>0</v>
      </c>
      <c r="H48" s="597">
        <f>IF(H33="",0,1)</f>
        <v>1</v>
      </c>
      <c r="I48" s="597">
        <f>IF(I33="",0,1)</f>
        <v>1</v>
      </c>
      <c r="J48" s="598">
        <f>IF(J33="",0,0)</f>
        <v>0</v>
      </c>
    </row>
    <row r="49" spans="1:10" ht="16.5" thickBot="1">
      <c r="A49" s="599" t="s">
        <v>492</v>
      </c>
      <c r="B49" s="625">
        <f>IF(B34="",0,1)</f>
        <v>0</v>
      </c>
      <c r="C49" s="600">
        <f>IF(C34="",0,1)</f>
        <v>1</v>
      </c>
      <c r="D49" s="600">
        <f>IF(D34="",0,1)</f>
        <v>1</v>
      </c>
      <c r="E49" s="600">
        <f>IF(E34="",0,0)</f>
        <v>0</v>
      </c>
      <c r="F49" s="600">
        <f>IF(F34="",0,0)</f>
        <v>0</v>
      </c>
      <c r="G49" s="600">
        <f>IF(G34="",0,0)</f>
        <v>0</v>
      </c>
      <c r="H49" s="600">
        <f>IF(H34="",0,0)</f>
        <v>0</v>
      </c>
      <c r="I49" s="600">
        <f>IF(I34="",0,0)</f>
        <v>0</v>
      </c>
      <c r="J49" s="629">
        <f>IF(J34="",0,0)</f>
        <v>0</v>
      </c>
    </row>
  </sheetData>
  <mergeCells count="9">
    <mergeCell ref="K22:M22"/>
    <mergeCell ref="A8:B8"/>
    <mergeCell ref="A1:L2"/>
    <mergeCell ref="A7:B7"/>
    <mergeCell ref="L7:L8"/>
    <mergeCell ref="A9:A13"/>
    <mergeCell ref="A14:A19"/>
    <mergeCell ref="B22:J22"/>
    <mergeCell ref="A22:A23"/>
  </mergeCells>
  <conditionalFormatting sqref="B24:J35">
    <cfRule type="cellIs" dxfId="0" priority="2" operator="greaterThan">
      <formula>0</formula>
    </cfRule>
  </conditionalFormatting>
  <conditionalFormatting sqref="D39:D49">
    <cfRule type="cellIs" priority="1" operator="notEqual">
      <formula>0</formula>
    </cfRule>
  </conditionalFormatting>
  <printOptions horizontalCentered="1"/>
  <pageMargins left="0.51181102362204722" right="0.51181102362204722" top="0.78740157480314965" bottom="0.78740157480314965" header="0.31496062992125984" footer="0.31496062992125984"/>
  <pageSetup paperSize="9" scale="64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EDBEF-9266-4761-8110-D6A75C7D9DAF}">
  <sheetPr>
    <tabColor theme="8" tint="-0.249977111117893"/>
  </sheetPr>
  <dimension ref="A1:D98"/>
  <sheetViews>
    <sheetView workbookViewId="0">
      <selection activeCell="L39" sqref="L39"/>
    </sheetView>
  </sheetViews>
  <sheetFormatPr defaultRowHeight="12.75"/>
  <sheetData>
    <row r="1" spans="1:4">
      <c r="A1" t="s">
        <v>494</v>
      </c>
      <c r="B1" t="s">
        <v>495</v>
      </c>
      <c r="C1" t="s">
        <v>351</v>
      </c>
      <c r="D1">
        <v>4222.1400000000003</v>
      </c>
    </row>
    <row r="2" spans="1:4">
      <c r="A2" t="s">
        <v>496</v>
      </c>
      <c r="B2" t="s">
        <v>497</v>
      </c>
      <c r="C2" t="s">
        <v>351</v>
      </c>
      <c r="D2">
        <v>5629.52</v>
      </c>
    </row>
    <row r="3" spans="1:4">
      <c r="A3" t="s">
        <v>398</v>
      </c>
      <c r="B3" t="s">
        <v>397</v>
      </c>
      <c r="C3" t="s">
        <v>351</v>
      </c>
      <c r="D3">
        <v>9740.8700000000008</v>
      </c>
    </row>
    <row r="4" spans="1:4">
      <c r="A4" t="s">
        <v>498</v>
      </c>
      <c r="B4" t="s">
        <v>499</v>
      </c>
      <c r="C4" t="s">
        <v>351</v>
      </c>
      <c r="D4">
        <v>3731.91</v>
      </c>
    </row>
    <row r="5" spans="1:4">
      <c r="A5" t="s">
        <v>500</v>
      </c>
      <c r="B5" t="s">
        <v>501</v>
      </c>
      <c r="C5" t="s">
        <v>351</v>
      </c>
      <c r="D5">
        <v>4975.88</v>
      </c>
    </row>
    <row r="6" spans="1:4">
      <c r="A6" t="s">
        <v>502</v>
      </c>
      <c r="B6" t="s">
        <v>503</v>
      </c>
      <c r="C6" t="s">
        <v>351</v>
      </c>
      <c r="D6">
        <v>8853.75</v>
      </c>
    </row>
    <row r="7" spans="1:4">
      <c r="A7" t="s">
        <v>504</v>
      </c>
      <c r="B7" t="s">
        <v>505</v>
      </c>
      <c r="C7" t="s">
        <v>351</v>
      </c>
      <c r="D7">
        <v>11067</v>
      </c>
    </row>
    <row r="8" spans="1:4">
      <c r="A8" t="s">
        <v>506</v>
      </c>
      <c r="B8" t="s">
        <v>507</v>
      </c>
      <c r="C8" t="s">
        <v>351</v>
      </c>
      <c r="D8">
        <v>11492.2</v>
      </c>
    </row>
    <row r="9" spans="1:4">
      <c r="A9" t="s">
        <v>508</v>
      </c>
      <c r="B9" t="s">
        <v>509</v>
      </c>
      <c r="C9" t="s">
        <v>351</v>
      </c>
      <c r="D9">
        <v>14185.72</v>
      </c>
    </row>
    <row r="10" spans="1:4">
      <c r="A10" t="s">
        <v>510</v>
      </c>
      <c r="B10" t="s">
        <v>511</v>
      </c>
      <c r="C10" t="s">
        <v>351</v>
      </c>
      <c r="D10">
        <v>2867.66</v>
      </c>
    </row>
    <row r="11" spans="1:4">
      <c r="A11" t="s">
        <v>512</v>
      </c>
      <c r="B11" t="s">
        <v>513</v>
      </c>
      <c r="C11" t="s">
        <v>351</v>
      </c>
      <c r="D11">
        <v>3823.55</v>
      </c>
    </row>
    <row r="12" spans="1:4">
      <c r="A12" t="s">
        <v>514</v>
      </c>
      <c r="B12" t="s">
        <v>515</v>
      </c>
      <c r="C12" t="s">
        <v>351</v>
      </c>
      <c r="D12">
        <v>6517.04</v>
      </c>
    </row>
    <row r="13" spans="1:4">
      <c r="A13" t="s">
        <v>516</v>
      </c>
      <c r="B13" t="s">
        <v>517</v>
      </c>
      <c r="C13" t="s">
        <v>351</v>
      </c>
      <c r="D13">
        <v>1428.53</v>
      </c>
    </row>
    <row r="14" spans="1:4">
      <c r="A14" t="s">
        <v>394</v>
      </c>
      <c r="B14" t="s">
        <v>518</v>
      </c>
      <c r="C14" t="s">
        <v>351</v>
      </c>
      <c r="D14">
        <v>1708.51</v>
      </c>
    </row>
    <row r="15" spans="1:4">
      <c r="A15" t="s">
        <v>519</v>
      </c>
      <c r="B15" t="s">
        <v>520</v>
      </c>
      <c r="C15" t="s">
        <v>351</v>
      </c>
      <c r="D15">
        <v>1609.67</v>
      </c>
    </row>
    <row r="16" spans="1:4">
      <c r="A16" t="s">
        <v>521</v>
      </c>
      <c r="B16" t="s">
        <v>522</v>
      </c>
      <c r="C16" t="s">
        <v>351</v>
      </c>
      <c r="D16">
        <v>1428.53</v>
      </c>
    </row>
    <row r="17" spans="1:4">
      <c r="A17" t="s">
        <v>523</v>
      </c>
      <c r="B17" t="s">
        <v>524</v>
      </c>
      <c r="C17" t="s">
        <v>351</v>
      </c>
      <c r="D17">
        <v>3084.04</v>
      </c>
    </row>
    <row r="18" spans="1:4">
      <c r="A18" t="s">
        <v>525</v>
      </c>
      <c r="B18" t="s">
        <v>526</v>
      </c>
      <c r="C18" t="s">
        <v>351</v>
      </c>
      <c r="D18">
        <v>4112.0600000000004</v>
      </c>
    </row>
    <row r="19" spans="1:4">
      <c r="A19" t="s">
        <v>527</v>
      </c>
      <c r="B19" t="s">
        <v>528</v>
      </c>
      <c r="C19" t="s">
        <v>351</v>
      </c>
      <c r="D19">
        <v>7148.83</v>
      </c>
    </row>
    <row r="20" spans="1:4">
      <c r="A20" t="s">
        <v>529</v>
      </c>
      <c r="B20" t="s">
        <v>530</v>
      </c>
      <c r="C20" t="s">
        <v>351</v>
      </c>
      <c r="D20">
        <v>3122.68</v>
      </c>
    </row>
    <row r="21" spans="1:4">
      <c r="A21" t="s">
        <v>531</v>
      </c>
      <c r="B21" t="s">
        <v>532</v>
      </c>
      <c r="C21" t="s">
        <v>351</v>
      </c>
      <c r="D21">
        <v>3909.36</v>
      </c>
    </row>
    <row r="22" spans="1:4">
      <c r="A22" t="s">
        <v>533</v>
      </c>
      <c r="B22" t="s">
        <v>534</v>
      </c>
      <c r="C22" t="s">
        <v>351</v>
      </c>
      <c r="D22">
        <v>5212.47</v>
      </c>
    </row>
    <row r="23" spans="1:4">
      <c r="A23" t="s">
        <v>535</v>
      </c>
      <c r="B23" t="s">
        <v>536</v>
      </c>
      <c r="C23" t="s">
        <v>351</v>
      </c>
      <c r="D23">
        <v>9737.02</v>
      </c>
    </row>
    <row r="24" spans="1:4">
      <c r="A24" t="s">
        <v>537</v>
      </c>
      <c r="B24" t="s">
        <v>538</v>
      </c>
      <c r="C24" t="s">
        <v>351</v>
      </c>
      <c r="D24">
        <v>15552.43</v>
      </c>
    </row>
    <row r="25" spans="1:4">
      <c r="A25" t="s">
        <v>539</v>
      </c>
      <c r="B25" t="s">
        <v>540</v>
      </c>
      <c r="C25" t="s">
        <v>351</v>
      </c>
      <c r="D25">
        <v>4306.55</v>
      </c>
    </row>
    <row r="26" spans="1:4">
      <c r="A26" t="s">
        <v>541</v>
      </c>
      <c r="B26" t="s">
        <v>542</v>
      </c>
      <c r="C26" t="s">
        <v>351</v>
      </c>
      <c r="D26">
        <v>5742.07</v>
      </c>
    </row>
    <row r="27" spans="1:4">
      <c r="A27" t="s">
        <v>543</v>
      </c>
      <c r="B27" t="s">
        <v>544</v>
      </c>
      <c r="C27" t="s">
        <v>351</v>
      </c>
      <c r="D27">
        <v>9853.56</v>
      </c>
    </row>
    <row r="28" spans="1:4">
      <c r="A28" t="s">
        <v>545</v>
      </c>
      <c r="B28" t="s">
        <v>546</v>
      </c>
      <c r="C28" t="s">
        <v>351</v>
      </c>
      <c r="D28">
        <v>11067</v>
      </c>
    </row>
    <row r="29" spans="1:4">
      <c r="A29" t="s">
        <v>547</v>
      </c>
      <c r="B29" t="s">
        <v>548</v>
      </c>
      <c r="C29" t="s">
        <v>351</v>
      </c>
      <c r="D29">
        <v>12027.17</v>
      </c>
    </row>
    <row r="30" spans="1:4">
      <c r="A30" t="s">
        <v>549</v>
      </c>
      <c r="B30" t="s">
        <v>550</v>
      </c>
      <c r="C30" t="s">
        <v>351</v>
      </c>
      <c r="D30">
        <v>12987.35</v>
      </c>
    </row>
    <row r="31" spans="1:4">
      <c r="A31" t="s">
        <v>551</v>
      </c>
      <c r="B31" t="s">
        <v>552</v>
      </c>
      <c r="C31" t="s">
        <v>351</v>
      </c>
      <c r="D31">
        <v>11067</v>
      </c>
    </row>
    <row r="32" spans="1:4">
      <c r="A32" t="s">
        <v>553</v>
      </c>
      <c r="B32" t="s">
        <v>554</v>
      </c>
      <c r="C32" t="s">
        <v>351</v>
      </c>
      <c r="D32">
        <v>11113.77</v>
      </c>
    </row>
    <row r="33" spans="1:4">
      <c r="A33" t="s">
        <v>404</v>
      </c>
      <c r="B33" t="s">
        <v>555</v>
      </c>
      <c r="C33" t="s">
        <v>351</v>
      </c>
      <c r="D33">
        <v>13306.5</v>
      </c>
    </row>
    <row r="34" spans="1:4">
      <c r="A34" t="s">
        <v>556</v>
      </c>
      <c r="B34" t="s">
        <v>557</v>
      </c>
      <c r="C34" t="s">
        <v>351</v>
      </c>
      <c r="D34">
        <v>20421.759999999998</v>
      </c>
    </row>
    <row r="35" spans="1:4">
      <c r="A35" t="s">
        <v>380</v>
      </c>
      <c r="B35" t="s">
        <v>558</v>
      </c>
      <c r="C35" t="s">
        <v>351</v>
      </c>
      <c r="D35">
        <v>17018.13</v>
      </c>
    </row>
    <row r="36" spans="1:4">
      <c r="A36" t="s">
        <v>559</v>
      </c>
      <c r="B36" t="s">
        <v>560</v>
      </c>
      <c r="C36" t="s">
        <v>351</v>
      </c>
      <c r="D36">
        <v>11067</v>
      </c>
    </row>
    <row r="37" spans="1:4">
      <c r="A37" t="s">
        <v>561</v>
      </c>
      <c r="B37" t="s">
        <v>562</v>
      </c>
      <c r="C37" t="s">
        <v>351</v>
      </c>
      <c r="D37">
        <v>11199.09</v>
      </c>
    </row>
    <row r="38" spans="1:4">
      <c r="A38" t="s">
        <v>563</v>
      </c>
      <c r="B38" t="s">
        <v>564</v>
      </c>
      <c r="C38" t="s">
        <v>351</v>
      </c>
      <c r="D38">
        <v>12672.11</v>
      </c>
    </row>
    <row r="39" spans="1:4">
      <c r="A39" t="s">
        <v>388</v>
      </c>
      <c r="B39" t="s">
        <v>565</v>
      </c>
      <c r="C39" t="s">
        <v>351</v>
      </c>
      <c r="D39">
        <v>11067</v>
      </c>
    </row>
    <row r="40" spans="1:4">
      <c r="A40" t="s">
        <v>385</v>
      </c>
      <c r="B40" t="s">
        <v>566</v>
      </c>
      <c r="C40" t="s">
        <v>351</v>
      </c>
      <c r="D40">
        <v>11469.24</v>
      </c>
    </row>
    <row r="41" spans="1:4">
      <c r="A41" t="s">
        <v>400</v>
      </c>
      <c r="B41" t="s">
        <v>567</v>
      </c>
      <c r="C41" t="s">
        <v>351</v>
      </c>
      <c r="D41">
        <v>14672.91</v>
      </c>
    </row>
    <row r="42" spans="1:4">
      <c r="A42" t="s">
        <v>568</v>
      </c>
      <c r="B42" t="s">
        <v>569</v>
      </c>
      <c r="C42" t="s">
        <v>351</v>
      </c>
      <c r="D42">
        <v>11067</v>
      </c>
    </row>
    <row r="43" spans="1:4">
      <c r="A43" t="s">
        <v>570</v>
      </c>
      <c r="B43" t="s">
        <v>571</v>
      </c>
      <c r="C43" t="s">
        <v>351</v>
      </c>
      <c r="D43">
        <v>11199.11</v>
      </c>
    </row>
    <row r="44" spans="1:4">
      <c r="A44" t="s">
        <v>572</v>
      </c>
      <c r="B44" t="s">
        <v>573</v>
      </c>
      <c r="C44" t="s">
        <v>351</v>
      </c>
      <c r="D44">
        <v>12672.11</v>
      </c>
    </row>
    <row r="45" spans="1:4">
      <c r="A45" t="s">
        <v>574</v>
      </c>
      <c r="B45" t="s">
        <v>575</v>
      </c>
      <c r="C45" t="s">
        <v>351</v>
      </c>
      <c r="D45">
        <v>10004.5</v>
      </c>
    </row>
    <row r="46" spans="1:4">
      <c r="A46" t="s">
        <v>576</v>
      </c>
      <c r="B46" t="s">
        <v>577</v>
      </c>
      <c r="C46" t="s">
        <v>351</v>
      </c>
      <c r="D46">
        <v>10526.36</v>
      </c>
    </row>
    <row r="47" spans="1:4">
      <c r="A47" t="s">
        <v>578</v>
      </c>
      <c r="B47" t="s">
        <v>579</v>
      </c>
      <c r="C47" t="s">
        <v>351</v>
      </c>
      <c r="D47">
        <v>14001.61</v>
      </c>
    </row>
    <row r="48" spans="1:4">
      <c r="A48" t="s">
        <v>580</v>
      </c>
      <c r="B48" t="s">
        <v>581</v>
      </c>
      <c r="C48" t="s">
        <v>351</v>
      </c>
      <c r="D48">
        <v>2682.71</v>
      </c>
    </row>
    <row r="49" spans="1:4">
      <c r="A49" t="s">
        <v>582</v>
      </c>
      <c r="B49" t="s">
        <v>583</v>
      </c>
      <c r="C49" t="s">
        <v>351</v>
      </c>
      <c r="D49">
        <v>3576.94</v>
      </c>
    </row>
    <row r="50" spans="1:4">
      <c r="A50" t="s">
        <v>584</v>
      </c>
      <c r="B50" t="s">
        <v>585</v>
      </c>
      <c r="C50" t="s">
        <v>351</v>
      </c>
      <c r="D50">
        <v>6931.43</v>
      </c>
    </row>
    <row r="51" spans="1:4">
      <c r="A51" t="s">
        <v>586</v>
      </c>
      <c r="B51" t="s">
        <v>587</v>
      </c>
      <c r="C51" t="s">
        <v>351</v>
      </c>
      <c r="D51">
        <v>2146.23</v>
      </c>
    </row>
    <row r="52" spans="1:4">
      <c r="A52" t="s">
        <v>588</v>
      </c>
      <c r="B52" t="s">
        <v>589</v>
      </c>
      <c r="C52" t="s">
        <v>351</v>
      </c>
      <c r="D52">
        <v>11067</v>
      </c>
    </row>
    <row r="53" spans="1:4">
      <c r="A53" t="s">
        <v>590</v>
      </c>
      <c r="B53" t="s">
        <v>591</v>
      </c>
      <c r="C53" t="s">
        <v>351</v>
      </c>
      <c r="D53">
        <v>4696.66</v>
      </c>
    </row>
    <row r="54" spans="1:4">
      <c r="A54" t="s">
        <v>592</v>
      </c>
      <c r="B54" t="s">
        <v>593</v>
      </c>
      <c r="C54" t="s">
        <v>351</v>
      </c>
      <c r="D54">
        <v>6262.21</v>
      </c>
    </row>
    <row r="55" spans="1:4">
      <c r="A55" t="s">
        <v>594</v>
      </c>
      <c r="B55" t="s">
        <v>595</v>
      </c>
      <c r="C55" t="s">
        <v>351</v>
      </c>
      <c r="D55">
        <v>10569.08</v>
      </c>
    </row>
    <row r="56" spans="1:4">
      <c r="A56" t="s">
        <v>596</v>
      </c>
      <c r="B56" t="s">
        <v>597</v>
      </c>
      <c r="C56" t="s">
        <v>351</v>
      </c>
      <c r="D56">
        <v>2096.81</v>
      </c>
    </row>
    <row r="57" spans="1:4">
      <c r="A57" t="s">
        <v>598</v>
      </c>
      <c r="B57" t="s">
        <v>599</v>
      </c>
      <c r="C57" t="s">
        <v>351</v>
      </c>
      <c r="D57">
        <v>1918.44</v>
      </c>
    </row>
    <row r="58" spans="1:4">
      <c r="A58" t="s">
        <v>600</v>
      </c>
      <c r="B58" t="s">
        <v>601</v>
      </c>
      <c r="C58" t="s">
        <v>351</v>
      </c>
      <c r="D58">
        <v>4509.57</v>
      </c>
    </row>
    <row r="59" spans="1:4">
      <c r="A59" t="s">
        <v>602</v>
      </c>
      <c r="B59" t="s">
        <v>603</v>
      </c>
      <c r="C59" t="s">
        <v>351</v>
      </c>
      <c r="D59">
        <v>6012.77</v>
      </c>
    </row>
    <row r="60" spans="1:4">
      <c r="A60" t="s">
        <v>604</v>
      </c>
      <c r="B60" t="s">
        <v>605</v>
      </c>
      <c r="C60" t="s">
        <v>351</v>
      </c>
      <c r="D60">
        <v>9797.51</v>
      </c>
    </row>
    <row r="61" spans="1:4">
      <c r="A61" t="s">
        <v>606</v>
      </c>
      <c r="B61" t="s">
        <v>607</v>
      </c>
      <c r="C61" t="s">
        <v>351</v>
      </c>
      <c r="D61">
        <v>2605.46</v>
      </c>
    </row>
    <row r="62" spans="1:4">
      <c r="A62" t="s">
        <v>608</v>
      </c>
      <c r="B62" t="s">
        <v>609</v>
      </c>
      <c r="C62" t="s">
        <v>351</v>
      </c>
      <c r="D62">
        <v>3473.94</v>
      </c>
    </row>
    <row r="63" spans="1:4">
      <c r="A63" t="s">
        <v>610</v>
      </c>
      <c r="B63" t="s">
        <v>611</v>
      </c>
      <c r="C63" t="s">
        <v>351</v>
      </c>
      <c r="D63">
        <v>5794.12</v>
      </c>
    </row>
    <row r="64" spans="1:4">
      <c r="A64" t="s">
        <v>612</v>
      </c>
      <c r="B64" t="s">
        <v>613</v>
      </c>
      <c r="C64" t="s">
        <v>351</v>
      </c>
      <c r="D64">
        <v>2335.81</v>
      </c>
    </row>
    <row r="65" spans="1:4">
      <c r="A65" t="s">
        <v>614</v>
      </c>
      <c r="B65" t="s">
        <v>615</v>
      </c>
      <c r="C65" t="s">
        <v>351</v>
      </c>
      <c r="D65">
        <v>1843.72</v>
      </c>
    </row>
    <row r="66" spans="1:4">
      <c r="A66" t="s">
        <v>616</v>
      </c>
      <c r="B66" t="s">
        <v>617</v>
      </c>
      <c r="C66" t="s">
        <v>351</v>
      </c>
      <c r="D66">
        <v>2751.31</v>
      </c>
    </row>
    <row r="67" spans="1:4">
      <c r="A67" t="s">
        <v>618</v>
      </c>
      <c r="B67" t="s">
        <v>619</v>
      </c>
      <c r="C67" t="s">
        <v>351</v>
      </c>
      <c r="D67">
        <v>3091.07</v>
      </c>
    </row>
    <row r="68" spans="1:4">
      <c r="A68" t="s">
        <v>620</v>
      </c>
      <c r="B68" t="s">
        <v>621</v>
      </c>
      <c r="C68" t="s">
        <v>351</v>
      </c>
      <c r="D68">
        <v>4293.3999999999996</v>
      </c>
    </row>
    <row r="69" spans="1:4">
      <c r="A69" t="s">
        <v>391</v>
      </c>
      <c r="B69" t="s">
        <v>406</v>
      </c>
      <c r="C69" t="s">
        <v>351</v>
      </c>
      <c r="D69">
        <v>2522.7600000000002</v>
      </c>
    </row>
    <row r="70" spans="1:4">
      <c r="A70" t="s">
        <v>622</v>
      </c>
      <c r="B70" t="s">
        <v>623</v>
      </c>
      <c r="C70" t="s">
        <v>351</v>
      </c>
      <c r="D70">
        <v>3610.93</v>
      </c>
    </row>
    <row r="71" spans="1:4">
      <c r="A71" t="s">
        <v>624</v>
      </c>
      <c r="B71" t="s">
        <v>625</v>
      </c>
      <c r="C71" t="s">
        <v>351</v>
      </c>
      <c r="D71">
        <v>2323.3000000000002</v>
      </c>
    </row>
    <row r="72" spans="1:4">
      <c r="A72" t="s">
        <v>626</v>
      </c>
      <c r="B72" t="s">
        <v>627</v>
      </c>
      <c r="C72" t="s">
        <v>351</v>
      </c>
      <c r="D72">
        <v>2018.26</v>
      </c>
    </row>
    <row r="73" spans="1:4">
      <c r="A73" t="s">
        <v>628</v>
      </c>
      <c r="B73" t="s">
        <v>629</v>
      </c>
      <c r="C73" t="s">
        <v>351</v>
      </c>
      <c r="D73">
        <v>2691.02</v>
      </c>
    </row>
    <row r="74" spans="1:4">
      <c r="A74" t="s">
        <v>630</v>
      </c>
      <c r="B74" t="s">
        <v>631</v>
      </c>
      <c r="C74" t="s">
        <v>351</v>
      </c>
      <c r="D74">
        <v>4219.38</v>
      </c>
    </row>
    <row r="75" spans="1:4">
      <c r="A75" t="s">
        <v>632</v>
      </c>
      <c r="B75" t="s">
        <v>633</v>
      </c>
      <c r="C75" t="s">
        <v>351</v>
      </c>
      <c r="D75">
        <v>3097.97</v>
      </c>
    </row>
    <row r="76" spans="1:4">
      <c r="A76" t="s">
        <v>634</v>
      </c>
      <c r="B76" t="s">
        <v>635</v>
      </c>
      <c r="C76" t="s">
        <v>351</v>
      </c>
      <c r="D76">
        <v>4130.62</v>
      </c>
    </row>
    <row r="77" spans="1:4">
      <c r="A77" t="s">
        <v>636</v>
      </c>
      <c r="B77" t="s">
        <v>637</v>
      </c>
      <c r="C77" t="s">
        <v>351</v>
      </c>
      <c r="D77">
        <v>7233.66</v>
      </c>
    </row>
    <row r="78" spans="1:4">
      <c r="A78" t="s">
        <v>638</v>
      </c>
      <c r="B78" t="s">
        <v>639</v>
      </c>
      <c r="C78" t="s">
        <v>351</v>
      </c>
      <c r="D78">
        <v>11067</v>
      </c>
    </row>
    <row r="79" spans="1:4">
      <c r="A79" t="s">
        <v>640</v>
      </c>
      <c r="B79" t="s">
        <v>641</v>
      </c>
      <c r="C79" t="s">
        <v>351</v>
      </c>
      <c r="D79">
        <v>11198.11</v>
      </c>
    </row>
    <row r="80" spans="1:4">
      <c r="A80" t="s">
        <v>642</v>
      </c>
      <c r="B80" t="s">
        <v>643</v>
      </c>
      <c r="C80" t="s">
        <v>351</v>
      </c>
      <c r="D80">
        <v>12047.23</v>
      </c>
    </row>
    <row r="81" spans="1:4">
      <c r="A81" t="s">
        <v>644</v>
      </c>
      <c r="B81" t="s">
        <v>645</v>
      </c>
      <c r="C81" t="s">
        <v>351</v>
      </c>
      <c r="D81">
        <v>3351.22</v>
      </c>
    </row>
    <row r="82" spans="1:4">
      <c r="A82" t="s">
        <v>646</v>
      </c>
      <c r="B82" t="s">
        <v>647</v>
      </c>
      <c r="C82" t="s">
        <v>351</v>
      </c>
      <c r="D82">
        <v>4468.29</v>
      </c>
    </row>
    <row r="83" spans="1:4">
      <c r="A83" t="s">
        <v>648</v>
      </c>
      <c r="B83" t="s">
        <v>649</v>
      </c>
      <c r="C83" t="s">
        <v>351</v>
      </c>
      <c r="D83">
        <v>8514.33</v>
      </c>
    </row>
    <row r="84" spans="1:4">
      <c r="A84" t="s">
        <v>650</v>
      </c>
      <c r="B84" t="s">
        <v>651</v>
      </c>
      <c r="C84" t="s">
        <v>351</v>
      </c>
      <c r="D84">
        <v>3165.46</v>
      </c>
    </row>
    <row r="85" spans="1:4">
      <c r="A85" t="s">
        <v>652</v>
      </c>
      <c r="B85" t="s">
        <v>653</v>
      </c>
      <c r="C85" t="s">
        <v>351</v>
      </c>
      <c r="D85">
        <v>4220.6099999999997</v>
      </c>
    </row>
    <row r="86" spans="1:4">
      <c r="A86" t="s">
        <v>654</v>
      </c>
      <c r="B86" t="s">
        <v>655</v>
      </c>
      <c r="C86" t="s">
        <v>351</v>
      </c>
      <c r="D86">
        <v>6078.95</v>
      </c>
    </row>
    <row r="87" spans="1:4">
      <c r="A87" t="s">
        <v>656</v>
      </c>
      <c r="B87" t="s">
        <v>657</v>
      </c>
      <c r="C87" t="s">
        <v>351</v>
      </c>
      <c r="D87">
        <v>3085.16</v>
      </c>
    </row>
    <row r="88" spans="1:4">
      <c r="A88" t="s">
        <v>658</v>
      </c>
      <c r="B88" t="s">
        <v>659</v>
      </c>
      <c r="C88" t="s">
        <v>351</v>
      </c>
      <c r="D88">
        <v>4113.55</v>
      </c>
    </row>
    <row r="89" spans="1:4">
      <c r="A89" t="s">
        <v>660</v>
      </c>
      <c r="B89" t="s">
        <v>661</v>
      </c>
      <c r="C89" t="s">
        <v>351</v>
      </c>
      <c r="D89">
        <v>5832.14</v>
      </c>
    </row>
    <row r="90" spans="1:4">
      <c r="A90" t="s">
        <v>662</v>
      </c>
      <c r="B90" t="s">
        <v>663</v>
      </c>
      <c r="C90" t="s">
        <v>351</v>
      </c>
      <c r="D90">
        <v>3325.64</v>
      </c>
    </row>
    <row r="91" spans="1:4">
      <c r="A91" t="s">
        <v>664</v>
      </c>
      <c r="B91" t="s">
        <v>665</v>
      </c>
      <c r="C91" t="s">
        <v>351</v>
      </c>
      <c r="D91">
        <v>4434.18</v>
      </c>
    </row>
    <row r="92" spans="1:4">
      <c r="A92" t="s">
        <v>666</v>
      </c>
      <c r="B92" t="s">
        <v>667</v>
      </c>
      <c r="C92" t="s">
        <v>351</v>
      </c>
      <c r="D92">
        <v>7403.84</v>
      </c>
    </row>
    <row r="93" spans="1:4">
      <c r="A93" t="s">
        <v>668</v>
      </c>
      <c r="B93" t="s">
        <v>669</v>
      </c>
      <c r="C93" t="s">
        <v>351</v>
      </c>
      <c r="D93">
        <v>3141.84</v>
      </c>
    </row>
    <row r="94" spans="1:4">
      <c r="A94" t="s">
        <v>670</v>
      </c>
      <c r="B94" t="s">
        <v>671</v>
      </c>
      <c r="C94" t="s">
        <v>351</v>
      </c>
      <c r="D94">
        <v>4189.13</v>
      </c>
    </row>
    <row r="95" spans="1:4">
      <c r="A95" t="s">
        <v>672</v>
      </c>
      <c r="B95" t="s">
        <v>673</v>
      </c>
      <c r="C95" t="s">
        <v>351</v>
      </c>
      <c r="D95">
        <v>6069.84</v>
      </c>
    </row>
    <row r="96" spans="1:4">
      <c r="A96" t="s">
        <v>674</v>
      </c>
      <c r="B96" t="s">
        <v>675</v>
      </c>
      <c r="C96" t="s">
        <v>351</v>
      </c>
      <c r="D96">
        <v>3782.76</v>
      </c>
    </row>
    <row r="97" spans="1:4">
      <c r="A97" t="s">
        <v>676</v>
      </c>
      <c r="B97" t="s">
        <v>677</v>
      </c>
      <c r="C97" t="s">
        <v>351</v>
      </c>
      <c r="D97">
        <v>5043.67</v>
      </c>
    </row>
    <row r="98" spans="1:4">
      <c r="A98" t="s">
        <v>678</v>
      </c>
      <c r="B98" t="s">
        <v>679</v>
      </c>
      <c r="C98" t="s">
        <v>351</v>
      </c>
      <c r="D98">
        <v>7915.13</v>
      </c>
    </row>
  </sheetData>
  <pageMargins left="0.511811024" right="0.511811024" top="0.78740157499999996" bottom="0.78740157499999996" header="0.31496062000000002" footer="0.3149606200000000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-0.249977111117893"/>
    <pageSetUpPr fitToPage="1"/>
  </sheetPr>
  <dimension ref="A1:H27"/>
  <sheetViews>
    <sheetView showGridLines="0" view="pageBreakPreview" zoomScale="130" zoomScaleSheetLayoutView="130" workbookViewId="0">
      <selection activeCell="A3" sqref="A3"/>
    </sheetView>
  </sheetViews>
  <sheetFormatPr defaultColWidth="9.140625" defaultRowHeight="15.75"/>
  <cols>
    <col min="1" max="1" width="13.7109375" style="89" customWidth="1"/>
    <col min="2" max="2" width="58.5703125" style="89" bestFit="1" customWidth="1"/>
    <col min="3" max="3" width="10.42578125" style="96" bestFit="1" customWidth="1"/>
    <col min="4" max="4" width="8.7109375" style="97" bestFit="1" customWidth="1"/>
    <col min="5" max="5" width="12.28515625" style="89" customWidth="1"/>
    <col min="6" max="6" width="9.140625" style="89"/>
    <col min="7" max="7" width="13.5703125" style="89" customWidth="1"/>
    <col min="8" max="16384" width="9.140625" style="89"/>
  </cols>
  <sheetData>
    <row r="1" spans="1:7" ht="20.100000000000001" customHeight="1">
      <c r="A1" s="671" t="str">
        <f>Capa!A19</f>
        <v xml:space="preserve">ORÇAMENTO PARA ELABORAÇÃO DE PROJETOS DE SISTEMA DE ESGOTAMENTO SANITÁRIO </v>
      </c>
      <c r="B1" s="671"/>
      <c r="C1" s="671"/>
      <c r="D1" s="671"/>
      <c r="E1" s="671"/>
      <c r="F1" s="671"/>
      <c r="G1" s="671"/>
    </row>
    <row r="2" spans="1:7" ht="20.100000000000001" customHeight="1">
      <c r="A2" s="671"/>
      <c r="B2" s="671"/>
      <c r="C2" s="671"/>
      <c r="D2" s="671"/>
      <c r="E2" s="671"/>
      <c r="F2" s="671"/>
      <c r="G2" s="671"/>
    </row>
    <row r="3" spans="1:7" ht="20.100000000000001" customHeight="1">
      <c r="A3" s="52"/>
      <c r="B3" s="52"/>
      <c r="C3" s="72"/>
      <c r="D3" s="72"/>
      <c r="E3" s="72"/>
    </row>
    <row r="4" spans="1:7" ht="20.100000000000001" customHeight="1">
      <c r="A4" s="80" t="s">
        <v>680</v>
      </c>
      <c r="B4" s="80"/>
      <c r="C4" s="53"/>
      <c r="D4" s="81"/>
      <c r="E4" s="81"/>
      <c r="F4" s="82" t="s">
        <v>134</v>
      </c>
      <c r="G4" s="63">
        <f ca="1">'Dados Básicos do município'!H4</f>
        <v>46139</v>
      </c>
    </row>
    <row r="5" spans="1:7" ht="20.100000000000001" customHeight="1">
      <c r="A5" s="80" t="s">
        <v>135</v>
      </c>
      <c r="B5" s="83" t="str">
        <f>'Dados Básicos do município'!B5</f>
        <v>CBH-SANTO ANTÔNIO</v>
      </c>
      <c r="C5" s="53"/>
      <c r="D5" s="81"/>
      <c r="E5" s="81"/>
    </row>
    <row r="6" spans="1:7" ht="20.100000000000001" customHeight="1">
      <c r="A6" s="80" t="s">
        <v>136</v>
      </c>
      <c r="B6" s="83" t="str">
        <f>'Dados Básicos do município'!B6</f>
        <v>Açucena/MG</v>
      </c>
      <c r="C6" s="53"/>
      <c r="D6" s="81"/>
    </row>
    <row r="7" spans="1:7" ht="15" customHeight="1">
      <c r="A7" s="80"/>
      <c r="B7" s="80"/>
      <c r="C7" s="53"/>
      <c r="D7" s="81"/>
      <c r="E7" s="81"/>
    </row>
    <row r="8" spans="1:7" ht="15" customHeight="1">
      <c r="A8" s="734" t="s">
        <v>681</v>
      </c>
      <c r="B8" s="734"/>
      <c r="C8" s="734"/>
      <c r="D8" s="734"/>
      <c r="E8" s="734"/>
      <c r="F8" s="734"/>
      <c r="G8" s="734"/>
    </row>
    <row r="9" spans="1:7" ht="15" customHeight="1">
      <c r="A9" s="734"/>
      <c r="B9" s="734"/>
      <c r="C9" s="734"/>
      <c r="D9" s="734"/>
      <c r="E9" s="734"/>
      <c r="F9" s="734"/>
      <c r="G9" s="734"/>
    </row>
    <row r="10" spans="1:7" ht="15" customHeight="1">
      <c r="A10" s="80"/>
      <c r="B10" s="80"/>
      <c r="C10" s="53"/>
      <c r="D10" s="81"/>
      <c r="E10" s="81"/>
    </row>
    <row r="11" spans="1:7" ht="20.100000000000001" customHeight="1">
      <c r="A11" s="733" t="s">
        <v>682</v>
      </c>
      <c r="B11" s="733"/>
      <c r="C11" s="733"/>
      <c r="D11" s="135"/>
      <c r="E11" s="136"/>
      <c r="F11" s="136"/>
      <c r="G11" s="136"/>
    </row>
    <row r="12" spans="1:7" ht="20.100000000000001" customHeight="1">
      <c r="A12" s="214" t="s">
        <v>683</v>
      </c>
      <c r="B12" s="214"/>
      <c r="C12" s="214"/>
      <c r="D12" s="215"/>
      <c r="E12" s="216"/>
      <c r="F12" s="217"/>
      <c r="G12" s="218">
        <v>0.81789999999999996</v>
      </c>
    </row>
    <row r="13" spans="1:7" ht="20.100000000000001" customHeight="1">
      <c r="A13" s="214" t="s">
        <v>684</v>
      </c>
      <c r="B13" s="214"/>
      <c r="C13" s="214"/>
      <c r="D13" s="215"/>
      <c r="E13" s="216"/>
      <c r="F13" s="217"/>
      <c r="G13" s="218">
        <v>0.2</v>
      </c>
    </row>
    <row r="14" spans="1:7" ht="20.100000000000001" customHeight="1">
      <c r="A14" s="219" t="s">
        <v>685</v>
      </c>
      <c r="B14" s="219"/>
      <c r="C14" s="219"/>
      <c r="D14" s="215"/>
      <c r="E14" s="219"/>
      <c r="F14" s="217"/>
      <c r="G14" s="218">
        <v>0.1729</v>
      </c>
    </row>
    <row r="15" spans="1:7" ht="20.100000000000001" customHeight="1">
      <c r="A15" s="219" t="s">
        <v>686</v>
      </c>
      <c r="B15" s="219"/>
      <c r="C15" s="219"/>
      <c r="D15" s="215"/>
      <c r="E15" s="219"/>
      <c r="F15" s="217"/>
      <c r="G15" s="218">
        <v>8.7599999999999997E-2</v>
      </c>
    </row>
    <row r="16" spans="1:7" ht="20.100000000000001" customHeight="1">
      <c r="A16" s="219" t="s">
        <v>687</v>
      </c>
      <c r="B16" s="219"/>
      <c r="C16" s="219"/>
      <c r="D16" s="215"/>
      <c r="E16" s="219"/>
      <c r="F16" s="217"/>
      <c r="G16" s="218">
        <f>(1/(1-(E18+E19+E20))-1)</f>
        <v>0.16618075801749277</v>
      </c>
    </row>
    <row r="17" spans="1:8" ht="20.100000000000001" customHeight="1">
      <c r="A17" s="220" t="s">
        <v>688</v>
      </c>
      <c r="B17" s="220"/>
      <c r="C17" s="220"/>
      <c r="D17" s="215"/>
      <c r="E17" s="214"/>
      <c r="F17" s="217"/>
      <c r="G17" s="218"/>
    </row>
    <row r="18" spans="1:8" ht="20.100000000000001" customHeight="1">
      <c r="A18" s="214" t="s">
        <v>689</v>
      </c>
      <c r="B18" s="214"/>
      <c r="C18" s="219"/>
      <c r="D18" s="215"/>
      <c r="E18" s="221">
        <v>1.6500000000000001E-2</v>
      </c>
      <c r="F18" s="217"/>
      <c r="G18" s="222"/>
    </row>
    <row r="19" spans="1:8" ht="20.100000000000001" customHeight="1">
      <c r="A19" s="214" t="s">
        <v>690</v>
      </c>
      <c r="B19" s="214"/>
      <c r="C19" s="219"/>
      <c r="D19" s="215"/>
      <c r="E19" s="221">
        <v>7.5999999999999998E-2</v>
      </c>
      <c r="F19" s="217"/>
      <c r="G19" s="222"/>
    </row>
    <row r="20" spans="1:8" ht="20.100000000000001" customHeight="1">
      <c r="A20" s="214" t="s">
        <v>691</v>
      </c>
      <c r="B20" s="214"/>
      <c r="C20" s="219"/>
      <c r="D20" s="215"/>
      <c r="E20" s="482">
        <v>0.05</v>
      </c>
      <c r="F20" s="217"/>
      <c r="G20" s="222"/>
    </row>
    <row r="21" spans="1:8" ht="3" customHeight="1">
      <c r="A21" s="137"/>
      <c r="B21" s="138"/>
      <c r="C21" s="139"/>
      <c r="D21" s="140"/>
      <c r="E21" s="141"/>
      <c r="F21" s="142"/>
      <c r="G21" s="143"/>
    </row>
    <row r="22" spans="1:8" ht="20.100000000000001" customHeight="1">
      <c r="A22" s="144" t="s">
        <v>692</v>
      </c>
      <c r="B22" s="145" t="s">
        <v>693</v>
      </c>
      <c r="C22" s="146" t="s">
        <v>694</v>
      </c>
      <c r="D22" s="147"/>
      <c r="E22" s="148"/>
      <c r="F22" s="149"/>
      <c r="G22" s="150">
        <f>(1+G12+G14)*(1+G15)*(1+G16)</f>
        <v>2.5250076734693874</v>
      </c>
    </row>
    <row r="23" spans="1:8" ht="20.100000000000001" customHeight="1">
      <c r="A23" s="144" t="s">
        <v>695</v>
      </c>
      <c r="B23" s="145" t="s">
        <v>696</v>
      </c>
      <c r="C23" s="146" t="s">
        <v>697</v>
      </c>
      <c r="D23" s="147"/>
      <c r="E23" s="148"/>
      <c r="F23" s="149"/>
      <c r="G23" s="150">
        <f>(1+G13+G14)*(1+G15)*(1+G16)</f>
        <v>1.7413015043731779</v>
      </c>
    </row>
    <row r="24" spans="1:8" ht="20.100000000000001" customHeight="1">
      <c r="A24" s="144" t="s">
        <v>698</v>
      </c>
      <c r="B24" s="145" t="s">
        <v>699</v>
      </c>
      <c r="C24" s="146" t="s">
        <v>700</v>
      </c>
      <c r="D24" s="147"/>
      <c r="E24" s="148"/>
      <c r="F24" s="149"/>
      <c r="G24" s="150">
        <f>(1+G14)*(1+G15)*(1+G16)</f>
        <v>1.487633865889213</v>
      </c>
    </row>
    <row r="25" spans="1:8" ht="20.100000000000001" customHeight="1">
      <c r="A25" s="144" t="s">
        <v>701</v>
      </c>
      <c r="B25" s="145" t="s">
        <v>346</v>
      </c>
      <c r="C25" s="146" t="s">
        <v>702</v>
      </c>
      <c r="D25" s="147"/>
      <c r="E25" s="148"/>
      <c r="F25" s="149"/>
      <c r="G25" s="150">
        <f>(1+G15)*(1+G16)</f>
        <v>1.2683381924198249</v>
      </c>
    </row>
    <row r="26" spans="1:8" ht="51" customHeight="1">
      <c r="A26" s="735" t="s">
        <v>703</v>
      </c>
      <c r="B26" s="736"/>
      <c r="C26" s="736"/>
      <c r="D26" s="736"/>
      <c r="E26" s="736"/>
      <c r="F26" s="736"/>
      <c r="G26" s="736"/>
    </row>
    <row r="27" spans="1:8">
      <c r="H27" s="428"/>
    </row>
  </sheetData>
  <mergeCells count="4">
    <mergeCell ref="A11:C11"/>
    <mergeCell ref="A1:G2"/>
    <mergeCell ref="A8:G9"/>
    <mergeCell ref="A26:G2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4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8" tint="-0.249977111117893"/>
    <pageSetUpPr fitToPage="1"/>
  </sheetPr>
  <dimension ref="A1:S25"/>
  <sheetViews>
    <sheetView showGridLines="0" zoomScale="80" zoomScaleNormal="80" zoomScaleSheetLayoutView="80" workbookViewId="0">
      <selection activeCell="D24" sqref="D24"/>
    </sheetView>
  </sheetViews>
  <sheetFormatPr defaultColWidth="9.140625" defaultRowHeight="15.75"/>
  <cols>
    <col min="1" max="1" width="17.7109375" style="187" customWidth="1"/>
    <col min="2" max="2" width="52.85546875" style="187" bestFit="1" customWidth="1"/>
    <col min="3" max="3" width="13.5703125" style="187" bestFit="1" customWidth="1"/>
    <col min="4" max="4" width="13.42578125" style="187" customWidth="1"/>
    <col min="5" max="5" width="12.5703125" style="187" customWidth="1"/>
    <col min="6" max="6" width="12.85546875" style="187" customWidth="1"/>
    <col min="7" max="7" width="13" style="187" bestFit="1" customWidth="1"/>
    <col min="8" max="8" width="16.140625" style="187" customWidth="1"/>
    <col min="9" max="9" width="13.28515625" style="187" customWidth="1"/>
    <col min="10" max="10" width="10.5703125" style="187" bestFit="1" customWidth="1"/>
    <col min="11" max="11" width="9.42578125" style="187" bestFit="1" customWidth="1"/>
    <col min="12" max="12" width="15.140625" style="187" customWidth="1"/>
    <col min="13" max="13" width="3.42578125" style="187" customWidth="1"/>
    <col min="14" max="14" width="3.85546875" style="187" customWidth="1"/>
    <col min="15" max="15" width="45.85546875" style="187" customWidth="1"/>
    <col min="16" max="18" width="3.85546875" style="187" customWidth="1"/>
    <col min="19" max="16384" width="9.140625" style="187"/>
  </cols>
  <sheetData>
    <row r="1" spans="1:19" ht="20.25" customHeight="1">
      <c r="A1" s="661" t="str">
        <f>K!A1</f>
        <v xml:space="preserve">ORÇAMENTO PARA ELABORAÇÃO DE PROJETOS DE SISTEMA DE ESGOTAMENTO SANITÁRIO </v>
      </c>
      <c r="B1" s="661"/>
      <c r="C1" s="661"/>
      <c r="D1" s="661"/>
      <c r="E1" s="661"/>
      <c r="F1" s="661"/>
      <c r="G1" s="661"/>
      <c r="H1" s="661"/>
      <c r="I1" s="661"/>
      <c r="J1" s="661"/>
      <c r="K1" s="661"/>
      <c r="L1" s="661"/>
      <c r="M1" s="56"/>
      <c r="N1" s="56"/>
      <c r="O1" s="56"/>
    </row>
    <row r="2" spans="1:19" ht="20.25" customHeight="1">
      <c r="A2" s="738"/>
      <c r="B2" s="738"/>
      <c r="C2" s="738"/>
      <c r="D2" s="738"/>
      <c r="E2" s="738"/>
      <c r="F2" s="738"/>
      <c r="G2" s="738"/>
      <c r="H2" s="738"/>
      <c r="I2" s="738"/>
      <c r="J2" s="738"/>
      <c r="K2" s="738"/>
      <c r="L2" s="738"/>
      <c r="M2" s="56"/>
      <c r="N2" s="56"/>
      <c r="O2" s="56"/>
    </row>
    <row r="3" spans="1:19" ht="20.25" customHeight="1">
      <c r="A3" s="114" t="s">
        <v>704</v>
      </c>
      <c r="B3" s="59"/>
      <c r="C3" s="59"/>
      <c r="D3" s="59"/>
      <c r="E3" s="189"/>
      <c r="F3" s="79"/>
      <c r="G3" s="189"/>
      <c r="K3" s="62" t="s">
        <v>134</v>
      </c>
      <c r="L3" s="78">
        <f ca="1">'Dados Básicos do município'!H4</f>
        <v>46139</v>
      </c>
    </row>
    <row r="4" spans="1:19" ht="20.25" customHeight="1">
      <c r="A4" s="114" t="s">
        <v>135</v>
      </c>
      <c r="B4" s="64" t="str">
        <f>'Dados Básicos do município'!B5</f>
        <v>CBH-SANTO ANTÔNIO</v>
      </c>
      <c r="E4" s="89"/>
      <c r="F4" s="79"/>
      <c r="G4" s="189"/>
      <c r="H4" s="189"/>
      <c r="I4" s="189"/>
      <c r="J4" s="189"/>
      <c r="K4" s="189"/>
      <c r="L4" s="188"/>
    </row>
    <row r="5" spans="1:19" ht="20.25" customHeight="1">
      <c r="A5" s="114" t="s">
        <v>136</v>
      </c>
      <c r="B5" s="64" t="str">
        <f>'Dados Básicos do município'!B6</f>
        <v>Açucena/MG</v>
      </c>
      <c r="E5" s="89"/>
      <c r="F5" s="79"/>
      <c r="G5" s="189"/>
      <c r="H5" s="189"/>
      <c r="I5" s="189"/>
      <c r="J5" s="189"/>
      <c r="K5" s="189"/>
      <c r="L5" s="188"/>
    </row>
    <row r="6" spans="1:19" ht="14.25" customHeight="1">
      <c r="B6" s="115"/>
      <c r="C6" s="115"/>
      <c r="D6" s="115"/>
      <c r="E6" s="116"/>
      <c r="F6" s="116"/>
      <c r="G6" s="115"/>
      <c r="H6" s="117"/>
      <c r="I6" s="117"/>
      <c r="J6" s="117"/>
      <c r="K6" s="118"/>
      <c r="L6" s="190"/>
    </row>
    <row r="7" spans="1:19" ht="20.25" customHeight="1">
      <c r="A7" s="724" t="s">
        <v>444</v>
      </c>
      <c r="B7" s="724"/>
      <c r="C7" s="407">
        <v>1</v>
      </c>
      <c r="D7" s="460">
        <v>2</v>
      </c>
      <c r="E7" s="460">
        <v>3</v>
      </c>
      <c r="F7" s="462">
        <v>4</v>
      </c>
      <c r="G7" s="407">
        <v>5</v>
      </c>
      <c r="H7" s="460">
        <v>6</v>
      </c>
      <c r="I7" s="460">
        <v>7</v>
      </c>
      <c r="J7" s="462">
        <v>8</v>
      </c>
      <c r="K7" s="739" t="s">
        <v>705</v>
      </c>
      <c r="L7" s="739" t="s">
        <v>139</v>
      </c>
      <c r="M7" s="42"/>
    </row>
    <row r="8" spans="1:19" ht="33.75" customHeight="1">
      <c r="A8" s="723" t="s">
        <v>449</v>
      </c>
      <c r="B8" s="723"/>
      <c r="C8" s="463" t="s">
        <v>450</v>
      </c>
      <c r="D8" s="461" t="s">
        <v>706</v>
      </c>
      <c r="E8" s="461" t="s">
        <v>451</v>
      </c>
      <c r="F8" s="461" t="s">
        <v>453</v>
      </c>
      <c r="G8" s="461" t="s">
        <v>454</v>
      </c>
      <c r="H8" s="461" t="s">
        <v>455</v>
      </c>
      <c r="I8" s="463" t="s">
        <v>707</v>
      </c>
      <c r="J8" s="408" t="s">
        <v>458</v>
      </c>
      <c r="K8" s="740"/>
      <c r="L8" s="740"/>
      <c r="M8" s="42"/>
    </row>
    <row r="9" spans="1:19" ht="20.25" customHeight="1">
      <c r="A9" s="727" t="s">
        <v>416</v>
      </c>
      <c r="B9" s="223" t="str">
        <f>Custos!B38</f>
        <v>Mobilização e desmobilização de equipe de topografia</v>
      </c>
      <c r="C9" s="200"/>
      <c r="D9" s="224"/>
      <c r="E9" s="481">
        <f>Deslocamento!E19</f>
        <v>308.19999999999993</v>
      </c>
      <c r="F9" s="224"/>
      <c r="G9" s="224"/>
      <c r="H9" s="224"/>
      <c r="I9" s="224"/>
      <c r="J9" s="266"/>
      <c r="K9" s="264">
        <f t="shared" ref="K9:K22" si="0">SUM(C9:J9)</f>
        <v>308.19999999999993</v>
      </c>
      <c r="L9" s="224" t="str">
        <f>Custos!H38</f>
        <v>km</v>
      </c>
      <c r="M9" s="42"/>
      <c r="N9" s="268"/>
      <c r="O9" s="268"/>
      <c r="P9" s="268"/>
      <c r="Q9" s="268"/>
      <c r="R9" s="268"/>
      <c r="S9" s="89"/>
    </row>
    <row r="10" spans="1:19" ht="21.75" customHeight="1">
      <c r="A10" s="727"/>
      <c r="B10" s="223" t="str">
        <f>Custos!B39</f>
        <v>Equipe de topografia de campo</v>
      </c>
      <c r="C10" s="419"/>
      <c r="D10" s="224"/>
      <c r="E10" s="423">
        <f>'Topografia e Cadastro'!G14</f>
        <v>0.17956682104329014</v>
      </c>
      <c r="F10" s="224"/>
      <c r="G10" s="224"/>
      <c r="H10" s="224"/>
      <c r="I10" s="224"/>
      <c r="J10" s="266"/>
      <c r="K10" s="264">
        <f t="shared" si="0"/>
        <v>0.17956682104329014</v>
      </c>
      <c r="L10" s="224" t="str">
        <f>Custos!H39</f>
        <v>mês</v>
      </c>
      <c r="M10" s="42"/>
      <c r="N10" s="269"/>
      <c r="O10" s="269"/>
      <c r="P10" s="269"/>
      <c r="Q10" s="269"/>
      <c r="R10" s="269"/>
      <c r="S10" s="89"/>
    </row>
    <row r="11" spans="1:19" ht="18" customHeight="1">
      <c r="A11" s="727"/>
      <c r="B11" s="418" t="str">
        <f>Custos!B40</f>
        <v>Equipe de topografia de escritório</v>
      </c>
      <c r="C11" s="419"/>
      <c r="D11" s="224"/>
      <c r="E11" s="423">
        <f>'Topografia e Cadastro'!G15</f>
        <v>8.9783410521645068E-2</v>
      </c>
      <c r="F11" s="224"/>
      <c r="G11" s="224"/>
      <c r="H11" s="224"/>
      <c r="I11" s="224"/>
      <c r="J11" s="266"/>
      <c r="K11" s="264">
        <f t="shared" si="0"/>
        <v>8.9783410521645068E-2</v>
      </c>
      <c r="L11" s="224" t="str">
        <f>Custos!H40</f>
        <v>mês</v>
      </c>
      <c r="M11" s="42"/>
      <c r="N11" s="269"/>
      <c r="O11" s="269"/>
      <c r="P11" s="269"/>
      <c r="Q11" s="269"/>
      <c r="R11" s="269"/>
      <c r="S11" s="89"/>
    </row>
    <row r="12" spans="1:19" ht="20.25" customHeight="1">
      <c r="A12" s="723" t="s">
        <v>420</v>
      </c>
      <c r="B12" s="223" t="str">
        <f>Custos!B43</f>
        <v>Equipe de topografia de campo</v>
      </c>
      <c r="C12" s="200"/>
      <c r="D12" s="423">
        <f>'Topografia e Cadastro'!G17</f>
        <v>0.19305793508063995</v>
      </c>
      <c r="E12" s="435"/>
      <c r="F12" s="224"/>
      <c r="G12" s="224"/>
      <c r="H12" s="224"/>
      <c r="I12" s="224"/>
      <c r="J12" s="266"/>
      <c r="K12" s="264">
        <f t="shared" si="0"/>
        <v>0.19305793508063995</v>
      </c>
      <c r="L12" s="417" t="str">
        <f>Custos!H43</f>
        <v>mês</v>
      </c>
      <c r="M12" s="42"/>
      <c r="N12" s="269"/>
      <c r="O12" s="269"/>
      <c r="P12" s="269"/>
      <c r="Q12" s="269"/>
      <c r="R12" s="269"/>
      <c r="S12" s="89"/>
    </row>
    <row r="13" spans="1:19" ht="20.25" customHeight="1">
      <c r="A13" s="724"/>
      <c r="B13" s="223" t="str">
        <f>Custos!B44</f>
        <v>Equipe de topografia de escritório</v>
      </c>
      <c r="C13" s="200"/>
      <c r="D13" s="423">
        <f>'Topografia e Cadastro'!G18</f>
        <v>1.7562213809279997E-2</v>
      </c>
      <c r="E13" s="435"/>
      <c r="F13" s="224"/>
      <c r="G13" s="224"/>
      <c r="H13" s="224"/>
      <c r="I13" s="224"/>
      <c r="J13" s="266"/>
      <c r="K13" s="264">
        <f t="shared" si="0"/>
        <v>1.7562213809279997E-2</v>
      </c>
      <c r="L13" s="417" t="str">
        <f>Custos!H44</f>
        <v>mês</v>
      </c>
      <c r="M13" s="42"/>
      <c r="N13" s="269"/>
      <c r="O13" s="269"/>
      <c r="P13" s="269"/>
      <c r="Q13" s="269"/>
      <c r="R13" s="269"/>
      <c r="S13" s="89"/>
    </row>
    <row r="14" spans="1:19" ht="20.25" customHeight="1">
      <c r="A14" s="727" t="s">
        <v>708</v>
      </c>
      <c r="B14" s="223" t="str">
        <f>Custos!B32</f>
        <v>Sondagem a percussao - mobilizacao e desmobilizacao</v>
      </c>
      <c r="C14" s="224"/>
      <c r="D14" s="224"/>
      <c r="E14" s="224"/>
      <c r="F14" s="224"/>
      <c r="G14" s="224"/>
      <c r="H14" s="224">
        <v>1</v>
      </c>
      <c r="I14" s="224"/>
      <c r="J14" s="266"/>
      <c r="K14" s="264">
        <f t="shared" si="0"/>
        <v>1</v>
      </c>
      <c r="L14" s="224" t="str">
        <f>Custos!H32</f>
        <v>unidade</v>
      </c>
      <c r="M14" s="42"/>
      <c r="O14" s="292"/>
      <c r="P14" s="292"/>
      <c r="Q14" s="292"/>
      <c r="R14" s="292"/>
      <c r="S14" s="274"/>
    </row>
    <row r="15" spans="1:19" ht="20.25" customHeight="1">
      <c r="A15" s="727"/>
      <c r="B15" s="223" t="str">
        <f>Custos!B33</f>
        <v>Sondagem a percussao - adicional de mobilizacao e desmobilizacao</v>
      </c>
      <c r="C15" s="224"/>
      <c r="D15" s="224"/>
      <c r="E15" s="224"/>
      <c r="F15" s="224"/>
      <c r="G15" s="224"/>
      <c r="H15" s="570">
        <f>Deslocamento!E19</f>
        <v>308.19999999999993</v>
      </c>
      <c r="I15" s="224"/>
      <c r="J15" s="266"/>
      <c r="K15" s="264">
        <f t="shared" si="0"/>
        <v>308.19999999999993</v>
      </c>
      <c r="L15" s="224" t="str">
        <f>Custos!H33</f>
        <v>km</v>
      </c>
      <c r="M15" s="42"/>
      <c r="N15" s="291"/>
      <c r="O15" s="292"/>
      <c r="P15" s="292"/>
      <c r="Q15" s="292"/>
      <c r="R15" s="292"/>
      <c r="S15" s="274"/>
    </row>
    <row r="16" spans="1:19" ht="20.25" customHeight="1">
      <c r="A16" s="727"/>
      <c r="B16" s="223" t="str">
        <f>Custos!B34</f>
        <v>Sondagem a percussao - instalacao por furo</v>
      </c>
      <c r="C16" s="224"/>
      <c r="D16" s="224"/>
      <c r="E16" s="224"/>
      <c r="F16" s="224"/>
      <c r="G16" s="224"/>
      <c r="H16" s="570">
        <f>(10+('Dados Básicos do município'!C25/1000)/2)</f>
        <v>10.011100880000001</v>
      </c>
      <c r="I16" s="224"/>
      <c r="J16" s="266"/>
      <c r="K16" s="264">
        <f t="shared" si="0"/>
        <v>10.011100880000001</v>
      </c>
      <c r="L16" s="224" t="str">
        <f>Custos!H34</f>
        <v>unidade</v>
      </c>
      <c r="M16" s="42"/>
      <c r="N16" s="291"/>
      <c r="O16" s="292"/>
      <c r="P16" s="292"/>
      <c r="Q16" s="292"/>
      <c r="R16" s="292"/>
      <c r="S16" s="274"/>
    </row>
    <row r="17" spans="1:19" ht="20.25" customHeight="1">
      <c r="A17" s="727"/>
      <c r="B17" s="223" t="str">
        <f>Custos!B35</f>
        <v>Sondagem a percussao ø2.1/2" - perfuracao e retirada de amostras</v>
      </c>
      <c r="C17" s="224"/>
      <c r="D17" s="224"/>
      <c r="E17" s="224"/>
      <c r="F17" s="224"/>
      <c r="G17" s="224"/>
      <c r="H17" s="264">
        <f>(10+('Dados Básicos do município'!C25/1000)/2)*10</f>
        <v>100.11100880000001</v>
      </c>
      <c r="I17" s="224"/>
      <c r="J17" s="266"/>
      <c r="K17" s="264">
        <f t="shared" si="0"/>
        <v>100.11100880000001</v>
      </c>
      <c r="L17" s="224" t="str">
        <f>Custos!H35</f>
        <v>m</v>
      </c>
      <c r="M17" s="42"/>
      <c r="N17" s="571"/>
      <c r="O17" s="633" t="s">
        <v>709</v>
      </c>
      <c r="P17" s="293"/>
      <c r="Q17" s="293"/>
      <c r="R17" s="293"/>
      <c r="S17" s="275"/>
    </row>
    <row r="18" spans="1:19" ht="20.25" customHeight="1">
      <c r="A18" s="723" t="s">
        <v>422</v>
      </c>
      <c r="B18" s="223" t="str">
        <f>[2]Custos!B47</f>
        <v>Análise bacteriológica de água</v>
      </c>
      <c r="C18" s="477"/>
      <c r="D18" s="477"/>
      <c r="E18" s="477"/>
      <c r="F18" s="569">
        <v>1</v>
      </c>
      <c r="G18" s="477"/>
      <c r="H18" s="477"/>
      <c r="I18" s="477"/>
      <c r="J18" s="477"/>
      <c r="K18" s="264">
        <f t="shared" si="0"/>
        <v>1</v>
      </c>
      <c r="L18" s="477" t="s">
        <v>411</v>
      </c>
      <c r="N18" s="293"/>
      <c r="O18" s="293"/>
      <c r="P18" s="293"/>
      <c r="Q18" s="293"/>
      <c r="R18" s="293"/>
      <c r="S18" s="275"/>
    </row>
    <row r="19" spans="1:19" ht="20.25" customHeight="1" thickBot="1">
      <c r="A19" s="724"/>
      <c r="B19" s="223" t="str">
        <f>[2]Custos!B48</f>
        <v>Análise fisíco-química</v>
      </c>
      <c r="C19" s="477"/>
      <c r="D19" s="477"/>
      <c r="E19" s="477"/>
      <c r="F19" s="569">
        <v>1</v>
      </c>
      <c r="G19" s="477"/>
      <c r="H19" s="477"/>
      <c r="I19" s="477"/>
      <c r="J19" s="477"/>
      <c r="K19" s="264">
        <f t="shared" si="0"/>
        <v>1</v>
      </c>
      <c r="L19" s="477" t="s">
        <v>710</v>
      </c>
      <c r="N19" s="293"/>
      <c r="O19" s="293"/>
      <c r="P19" s="293"/>
      <c r="Q19" s="293"/>
      <c r="R19" s="293"/>
      <c r="S19" s="275"/>
    </row>
    <row r="20" spans="1:19" ht="20.25" customHeight="1" thickBot="1">
      <c r="A20" s="737" t="s">
        <v>711</v>
      </c>
      <c r="B20" s="223" t="str">
        <f>Custos!B52</f>
        <v>Veículo tipo pick-up 4X4</v>
      </c>
      <c r="C20" s="224"/>
      <c r="D20" s="224">
        <f>O20/2</f>
        <v>0.5</v>
      </c>
      <c r="E20" s="224"/>
      <c r="F20" s="89">
        <f>O20/2</f>
        <v>0.5</v>
      </c>
      <c r="G20" s="224"/>
      <c r="H20" s="224"/>
      <c r="I20" s="224"/>
      <c r="J20" s="224"/>
      <c r="K20" s="264">
        <f t="shared" si="0"/>
        <v>1</v>
      </c>
      <c r="L20" s="224" t="s">
        <v>351</v>
      </c>
      <c r="M20" s="42"/>
      <c r="N20" s="294"/>
      <c r="O20" s="572">
        <f>IF('Dados Básicos do município'!C14&lt;=10000,1,IF(AND('Dados Básicos do município'!C14&gt;10000,'Dados Básicos do município'!C14&lt;=25000),2,IF(AND('Dados Básicos do município'!C14&gt;25000,'Dados Básicos do município'!C14&lt;=50000),3,4)))</f>
        <v>1</v>
      </c>
      <c r="P20" s="294"/>
      <c r="Q20" s="294"/>
      <c r="R20" s="294"/>
      <c r="S20" s="275"/>
    </row>
    <row r="21" spans="1:19" ht="20.25" customHeight="1">
      <c r="A21" s="737"/>
      <c r="B21" s="223" t="s">
        <v>428</v>
      </c>
      <c r="C21" s="224"/>
      <c r="D21" s="224">
        <f>IF($O$20=1,2,IF($O$20=2,4,IF($O$20=3,6,8)))</f>
        <v>2</v>
      </c>
      <c r="E21" s="224"/>
      <c r="F21" s="224">
        <f>IF($O$20=1,2,IF($O$20=2,4,IF($O$20=3,6,8)))</f>
        <v>2</v>
      </c>
      <c r="G21" s="224"/>
      <c r="H21" s="224"/>
      <c r="I21" s="224"/>
      <c r="J21" s="224"/>
      <c r="K21" s="264">
        <f t="shared" si="0"/>
        <v>4</v>
      </c>
      <c r="L21" s="224" t="s">
        <v>411</v>
      </c>
      <c r="M21" s="42"/>
      <c r="N21" s="294"/>
      <c r="O21" s="294"/>
      <c r="P21" s="294"/>
      <c r="Q21" s="294"/>
      <c r="R21" s="294"/>
      <c r="S21" s="274"/>
    </row>
    <row r="22" spans="1:19" ht="20.25" customHeight="1">
      <c r="A22" s="737"/>
      <c r="B22" s="223" t="s">
        <v>430</v>
      </c>
      <c r="C22" s="224"/>
      <c r="D22" s="224">
        <f>IF($O$20=1,2,IF($O$20=2,4,IF($O$20=3,6,8)))</f>
        <v>2</v>
      </c>
      <c r="E22" s="224"/>
      <c r="F22" s="224">
        <f>IF($O$20=1,2,IF($O$20=2,4,IF($O$20=3,6,8)))</f>
        <v>2</v>
      </c>
      <c r="G22" s="224"/>
      <c r="H22" s="224"/>
      <c r="I22" s="224"/>
      <c r="J22" s="224"/>
      <c r="K22" s="264">
        <f t="shared" si="0"/>
        <v>4</v>
      </c>
      <c r="L22" s="224" t="s">
        <v>411</v>
      </c>
      <c r="M22" s="42"/>
      <c r="N22" s="294"/>
      <c r="O22" s="294"/>
      <c r="P22" s="294"/>
      <c r="Q22" s="294"/>
      <c r="R22" s="294"/>
      <c r="S22" s="274"/>
    </row>
    <row r="23" spans="1:19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</row>
    <row r="24" spans="1:19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</row>
    <row r="25" spans="1:19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</row>
  </sheetData>
  <mergeCells count="10">
    <mergeCell ref="A9:A11"/>
    <mergeCell ref="A20:A22"/>
    <mergeCell ref="A1:L2"/>
    <mergeCell ref="K7:K8"/>
    <mergeCell ref="A8:B8"/>
    <mergeCell ref="L7:L8"/>
    <mergeCell ref="A14:A17"/>
    <mergeCell ref="A7:B7"/>
    <mergeCell ref="A12:A13"/>
    <mergeCell ref="A18:A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9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8" tint="-0.249977111117893"/>
    <pageSetUpPr fitToPage="1"/>
  </sheetPr>
  <dimension ref="A1:M66"/>
  <sheetViews>
    <sheetView showGridLines="0" view="pageBreakPreview" topLeftCell="A43" zoomScaleNormal="100" zoomScaleSheetLayoutView="100" workbookViewId="0">
      <selection activeCell="D1" sqref="D1:K1"/>
    </sheetView>
  </sheetViews>
  <sheetFormatPr defaultColWidth="9.140625" defaultRowHeight="15.75"/>
  <cols>
    <col min="1" max="1" width="5" style="81" customWidth="1"/>
    <col min="2" max="2" width="11.28515625" style="81" customWidth="1"/>
    <col min="3" max="3" width="10" style="81" customWidth="1"/>
    <col min="4" max="4" width="13.85546875" style="81" customWidth="1"/>
    <col min="5" max="5" width="45.7109375" style="81" customWidth="1"/>
    <col min="6" max="6" width="9.85546875" style="131" customWidth="1"/>
    <col min="7" max="7" width="8.28515625" style="134" bestFit="1" customWidth="1"/>
    <col min="8" max="8" width="12.140625" style="81" customWidth="1"/>
    <col min="9" max="9" width="10.5703125" style="81" customWidth="1"/>
    <col min="10" max="10" width="13" style="81" customWidth="1"/>
    <col min="11" max="11" width="12.140625" style="131" customWidth="1"/>
    <col min="12" max="22" width="12.7109375" style="81" customWidth="1"/>
    <col min="23" max="16384" width="9.140625" style="81"/>
  </cols>
  <sheetData>
    <row r="1" spans="1:13" ht="35.25" customHeight="1">
      <c r="B1" s="130"/>
      <c r="C1" s="130"/>
      <c r="D1" s="744" t="str">
        <f>Serviços!A1</f>
        <v xml:space="preserve">ORÇAMENTO PARA ELABORAÇÃO DE PROJETOS DE SISTEMA DE ESGOTAMENTO SANITÁRIO </v>
      </c>
      <c r="E1" s="744"/>
      <c r="F1" s="744"/>
      <c r="G1" s="744"/>
      <c r="H1" s="744"/>
      <c r="I1" s="744"/>
      <c r="J1" s="744"/>
      <c r="K1" s="744"/>
    </row>
    <row r="2" spans="1:13" s="122" customFormat="1" ht="15" customHeight="1">
      <c r="A2" s="80" t="s">
        <v>712</v>
      </c>
      <c r="C2" s="83" t="str">
        <f>'Horas trabalhadas'!C8</f>
        <v>Plano de Trabalho</v>
      </c>
      <c r="F2" s="132"/>
      <c r="G2" s="184"/>
      <c r="J2" s="119" t="s">
        <v>134</v>
      </c>
      <c r="K2" s="63">
        <f ca="1">'Dados Básicos do município'!H4</f>
        <v>46139</v>
      </c>
    </row>
    <row r="3" spans="1:13" s="122" customFormat="1" ht="15" customHeight="1">
      <c r="A3" s="80" t="s">
        <v>135</v>
      </c>
      <c r="C3" s="83" t="str">
        <f>'Dados Básicos do município'!B5</f>
        <v>CBH-SANTO ANTÔNIO</v>
      </c>
      <c r="F3" s="132"/>
      <c r="G3" s="184"/>
      <c r="K3" s="132"/>
    </row>
    <row r="4" spans="1:13" s="122" customFormat="1" ht="15" customHeight="1">
      <c r="A4" s="80" t="s">
        <v>136</v>
      </c>
      <c r="C4" s="83" t="str">
        <f>'Dados Básicos do município'!B6</f>
        <v>Açucena/MG</v>
      </c>
      <c r="F4" s="132"/>
      <c r="G4" s="184"/>
      <c r="J4" s="120"/>
      <c r="K4" s="119"/>
    </row>
    <row r="5" spans="1:13" ht="6" customHeight="1">
      <c r="A5" s="160"/>
      <c r="B5" s="160"/>
      <c r="C5" s="160"/>
      <c r="D5" s="160"/>
      <c r="E5" s="161"/>
      <c r="F5" s="162"/>
      <c r="G5" s="185"/>
      <c r="H5" s="164"/>
      <c r="I5" s="163"/>
      <c r="J5" s="163"/>
      <c r="K5" s="192"/>
    </row>
    <row r="6" spans="1:13" s="134" customFormat="1" ht="47.45" customHeight="1">
      <c r="A6" s="380" t="s">
        <v>713</v>
      </c>
      <c r="B6" s="380" t="s">
        <v>10</v>
      </c>
      <c r="C6" s="380" t="s">
        <v>714</v>
      </c>
      <c r="D6" s="380" t="s">
        <v>715</v>
      </c>
      <c r="E6" s="381" t="s">
        <v>716</v>
      </c>
      <c r="F6" s="745" t="s">
        <v>717</v>
      </c>
      <c r="G6" s="745"/>
      <c r="H6" s="382" t="s">
        <v>718</v>
      </c>
      <c r="I6" s="383" t="s">
        <v>719</v>
      </c>
      <c r="J6" s="383" t="s">
        <v>720</v>
      </c>
      <c r="K6" s="383" t="s">
        <v>721</v>
      </c>
    </row>
    <row r="7" spans="1:13" s="122" customFormat="1" ht="18" customHeight="1">
      <c r="A7" s="384">
        <v>1</v>
      </c>
      <c r="B7" s="385" t="s">
        <v>722</v>
      </c>
      <c r="C7" s="385"/>
      <c r="D7" s="385"/>
      <c r="E7" s="385"/>
      <c r="F7" s="386"/>
      <c r="G7" s="384"/>
      <c r="H7" s="385"/>
      <c r="I7" s="385"/>
      <c r="J7" s="387">
        <f>J9</f>
        <v>8951.2398659249429</v>
      </c>
      <c r="K7" s="388">
        <f>J7/$J$53</f>
        <v>0.99999998502162191</v>
      </c>
    </row>
    <row r="8" spans="1:13" ht="6" customHeight="1">
      <c r="A8" s="160"/>
      <c r="B8" s="160"/>
      <c r="C8" s="160"/>
      <c r="D8" s="160"/>
      <c r="E8" s="161"/>
      <c r="F8" s="162"/>
      <c r="G8" s="185"/>
      <c r="H8" s="164"/>
      <c r="I8" s="163"/>
      <c r="J8" s="163"/>
      <c r="K8" s="192"/>
    </row>
    <row r="9" spans="1:13" s="122" customFormat="1" ht="18" customHeight="1">
      <c r="A9" s="178" t="s">
        <v>29</v>
      </c>
      <c r="B9" s="179" t="s">
        <v>376</v>
      </c>
      <c r="C9" s="179"/>
      <c r="D9" s="179"/>
      <c r="E9" s="179"/>
      <c r="F9" s="180"/>
      <c r="G9" s="178"/>
      <c r="H9" s="179"/>
      <c r="I9" s="179"/>
      <c r="J9" s="400">
        <f>SUM(J10:J14)</f>
        <v>8951.2398659249429</v>
      </c>
      <c r="K9" s="404">
        <f>SUM(K10:K14)</f>
        <v>0.99999998502162202</v>
      </c>
    </row>
    <row r="10" spans="1:13" s="123" customFormat="1" ht="16.149999999999999" customHeight="1">
      <c r="A10" s="232" t="s">
        <v>378</v>
      </c>
      <c r="B10" s="225" t="str">
        <f>Custos!E13</f>
        <v>P8061</v>
      </c>
      <c r="C10" s="416" t="str">
        <f>Custos!G13</f>
        <v>abr/2024</v>
      </c>
      <c r="D10" s="226" t="str">
        <f>Custos!$D$13</f>
        <v>DNIT</v>
      </c>
      <c r="E10" s="227" t="str">
        <f>Custos!B13</f>
        <v>Engenheiro Coordenador</v>
      </c>
      <c r="F10" s="228">
        <f>Custos!J13</f>
        <v>123.19</v>
      </c>
      <c r="G10" s="226" t="s">
        <v>382</v>
      </c>
      <c r="H10" s="422">
        <f>'Horas trabalhadas'!C9</f>
        <v>25.541391769822681</v>
      </c>
      <c r="I10" s="228">
        <f>H10*F10</f>
        <v>3146.444052124456</v>
      </c>
      <c r="J10" s="228">
        <f>I10*K!$G$23</f>
        <v>5478.9077613903528</v>
      </c>
      <c r="K10" s="240">
        <f>J10/$J$53</f>
        <v>0.61208366230716116</v>
      </c>
      <c r="M10" s="124"/>
    </row>
    <row r="11" spans="1:13" s="123" customFormat="1" ht="16.149999999999999" customHeight="1">
      <c r="A11" s="232" t="s">
        <v>383</v>
      </c>
      <c r="B11" s="225" t="str">
        <f>Custos!E14</f>
        <v>P8066</v>
      </c>
      <c r="C11" s="416" t="str">
        <f>Custos!G14</f>
        <v>abr/2024</v>
      </c>
      <c r="D11" s="230" t="str">
        <f>Custos!D14</f>
        <v>DNIT</v>
      </c>
      <c r="E11" s="227" t="str">
        <f>Custos!B14</f>
        <v>Engenheiro de Projetos Pleno</v>
      </c>
      <c r="F11" s="231">
        <f>Custos!J14</f>
        <v>85.36</v>
      </c>
      <c r="G11" s="230" t="s">
        <v>382</v>
      </c>
      <c r="H11" s="422">
        <f>'Horas trabalhadas'!C10</f>
        <v>17.027594513215124</v>
      </c>
      <c r="I11" s="228">
        <f t="shared" ref="I11:I14" si="0">H11*F11</f>
        <v>1453.4754676480429</v>
      </c>
      <c r="J11" s="228">
        <f>I11*K!$G$23</f>
        <v>2530.9390183850455</v>
      </c>
      <c r="K11" s="240">
        <f>J11/$J$53</f>
        <v>0.28274730857233699</v>
      </c>
      <c r="M11" s="124"/>
    </row>
    <row r="12" spans="1:13" s="123" customFormat="1" ht="16.149999999999999" customHeight="1">
      <c r="A12" s="232" t="s">
        <v>386</v>
      </c>
      <c r="B12" s="225" t="str">
        <f>Custos!E15</f>
        <v>P8065</v>
      </c>
      <c r="C12" s="416" t="str">
        <f>Custos!G15</f>
        <v>abr/2024</v>
      </c>
      <c r="D12" s="230" t="str">
        <f>Custos!D15</f>
        <v>DNIT</v>
      </c>
      <c r="E12" s="227" t="str">
        <f>Custos!B15</f>
        <v>Engenheiro de Projetos Júnior</v>
      </c>
      <c r="F12" s="231">
        <f>Custos!J15</f>
        <v>82.75</v>
      </c>
      <c r="G12" s="230" t="s">
        <v>382</v>
      </c>
      <c r="H12" s="422">
        <f>'Horas trabalhadas'!C11</f>
        <v>0</v>
      </c>
      <c r="I12" s="228">
        <f t="shared" si="0"/>
        <v>0</v>
      </c>
      <c r="J12" s="228">
        <f>I12*K!$G$23</f>
        <v>0</v>
      </c>
      <c r="K12" s="240">
        <f>J12/$J$53</f>
        <v>0</v>
      </c>
      <c r="M12" s="124"/>
    </row>
    <row r="13" spans="1:13" s="123" customFormat="1" ht="16.149999999999999" customHeight="1">
      <c r="A13" s="232" t="s">
        <v>389</v>
      </c>
      <c r="B13" s="225" t="str">
        <f>Custos!E16</f>
        <v>P8155</v>
      </c>
      <c r="C13" s="416" t="s">
        <v>723</v>
      </c>
      <c r="D13" s="230" t="str">
        <f>Custos!D16</f>
        <v>DNIT</v>
      </c>
      <c r="E13" s="227" t="str">
        <f>Custos!B16</f>
        <v>Técnico cadista</v>
      </c>
      <c r="F13" s="231">
        <f>Custos!J16</f>
        <v>19.32</v>
      </c>
      <c r="G13" s="230" t="s">
        <v>382</v>
      </c>
      <c r="H13" s="422">
        <f>'Horas trabalhadas'!C12</f>
        <v>0</v>
      </c>
      <c r="I13" s="228">
        <f t="shared" si="0"/>
        <v>0</v>
      </c>
      <c r="J13" s="228">
        <f>I13*K!$G$23</f>
        <v>0</v>
      </c>
      <c r="K13" s="240">
        <f>J13/$J$53</f>
        <v>0</v>
      </c>
      <c r="M13" s="124"/>
    </row>
    <row r="14" spans="1:13" s="123" customFormat="1" ht="16.149999999999999" customHeight="1">
      <c r="A14" s="232" t="s">
        <v>392</v>
      </c>
      <c r="B14" s="225" t="str">
        <f>Custos!E17</f>
        <v>P8026</v>
      </c>
      <c r="C14" s="416" t="str">
        <f>Custos!G17</f>
        <v>abr/2024</v>
      </c>
      <c r="D14" s="230" t="str">
        <f>Custos!D17</f>
        <v>DNIT</v>
      </c>
      <c r="E14" s="227" t="str">
        <f>Custos!B17</f>
        <v>Auxiliar Administrativo</v>
      </c>
      <c r="F14" s="231">
        <f>Custos!J17</f>
        <v>12.7</v>
      </c>
      <c r="G14" s="230" t="s">
        <v>382</v>
      </c>
      <c r="H14" s="422">
        <f>'Horas trabalhadas'!C13</f>
        <v>42.568986283037809</v>
      </c>
      <c r="I14" s="228">
        <f t="shared" si="0"/>
        <v>540.62612579458016</v>
      </c>
      <c r="J14" s="228">
        <f>I14*K!$G$23</f>
        <v>941.3930861495453</v>
      </c>
      <c r="K14" s="240">
        <f>J14/$J$53</f>
        <v>0.10516901414212391</v>
      </c>
      <c r="M14" s="124"/>
    </row>
    <row r="15" spans="1:13" ht="6" customHeight="1">
      <c r="A15" s="160"/>
      <c r="B15" s="160"/>
      <c r="C15" s="160"/>
      <c r="D15" s="160"/>
      <c r="E15" s="161"/>
      <c r="F15" s="162"/>
      <c r="G15" s="185"/>
      <c r="H15" s="164"/>
      <c r="I15" s="163"/>
      <c r="J15" s="163"/>
      <c r="K15" s="192"/>
    </row>
    <row r="16" spans="1:13" s="122" customFormat="1" ht="18" customHeight="1">
      <c r="A16" s="384">
        <v>2</v>
      </c>
      <c r="B16" s="385" t="s">
        <v>396</v>
      </c>
      <c r="C16" s="385"/>
      <c r="D16" s="385"/>
      <c r="E16" s="385"/>
      <c r="F16" s="386"/>
      <c r="G16" s="384"/>
      <c r="H16" s="385"/>
      <c r="I16" s="385"/>
      <c r="J16" s="387">
        <f>J18</f>
        <v>0</v>
      </c>
      <c r="K16" s="388">
        <f>J16/$J$53</f>
        <v>0</v>
      </c>
    </row>
    <row r="17" spans="1:13" ht="5.0999999999999996" customHeight="1">
      <c r="A17" s="167"/>
      <c r="B17" s="168"/>
      <c r="C17" s="168"/>
      <c r="D17" s="169"/>
      <c r="E17" s="170"/>
      <c r="F17" s="165"/>
      <c r="G17" s="159"/>
      <c r="H17" s="166"/>
      <c r="I17" s="159"/>
      <c r="J17" s="159"/>
      <c r="K17" s="191"/>
    </row>
    <row r="18" spans="1:13" s="122" customFormat="1" ht="18" customHeight="1">
      <c r="A18" s="389" t="s">
        <v>47</v>
      </c>
      <c r="B18" s="390" t="s">
        <v>396</v>
      </c>
      <c r="C18" s="390"/>
      <c r="D18" s="390"/>
      <c r="E18" s="390"/>
      <c r="F18" s="391"/>
      <c r="G18" s="389"/>
      <c r="H18" s="390"/>
      <c r="I18" s="391"/>
      <c r="J18" s="392">
        <f>SUM(J19:J24)</f>
        <v>0</v>
      </c>
      <c r="K18" s="405">
        <f>SUM(K19:K24)</f>
        <v>0</v>
      </c>
    </row>
    <row r="19" spans="1:13" s="123" customFormat="1" ht="16.149999999999999" customHeight="1">
      <c r="A19" s="232" t="s">
        <v>378</v>
      </c>
      <c r="B19" s="225" t="str">
        <f>Custos!E22</f>
        <v>P8003</v>
      </c>
      <c r="C19" s="416" t="str">
        <f>Custos!G22</f>
        <v>abr/2024</v>
      </c>
      <c r="D19" s="230" t="str">
        <f>Custos!D22</f>
        <v>DNIT</v>
      </c>
      <c r="E19" s="227" t="str">
        <f>Custos!B22</f>
        <v>Advogado sênior</v>
      </c>
      <c r="F19" s="228">
        <f>Custos!J22</f>
        <v>76.88</v>
      </c>
      <c r="G19" s="226" t="s">
        <v>382</v>
      </c>
      <c r="H19" s="422">
        <f>'Horas trabalhadas'!C14</f>
        <v>0</v>
      </c>
      <c r="I19" s="228">
        <f t="shared" ref="I19:I24" si="1">H19*F19</f>
        <v>0</v>
      </c>
      <c r="J19" s="228">
        <f>(I19*K!$G$23)</f>
        <v>0</v>
      </c>
      <c r="K19" s="239">
        <f t="shared" ref="K19:K24" si="2">J19/$J$53</f>
        <v>0</v>
      </c>
    </row>
    <row r="20" spans="1:13" s="123" customFormat="1" ht="16.149999999999999" customHeight="1">
      <c r="A20" s="232" t="s">
        <v>383</v>
      </c>
      <c r="B20" s="225" t="str">
        <f>Custos!E23</f>
        <v>P8067</v>
      </c>
      <c r="C20" s="416" t="str">
        <f>Custos!G23</f>
        <v>abr/2024</v>
      </c>
      <c r="D20" s="230" t="str">
        <f>Custos!D23</f>
        <v>DNIT</v>
      </c>
      <c r="E20" s="227" t="str">
        <f>Custos!B23</f>
        <v>Engenheiro de Projetos (Elétrico)</v>
      </c>
      <c r="F20" s="228">
        <f>Custos!J23</f>
        <v>107.32</v>
      </c>
      <c r="G20" s="226" t="s">
        <v>382</v>
      </c>
      <c r="H20" s="422">
        <f>'Horas trabalhadas'!C15</f>
        <v>0</v>
      </c>
      <c r="I20" s="228">
        <f t="shared" si="1"/>
        <v>0</v>
      </c>
      <c r="J20" s="228">
        <f>(I20*K!$G$23)</f>
        <v>0</v>
      </c>
      <c r="K20" s="239">
        <f t="shared" si="2"/>
        <v>0</v>
      </c>
    </row>
    <row r="21" spans="1:13" s="123" customFormat="1" ht="16.149999999999999" customHeight="1">
      <c r="A21" s="232" t="s">
        <v>386</v>
      </c>
      <c r="B21" s="225" t="str">
        <f>Custos!E24</f>
        <v>P8067</v>
      </c>
      <c r="C21" s="416" t="str">
        <f>Custos!G24</f>
        <v>abr/2024</v>
      </c>
      <c r="D21" s="230" t="str">
        <f>Custos!D24</f>
        <v>DNIT</v>
      </c>
      <c r="E21" s="227" t="str">
        <f>Custos!B24</f>
        <v>Engenheiro de Projeto (Calculista)</v>
      </c>
      <c r="F21" s="228">
        <f>Custos!J24</f>
        <v>107.32</v>
      </c>
      <c r="G21" s="226" t="s">
        <v>382</v>
      </c>
      <c r="H21" s="422">
        <f>'Horas trabalhadas'!C16</f>
        <v>0</v>
      </c>
      <c r="I21" s="228">
        <f t="shared" si="1"/>
        <v>0</v>
      </c>
      <c r="J21" s="228">
        <f>(I21*K!$G$23)</f>
        <v>0</v>
      </c>
      <c r="K21" s="239">
        <f t="shared" si="2"/>
        <v>0</v>
      </c>
    </row>
    <row r="22" spans="1:13" s="123" customFormat="1" ht="16.149999999999999" customHeight="1">
      <c r="A22" s="232" t="s">
        <v>389</v>
      </c>
      <c r="B22" s="225" t="str">
        <f>Custos!E25</f>
        <v>P8067</v>
      </c>
      <c r="C22" s="416" t="str">
        <f>Custos!G25</f>
        <v>abr/2024</v>
      </c>
      <c r="D22" s="230" t="str">
        <f>Custos!D25</f>
        <v>DNIT</v>
      </c>
      <c r="E22" s="227" t="str">
        <f>Custos!B25</f>
        <v>Engenheiro de Projetos (Mecânico)</v>
      </c>
      <c r="F22" s="228">
        <f>Custos!J25</f>
        <v>107.32</v>
      </c>
      <c r="G22" s="226" t="s">
        <v>382</v>
      </c>
      <c r="H22" s="422">
        <f>'Horas trabalhadas'!C17</f>
        <v>0</v>
      </c>
      <c r="I22" s="228">
        <f t="shared" si="1"/>
        <v>0</v>
      </c>
      <c r="J22" s="228">
        <f>(I22*K!$G$23)</f>
        <v>0</v>
      </c>
      <c r="K22" s="239">
        <f t="shared" si="2"/>
        <v>0</v>
      </c>
    </row>
    <row r="23" spans="1:13" s="123" customFormat="1" ht="16.149999999999999" customHeight="1">
      <c r="A23" s="232" t="s">
        <v>392</v>
      </c>
      <c r="B23" s="225" t="str">
        <f>Custos!E26</f>
        <v>P8059</v>
      </c>
      <c r="C23" s="416" t="str">
        <f>Custos!G26</f>
        <v>abr/2024</v>
      </c>
      <c r="D23" s="230" t="str">
        <f>Custos!D27</f>
        <v>DNIT</v>
      </c>
      <c r="E23" s="227" t="str">
        <f>Custos!B26</f>
        <v>Engenheiro ambiental</v>
      </c>
      <c r="F23" s="228">
        <f>Custos!J26</f>
        <v>100.92</v>
      </c>
      <c r="G23" s="226" t="s">
        <v>382</v>
      </c>
      <c r="H23" s="422">
        <f>'Horas trabalhadas'!C18</f>
        <v>0</v>
      </c>
      <c r="I23" s="228">
        <f t="shared" si="1"/>
        <v>0</v>
      </c>
      <c r="J23" s="228">
        <f>(I23*K!$G$23)</f>
        <v>0</v>
      </c>
      <c r="K23" s="239">
        <f t="shared" si="2"/>
        <v>0</v>
      </c>
    </row>
    <row r="24" spans="1:13" s="123" customFormat="1" ht="16.149999999999999" customHeight="1">
      <c r="A24" s="232" t="s">
        <v>405</v>
      </c>
      <c r="B24" s="225" t="str">
        <f>Custos!E27</f>
        <v>P8155</v>
      </c>
      <c r="C24" s="416" t="str">
        <f>Custos!G27</f>
        <v>abr/2024</v>
      </c>
      <c r="D24" s="230" t="str">
        <f>Custos!D27</f>
        <v>DNIT</v>
      </c>
      <c r="E24" s="227" t="str">
        <f>Custos!B27</f>
        <v>Técnico em geoprocessamento</v>
      </c>
      <c r="F24" s="228">
        <f>Custos!J27</f>
        <v>14.35</v>
      </c>
      <c r="G24" s="226" t="s">
        <v>382</v>
      </c>
      <c r="H24" s="422">
        <f>'Horas trabalhadas'!C19</f>
        <v>0</v>
      </c>
      <c r="I24" s="228">
        <f t="shared" si="1"/>
        <v>0</v>
      </c>
      <c r="J24" s="228">
        <f>(I24*K!$G$23)</f>
        <v>0</v>
      </c>
      <c r="K24" s="239">
        <f t="shared" si="2"/>
        <v>0</v>
      </c>
      <c r="M24" s="124"/>
    </row>
    <row r="25" spans="1:13" ht="6" customHeight="1">
      <c r="A25" s="160"/>
      <c r="B25" s="160"/>
      <c r="C25" s="160"/>
      <c r="D25" s="160"/>
      <c r="E25" s="161"/>
      <c r="F25" s="162"/>
      <c r="G25" s="185"/>
      <c r="H25" s="164"/>
      <c r="I25" s="163"/>
      <c r="J25" s="163"/>
      <c r="K25" s="192"/>
    </row>
    <row r="26" spans="1:13" s="122" customFormat="1" ht="18" customHeight="1">
      <c r="A26" s="393">
        <v>3</v>
      </c>
      <c r="B26" s="394" t="s">
        <v>129</v>
      </c>
      <c r="C26" s="394"/>
      <c r="D26" s="394"/>
      <c r="E26" s="182"/>
      <c r="F26" s="183"/>
      <c r="G26" s="181"/>
      <c r="H26" s="182"/>
      <c r="I26" s="182"/>
      <c r="J26" s="399">
        <f>J28+J33+J39+J43</f>
        <v>0</v>
      </c>
      <c r="K26" s="388">
        <f>J26/$J$53</f>
        <v>0</v>
      </c>
    </row>
    <row r="27" spans="1:13" ht="5.0999999999999996" customHeight="1">
      <c r="A27" s="167"/>
      <c r="B27" s="168"/>
      <c r="C27" s="168"/>
      <c r="D27" s="169"/>
      <c r="E27" s="170"/>
      <c r="F27" s="165"/>
      <c r="G27" s="159"/>
      <c r="H27" s="166"/>
      <c r="I27" s="159"/>
      <c r="J27" s="159"/>
      <c r="K27" s="191"/>
    </row>
    <row r="28" spans="1:13" s="122" customFormat="1" ht="18" customHeight="1">
      <c r="A28" s="178" t="s">
        <v>59</v>
      </c>
      <c r="B28" s="179" t="s">
        <v>416</v>
      </c>
      <c r="C28" s="179"/>
      <c r="D28" s="179"/>
      <c r="E28" s="179"/>
      <c r="F28" s="180"/>
      <c r="G28" s="178"/>
      <c r="H28" s="179"/>
      <c r="I28" s="179"/>
      <c r="J28" s="400">
        <f>SUM(J29:J31)</f>
        <v>0</v>
      </c>
      <c r="K28" s="404">
        <f>SUM(K29:K31)</f>
        <v>0</v>
      </c>
    </row>
    <row r="29" spans="1:13" s="123" customFormat="1">
      <c r="A29" s="232" t="s">
        <v>378</v>
      </c>
      <c r="B29" s="232">
        <f>Custos!E38</f>
        <v>65003710</v>
      </c>
      <c r="C29" s="232" t="str">
        <f>Custos!G38</f>
        <v>set/2024</v>
      </c>
      <c r="D29" s="237" t="str">
        <f>Custos!D38</f>
        <v>COPASA</v>
      </c>
      <c r="E29" s="415" t="str">
        <f>Custos!B38</f>
        <v>Mobilização e desmobilização de equipe de topografia</v>
      </c>
      <c r="F29" s="234">
        <f>Custos!J38</f>
        <v>4.62</v>
      </c>
      <c r="G29" s="279" t="str">
        <f>Custos!H38</f>
        <v>km</v>
      </c>
      <c r="H29" s="279">
        <v>0</v>
      </c>
      <c r="I29" s="228">
        <f t="shared" ref="I29:I31" si="3">H29*F29</f>
        <v>0</v>
      </c>
      <c r="J29" s="228">
        <f>(I29*K!$G$24)</f>
        <v>0</v>
      </c>
      <c r="K29" s="240">
        <f>J29/$J$53</f>
        <v>0</v>
      </c>
    </row>
    <row r="30" spans="1:13" s="123" customFormat="1">
      <c r="A30" s="232" t="s">
        <v>383</v>
      </c>
      <c r="B30" s="232">
        <f>Custos!E39</f>
        <v>65001667</v>
      </c>
      <c r="C30" s="232" t="str">
        <f>Custos!G39</f>
        <v>set/2024</v>
      </c>
      <c r="D30" s="237" t="str">
        <f>Custos!D39</f>
        <v>COPASA</v>
      </c>
      <c r="E30" s="415" t="str">
        <f>Custos!B39</f>
        <v>Equipe de topografia de campo</v>
      </c>
      <c r="F30" s="234">
        <f>Custos!J39</f>
        <v>50814.45</v>
      </c>
      <c r="G30" s="279" t="str">
        <f>Custos!H39</f>
        <v>mês</v>
      </c>
      <c r="H30" s="279">
        <v>0</v>
      </c>
      <c r="I30" s="228">
        <f t="shared" si="3"/>
        <v>0</v>
      </c>
      <c r="J30" s="228">
        <f>(I30*K!$G$24)</f>
        <v>0</v>
      </c>
      <c r="K30" s="240">
        <f>J30/$J$53</f>
        <v>0</v>
      </c>
    </row>
    <row r="31" spans="1:13" s="123" customFormat="1">
      <c r="A31" s="232" t="s">
        <v>386</v>
      </c>
      <c r="B31" s="232">
        <f>Custos!E40</f>
        <v>65001668</v>
      </c>
      <c r="C31" s="232" t="str">
        <f>Custos!G40</f>
        <v>set/2024</v>
      </c>
      <c r="D31" s="237" t="str">
        <f>Custos!D40</f>
        <v>COPASA</v>
      </c>
      <c r="E31" s="415" t="str">
        <f>Custos!B40</f>
        <v>Equipe de topografia de escritório</v>
      </c>
      <c r="F31" s="234">
        <f>Custos!J40</f>
        <v>26804.01</v>
      </c>
      <c r="G31" s="279" t="str">
        <f>Custos!H40</f>
        <v>mês</v>
      </c>
      <c r="H31" s="279">
        <v>0</v>
      </c>
      <c r="I31" s="228">
        <f t="shared" si="3"/>
        <v>0</v>
      </c>
      <c r="J31" s="228">
        <f>(I31*K!$G$24)</f>
        <v>0</v>
      </c>
      <c r="K31" s="240">
        <f>J31/$J$53</f>
        <v>0</v>
      </c>
    </row>
    <row r="32" spans="1:13" ht="10.5" customHeight="1">
      <c r="A32" s="167"/>
      <c r="B32" s="168"/>
      <c r="C32" s="168"/>
      <c r="D32" s="169"/>
      <c r="E32" s="170"/>
      <c r="F32" s="165"/>
      <c r="G32" s="279"/>
      <c r="H32" s="166"/>
      <c r="I32" s="159"/>
      <c r="J32" s="159"/>
      <c r="K32" s="191"/>
    </row>
    <row r="33" spans="1:11" s="122" customFormat="1" ht="18" customHeight="1">
      <c r="A33" s="156" t="s">
        <v>60</v>
      </c>
      <c r="B33" s="171" t="s">
        <v>708</v>
      </c>
      <c r="C33" s="171"/>
      <c r="D33" s="171"/>
      <c r="E33" s="171"/>
      <c r="F33" s="158"/>
      <c r="G33" s="156"/>
      <c r="H33" s="157"/>
      <c r="I33" s="157"/>
      <c r="J33" s="172">
        <f>SUM(J35:J37)</f>
        <v>0</v>
      </c>
      <c r="K33" s="403">
        <f>SUM(K35:K37)</f>
        <v>0</v>
      </c>
    </row>
    <row r="34" spans="1:11" s="123" customFormat="1">
      <c r="A34" s="232" t="s">
        <v>378</v>
      </c>
      <c r="B34" s="232">
        <f>Custos!E32</f>
        <v>65001207</v>
      </c>
      <c r="C34" s="232" t="str">
        <f>Custos!G32</f>
        <v>set/2024</v>
      </c>
      <c r="D34" s="237" t="str">
        <f>Custos!D32</f>
        <v>COPASA</v>
      </c>
      <c r="E34" s="415" t="str">
        <f>Custos!B32</f>
        <v>Sondagem a percussao - mobilizacao e desmobilizacao</v>
      </c>
      <c r="F34" s="234">
        <f>Custos!J32</f>
        <v>1316.83</v>
      </c>
      <c r="G34" s="279" t="str">
        <f>Custos!H32</f>
        <v>unidade</v>
      </c>
      <c r="H34" s="279">
        <v>0</v>
      </c>
      <c r="I34" s="228">
        <f t="shared" ref="I34:I37" si="4">H34*F34</f>
        <v>0</v>
      </c>
      <c r="J34" s="228">
        <f>(I34*K!$G$24)</f>
        <v>0</v>
      </c>
      <c r="K34" s="240">
        <f>J34/$J$53</f>
        <v>0</v>
      </c>
    </row>
    <row r="35" spans="1:11" s="123" customFormat="1" ht="26.45" customHeight="1">
      <c r="A35" s="232" t="s">
        <v>383</v>
      </c>
      <c r="B35" s="232">
        <f>Custos!E33</f>
        <v>65001208</v>
      </c>
      <c r="C35" s="237" t="str">
        <f>Custos!G33</f>
        <v>set/2024</v>
      </c>
      <c r="D35" s="279" t="str">
        <f>Custos!D33</f>
        <v>COPASA</v>
      </c>
      <c r="E35" s="465" t="str">
        <f>Custos!B33</f>
        <v>Sondagem a percussao - adicional de mobilizacao e desmobilizacao</v>
      </c>
      <c r="F35" s="234">
        <f>Custos!J33</f>
        <v>9.32</v>
      </c>
      <c r="G35" s="416" t="str">
        <f>Custos!H33</f>
        <v>km</v>
      </c>
      <c r="H35" s="279">
        <v>0</v>
      </c>
      <c r="I35" s="228">
        <f t="shared" si="4"/>
        <v>0</v>
      </c>
      <c r="J35" s="228">
        <f>(I35*K!$G$24)</f>
        <v>0</v>
      </c>
      <c r="K35" s="239">
        <f>J35/$J$53</f>
        <v>0</v>
      </c>
    </row>
    <row r="36" spans="1:11" s="123" customFormat="1">
      <c r="A36" s="232" t="s">
        <v>386</v>
      </c>
      <c r="B36" s="232">
        <f>Custos!E34</f>
        <v>65001209</v>
      </c>
      <c r="C36" s="232" t="str">
        <f>Custos!G34</f>
        <v>set/2024</v>
      </c>
      <c r="D36" s="237" t="str">
        <f>Custos!D34</f>
        <v>COPASA</v>
      </c>
      <c r="E36" s="415" t="str">
        <f>Custos!B34</f>
        <v>Sondagem a percussao - instalacao por furo</v>
      </c>
      <c r="F36" s="234">
        <f>Custos!J34</f>
        <v>482.46</v>
      </c>
      <c r="G36" s="279" t="str">
        <f>Custos!H34</f>
        <v>unidade</v>
      </c>
      <c r="H36" s="279">
        <v>0</v>
      </c>
      <c r="I36" s="228">
        <f t="shared" si="4"/>
        <v>0</v>
      </c>
      <c r="J36" s="228">
        <f>(I36*K!$G$24)</f>
        <v>0</v>
      </c>
      <c r="K36" s="240">
        <f>J36/$J$53</f>
        <v>0</v>
      </c>
    </row>
    <row r="37" spans="1:11" s="123" customFormat="1" ht="26.45" customHeight="1">
      <c r="A37" s="232" t="s">
        <v>389</v>
      </c>
      <c r="B37" s="232">
        <f>Custos!E35</f>
        <v>65001210</v>
      </c>
      <c r="C37" s="237" t="str">
        <f>Custos!G35</f>
        <v>set/2024</v>
      </c>
      <c r="D37" s="279" t="str">
        <f>Custos!D35</f>
        <v>COPASA</v>
      </c>
      <c r="E37" s="465" t="str">
        <f>Custos!B35</f>
        <v>Sondagem a percussao ø2.1/2" - perfuracao e retirada de amostras</v>
      </c>
      <c r="F37" s="234">
        <f>Custos!J35</f>
        <v>145.19999999999999</v>
      </c>
      <c r="G37" s="416" t="str">
        <f>Custos!H35</f>
        <v>m</v>
      </c>
      <c r="H37" s="573">
        <v>0</v>
      </c>
      <c r="I37" s="228">
        <f t="shared" si="4"/>
        <v>0</v>
      </c>
      <c r="J37" s="228">
        <f>(I37*K!$G$24)</f>
        <v>0</v>
      </c>
      <c r="K37" s="240">
        <f>J37/$J$53</f>
        <v>0</v>
      </c>
    </row>
    <row r="38" spans="1:11" ht="6" customHeight="1">
      <c r="A38" s="160"/>
      <c r="B38" s="160"/>
      <c r="C38" s="160"/>
      <c r="D38" s="160"/>
      <c r="E38" s="161"/>
      <c r="F38" s="162"/>
      <c r="G38" s="185"/>
      <c r="H38" s="164"/>
      <c r="I38" s="163"/>
      <c r="J38" s="163"/>
      <c r="K38" s="192"/>
    </row>
    <row r="39" spans="1:11" s="122" customFormat="1" ht="18" customHeight="1">
      <c r="A39" s="156" t="s">
        <v>61</v>
      </c>
      <c r="B39" s="171" t="s">
        <v>420</v>
      </c>
      <c r="C39" s="171"/>
      <c r="D39" s="171"/>
      <c r="E39" s="171"/>
      <c r="F39" s="158"/>
      <c r="G39" s="156"/>
      <c r="H39" s="157"/>
      <c r="I39" s="157"/>
      <c r="J39" s="172">
        <f>SUM(J40:J41)</f>
        <v>0</v>
      </c>
      <c r="K39" s="403">
        <f>SUM(K40:K41)</f>
        <v>0</v>
      </c>
    </row>
    <row r="40" spans="1:11" s="123" customFormat="1">
      <c r="A40" s="232" t="s">
        <v>378</v>
      </c>
      <c r="B40" s="232">
        <f>Custos!E43</f>
        <v>65001667</v>
      </c>
      <c r="C40" s="232" t="str">
        <f>Custos!G43</f>
        <v>set/2024</v>
      </c>
      <c r="D40" s="237" t="str">
        <f>Custos!D43</f>
        <v>COPASA</v>
      </c>
      <c r="E40" s="415" t="str">
        <f>Custos!B43</f>
        <v>Equipe de topografia de campo</v>
      </c>
      <c r="F40" s="234">
        <f>Custos!J43</f>
        <v>50814.45</v>
      </c>
      <c r="G40" s="279" t="str">
        <f>Custos!H43</f>
        <v>mês</v>
      </c>
      <c r="H40" s="279">
        <v>0</v>
      </c>
      <c r="I40" s="228">
        <f t="shared" ref="I40:I41" si="5">H40*F40</f>
        <v>0</v>
      </c>
      <c r="J40" s="228">
        <f>(I40*K!$G$24)</f>
        <v>0</v>
      </c>
      <c r="K40" s="240">
        <f>J40/$J$53</f>
        <v>0</v>
      </c>
    </row>
    <row r="41" spans="1:11" s="123" customFormat="1">
      <c r="A41" s="232" t="s">
        <v>383</v>
      </c>
      <c r="B41" s="232">
        <f>Custos!E44</f>
        <v>65001668</v>
      </c>
      <c r="C41" s="232" t="str">
        <f>Custos!G44</f>
        <v>set/2024</v>
      </c>
      <c r="D41" s="237" t="str">
        <f>Custos!D44</f>
        <v>COPASA</v>
      </c>
      <c r="E41" s="415" t="str">
        <f>Custos!B44</f>
        <v>Equipe de topografia de escritório</v>
      </c>
      <c r="F41" s="234">
        <f>Custos!J44</f>
        <v>26804.01</v>
      </c>
      <c r="G41" s="279" t="str">
        <f>Custos!H44</f>
        <v>mês</v>
      </c>
      <c r="H41" s="279">
        <v>0</v>
      </c>
      <c r="I41" s="228">
        <f t="shared" si="5"/>
        <v>0</v>
      </c>
      <c r="J41" s="228">
        <f>(I41*K!$G$24)</f>
        <v>0</v>
      </c>
      <c r="K41" s="240">
        <f>J41/$J$53</f>
        <v>0</v>
      </c>
    </row>
    <row r="42" spans="1:11" ht="5.0999999999999996" customHeight="1">
      <c r="A42" s="232"/>
      <c r="B42" s="237"/>
      <c r="C42" s="237"/>
      <c r="D42" s="232"/>
      <c r="E42" s="173"/>
      <c r="F42" s="165"/>
      <c r="G42" s="226"/>
      <c r="H42" s="166"/>
      <c r="I42" s="159"/>
      <c r="J42" s="159"/>
      <c r="K42" s="191"/>
    </row>
    <row r="43" spans="1:11" s="122" customFormat="1" ht="18" customHeight="1">
      <c r="A43" s="156" t="s">
        <v>62</v>
      </c>
      <c r="B43" s="171" t="s">
        <v>422</v>
      </c>
      <c r="C43" s="171"/>
      <c r="D43" s="171"/>
      <c r="E43" s="171"/>
      <c r="F43" s="158"/>
      <c r="G43" s="156"/>
      <c r="H43" s="157"/>
      <c r="I43" s="157"/>
      <c r="J43" s="172">
        <f>SUM(J44:J45)</f>
        <v>0</v>
      </c>
      <c r="K43" s="403">
        <f>SUM(K44:K45)</f>
        <v>0</v>
      </c>
    </row>
    <row r="44" spans="1:11" s="123" customFormat="1">
      <c r="A44" s="237" t="s">
        <v>378</v>
      </c>
      <c r="B44" s="237">
        <f>Custos!E49</f>
        <v>65001114</v>
      </c>
      <c r="C44" s="237" t="str">
        <f>Custos!G49</f>
        <v>set/2024</v>
      </c>
      <c r="D44" s="237" t="str">
        <f>Custos!D49</f>
        <v>COPASA</v>
      </c>
      <c r="E44" s="466" t="str">
        <f>Custos!B49</f>
        <v>Análise fisico-química da água</v>
      </c>
      <c r="F44" s="234">
        <f>Custos!J49</f>
        <v>371.18</v>
      </c>
      <c r="G44" s="237" t="str">
        <f>Custos!H49</f>
        <v>unidade</v>
      </c>
      <c r="H44" s="279">
        <f>Serviços!C18</f>
        <v>0</v>
      </c>
      <c r="I44" s="228">
        <f t="shared" ref="I44:I45" si="6">H44*F44</f>
        <v>0</v>
      </c>
      <c r="J44" s="228">
        <f>(I44*K!$G$24)</f>
        <v>0</v>
      </c>
      <c r="K44" s="240">
        <f>J44/$J$53</f>
        <v>0</v>
      </c>
    </row>
    <row r="45" spans="1:11" s="123" customFormat="1">
      <c r="A45" s="237" t="s">
        <v>383</v>
      </c>
      <c r="B45" s="237">
        <f>Custos!E50</f>
        <v>65001115</v>
      </c>
      <c r="C45" s="237" t="str">
        <f>Custos!G50</f>
        <v>set/2024</v>
      </c>
      <c r="D45" s="237" t="str">
        <f>Custos!D50</f>
        <v>COPASA</v>
      </c>
      <c r="E45" s="466" t="str">
        <f>Custos!B50</f>
        <v>Analise bactereologica da água</v>
      </c>
      <c r="F45" s="234">
        <f>Custos!J50</f>
        <v>120.28</v>
      </c>
      <c r="G45" s="237" t="str">
        <f>Custos!H50</f>
        <v>unidade</v>
      </c>
      <c r="H45" s="279">
        <f>Serviços!C19</f>
        <v>0</v>
      </c>
      <c r="I45" s="228">
        <f t="shared" si="6"/>
        <v>0</v>
      </c>
      <c r="J45" s="228">
        <f>(I45*K!$G$24)</f>
        <v>0</v>
      </c>
      <c r="K45" s="240">
        <f t="shared" ref="K45" si="7">J45/$J$53</f>
        <v>0</v>
      </c>
    </row>
    <row r="46" spans="1:11" s="122" customFormat="1" ht="18" customHeight="1">
      <c r="A46" s="393" t="s">
        <v>724</v>
      </c>
      <c r="B46" s="394" t="s">
        <v>725</v>
      </c>
      <c r="C46" s="394"/>
      <c r="D46" s="394"/>
      <c r="E46" s="182"/>
      <c r="F46" s="183"/>
      <c r="G46" s="181"/>
      <c r="H46" s="182"/>
      <c r="I46" s="182"/>
      <c r="J46" s="399">
        <f>J48</f>
        <v>0</v>
      </c>
      <c r="K46" s="388">
        <f>J46/$J$53</f>
        <v>0</v>
      </c>
    </row>
    <row r="47" spans="1:11" ht="5.0999999999999996" customHeight="1">
      <c r="A47" s="395"/>
      <c r="B47" s="168"/>
      <c r="C47" s="168"/>
      <c r="D47" s="395"/>
      <c r="E47" s="173"/>
      <c r="F47" s="165"/>
      <c r="G47" s="159"/>
      <c r="H47" s="166"/>
      <c r="I47" s="159"/>
      <c r="J47" s="159"/>
      <c r="K47" s="191"/>
    </row>
    <row r="48" spans="1:11" s="122" customFormat="1" ht="18" customHeight="1">
      <c r="A48" s="156" t="s">
        <v>72</v>
      </c>
      <c r="B48" s="157" t="s">
        <v>421</v>
      </c>
      <c r="C48" s="157"/>
      <c r="D48" s="157"/>
      <c r="E48" s="157"/>
      <c r="F48" s="158"/>
      <c r="G48" s="156"/>
      <c r="H48" s="157"/>
      <c r="I48" s="157"/>
      <c r="J48" s="177">
        <f>SUM(J49:J51)</f>
        <v>0</v>
      </c>
      <c r="K48" s="402">
        <f>SUM(K49:K51)</f>
        <v>0</v>
      </c>
    </row>
    <row r="49" spans="1:12" s="123" customFormat="1">
      <c r="A49" s="232" t="s">
        <v>378</v>
      </c>
      <c r="B49" s="237" t="str">
        <f>Custos!F52</f>
        <v>-</v>
      </c>
      <c r="C49" s="237" t="str">
        <f>Custos!G52</f>
        <v>out/2024</v>
      </c>
      <c r="D49" s="237" t="str">
        <f>Custos!D52</f>
        <v>Composição</v>
      </c>
      <c r="E49" s="233" t="str">
        <f>Custos!B52</f>
        <v>Veículo tipo pick-up 4X4</v>
      </c>
      <c r="F49" s="234">
        <f>'Produto Consolidado'!F49</f>
        <v>2491.71</v>
      </c>
      <c r="G49" s="279" t="s">
        <v>317</v>
      </c>
      <c r="H49" s="279">
        <v>0</v>
      </c>
      <c r="I49" s="228">
        <f t="shared" ref="I49:I51" si="8">H49*F49</f>
        <v>0</v>
      </c>
      <c r="J49" s="228">
        <f>(I49*K!$G$25)</f>
        <v>0</v>
      </c>
      <c r="K49" s="240">
        <f t="shared" ref="K49:K51" si="9">J49/$J$53</f>
        <v>0</v>
      </c>
    </row>
    <row r="50" spans="1:12" s="123" customFormat="1" ht="16.149999999999999" customHeight="1">
      <c r="A50" s="232" t="s">
        <v>383</v>
      </c>
      <c r="B50" s="237" t="str">
        <f>Custos!F53</f>
        <v>-</v>
      </c>
      <c r="C50" s="237" t="str">
        <f>Custos!G53</f>
        <v>out/2024</v>
      </c>
      <c r="D50" s="238" t="str">
        <f>Custos!D53</f>
        <v>AGEVAP</v>
      </c>
      <c r="E50" s="233" t="str">
        <f>Custos!B53</f>
        <v>Refeições</v>
      </c>
      <c r="F50" s="234">
        <f>Custos!J53</f>
        <v>25.61</v>
      </c>
      <c r="G50" s="279" t="str">
        <f>Custos!H53</f>
        <v>unidade</v>
      </c>
      <c r="H50" s="279">
        <v>0</v>
      </c>
      <c r="I50" s="228">
        <f t="shared" si="8"/>
        <v>0</v>
      </c>
      <c r="J50" s="228">
        <f>(I50*K!$G$25)</f>
        <v>0</v>
      </c>
      <c r="K50" s="240">
        <f t="shared" si="9"/>
        <v>0</v>
      </c>
    </row>
    <row r="51" spans="1:12" s="123" customFormat="1" ht="16.149999999999999" customHeight="1">
      <c r="A51" s="232" t="s">
        <v>386</v>
      </c>
      <c r="B51" s="237" t="str">
        <f>Custos!F54</f>
        <v>-</v>
      </c>
      <c r="C51" s="237" t="str">
        <f>Custos!G54</f>
        <v>out/2024</v>
      </c>
      <c r="D51" s="238" t="str">
        <f>Custos!D54</f>
        <v>AGEVAP</v>
      </c>
      <c r="E51" s="233" t="str">
        <f>Custos!B54</f>
        <v>Diárias</v>
      </c>
      <c r="F51" s="234">
        <f>Custos!J54</f>
        <v>335</v>
      </c>
      <c r="G51" s="279" t="str">
        <f>Custos!H54</f>
        <v>unidade</v>
      </c>
      <c r="H51" s="279">
        <v>0</v>
      </c>
      <c r="I51" s="228">
        <f t="shared" si="8"/>
        <v>0</v>
      </c>
      <c r="J51" s="228">
        <f>(I51*K!$G$25)</f>
        <v>0</v>
      </c>
      <c r="K51" s="240">
        <f t="shared" si="9"/>
        <v>0</v>
      </c>
    </row>
    <row r="52" spans="1:12" ht="6" customHeight="1">
      <c r="A52" s="151"/>
      <c r="B52" s="160"/>
      <c r="C52" s="160"/>
      <c r="D52" s="160"/>
      <c r="E52" s="174"/>
      <c r="F52" s="175"/>
      <c r="G52" s="185"/>
      <c r="H52" s="163"/>
      <c r="I52" s="163"/>
      <c r="J52" s="176"/>
      <c r="K52" s="193"/>
    </row>
    <row r="53" spans="1:12" ht="18" customHeight="1">
      <c r="A53" s="746" t="s">
        <v>726</v>
      </c>
      <c r="B53" s="746"/>
      <c r="C53" s="746"/>
      <c r="D53" s="746"/>
      <c r="E53" s="746"/>
      <c r="F53" s="396"/>
      <c r="G53" s="397"/>
      <c r="H53" s="398"/>
      <c r="I53" s="396" t="s">
        <v>318</v>
      </c>
      <c r="J53" s="396">
        <f>ROUND((J7+J16+J26+J46),2)</f>
        <v>8951.24</v>
      </c>
      <c r="K53" s="401">
        <f>K7+K16+K26+K46</f>
        <v>0.99999998502162191</v>
      </c>
    </row>
    <row r="54" spans="1:12" ht="6" customHeight="1">
      <c r="A54" s="126"/>
      <c r="B54" s="80"/>
      <c r="C54" s="80"/>
      <c r="D54" s="127"/>
      <c r="E54" s="128"/>
      <c r="F54" s="133"/>
      <c r="G54" s="127"/>
      <c r="H54" s="125"/>
      <c r="I54" s="129"/>
      <c r="J54" s="121"/>
      <c r="K54" s="243"/>
    </row>
    <row r="55" spans="1:12" ht="20.100000000000001" customHeight="1">
      <c r="A55" s="152" t="s">
        <v>727</v>
      </c>
      <c r="B55" s="153"/>
      <c r="C55" s="153"/>
      <c r="D55" s="153"/>
      <c r="E55" s="153"/>
      <c r="F55" s="154"/>
      <c r="G55" s="186"/>
      <c r="H55" s="153"/>
      <c r="I55" s="153"/>
      <c r="J55" s="153"/>
      <c r="K55" s="154"/>
    </row>
    <row r="56" spans="1:12" ht="13.15" customHeight="1">
      <c r="A56" s="155" t="s">
        <v>728</v>
      </c>
      <c r="B56" s="743" t="s">
        <v>729</v>
      </c>
      <c r="C56" s="743"/>
      <c r="D56" s="743"/>
      <c r="E56" s="743"/>
      <c r="F56" s="743"/>
      <c r="G56" s="743"/>
      <c r="H56" s="743"/>
      <c r="I56" s="743"/>
      <c r="J56" s="743"/>
      <c r="K56" s="743"/>
    </row>
    <row r="57" spans="1:12" ht="13.15" customHeight="1">
      <c r="A57" s="155" t="s">
        <v>730</v>
      </c>
      <c r="B57" s="743" t="s">
        <v>731</v>
      </c>
      <c r="C57" s="743"/>
      <c r="D57" s="743"/>
      <c r="E57" s="743"/>
      <c r="F57" s="743"/>
      <c r="G57" s="743"/>
      <c r="H57" s="743"/>
      <c r="I57" s="743"/>
      <c r="J57" s="743"/>
      <c r="K57" s="743"/>
    </row>
    <row r="58" spans="1:12" ht="13.15" customHeight="1">
      <c r="A58" s="155" t="s">
        <v>732</v>
      </c>
      <c r="B58" s="743" t="s">
        <v>733</v>
      </c>
      <c r="C58" s="743"/>
      <c r="D58" s="743"/>
      <c r="E58" s="743"/>
      <c r="F58" s="743"/>
      <c r="G58" s="743"/>
      <c r="H58" s="743"/>
      <c r="I58" s="743"/>
      <c r="J58" s="743"/>
      <c r="K58" s="743"/>
    </row>
    <row r="59" spans="1:12" ht="13.15" customHeight="1">
      <c r="A59" s="155"/>
      <c r="B59" s="314"/>
      <c r="C59" s="314"/>
      <c r="D59" s="314"/>
      <c r="E59" s="314"/>
      <c r="F59" s="314"/>
      <c r="G59" s="314"/>
      <c r="H59" s="314"/>
      <c r="I59" s="314"/>
      <c r="J59" s="314"/>
      <c r="K59" s="314"/>
    </row>
    <row r="60" spans="1:12" ht="13.15" customHeight="1">
      <c r="A60" s="741" t="s">
        <v>734</v>
      </c>
      <c r="B60" s="741"/>
      <c r="C60" s="741"/>
      <c r="D60" s="741"/>
      <c r="E60" s="741"/>
      <c r="F60" s="741" t="s">
        <v>735</v>
      </c>
      <c r="G60" s="741"/>
      <c r="H60" s="741"/>
      <c r="I60" s="741"/>
      <c r="J60" s="314"/>
      <c r="K60" s="314"/>
    </row>
    <row r="61" spans="1:12" ht="13.15" customHeight="1">
      <c r="A61" s="742" t="s">
        <v>736</v>
      </c>
      <c r="B61" s="742"/>
      <c r="C61" s="742"/>
      <c r="D61" s="742"/>
      <c r="E61" s="742"/>
      <c r="F61" s="742" t="s">
        <v>737</v>
      </c>
      <c r="G61" s="742"/>
      <c r="H61" s="742"/>
      <c r="I61" s="742"/>
      <c r="J61" s="314"/>
      <c r="K61" s="314"/>
    </row>
    <row r="62" spans="1:12" ht="13.15" customHeight="1">
      <c r="A62" s="742" t="s">
        <v>738</v>
      </c>
      <c r="B62" s="742"/>
      <c r="C62" s="742"/>
      <c r="D62" s="742"/>
      <c r="E62" s="742"/>
      <c r="F62" s="742" t="s">
        <v>738</v>
      </c>
      <c r="G62" s="742"/>
      <c r="H62" s="742"/>
      <c r="I62" s="742"/>
      <c r="J62" s="314"/>
      <c r="K62" s="314"/>
    </row>
    <row r="63" spans="1:12">
      <c r="A63" s="551"/>
      <c r="B63" s="551"/>
      <c r="C63" s="551"/>
      <c r="D63" s="551"/>
      <c r="E63" s="131"/>
      <c r="G63" s="131"/>
      <c r="H63" s="131"/>
      <c r="L63"/>
    </row>
    <row r="64" spans="1:12" ht="15" customHeight="1">
      <c r="A64" s="741" t="s">
        <v>739</v>
      </c>
      <c r="B64" s="741"/>
      <c r="C64" s="741"/>
      <c r="D64" s="741"/>
      <c r="E64" s="741"/>
      <c r="F64" s="741"/>
      <c r="G64" s="741"/>
      <c r="H64" s="741"/>
      <c r="I64" s="741"/>
      <c r="J64" s="741"/>
      <c r="K64" s="741"/>
      <c r="L64"/>
    </row>
    <row r="65" spans="1:12" ht="15" customHeight="1">
      <c r="A65" s="742" t="s">
        <v>740</v>
      </c>
      <c r="B65" s="742"/>
      <c r="C65" s="742"/>
      <c r="D65" s="742"/>
      <c r="E65" s="742"/>
      <c r="F65" s="742"/>
      <c r="G65" s="742"/>
      <c r="H65" s="742"/>
      <c r="I65" s="742"/>
      <c r="J65" s="742"/>
      <c r="K65" s="742"/>
    </row>
    <row r="66" spans="1:12" ht="15" customHeight="1">
      <c r="A66" s="742" t="s">
        <v>738</v>
      </c>
      <c r="B66" s="742"/>
      <c r="C66" s="742"/>
      <c r="D66" s="742"/>
      <c r="E66" s="742"/>
      <c r="F66" s="742"/>
      <c r="G66" s="742"/>
      <c r="H66" s="742"/>
      <c r="I66" s="742"/>
      <c r="J66" s="742"/>
      <c r="K66" s="742"/>
      <c r="L66" s="122"/>
    </row>
  </sheetData>
  <mergeCells count="15">
    <mergeCell ref="A64:K64"/>
    <mergeCell ref="A65:K65"/>
    <mergeCell ref="A66:K66"/>
    <mergeCell ref="B58:K58"/>
    <mergeCell ref="D1:K1"/>
    <mergeCell ref="F6:G6"/>
    <mergeCell ref="A53:E53"/>
    <mergeCell ref="B56:K56"/>
    <mergeCell ref="B57:K57"/>
    <mergeCell ref="F60:I60"/>
    <mergeCell ref="F61:I61"/>
    <mergeCell ref="F62:I62"/>
    <mergeCell ref="A60:E60"/>
    <mergeCell ref="A61:E61"/>
    <mergeCell ref="A62:E62"/>
  </mergeCells>
  <phoneticPr fontId="74" type="noConversion"/>
  <printOptions horizontalCentered="1"/>
  <pageMargins left="0.51181102362204722" right="0.51181102362204722" top="0.59055118110236227" bottom="0.59055118110236227" header="0.31496062992125984" footer="0.31496062992125984"/>
  <pageSetup paperSize="9" scale="62" orientation="portrait" r:id="rId1"/>
  <ignoredErrors>
    <ignoredError sqref="C49 C50:C51" formula="1"/>
  </ignoredError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8" tint="-0.249977111117893"/>
    <pageSetUpPr fitToPage="1"/>
  </sheetPr>
  <dimension ref="A1:M66"/>
  <sheetViews>
    <sheetView showGridLines="0" view="pageBreakPreview" zoomScaleNormal="100" zoomScaleSheetLayoutView="100" workbookViewId="0">
      <selection activeCell="G11" sqref="G11"/>
    </sheetView>
  </sheetViews>
  <sheetFormatPr defaultColWidth="9.140625" defaultRowHeight="15.75"/>
  <cols>
    <col min="1" max="1" width="5" style="81" customWidth="1"/>
    <col min="2" max="3" width="10" style="81" customWidth="1"/>
    <col min="4" max="4" width="13.85546875" style="81" customWidth="1"/>
    <col min="5" max="5" width="45.7109375" style="81" customWidth="1"/>
    <col min="6" max="6" width="9.85546875" style="131" customWidth="1"/>
    <col min="7" max="7" width="8.28515625" style="134" bestFit="1" customWidth="1"/>
    <col min="8" max="8" width="12.140625" style="81" customWidth="1"/>
    <col min="9" max="9" width="10.5703125" style="81" customWidth="1"/>
    <col min="10" max="10" width="13" style="81" customWidth="1"/>
    <col min="11" max="11" width="12.140625" style="131" customWidth="1"/>
    <col min="12" max="22" width="12.7109375" style="81" customWidth="1"/>
    <col min="23" max="16384" width="9.140625" style="81"/>
  </cols>
  <sheetData>
    <row r="1" spans="1:13" ht="35.25" customHeight="1">
      <c r="B1" s="130"/>
      <c r="C1" s="130"/>
      <c r="D1" s="744" t="str">
        <f>'P3'!D1</f>
        <v xml:space="preserve">ORÇAMENTO PARA ELABORAÇÃO DE PROJETOS DE SISTEMA DE ESGOTAMENTO SANITÁRIO </v>
      </c>
      <c r="E1" s="744"/>
      <c r="F1" s="744"/>
      <c r="G1" s="744"/>
      <c r="H1" s="744"/>
      <c r="I1" s="744"/>
      <c r="J1" s="744"/>
      <c r="K1" s="744"/>
    </row>
    <row r="2" spans="1:13" s="122" customFormat="1" ht="15" customHeight="1">
      <c r="A2" s="80" t="s">
        <v>741</v>
      </c>
      <c r="C2" s="83" t="str">
        <f>'Horas trabalhadas'!E8</f>
        <v xml:space="preserve">Cadastro Técnico </v>
      </c>
      <c r="F2" s="132"/>
      <c r="G2" s="184"/>
      <c r="J2" s="119" t="s">
        <v>134</v>
      </c>
      <c r="K2" s="63">
        <f ca="1">'Dados Básicos do município'!H4</f>
        <v>46139</v>
      </c>
    </row>
    <row r="3" spans="1:13" s="122" customFormat="1" ht="15" customHeight="1">
      <c r="A3" s="80" t="s">
        <v>135</v>
      </c>
      <c r="C3" s="83" t="str">
        <f>'Dados Básicos do município'!B5</f>
        <v>CBH-SANTO ANTÔNIO</v>
      </c>
      <c r="F3" s="132"/>
      <c r="G3" s="184"/>
      <c r="K3" s="132"/>
    </row>
    <row r="4" spans="1:13" s="122" customFormat="1" ht="15" customHeight="1">
      <c r="A4" s="80" t="s">
        <v>136</v>
      </c>
      <c r="C4" s="83" t="str">
        <f>'Dados Básicos do município'!B6</f>
        <v>Açucena/MG</v>
      </c>
      <c r="F4" s="132"/>
      <c r="G4" s="184"/>
      <c r="J4" s="120"/>
      <c r="K4" s="119"/>
    </row>
    <row r="5" spans="1:13" ht="6" customHeight="1">
      <c r="A5" s="160"/>
      <c r="B5" s="160"/>
      <c r="C5" s="160"/>
      <c r="D5" s="160"/>
      <c r="E5" s="161"/>
      <c r="F5" s="162"/>
      <c r="G5" s="185"/>
      <c r="H5" s="164"/>
      <c r="I5" s="163"/>
      <c r="J5" s="163"/>
      <c r="K5" s="192"/>
    </row>
    <row r="6" spans="1:13" s="134" customFormat="1" ht="47.45" customHeight="1">
      <c r="A6" s="380" t="s">
        <v>713</v>
      </c>
      <c r="B6" s="380" t="s">
        <v>10</v>
      </c>
      <c r="C6" s="380" t="s">
        <v>714</v>
      </c>
      <c r="D6" s="380" t="s">
        <v>715</v>
      </c>
      <c r="E6" s="381" t="s">
        <v>716</v>
      </c>
      <c r="F6" s="745" t="s">
        <v>717</v>
      </c>
      <c r="G6" s="745"/>
      <c r="H6" s="382" t="s">
        <v>718</v>
      </c>
      <c r="I6" s="383" t="s">
        <v>719</v>
      </c>
      <c r="J6" s="383" t="s">
        <v>720</v>
      </c>
      <c r="K6" s="383" t="s">
        <v>721</v>
      </c>
    </row>
    <row r="7" spans="1:13" s="122" customFormat="1" ht="18" customHeight="1">
      <c r="A7" s="384">
        <v>1</v>
      </c>
      <c r="B7" s="385" t="s">
        <v>722</v>
      </c>
      <c r="C7" s="385"/>
      <c r="D7" s="385"/>
      <c r="E7" s="385"/>
      <c r="F7" s="386"/>
      <c r="G7" s="384"/>
      <c r="H7" s="385"/>
      <c r="I7" s="385"/>
      <c r="J7" s="387">
        <f>J9</f>
        <v>11185.825375772518</v>
      </c>
      <c r="K7" s="388">
        <f>J7/$J$53</f>
        <v>0.35964612839922555</v>
      </c>
    </row>
    <row r="8" spans="1:13" ht="6" customHeight="1">
      <c r="A8" s="160"/>
      <c r="B8" s="160"/>
      <c r="C8" s="160"/>
      <c r="D8" s="160"/>
      <c r="E8" s="161"/>
      <c r="F8" s="162"/>
      <c r="G8" s="185"/>
      <c r="H8" s="164"/>
      <c r="I8" s="163"/>
      <c r="J8" s="163"/>
      <c r="K8" s="192"/>
    </row>
    <row r="9" spans="1:13" s="122" customFormat="1" ht="18" customHeight="1">
      <c r="A9" s="178" t="s">
        <v>29</v>
      </c>
      <c r="B9" s="179" t="s">
        <v>376</v>
      </c>
      <c r="C9" s="179"/>
      <c r="D9" s="179"/>
      <c r="E9" s="179"/>
      <c r="F9" s="180"/>
      <c r="G9" s="178"/>
      <c r="H9" s="179"/>
      <c r="I9" s="179"/>
      <c r="J9" s="400">
        <f>SUM(J10:J14)</f>
        <v>11185.825375772518</v>
      </c>
      <c r="K9" s="404">
        <f>SUM(K10:K14)</f>
        <v>0.35964612839922561</v>
      </c>
    </row>
    <row r="10" spans="1:13" s="123" customFormat="1" ht="16.149999999999999" customHeight="1">
      <c r="A10" s="232" t="s">
        <v>378</v>
      </c>
      <c r="B10" s="225" t="str">
        <f>'P1'!B10</f>
        <v>P8061</v>
      </c>
      <c r="C10" s="225" t="str">
        <f>Custos!G13</f>
        <v>abr/2024</v>
      </c>
      <c r="D10" s="226" t="str">
        <f>Custos!$D$13</f>
        <v>DNIT</v>
      </c>
      <c r="E10" s="227" t="str">
        <f>Custos!B13</f>
        <v>Engenheiro Coordenador</v>
      </c>
      <c r="F10" s="228">
        <f>Custos!J13</f>
        <v>123.19</v>
      </c>
      <c r="G10" s="226" t="s">
        <v>382</v>
      </c>
      <c r="H10" s="422">
        <f>'Horas trabalhadas'!E9</f>
        <v>8.5137972566075621</v>
      </c>
      <c r="I10" s="228">
        <f>H10*F10</f>
        <v>1048.8146840414856</v>
      </c>
      <c r="J10" s="228">
        <f>(I10*K!$G$23)</f>
        <v>1826.3025871301181</v>
      </c>
      <c r="K10" s="240">
        <f>J10/$J$53</f>
        <v>5.8719194398426294E-2</v>
      </c>
      <c r="M10" s="124"/>
    </row>
    <row r="11" spans="1:13" s="123" customFormat="1" ht="16.149999999999999" customHeight="1">
      <c r="A11" s="232" t="s">
        <v>383</v>
      </c>
      <c r="B11" s="225" t="str">
        <f>'P1'!B11</f>
        <v>P8066</v>
      </c>
      <c r="C11" s="229" t="str">
        <f>Custos!G14</f>
        <v>abr/2024</v>
      </c>
      <c r="D11" s="230" t="str">
        <f>Custos!D14</f>
        <v>DNIT</v>
      </c>
      <c r="E11" s="227" t="str">
        <f>Custos!B14</f>
        <v>Engenheiro de Projetos Pleno</v>
      </c>
      <c r="F11" s="231">
        <f>Custos!J14</f>
        <v>85.36</v>
      </c>
      <c r="G11" s="230" t="s">
        <v>382</v>
      </c>
      <c r="H11" s="422">
        <f>'Horas trabalhadas'!E10</f>
        <v>25.541391769822681</v>
      </c>
      <c r="I11" s="228">
        <f t="shared" ref="I11:I14" si="0">H11*F11</f>
        <v>2180.2132014720642</v>
      </c>
      <c r="J11" s="228">
        <f>(I11*K!$G$23)</f>
        <v>3796.4085275775678</v>
      </c>
      <c r="K11" s="240">
        <f>J11/$J$53</f>
        <v>0.12206194741090189</v>
      </c>
      <c r="M11" s="124"/>
    </row>
    <row r="12" spans="1:13" s="123" customFormat="1" ht="16.149999999999999" customHeight="1">
      <c r="A12" s="232" t="s">
        <v>386</v>
      </c>
      <c r="B12" s="225" t="str">
        <f>'P1'!B12</f>
        <v>P8065</v>
      </c>
      <c r="C12" s="229" t="str">
        <f>Custos!G15</f>
        <v>abr/2024</v>
      </c>
      <c r="D12" s="230" t="str">
        <f>Custos!D15</f>
        <v>DNIT</v>
      </c>
      <c r="E12" s="227" t="str">
        <f>Custos!B15</f>
        <v>Engenheiro de Projetos Júnior</v>
      </c>
      <c r="F12" s="231">
        <f>Custos!J15</f>
        <v>82.75</v>
      </c>
      <c r="G12" s="230" t="s">
        <v>382</v>
      </c>
      <c r="H12" s="422">
        <f>'Horas trabalhadas'!E11</f>
        <v>25.541391769822681</v>
      </c>
      <c r="I12" s="228">
        <f t="shared" si="0"/>
        <v>2113.5501689528269</v>
      </c>
      <c r="J12" s="228">
        <f>(I12*K!$G$23)</f>
        <v>3680.3280887657415</v>
      </c>
      <c r="K12" s="240">
        <f>J12/$J$53</f>
        <v>0.11832973463275691</v>
      </c>
      <c r="M12" s="124"/>
    </row>
    <row r="13" spans="1:13" s="123" customFormat="1" ht="16.149999999999999" customHeight="1">
      <c r="A13" s="232" t="s">
        <v>389</v>
      </c>
      <c r="B13" s="225" t="str">
        <f>'P1'!B13</f>
        <v>P8155</v>
      </c>
      <c r="C13" s="229" t="str">
        <f>Custos!G16</f>
        <v>abr/2024</v>
      </c>
      <c r="D13" s="230" t="str">
        <f>Custos!D16</f>
        <v>DNIT</v>
      </c>
      <c r="E13" s="227" t="str">
        <f>Custos!B16</f>
        <v>Técnico cadista</v>
      </c>
      <c r="F13" s="231">
        <f>Custos!J16</f>
        <v>19.32</v>
      </c>
      <c r="G13" s="230" t="s">
        <v>382</v>
      </c>
      <c r="H13" s="422">
        <f>'Horas trabalhadas'!E12</f>
        <v>0</v>
      </c>
      <c r="I13" s="228">
        <f t="shared" si="0"/>
        <v>0</v>
      </c>
      <c r="J13" s="228">
        <f>(I13*K!$G$23)</f>
        <v>0</v>
      </c>
      <c r="K13" s="240">
        <f>J13/$J$53</f>
        <v>0</v>
      </c>
      <c r="M13" s="124"/>
    </row>
    <row r="14" spans="1:13" s="123" customFormat="1" ht="16.149999999999999" customHeight="1">
      <c r="A14" s="232" t="s">
        <v>392</v>
      </c>
      <c r="B14" s="225" t="str">
        <f>'P1'!B14</f>
        <v>P8026</v>
      </c>
      <c r="C14" s="229" t="str">
        <f>Custos!G17</f>
        <v>abr/2024</v>
      </c>
      <c r="D14" s="230" t="str">
        <f>Custos!D17</f>
        <v>DNIT</v>
      </c>
      <c r="E14" s="227" t="str">
        <f>Custos!B17</f>
        <v>Auxiliar Administrativo</v>
      </c>
      <c r="F14" s="231">
        <f>Custos!J17</f>
        <v>12.7</v>
      </c>
      <c r="G14" s="230" t="s">
        <v>382</v>
      </c>
      <c r="H14" s="422">
        <f>'Horas trabalhadas'!E13</f>
        <v>85.137972566075618</v>
      </c>
      <c r="I14" s="228">
        <f t="shared" si="0"/>
        <v>1081.2522515891603</v>
      </c>
      <c r="J14" s="228">
        <f>(I14*K!$G$23)</f>
        <v>1882.7861722990906</v>
      </c>
      <c r="K14" s="240">
        <f>J14/$J$53</f>
        <v>6.0535251957140497E-2</v>
      </c>
      <c r="M14" s="124"/>
    </row>
    <row r="15" spans="1:13" ht="6" customHeight="1">
      <c r="A15" s="160"/>
      <c r="B15" s="160"/>
      <c r="C15" s="160"/>
      <c r="D15" s="160"/>
      <c r="E15" s="161"/>
      <c r="F15" s="162"/>
      <c r="G15" s="185"/>
      <c r="H15" s="164"/>
      <c r="I15" s="163"/>
      <c r="J15" s="163"/>
      <c r="K15" s="192"/>
    </row>
    <row r="16" spans="1:13" s="122" customFormat="1" ht="18" customHeight="1">
      <c r="A16" s="384">
        <v>2</v>
      </c>
      <c r="B16" s="385" t="s">
        <v>396</v>
      </c>
      <c r="C16" s="385"/>
      <c r="D16" s="385"/>
      <c r="E16" s="385"/>
      <c r="F16" s="386"/>
      <c r="G16" s="384"/>
      <c r="H16" s="385"/>
      <c r="I16" s="385"/>
      <c r="J16" s="387">
        <f>J18</f>
        <v>2127.4001238182641</v>
      </c>
      <c r="K16" s="388">
        <f>J16/$J$53</f>
        <v>6.8400068156296553E-2</v>
      </c>
    </row>
    <row r="17" spans="1:13" ht="5.0999999999999996" customHeight="1">
      <c r="A17" s="167"/>
      <c r="B17" s="168"/>
      <c r="C17" s="168"/>
      <c r="D17" s="169"/>
      <c r="E17" s="170"/>
      <c r="F17" s="165"/>
      <c r="G17" s="159"/>
      <c r="H17" s="166"/>
      <c r="I17" s="159"/>
      <c r="J17" s="159"/>
      <c r="K17" s="191"/>
    </row>
    <row r="18" spans="1:13" s="122" customFormat="1" ht="18" customHeight="1">
      <c r="A18" s="389" t="s">
        <v>47</v>
      </c>
      <c r="B18" s="390" t="s">
        <v>396</v>
      </c>
      <c r="C18" s="390"/>
      <c r="D18" s="390"/>
      <c r="E18" s="390"/>
      <c r="F18" s="391"/>
      <c r="G18" s="389"/>
      <c r="H18" s="390"/>
      <c r="I18" s="391"/>
      <c r="J18" s="392">
        <f>SUM(J19:J24)</f>
        <v>2127.4001238182641</v>
      </c>
      <c r="K18" s="405">
        <f>SUM(K19:K24)</f>
        <v>6.8400068156296553E-2</v>
      </c>
    </row>
    <row r="19" spans="1:13" s="123" customFormat="1" ht="16.149999999999999" customHeight="1">
      <c r="A19" s="232" t="s">
        <v>378</v>
      </c>
      <c r="B19" s="225" t="str">
        <f>'P1'!B19</f>
        <v>P8003</v>
      </c>
      <c r="C19" s="225" t="str">
        <f>Custos!G22</f>
        <v>abr/2024</v>
      </c>
      <c r="D19" s="230" t="str">
        <f>Custos!D22</f>
        <v>DNIT</v>
      </c>
      <c r="E19" s="227" t="str">
        <f>Custos!B22</f>
        <v>Advogado sênior</v>
      </c>
      <c r="F19" s="228">
        <f>Custos!J22</f>
        <v>76.88</v>
      </c>
      <c r="G19" s="226" t="s">
        <v>382</v>
      </c>
      <c r="H19" s="422">
        <f>'Horas trabalhadas'!E14</f>
        <v>0</v>
      </c>
      <c r="I19" s="228">
        <f t="shared" ref="I19:I24" si="1">H19*F19</f>
        <v>0</v>
      </c>
      <c r="J19" s="228">
        <f>(I19*K!$G$23)</f>
        <v>0</v>
      </c>
      <c r="K19" s="239">
        <f t="shared" ref="K19:K24" si="2">J19/$J$53</f>
        <v>0</v>
      </c>
    </row>
    <row r="20" spans="1:13" s="123" customFormat="1" ht="16.149999999999999" customHeight="1">
      <c r="A20" s="232" t="s">
        <v>383</v>
      </c>
      <c r="B20" s="225" t="str">
        <f>'P1'!B20</f>
        <v>P8067</v>
      </c>
      <c r="C20" s="225" t="str">
        <f>Custos!G23</f>
        <v>abr/2024</v>
      </c>
      <c r="D20" s="230" t="str">
        <f>Custos!D23</f>
        <v>DNIT</v>
      </c>
      <c r="E20" s="227" t="str">
        <f>Custos!B23</f>
        <v>Engenheiro de Projetos (Elétrico)</v>
      </c>
      <c r="F20" s="228">
        <f>Custos!J23</f>
        <v>107.32</v>
      </c>
      <c r="G20" s="226" t="s">
        <v>382</v>
      </c>
      <c r="H20" s="422">
        <f>'Horas trabalhadas'!E15</f>
        <v>0</v>
      </c>
      <c r="I20" s="228">
        <f t="shared" si="1"/>
        <v>0</v>
      </c>
      <c r="J20" s="228">
        <f>(I20*K!$G$23)</f>
        <v>0</v>
      </c>
      <c r="K20" s="239">
        <f t="shared" si="2"/>
        <v>0</v>
      </c>
    </row>
    <row r="21" spans="1:13" s="123" customFormat="1" ht="16.149999999999999" customHeight="1">
      <c r="A21" s="232" t="s">
        <v>386</v>
      </c>
      <c r="B21" s="225" t="str">
        <f>'P1'!B21</f>
        <v>P8067</v>
      </c>
      <c r="C21" s="225" t="str">
        <f>Custos!G24</f>
        <v>abr/2024</v>
      </c>
      <c r="D21" s="230" t="str">
        <f>Custos!D24</f>
        <v>DNIT</v>
      </c>
      <c r="E21" s="227" t="str">
        <f>Custos!B24</f>
        <v>Engenheiro de Projeto (Calculista)</v>
      </c>
      <c r="F21" s="228">
        <f>Custos!J24</f>
        <v>107.32</v>
      </c>
      <c r="G21" s="226" t="s">
        <v>382</v>
      </c>
      <c r="H21" s="422">
        <f>'Horas trabalhadas'!E16</f>
        <v>0</v>
      </c>
      <c r="I21" s="228">
        <f t="shared" si="1"/>
        <v>0</v>
      </c>
      <c r="J21" s="228">
        <f>(I21*K!$G$23)</f>
        <v>0</v>
      </c>
      <c r="K21" s="239">
        <f t="shared" si="2"/>
        <v>0</v>
      </c>
    </row>
    <row r="22" spans="1:13" s="123" customFormat="1" ht="16.149999999999999" customHeight="1">
      <c r="A22" s="232" t="s">
        <v>389</v>
      </c>
      <c r="B22" s="225" t="str">
        <f>'P1'!B22</f>
        <v>P8067</v>
      </c>
      <c r="C22" s="225" t="str">
        <f>Custos!G25</f>
        <v>abr/2024</v>
      </c>
      <c r="D22" s="230" t="str">
        <f>Custos!D25</f>
        <v>DNIT</v>
      </c>
      <c r="E22" s="227" t="str">
        <f>Custos!B25</f>
        <v>Engenheiro de Projetos (Mecânico)</v>
      </c>
      <c r="F22" s="228">
        <f>Custos!J25</f>
        <v>107.32</v>
      </c>
      <c r="G22" s="226" t="s">
        <v>382</v>
      </c>
      <c r="H22" s="422">
        <f>'Horas trabalhadas'!E17</f>
        <v>0</v>
      </c>
      <c r="I22" s="228">
        <f t="shared" si="1"/>
        <v>0</v>
      </c>
      <c r="J22" s="228">
        <f>(I22*K!$G$23)</f>
        <v>0</v>
      </c>
      <c r="K22" s="239">
        <f t="shared" si="2"/>
        <v>0</v>
      </c>
    </row>
    <row r="23" spans="1:13" s="123" customFormat="1" ht="16.149999999999999" customHeight="1">
      <c r="A23" s="232" t="s">
        <v>392</v>
      </c>
      <c r="B23" s="225" t="str">
        <f>'P1'!B23</f>
        <v>P8059</v>
      </c>
      <c r="C23" s="225" t="str">
        <f>Custos!G26</f>
        <v>abr/2024</v>
      </c>
      <c r="D23" s="230" t="str">
        <f>Custos!D27</f>
        <v>DNIT</v>
      </c>
      <c r="E23" s="227" t="str">
        <f>Custos!B26</f>
        <v>Engenheiro ambiental</v>
      </c>
      <c r="F23" s="228">
        <f>Custos!J26</f>
        <v>100.92</v>
      </c>
      <c r="G23" s="226" t="s">
        <v>382</v>
      </c>
      <c r="H23" s="422">
        <f>'Horas trabalhadas'!E18</f>
        <v>0</v>
      </c>
      <c r="I23" s="228">
        <f t="shared" si="1"/>
        <v>0</v>
      </c>
      <c r="J23" s="228">
        <f>(I23*K!$G$23)</f>
        <v>0</v>
      </c>
      <c r="K23" s="239">
        <f t="shared" si="2"/>
        <v>0</v>
      </c>
    </row>
    <row r="24" spans="1:13" s="123" customFormat="1" ht="16.149999999999999" customHeight="1">
      <c r="A24" s="232" t="s">
        <v>405</v>
      </c>
      <c r="B24" s="225" t="str">
        <f>'P1'!B24</f>
        <v>P8155</v>
      </c>
      <c r="C24" s="225" t="str">
        <f>Custos!G27</f>
        <v>abr/2024</v>
      </c>
      <c r="D24" s="230" t="str">
        <f>Custos!D27</f>
        <v>DNIT</v>
      </c>
      <c r="E24" s="227" t="str">
        <f>Custos!B27</f>
        <v>Técnico em geoprocessamento</v>
      </c>
      <c r="F24" s="228">
        <f>Custos!J27</f>
        <v>14.35</v>
      </c>
      <c r="G24" s="226" t="s">
        <v>382</v>
      </c>
      <c r="H24" s="422">
        <f>'Horas trabalhadas'!E19</f>
        <v>85.137972566075618</v>
      </c>
      <c r="I24" s="228">
        <f t="shared" si="1"/>
        <v>1221.7299063231851</v>
      </c>
      <c r="J24" s="228">
        <f>(I24*K!$G$23)</f>
        <v>2127.4001238182641</v>
      </c>
      <c r="K24" s="239">
        <f t="shared" si="2"/>
        <v>6.8400068156296553E-2</v>
      </c>
      <c r="M24" s="124"/>
    </row>
    <row r="25" spans="1:13" ht="6" customHeight="1">
      <c r="A25" s="160"/>
      <c r="B25" s="160"/>
      <c r="C25" s="160"/>
      <c r="D25" s="160"/>
      <c r="E25" s="161"/>
      <c r="F25" s="162"/>
      <c r="G25" s="185"/>
      <c r="H25" s="164"/>
      <c r="I25" s="163"/>
      <c r="J25" s="163"/>
      <c r="K25" s="192"/>
    </row>
    <row r="26" spans="1:13" s="122" customFormat="1" ht="18" customHeight="1">
      <c r="A26" s="393">
        <v>3</v>
      </c>
      <c r="B26" s="394" t="s">
        <v>129</v>
      </c>
      <c r="C26" s="394"/>
      <c r="D26" s="394"/>
      <c r="E26" s="182"/>
      <c r="F26" s="183"/>
      <c r="G26" s="181"/>
      <c r="H26" s="182"/>
      <c r="I26" s="182"/>
      <c r="J26" s="399">
        <f>J28+J33+J39+J43</f>
        <v>15294.171191816182</v>
      </c>
      <c r="K26" s="388">
        <f>J26/$J$53</f>
        <v>0.49173746875444885</v>
      </c>
    </row>
    <row r="27" spans="1:13" ht="5.0999999999999996" customHeight="1">
      <c r="A27" s="167"/>
      <c r="B27" s="168"/>
      <c r="C27" s="168"/>
      <c r="D27" s="169"/>
      <c r="E27" s="170"/>
      <c r="F27" s="165"/>
      <c r="G27" s="159"/>
      <c r="H27" s="166"/>
      <c r="I27" s="159"/>
      <c r="J27" s="159"/>
      <c r="K27" s="191"/>
    </row>
    <row r="28" spans="1:13" s="122" customFormat="1" ht="18" customHeight="1">
      <c r="A28" s="178" t="s">
        <v>59</v>
      </c>
      <c r="B28" s="179" t="s">
        <v>416</v>
      </c>
      <c r="C28" s="179"/>
      <c r="D28" s="179"/>
      <c r="E28" s="179"/>
      <c r="F28" s="180"/>
      <c r="G28" s="178"/>
      <c r="H28" s="179"/>
      <c r="I28" s="179"/>
      <c r="J28" s="400">
        <f>SUM(J29:J31)</f>
        <v>0</v>
      </c>
      <c r="K28" s="404">
        <f>SUM(K29:K31)</f>
        <v>0</v>
      </c>
    </row>
    <row r="29" spans="1:13" s="123" customFormat="1">
      <c r="A29" s="232" t="s">
        <v>378</v>
      </c>
      <c r="B29" s="232">
        <f>'P1'!B29</f>
        <v>65003710</v>
      </c>
      <c r="C29" s="232" t="str">
        <f>Custos!G38</f>
        <v>set/2024</v>
      </c>
      <c r="D29" s="237" t="str">
        <f>Custos!D38</f>
        <v>COPASA</v>
      </c>
      <c r="E29" s="415" t="str">
        <f>Custos!B38</f>
        <v>Mobilização e desmobilização de equipe de topografia</v>
      </c>
      <c r="F29" s="234">
        <f>Custos!J38</f>
        <v>4.62</v>
      </c>
      <c r="G29" s="279" t="str">
        <f>Custos!H38</f>
        <v>km</v>
      </c>
      <c r="H29" s="279">
        <f>Serviços!D9</f>
        <v>0</v>
      </c>
      <c r="I29" s="228">
        <f t="shared" ref="I29:I31" si="3">H29*F29</f>
        <v>0</v>
      </c>
      <c r="J29" s="228">
        <f>(I29*K!$G$24)</f>
        <v>0</v>
      </c>
      <c r="K29" s="240">
        <f>J29/$J$53</f>
        <v>0</v>
      </c>
    </row>
    <row r="30" spans="1:13" s="123" customFormat="1">
      <c r="A30" s="232" t="s">
        <v>383</v>
      </c>
      <c r="B30" s="232">
        <f>'P1'!B30</f>
        <v>65001667</v>
      </c>
      <c r="C30" s="232" t="str">
        <f>Custos!G39</f>
        <v>set/2024</v>
      </c>
      <c r="D30" s="237" t="str">
        <f>Custos!D39</f>
        <v>COPASA</v>
      </c>
      <c r="E30" s="415" t="str">
        <f>Custos!B39</f>
        <v>Equipe de topografia de campo</v>
      </c>
      <c r="F30" s="234">
        <f>Custos!J39</f>
        <v>50814.45</v>
      </c>
      <c r="G30" s="279" t="str">
        <f>Custos!H39</f>
        <v>mês</v>
      </c>
      <c r="H30" s="279">
        <f>Serviços!D10</f>
        <v>0</v>
      </c>
      <c r="I30" s="228">
        <f t="shared" si="3"/>
        <v>0</v>
      </c>
      <c r="J30" s="228">
        <f>(I30*K!$G$24)</f>
        <v>0</v>
      </c>
      <c r="K30" s="240">
        <f>J30/$J$53</f>
        <v>0</v>
      </c>
    </row>
    <row r="31" spans="1:13" s="123" customFormat="1">
      <c r="A31" s="232" t="s">
        <v>386</v>
      </c>
      <c r="B31" s="232">
        <f>'P1'!B31</f>
        <v>65001668</v>
      </c>
      <c r="C31" s="232" t="str">
        <f>Custos!G40</f>
        <v>set/2024</v>
      </c>
      <c r="D31" s="237" t="str">
        <f>Custos!D40</f>
        <v>COPASA</v>
      </c>
      <c r="E31" s="415" t="str">
        <f>Custos!B40</f>
        <v>Equipe de topografia de escritório</v>
      </c>
      <c r="F31" s="234">
        <f>Custos!J40</f>
        <v>26804.01</v>
      </c>
      <c r="G31" s="279" t="str">
        <f>Custos!H40</f>
        <v>mês</v>
      </c>
      <c r="H31" s="279">
        <f>Serviços!D11</f>
        <v>0</v>
      </c>
      <c r="I31" s="228">
        <f t="shared" si="3"/>
        <v>0</v>
      </c>
      <c r="J31" s="228">
        <f>(I31*K!$G$24)</f>
        <v>0</v>
      </c>
      <c r="K31" s="240">
        <f>J31/$J$53</f>
        <v>0</v>
      </c>
    </row>
    <row r="32" spans="1:13" ht="10.5" customHeight="1">
      <c r="A32" s="167"/>
      <c r="B32" s="168"/>
      <c r="C32" s="168"/>
      <c r="D32" s="169"/>
      <c r="E32" s="170"/>
      <c r="F32" s="165"/>
      <c r="G32" s="279"/>
      <c r="H32" s="166"/>
      <c r="I32" s="159"/>
      <c r="J32" s="159"/>
      <c r="K32" s="191"/>
    </row>
    <row r="33" spans="1:11" s="122" customFormat="1" ht="18" customHeight="1">
      <c r="A33" s="156" t="s">
        <v>60</v>
      </c>
      <c r="B33" s="171" t="s">
        <v>708</v>
      </c>
      <c r="C33" s="171"/>
      <c r="D33" s="171"/>
      <c r="E33" s="171"/>
      <c r="F33" s="158"/>
      <c r="G33" s="156"/>
      <c r="H33" s="157"/>
      <c r="I33" s="157"/>
      <c r="J33" s="172">
        <f>SUM(J34:J37)</f>
        <v>0</v>
      </c>
      <c r="K33" s="403">
        <f>SUM(K35:K36)</f>
        <v>0</v>
      </c>
    </row>
    <row r="34" spans="1:11" s="123" customFormat="1">
      <c r="A34" s="232" t="s">
        <v>378</v>
      </c>
      <c r="B34" s="232">
        <f>'P1'!B34</f>
        <v>65001207</v>
      </c>
      <c r="C34" s="232" t="str">
        <f>Custos!G32</f>
        <v>set/2024</v>
      </c>
      <c r="D34" s="237" t="str">
        <f>Custos!D32</f>
        <v>COPASA</v>
      </c>
      <c r="E34" s="415" t="str">
        <f>Custos!B32</f>
        <v>Sondagem a percussao - mobilizacao e desmobilizacao</v>
      </c>
      <c r="F34" s="234">
        <f>Custos!J32</f>
        <v>1316.83</v>
      </c>
      <c r="G34" s="279" t="str">
        <f>Custos!H32</f>
        <v>unidade</v>
      </c>
      <c r="H34" s="279">
        <f>Serviços!D14</f>
        <v>0</v>
      </c>
      <c r="I34" s="228">
        <f t="shared" ref="I34:I37" si="4">H34*F34</f>
        <v>0</v>
      </c>
      <c r="J34" s="228">
        <f>(I34*K!$G$24)</f>
        <v>0</v>
      </c>
      <c r="K34" s="240">
        <f>J34/$J$53</f>
        <v>0</v>
      </c>
    </row>
    <row r="35" spans="1:11" s="123" customFormat="1" ht="26.45" customHeight="1">
      <c r="A35" s="232" t="s">
        <v>383</v>
      </c>
      <c r="B35" s="232">
        <f>'P1'!B35</f>
        <v>65001208</v>
      </c>
      <c r="C35" s="236" t="str">
        <f>Custos!G33</f>
        <v>set/2024</v>
      </c>
      <c r="D35" s="279" t="str">
        <f>Custos!D33</f>
        <v>COPASA</v>
      </c>
      <c r="E35" s="465" t="str">
        <f>Custos!B33</f>
        <v>Sondagem a percussao - adicional de mobilizacao e desmobilizacao</v>
      </c>
      <c r="F35" s="234">
        <f>Custos!J33</f>
        <v>9.32</v>
      </c>
      <c r="G35" s="416" t="str">
        <f>Custos!H33</f>
        <v>km</v>
      </c>
      <c r="H35" s="279">
        <f>Serviços!D15</f>
        <v>0</v>
      </c>
      <c r="I35" s="228">
        <f t="shared" si="4"/>
        <v>0</v>
      </c>
      <c r="J35" s="228">
        <f>(I35*K!$G$24)</f>
        <v>0</v>
      </c>
      <c r="K35" s="239">
        <f>J35/$J$53</f>
        <v>0</v>
      </c>
    </row>
    <row r="36" spans="1:11" s="123" customFormat="1">
      <c r="A36" s="232" t="s">
        <v>386</v>
      </c>
      <c r="B36" s="232">
        <f>'P1'!B36</f>
        <v>65001209</v>
      </c>
      <c r="C36" s="232" t="str">
        <f>Custos!G34</f>
        <v>set/2024</v>
      </c>
      <c r="D36" s="237" t="str">
        <f>Custos!D34</f>
        <v>COPASA</v>
      </c>
      <c r="E36" s="415" t="str">
        <f>Custos!B34</f>
        <v>Sondagem a percussao - instalacao por furo</v>
      </c>
      <c r="F36" s="234">
        <f>Custos!J34</f>
        <v>482.46</v>
      </c>
      <c r="G36" s="279" t="str">
        <f>Custos!H34</f>
        <v>unidade</v>
      </c>
      <c r="H36" s="279">
        <f>Serviços!D16</f>
        <v>0</v>
      </c>
      <c r="I36" s="228">
        <f t="shared" si="4"/>
        <v>0</v>
      </c>
      <c r="J36" s="228">
        <f>(I36*K!$G$24)</f>
        <v>0</v>
      </c>
      <c r="K36" s="240">
        <f>J36/$J$53</f>
        <v>0</v>
      </c>
    </row>
    <row r="37" spans="1:11" s="123" customFormat="1" ht="26.45" customHeight="1">
      <c r="A37" s="232" t="s">
        <v>389</v>
      </c>
      <c r="B37" s="232">
        <f>'P1'!B37</f>
        <v>65001210</v>
      </c>
      <c r="C37" s="236" t="str">
        <f>Custos!G35</f>
        <v>set/2024</v>
      </c>
      <c r="D37" s="279" t="str">
        <f>Custos!D35</f>
        <v>COPASA</v>
      </c>
      <c r="E37" s="465" t="str">
        <f>Custos!B35</f>
        <v>Sondagem a percussao ø2.1/2" - perfuracao e retirada de amostras</v>
      </c>
      <c r="F37" s="234">
        <f>Custos!J35</f>
        <v>145.19999999999999</v>
      </c>
      <c r="G37" s="416" t="str">
        <f>Custos!H35</f>
        <v>m</v>
      </c>
      <c r="H37" s="279">
        <f>Serviços!D17</f>
        <v>0</v>
      </c>
      <c r="I37" s="228">
        <f t="shared" si="4"/>
        <v>0</v>
      </c>
      <c r="J37" s="228">
        <f>(I37*K!$G$24)</f>
        <v>0</v>
      </c>
      <c r="K37" s="240">
        <f>J37/$J$53</f>
        <v>0</v>
      </c>
    </row>
    <row r="38" spans="1:11" ht="6" customHeight="1">
      <c r="A38" s="160"/>
      <c r="B38" s="160"/>
      <c r="C38" s="160"/>
      <c r="D38" s="160"/>
      <c r="E38" s="161"/>
      <c r="F38" s="162"/>
      <c r="G38" s="185"/>
      <c r="H38" s="164"/>
      <c r="I38" s="163"/>
      <c r="J38" s="163"/>
      <c r="K38" s="192"/>
    </row>
    <row r="39" spans="1:11" s="122" customFormat="1" ht="18" customHeight="1">
      <c r="A39" s="156" t="s">
        <v>61</v>
      </c>
      <c r="B39" s="171" t="s">
        <v>420</v>
      </c>
      <c r="C39" s="171"/>
      <c r="D39" s="171"/>
      <c r="E39" s="171"/>
      <c r="F39" s="158"/>
      <c r="G39" s="156"/>
      <c r="H39" s="157"/>
      <c r="I39" s="157"/>
      <c r="J39" s="172">
        <f>SUM(J40:J41)</f>
        <v>15294.171191816182</v>
      </c>
      <c r="K39" s="403">
        <f>SUM(K40:K41)</f>
        <v>0.49173746875444885</v>
      </c>
    </row>
    <row r="40" spans="1:11" s="123" customFormat="1">
      <c r="A40" s="232" t="s">
        <v>378</v>
      </c>
      <c r="B40" s="232">
        <f>'P1'!B40</f>
        <v>65001667</v>
      </c>
      <c r="C40" s="232" t="str">
        <f>Custos!G43</f>
        <v>set/2024</v>
      </c>
      <c r="D40" s="237" t="str">
        <f>Custos!D43</f>
        <v>COPASA</v>
      </c>
      <c r="E40" s="415" t="str">
        <f>Custos!B43</f>
        <v>Equipe de topografia de campo</v>
      </c>
      <c r="F40" s="234">
        <f>Custos!J43</f>
        <v>50814.45</v>
      </c>
      <c r="G40" s="279" t="str">
        <f>Custos!H43</f>
        <v>mês</v>
      </c>
      <c r="H40" s="279">
        <f>Serviços!D12</f>
        <v>0.19305793508063995</v>
      </c>
      <c r="I40" s="228">
        <f t="shared" ref="I40:I41" si="5">H40*F40</f>
        <v>9810.132789258425</v>
      </c>
      <c r="J40" s="228">
        <f>(I40*K!$G$24)</f>
        <v>14593.885766171039</v>
      </c>
      <c r="K40" s="240">
        <f>J40/$J$53</f>
        <v>0.46922192487217312</v>
      </c>
    </row>
    <row r="41" spans="1:11" s="123" customFormat="1">
      <c r="A41" s="232" t="s">
        <v>383</v>
      </c>
      <c r="B41" s="232">
        <f>'P1'!B41</f>
        <v>65001668</v>
      </c>
      <c r="C41" s="232" t="str">
        <f>Custos!G44</f>
        <v>set/2024</v>
      </c>
      <c r="D41" s="237" t="str">
        <f>Custos!D44</f>
        <v>COPASA</v>
      </c>
      <c r="E41" s="415" t="str">
        <f>Custos!B44</f>
        <v>Equipe de topografia de escritório</v>
      </c>
      <c r="F41" s="234">
        <f>Custos!J44</f>
        <v>26804.01</v>
      </c>
      <c r="G41" s="279" t="str">
        <f>Custos!H44</f>
        <v>mês</v>
      </c>
      <c r="H41" s="279">
        <f>Serviços!D13</f>
        <v>1.7562213809279997E-2</v>
      </c>
      <c r="I41" s="228">
        <f t="shared" si="5"/>
        <v>470.7377545660791</v>
      </c>
      <c r="J41" s="228">
        <f>(I41*K!$G$24)</f>
        <v>700.28542564514373</v>
      </c>
      <c r="K41" s="240">
        <f>J41/$J$53</f>
        <v>2.2515543882275744E-2</v>
      </c>
    </row>
    <row r="42" spans="1:11" ht="5.0999999999999996" customHeight="1">
      <c r="A42" s="232"/>
      <c r="B42" s="237"/>
      <c r="C42" s="237"/>
      <c r="D42" s="232"/>
      <c r="E42" s="173"/>
      <c r="F42" s="165"/>
      <c r="G42" s="226"/>
      <c r="H42" s="166"/>
      <c r="I42" s="159"/>
      <c r="J42" s="159"/>
      <c r="K42" s="191"/>
    </row>
    <row r="43" spans="1:11" s="122" customFormat="1" ht="18" customHeight="1">
      <c r="A43" s="156" t="s">
        <v>62</v>
      </c>
      <c r="B43" s="171" t="s">
        <v>422</v>
      </c>
      <c r="C43" s="171"/>
      <c r="D43" s="171"/>
      <c r="E43" s="171"/>
      <c r="F43" s="158"/>
      <c r="G43" s="156"/>
      <c r="H43" s="157"/>
      <c r="I43" s="157"/>
      <c r="J43" s="172">
        <f>SUM(J44:J45)</f>
        <v>0</v>
      </c>
      <c r="K43" s="403">
        <f>SUM(K44:K45)</f>
        <v>0</v>
      </c>
    </row>
    <row r="44" spans="1:11" s="123" customFormat="1">
      <c r="A44" s="237" t="s">
        <v>378</v>
      </c>
      <c r="B44" s="237">
        <f>Custos!E49</f>
        <v>65001114</v>
      </c>
      <c r="C44" s="237" t="str">
        <f>Custos!G49</f>
        <v>set/2024</v>
      </c>
      <c r="D44" s="237" t="str">
        <f>Custos!D49</f>
        <v>COPASA</v>
      </c>
      <c r="E44" s="466" t="str">
        <f>Custos!B49</f>
        <v>Análise fisico-química da água</v>
      </c>
      <c r="F44" s="234">
        <f>Custos!J49</f>
        <v>371.18</v>
      </c>
      <c r="G44" s="237" t="str">
        <f>Custos!H49</f>
        <v>unidade</v>
      </c>
      <c r="H44" s="279">
        <f>Serviços!D18</f>
        <v>0</v>
      </c>
      <c r="I44" s="228">
        <f>H44*F44</f>
        <v>0</v>
      </c>
      <c r="J44" s="228">
        <f>(I44*K!$G$24)</f>
        <v>0</v>
      </c>
      <c r="K44" s="240">
        <f>J44/$J$53</f>
        <v>0</v>
      </c>
    </row>
    <row r="45" spans="1:11" s="123" customFormat="1">
      <c r="A45" s="237" t="s">
        <v>383</v>
      </c>
      <c r="B45" s="237">
        <f>Custos!E50</f>
        <v>65001115</v>
      </c>
      <c r="C45" s="237" t="str">
        <f>Custos!G50</f>
        <v>set/2024</v>
      </c>
      <c r="D45" s="237" t="str">
        <f>Custos!D50</f>
        <v>COPASA</v>
      </c>
      <c r="E45" s="466" t="str">
        <f>Custos!B50</f>
        <v>Analise bactereologica da água</v>
      </c>
      <c r="F45" s="234">
        <f>Custos!J50</f>
        <v>120.28</v>
      </c>
      <c r="G45" s="237" t="str">
        <f>Custos!H50</f>
        <v>unidade</v>
      </c>
      <c r="H45" s="279">
        <f>Serviços!D19</f>
        <v>0</v>
      </c>
      <c r="I45" s="228">
        <f t="shared" ref="I45" si="6">H45*F45</f>
        <v>0</v>
      </c>
      <c r="J45" s="228">
        <f>(I45*K!$G$24)</f>
        <v>0</v>
      </c>
      <c r="K45" s="240">
        <f>J45/$J$51</f>
        <v>0</v>
      </c>
    </row>
    <row r="46" spans="1:11" s="122" customFormat="1" ht="18" customHeight="1">
      <c r="A46" s="393" t="s">
        <v>724</v>
      </c>
      <c r="B46" s="394" t="s">
        <v>725</v>
      </c>
      <c r="C46" s="394"/>
      <c r="D46" s="394"/>
      <c r="E46" s="182"/>
      <c r="F46" s="183"/>
      <c r="G46" s="181"/>
      <c r="H46" s="182"/>
      <c r="I46" s="182"/>
      <c r="J46" s="399">
        <f>J48</f>
        <v>2494.9163498542271</v>
      </c>
      <c r="K46" s="388">
        <f>J46/$J$53</f>
        <v>8.0216432472514962E-2</v>
      </c>
    </row>
    <row r="47" spans="1:11" ht="5.0999999999999996" customHeight="1">
      <c r="A47" s="395"/>
      <c r="B47" s="168"/>
      <c r="C47" s="168"/>
      <c r="D47" s="395"/>
      <c r="E47" s="173"/>
      <c r="F47" s="165"/>
      <c r="G47" s="159"/>
      <c r="H47" s="166"/>
      <c r="I47" s="159"/>
      <c r="J47" s="159"/>
      <c r="K47" s="191"/>
    </row>
    <row r="48" spans="1:11" s="122" customFormat="1" ht="18" customHeight="1">
      <c r="A48" s="156" t="s">
        <v>72</v>
      </c>
      <c r="B48" s="157" t="s">
        <v>421</v>
      </c>
      <c r="C48" s="157"/>
      <c r="D48" s="157"/>
      <c r="E48" s="157"/>
      <c r="F48" s="158"/>
      <c r="G48" s="156"/>
      <c r="H48" s="157"/>
      <c r="I48" s="157"/>
      <c r="J48" s="177">
        <f>SUM(J49:J51)</f>
        <v>2494.9163498542271</v>
      </c>
      <c r="K48" s="402">
        <f>SUM(K49:K51)</f>
        <v>8.0216432472514976E-2</v>
      </c>
    </row>
    <row r="49" spans="1:12" s="123" customFormat="1">
      <c r="A49" s="232" t="s">
        <v>378</v>
      </c>
      <c r="B49" s="237" t="str">
        <f>Custos!F52</f>
        <v>-</v>
      </c>
      <c r="C49" s="237" t="str">
        <f>Custos!G52</f>
        <v>out/2024</v>
      </c>
      <c r="D49" s="237" t="str">
        <f>Custos!D52</f>
        <v>Composição</v>
      </c>
      <c r="E49" s="233" t="str">
        <f>Custos!B52</f>
        <v>Veículo tipo pick-up 4X4</v>
      </c>
      <c r="F49" s="234">
        <f>Custos!J52</f>
        <v>2491.71</v>
      </c>
      <c r="G49" s="279" t="str">
        <f>'P1'!G49</f>
        <v>R$/dia</v>
      </c>
      <c r="H49" s="279">
        <f>Serviços!D20</f>
        <v>0.5</v>
      </c>
      <c r="I49" s="228">
        <f t="shared" ref="I49:I51" si="7">H49*F49</f>
        <v>1245.855</v>
      </c>
      <c r="J49" s="228">
        <f>(I49*K!$G$25)</f>
        <v>1580.165478717201</v>
      </c>
      <c r="K49" s="240">
        <f>J49/$J$53</f>
        <v>5.0805405730866969E-2</v>
      </c>
    </row>
    <row r="50" spans="1:12" s="123" customFormat="1" ht="16.149999999999999" customHeight="1">
      <c r="A50" s="232" t="s">
        <v>383</v>
      </c>
      <c r="B50" s="237" t="str">
        <f>Custos!F53</f>
        <v>-</v>
      </c>
      <c r="C50" s="237" t="str">
        <f>Custos!G53</f>
        <v>out/2024</v>
      </c>
      <c r="D50" s="238" t="str">
        <f>Custos!D53</f>
        <v>AGEVAP</v>
      </c>
      <c r="E50" s="233" t="str">
        <f>Custos!B53</f>
        <v>Refeições</v>
      </c>
      <c r="F50" s="234">
        <f>Custos!J53</f>
        <v>25.61</v>
      </c>
      <c r="G50" s="279" t="str">
        <f>'P1'!G50</f>
        <v>unidade</v>
      </c>
      <c r="H50" s="279">
        <f>Serviços!D21</f>
        <v>2</v>
      </c>
      <c r="I50" s="228">
        <f t="shared" si="7"/>
        <v>51.22</v>
      </c>
      <c r="J50" s="228">
        <f>(I50*K!$G$25)</f>
        <v>64.964282215743438</v>
      </c>
      <c r="K50" s="240">
        <f>J50/$J$53</f>
        <v>2.0887285290302694E-3</v>
      </c>
    </row>
    <row r="51" spans="1:12" s="123" customFormat="1" ht="16.149999999999999" customHeight="1">
      <c r="A51" s="232" t="s">
        <v>386</v>
      </c>
      <c r="B51" s="237" t="str">
        <f>Custos!F54</f>
        <v>-</v>
      </c>
      <c r="C51" s="237" t="str">
        <f>Custos!G54</f>
        <v>out/2024</v>
      </c>
      <c r="D51" s="238" t="str">
        <f>Custos!D54</f>
        <v>AGEVAP</v>
      </c>
      <c r="E51" s="233" t="str">
        <f>Custos!B54</f>
        <v>Diárias</v>
      </c>
      <c r="F51" s="234">
        <f>Custos!J54</f>
        <v>335</v>
      </c>
      <c r="G51" s="279" t="str">
        <f>'P1'!G51</f>
        <v>unidade</v>
      </c>
      <c r="H51" s="279">
        <f>Serviços!D22</f>
        <v>2</v>
      </c>
      <c r="I51" s="228">
        <f t="shared" si="7"/>
        <v>670</v>
      </c>
      <c r="J51" s="228">
        <f>(I51*K!$G$25)</f>
        <v>849.78658892128271</v>
      </c>
      <c r="K51" s="240">
        <f>J51/$J$53</f>
        <v>2.7322298212617734E-2</v>
      </c>
    </row>
    <row r="52" spans="1:12" ht="6" customHeight="1">
      <c r="A52" s="151"/>
      <c r="B52" s="160"/>
      <c r="C52" s="160"/>
      <c r="D52" s="160"/>
      <c r="E52" s="174"/>
      <c r="F52" s="175"/>
      <c r="G52" s="185"/>
      <c r="H52" s="163"/>
      <c r="I52" s="163"/>
      <c r="J52" s="176"/>
      <c r="K52" s="193"/>
    </row>
    <row r="53" spans="1:12" ht="18" customHeight="1">
      <c r="A53" s="746" t="s">
        <v>726</v>
      </c>
      <c r="B53" s="746"/>
      <c r="C53" s="746"/>
      <c r="D53" s="746"/>
      <c r="E53" s="746"/>
      <c r="F53" s="396"/>
      <c r="G53" s="397"/>
      <c r="H53" s="398"/>
      <c r="I53" s="396" t="s">
        <v>318</v>
      </c>
      <c r="J53" s="396">
        <f>ROUND((J7+J16+J26+J46),2)</f>
        <v>31102.31</v>
      </c>
      <c r="K53" s="401">
        <f>K7+K16+K26+K46</f>
        <v>1.0000000977824859</v>
      </c>
    </row>
    <row r="54" spans="1:12" ht="6" customHeight="1">
      <c r="A54" s="126"/>
      <c r="B54" s="80"/>
      <c r="C54" s="80"/>
      <c r="D54" s="127"/>
      <c r="E54" s="128"/>
      <c r="F54" s="133"/>
      <c r="G54" s="127"/>
      <c r="H54" s="125"/>
      <c r="I54" s="129"/>
      <c r="J54" s="121"/>
      <c r="K54" s="243"/>
    </row>
    <row r="55" spans="1:12" ht="20.100000000000001" customHeight="1">
      <c r="A55" s="152" t="s">
        <v>727</v>
      </c>
      <c r="B55" s="153"/>
      <c r="C55" s="153"/>
      <c r="D55" s="153"/>
      <c r="E55" s="153"/>
      <c r="F55" s="154"/>
      <c r="G55" s="186"/>
      <c r="H55" s="153"/>
      <c r="I55" s="153"/>
      <c r="J55" s="153"/>
      <c r="K55" s="154"/>
    </row>
    <row r="56" spans="1:12" ht="13.15" customHeight="1">
      <c r="A56" s="155" t="s">
        <v>728</v>
      </c>
      <c r="B56" s="743" t="s">
        <v>729</v>
      </c>
      <c r="C56" s="743"/>
      <c r="D56" s="743"/>
      <c r="E56" s="743"/>
      <c r="F56" s="743"/>
      <c r="G56" s="743"/>
      <c r="H56" s="743"/>
      <c r="I56" s="743"/>
      <c r="J56" s="743"/>
      <c r="K56" s="743"/>
    </row>
    <row r="57" spans="1:12" ht="13.15" customHeight="1">
      <c r="A57" s="155" t="s">
        <v>730</v>
      </c>
      <c r="B57" s="743" t="s">
        <v>731</v>
      </c>
      <c r="C57" s="743"/>
      <c r="D57" s="743"/>
      <c r="E57" s="743"/>
      <c r="F57" s="743"/>
      <c r="G57" s="743"/>
      <c r="H57" s="743"/>
      <c r="I57" s="743"/>
      <c r="J57" s="743"/>
      <c r="K57" s="743"/>
    </row>
    <row r="58" spans="1:12" ht="13.15" customHeight="1">
      <c r="A58" s="155" t="s">
        <v>732</v>
      </c>
      <c r="B58" s="743" t="s">
        <v>733</v>
      </c>
      <c r="C58" s="743"/>
      <c r="D58" s="743"/>
      <c r="E58" s="743"/>
      <c r="F58" s="743"/>
      <c r="G58" s="743"/>
      <c r="H58" s="743"/>
      <c r="I58" s="743"/>
      <c r="J58" s="743"/>
      <c r="K58" s="743"/>
    </row>
    <row r="59" spans="1:12" ht="13.15" customHeight="1">
      <c r="A59" s="155"/>
      <c r="B59" s="314"/>
      <c r="C59" s="314"/>
      <c r="D59" s="314"/>
      <c r="E59" s="314"/>
      <c r="F59" s="314"/>
      <c r="G59" s="314"/>
      <c r="H59" s="314"/>
      <c r="I59" s="314"/>
      <c r="J59" s="314"/>
      <c r="K59" s="314"/>
    </row>
    <row r="60" spans="1:12" ht="13.15" customHeight="1">
      <c r="A60" s="741" t="s">
        <v>734</v>
      </c>
      <c r="B60" s="741"/>
      <c r="C60" s="741"/>
      <c r="D60" s="741"/>
      <c r="E60" s="741"/>
      <c r="F60" s="741" t="s">
        <v>735</v>
      </c>
      <c r="G60" s="741"/>
      <c r="H60" s="741"/>
      <c r="I60" s="741"/>
      <c r="J60" s="314"/>
      <c r="K60" s="314"/>
    </row>
    <row r="61" spans="1:12" ht="13.15" customHeight="1">
      <c r="A61" s="742" t="s">
        <v>736</v>
      </c>
      <c r="B61" s="742"/>
      <c r="C61" s="742"/>
      <c r="D61" s="742"/>
      <c r="E61" s="742"/>
      <c r="F61" s="742" t="s">
        <v>737</v>
      </c>
      <c r="G61" s="742"/>
      <c r="H61" s="742"/>
      <c r="I61" s="742"/>
      <c r="J61" s="314"/>
      <c r="K61" s="314"/>
    </row>
    <row r="62" spans="1:12" ht="13.15" customHeight="1">
      <c r="A62" s="742" t="s">
        <v>738</v>
      </c>
      <c r="B62" s="742"/>
      <c r="C62" s="742"/>
      <c r="D62" s="742"/>
      <c r="E62" s="742"/>
      <c r="F62" s="742" t="s">
        <v>738</v>
      </c>
      <c r="G62" s="742"/>
      <c r="H62" s="742"/>
      <c r="I62" s="742"/>
      <c r="J62" s="314"/>
      <c r="K62" s="314"/>
    </row>
    <row r="63" spans="1:12">
      <c r="A63" s="551"/>
      <c r="B63" s="551"/>
      <c r="C63" s="551"/>
      <c r="D63" s="551"/>
      <c r="E63" s="131"/>
      <c r="G63" s="131"/>
      <c r="H63" s="131"/>
      <c r="L63"/>
    </row>
    <row r="64" spans="1:12" ht="15" customHeight="1">
      <c r="A64" s="741" t="s">
        <v>739</v>
      </c>
      <c r="B64" s="741"/>
      <c r="C64" s="741"/>
      <c r="D64" s="741"/>
      <c r="E64" s="741"/>
      <c r="F64" s="741"/>
      <c r="G64" s="741"/>
      <c r="H64" s="741"/>
      <c r="I64" s="741"/>
      <c r="J64" s="741"/>
      <c r="K64" s="741"/>
      <c r="L64"/>
    </row>
    <row r="65" spans="1:12" ht="15" customHeight="1">
      <c r="A65" s="742" t="s">
        <v>740</v>
      </c>
      <c r="B65" s="742"/>
      <c r="C65" s="742"/>
      <c r="D65" s="742"/>
      <c r="E65" s="742"/>
      <c r="F65" s="742"/>
      <c r="G65" s="742"/>
      <c r="H65" s="742"/>
      <c r="I65" s="742"/>
      <c r="J65" s="742"/>
      <c r="K65" s="742"/>
    </row>
    <row r="66" spans="1:12" ht="15" customHeight="1">
      <c r="A66" s="742" t="s">
        <v>738</v>
      </c>
      <c r="B66" s="742"/>
      <c r="C66" s="742"/>
      <c r="D66" s="742"/>
      <c r="E66" s="742"/>
      <c r="F66" s="742"/>
      <c r="G66" s="742"/>
      <c r="H66" s="742"/>
      <c r="I66" s="742"/>
      <c r="J66" s="742"/>
      <c r="K66" s="742"/>
      <c r="L66" s="122"/>
    </row>
  </sheetData>
  <mergeCells count="15">
    <mergeCell ref="D1:K1"/>
    <mergeCell ref="F6:G6"/>
    <mergeCell ref="A53:E53"/>
    <mergeCell ref="B56:K56"/>
    <mergeCell ref="B57:K57"/>
    <mergeCell ref="A64:K64"/>
    <mergeCell ref="A65:K65"/>
    <mergeCell ref="A66:K66"/>
    <mergeCell ref="B58:K58"/>
    <mergeCell ref="F60:I60"/>
    <mergeCell ref="F61:I61"/>
    <mergeCell ref="F62:I62"/>
    <mergeCell ref="A60:E60"/>
    <mergeCell ref="A61:E61"/>
    <mergeCell ref="A62:E62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2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8" tint="-0.249977111117893"/>
    <pageSetUpPr fitToPage="1"/>
  </sheetPr>
  <dimension ref="A1:M66"/>
  <sheetViews>
    <sheetView showGridLines="0" view="pageBreakPreview" zoomScaleNormal="100" zoomScaleSheetLayoutView="100" workbookViewId="0">
      <selection activeCell="C2" sqref="C2"/>
    </sheetView>
  </sheetViews>
  <sheetFormatPr defaultColWidth="9.140625" defaultRowHeight="15.75"/>
  <cols>
    <col min="1" max="1" width="5" style="81" customWidth="1"/>
    <col min="2" max="3" width="10" style="81" customWidth="1"/>
    <col min="4" max="4" width="16.28515625" style="81" customWidth="1"/>
    <col min="5" max="5" width="45.7109375" style="81" customWidth="1"/>
    <col min="6" max="6" width="9.85546875" style="131" customWidth="1"/>
    <col min="7" max="7" width="8.28515625" style="134" bestFit="1" customWidth="1"/>
    <col min="8" max="8" width="12.140625" style="81" customWidth="1"/>
    <col min="9" max="9" width="10.5703125" style="81" customWidth="1"/>
    <col min="10" max="10" width="13" style="81" customWidth="1"/>
    <col min="11" max="11" width="12.140625" style="131" customWidth="1"/>
    <col min="12" max="22" width="12.7109375" style="81" customWidth="1"/>
    <col min="23" max="16384" width="9.140625" style="81"/>
  </cols>
  <sheetData>
    <row r="1" spans="1:13" ht="35.25" customHeight="1">
      <c r="B1" s="130"/>
      <c r="C1" s="130"/>
      <c r="D1" s="744" t="str">
        <f>'P1'!D1</f>
        <v xml:space="preserve">ORÇAMENTO PARA ELABORAÇÃO DE PROJETOS DE SISTEMA DE ESGOTAMENTO SANITÁRIO </v>
      </c>
      <c r="E1" s="744"/>
      <c r="F1" s="744"/>
      <c r="G1" s="744"/>
      <c r="H1" s="744"/>
      <c r="I1" s="744"/>
      <c r="J1" s="744"/>
      <c r="K1" s="744"/>
    </row>
    <row r="2" spans="1:13" s="122" customFormat="1" ht="15" customHeight="1">
      <c r="A2" s="80" t="s">
        <v>742</v>
      </c>
      <c r="C2" s="83" t="str">
        <f>'Horas trabalhadas'!D8</f>
        <v>Estudos Topográficos</v>
      </c>
      <c r="F2" s="132"/>
      <c r="G2" s="184"/>
      <c r="J2" s="119" t="s">
        <v>134</v>
      </c>
      <c r="K2" s="63">
        <f ca="1">'Dados Básicos do município'!H4</f>
        <v>46139</v>
      </c>
    </row>
    <row r="3" spans="1:13" s="122" customFormat="1" ht="15" customHeight="1">
      <c r="A3" s="80" t="s">
        <v>135</v>
      </c>
      <c r="C3" s="83" t="str">
        <f>'Dados Básicos do município'!B5</f>
        <v>CBH-SANTO ANTÔNIO</v>
      </c>
      <c r="F3" s="132"/>
      <c r="G3" s="184"/>
      <c r="K3" s="132"/>
    </row>
    <row r="4" spans="1:13" s="122" customFormat="1" ht="15" customHeight="1">
      <c r="A4" s="80" t="s">
        <v>136</v>
      </c>
      <c r="C4" s="83" t="str">
        <f>'Dados Básicos do município'!B6</f>
        <v>Açucena/MG</v>
      </c>
      <c r="F4" s="132"/>
      <c r="G4" s="184"/>
      <c r="J4" s="120"/>
      <c r="K4" s="119"/>
    </row>
    <row r="5" spans="1:13" ht="6" customHeight="1">
      <c r="A5" s="160"/>
      <c r="B5" s="160"/>
      <c r="C5" s="160"/>
      <c r="D5" s="160"/>
      <c r="E5" s="161"/>
      <c r="F5" s="162"/>
      <c r="G5" s="185"/>
      <c r="H5" s="164"/>
      <c r="I5" s="163"/>
      <c r="J5" s="163"/>
      <c r="K5" s="192"/>
    </row>
    <row r="6" spans="1:13" s="134" customFormat="1" ht="47.45" customHeight="1">
      <c r="A6" s="380" t="s">
        <v>713</v>
      </c>
      <c r="B6" s="380" t="s">
        <v>10</v>
      </c>
      <c r="C6" s="380" t="s">
        <v>714</v>
      </c>
      <c r="D6" s="380" t="s">
        <v>715</v>
      </c>
      <c r="E6" s="381" t="s">
        <v>716</v>
      </c>
      <c r="F6" s="745" t="s">
        <v>717</v>
      </c>
      <c r="G6" s="745"/>
      <c r="H6" s="382" t="s">
        <v>718</v>
      </c>
      <c r="I6" s="383" t="s">
        <v>719</v>
      </c>
      <c r="J6" s="383" t="s">
        <v>720</v>
      </c>
      <c r="K6" s="383" t="s">
        <v>721</v>
      </c>
    </row>
    <row r="7" spans="1:13" s="122" customFormat="1" ht="18" customHeight="1">
      <c r="A7" s="384">
        <v>1</v>
      </c>
      <c r="B7" s="385" t="s">
        <v>722</v>
      </c>
      <c r="C7" s="385"/>
      <c r="D7" s="385"/>
      <c r="E7" s="385"/>
      <c r="F7" s="386"/>
      <c r="G7" s="384"/>
      <c r="H7" s="385"/>
      <c r="I7" s="385"/>
      <c r="J7" s="387">
        <f>J9</f>
        <v>11185.825375772518</v>
      </c>
      <c r="K7" s="388">
        <f>J7/$J$53</f>
        <v>0.34327552989031085</v>
      </c>
    </row>
    <row r="8" spans="1:13" ht="6" customHeight="1">
      <c r="A8" s="160"/>
      <c r="B8" s="160"/>
      <c r="C8" s="160"/>
      <c r="D8" s="160"/>
      <c r="E8" s="161"/>
      <c r="F8" s="162"/>
      <c r="G8" s="185"/>
      <c r="H8" s="164"/>
      <c r="I8" s="163"/>
      <c r="J8" s="163"/>
      <c r="K8" s="192"/>
    </row>
    <row r="9" spans="1:13" s="122" customFormat="1" ht="18" customHeight="1">
      <c r="A9" s="178" t="s">
        <v>29</v>
      </c>
      <c r="B9" s="179" t="s">
        <v>376</v>
      </c>
      <c r="C9" s="179"/>
      <c r="D9" s="179"/>
      <c r="E9" s="179"/>
      <c r="F9" s="180"/>
      <c r="G9" s="178"/>
      <c r="H9" s="179"/>
      <c r="I9" s="179"/>
      <c r="J9" s="400">
        <f>SUM(J10:J14)</f>
        <v>11185.825375772518</v>
      </c>
      <c r="K9" s="404">
        <f>SUM(K10:K14)</f>
        <v>0.34327552989031085</v>
      </c>
    </row>
    <row r="10" spans="1:13" s="123" customFormat="1" ht="16.149999999999999" customHeight="1">
      <c r="A10" s="232" t="s">
        <v>378</v>
      </c>
      <c r="B10" s="225" t="str">
        <f>'P1'!B10</f>
        <v>P8061</v>
      </c>
      <c r="C10" s="225" t="str">
        <f>Custos!G13</f>
        <v>abr/2024</v>
      </c>
      <c r="D10" s="226" t="str">
        <f>Custos!$D$13</f>
        <v>DNIT</v>
      </c>
      <c r="E10" s="227" t="str">
        <f>Custos!B13</f>
        <v>Engenheiro Coordenador</v>
      </c>
      <c r="F10" s="228">
        <f>Custos!J13</f>
        <v>123.19</v>
      </c>
      <c r="G10" s="226" t="s">
        <v>382</v>
      </c>
      <c r="H10" s="422">
        <f>'Horas trabalhadas'!D9</f>
        <v>8.5137972566075621</v>
      </c>
      <c r="I10" s="228">
        <f>H10*F10</f>
        <v>1048.8146840414856</v>
      </c>
      <c r="J10" s="228">
        <f>(I10*K!$G$23)</f>
        <v>1826.3025871301181</v>
      </c>
      <c r="K10" s="240">
        <f>J10/$J$53</f>
        <v>5.6046377202973278E-2</v>
      </c>
      <c r="M10" s="124"/>
    </row>
    <row r="11" spans="1:13" s="123" customFormat="1" ht="16.149999999999999" customHeight="1">
      <c r="A11" s="232" t="s">
        <v>383</v>
      </c>
      <c r="B11" s="225" t="str">
        <f>'P1'!B11</f>
        <v>P8066</v>
      </c>
      <c r="C11" s="229" t="str">
        <f>Custos!G14</f>
        <v>abr/2024</v>
      </c>
      <c r="D11" s="230" t="str">
        <f>Custos!D14</f>
        <v>DNIT</v>
      </c>
      <c r="E11" s="227" t="str">
        <f>Custos!B14</f>
        <v>Engenheiro de Projetos Pleno</v>
      </c>
      <c r="F11" s="231">
        <f>Custos!J14</f>
        <v>85.36</v>
      </c>
      <c r="G11" s="230" t="s">
        <v>382</v>
      </c>
      <c r="H11" s="422">
        <f>'Horas trabalhadas'!D10</f>
        <v>25.541391769822681</v>
      </c>
      <c r="I11" s="228">
        <f t="shared" ref="I11:I14" si="0">H11*F11</f>
        <v>2180.2132014720642</v>
      </c>
      <c r="J11" s="228">
        <f>(I11*K!$G$23)</f>
        <v>3796.4085275775678</v>
      </c>
      <c r="K11" s="240">
        <f>J11/$J$53</f>
        <v>0.11650585497310979</v>
      </c>
      <c r="M11" s="124"/>
    </row>
    <row r="12" spans="1:13" s="123" customFormat="1" ht="16.149999999999999" customHeight="1">
      <c r="A12" s="232" t="s">
        <v>386</v>
      </c>
      <c r="B12" s="225" t="str">
        <f>'P1'!B12</f>
        <v>P8065</v>
      </c>
      <c r="C12" s="229" t="str">
        <f>Custos!G15</f>
        <v>abr/2024</v>
      </c>
      <c r="D12" s="230" t="str">
        <f>Custos!D15</f>
        <v>DNIT</v>
      </c>
      <c r="E12" s="227" t="str">
        <f>Custos!B15</f>
        <v>Engenheiro de Projetos Júnior</v>
      </c>
      <c r="F12" s="231">
        <f>Custos!J15</f>
        <v>82.75</v>
      </c>
      <c r="G12" s="230" t="s">
        <v>382</v>
      </c>
      <c r="H12" s="422">
        <f>'Horas trabalhadas'!D11</f>
        <v>25.541391769822681</v>
      </c>
      <c r="I12" s="228">
        <f t="shared" si="0"/>
        <v>2113.5501689528269</v>
      </c>
      <c r="J12" s="228">
        <f>(I12*K!$G$23)</f>
        <v>3680.3280887657415</v>
      </c>
      <c r="K12" s="240">
        <f>J12/$J$53</f>
        <v>0.11294352740188419</v>
      </c>
      <c r="M12" s="124"/>
    </row>
    <row r="13" spans="1:13" s="123" customFormat="1" ht="16.149999999999999" customHeight="1">
      <c r="A13" s="232" t="s">
        <v>389</v>
      </c>
      <c r="B13" s="225" t="str">
        <f>'P1'!B13</f>
        <v>P8155</v>
      </c>
      <c r="C13" s="229" t="str">
        <f>Custos!G16</f>
        <v>abr/2024</v>
      </c>
      <c r="D13" s="230" t="str">
        <f>Custos!D16</f>
        <v>DNIT</v>
      </c>
      <c r="E13" s="227" t="str">
        <f>Custos!B16</f>
        <v>Técnico cadista</v>
      </c>
      <c r="F13" s="231">
        <f>Custos!J16</f>
        <v>19.32</v>
      </c>
      <c r="G13" s="230" t="s">
        <v>382</v>
      </c>
      <c r="H13" s="422">
        <f>'Horas trabalhadas'!D12</f>
        <v>0</v>
      </c>
      <c r="I13" s="228">
        <f t="shared" si="0"/>
        <v>0</v>
      </c>
      <c r="J13" s="228">
        <f>(I13*K!$G$23)</f>
        <v>0</v>
      </c>
      <c r="K13" s="240">
        <f>J13/$J$53</f>
        <v>0</v>
      </c>
      <c r="M13" s="124"/>
    </row>
    <row r="14" spans="1:13" s="123" customFormat="1" ht="16.149999999999999" customHeight="1">
      <c r="A14" s="232" t="s">
        <v>392</v>
      </c>
      <c r="B14" s="225" t="str">
        <f>'P1'!B14</f>
        <v>P8026</v>
      </c>
      <c r="C14" s="229" t="str">
        <f>Custos!G17</f>
        <v>abr/2024</v>
      </c>
      <c r="D14" s="230" t="str">
        <f>Custos!D17</f>
        <v>DNIT</v>
      </c>
      <c r="E14" s="227" t="str">
        <f>Custos!B17</f>
        <v>Auxiliar Administrativo</v>
      </c>
      <c r="F14" s="231">
        <f>Custos!J17</f>
        <v>12.7</v>
      </c>
      <c r="G14" s="230" t="s">
        <v>382</v>
      </c>
      <c r="H14" s="422">
        <f>'Horas trabalhadas'!D13</f>
        <v>85.137972566075618</v>
      </c>
      <c r="I14" s="228">
        <f t="shared" si="0"/>
        <v>1081.2522515891603</v>
      </c>
      <c r="J14" s="228">
        <f>(I14*K!$G$23)</f>
        <v>1882.7861722990906</v>
      </c>
      <c r="K14" s="240">
        <f>J14/$J$53</f>
        <v>5.7779770312343583E-2</v>
      </c>
      <c r="M14" s="124"/>
    </row>
    <row r="15" spans="1:13" ht="6" customHeight="1">
      <c r="A15" s="160"/>
      <c r="B15" s="160"/>
      <c r="C15" s="160"/>
      <c r="D15" s="160"/>
      <c r="E15" s="161"/>
      <c r="F15" s="162"/>
      <c r="G15" s="185"/>
      <c r="H15" s="164"/>
      <c r="I15" s="163"/>
      <c r="J15" s="163"/>
      <c r="K15" s="192"/>
    </row>
    <row r="16" spans="1:13" s="122" customFormat="1" ht="18" customHeight="1">
      <c r="A16" s="384">
        <v>2</v>
      </c>
      <c r="B16" s="385" t="s">
        <v>396</v>
      </c>
      <c r="C16" s="385"/>
      <c r="D16" s="385"/>
      <c r="E16" s="385"/>
      <c r="F16" s="386"/>
      <c r="G16" s="384"/>
      <c r="H16" s="385"/>
      <c r="I16" s="385"/>
      <c r="J16" s="387">
        <f>J18</f>
        <v>2127.4001238182641</v>
      </c>
      <c r="K16" s="388">
        <f>J16/$J$53</f>
        <v>6.5286590864734692E-2</v>
      </c>
    </row>
    <row r="17" spans="1:13" ht="5.0999999999999996" customHeight="1">
      <c r="A17" s="167"/>
      <c r="B17" s="168"/>
      <c r="C17" s="168"/>
      <c r="D17" s="169"/>
      <c r="E17" s="170"/>
      <c r="F17" s="165"/>
      <c r="G17" s="159"/>
      <c r="H17" s="166"/>
      <c r="I17" s="159"/>
      <c r="J17" s="159"/>
      <c r="K17" s="191"/>
    </row>
    <row r="18" spans="1:13" s="122" customFormat="1" ht="18" customHeight="1">
      <c r="A18" s="389" t="s">
        <v>47</v>
      </c>
      <c r="B18" s="390" t="s">
        <v>396</v>
      </c>
      <c r="C18" s="390"/>
      <c r="D18" s="390"/>
      <c r="E18" s="390"/>
      <c r="F18" s="391"/>
      <c r="G18" s="389"/>
      <c r="H18" s="390"/>
      <c r="I18" s="391"/>
      <c r="J18" s="392">
        <f>SUM(J19:J24)</f>
        <v>2127.4001238182641</v>
      </c>
      <c r="K18" s="405">
        <f>SUM(K19:K24)</f>
        <v>6.5286590864734692E-2</v>
      </c>
    </row>
    <row r="19" spans="1:13" s="123" customFormat="1" ht="16.149999999999999" customHeight="1">
      <c r="A19" s="232" t="s">
        <v>378</v>
      </c>
      <c r="B19" s="225" t="str">
        <f>'P1'!B19</f>
        <v>P8003</v>
      </c>
      <c r="C19" s="225" t="str">
        <f>Custos!G22</f>
        <v>abr/2024</v>
      </c>
      <c r="D19" s="230" t="str">
        <f>Custos!D22</f>
        <v>DNIT</v>
      </c>
      <c r="E19" s="227" t="str">
        <f>Custos!B22</f>
        <v>Advogado sênior</v>
      </c>
      <c r="F19" s="228">
        <f>Custos!J22</f>
        <v>76.88</v>
      </c>
      <c r="G19" s="226" t="s">
        <v>382</v>
      </c>
      <c r="H19" s="422">
        <f>'Horas trabalhadas'!E14</f>
        <v>0</v>
      </c>
      <c r="I19" s="228">
        <f>H19*F19</f>
        <v>0</v>
      </c>
      <c r="J19" s="228">
        <f>(I19*K!$G$23)</f>
        <v>0</v>
      </c>
      <c r="K19" s="239">
        <f t="shared" ref="K19:K24" si="1">J19/$J$53</f>
        <v>0</v>
      </c>
    </row>
    <row r="20" spans="1:13" s="123" customFormat="1" ht="16.149999999999999" customHeight="1">
      <c r="A20" s="232" t="s">
        <v>383</v>
      </c>
      <c r="B20" s="225" t="str">
        <f>'P1'!B20</f>
        <v>P8067</v>
      </c>
      <c r="C20" s="225" t="str">
        <f>Custos!G23</f>
        <v>abr/2024</v>
      </c>
      <c r="D20" s="230" t="str">
        <f>Custos!D23</f>
        <v>DNIT</v>
      </c>
      <c r="E20" s="227" t="str">
        <f>Custos!B23</f>
        <v>Engenheiro de Projetos (Elétrico)</v>
      </c>
      <c r="F20" s="228">
        <f>Custos!J23</f>
        <v>107.32</v>
      </c>
      <c r="G20" s="226" t="s">
        <v>382</v>
      </c>
      <c r="H20" s="422">
        <f>'Horas trabalhadas'!E15</f>
        <v>0</v>
      </c>
      <c r="I20" s="228">
        <f t="shared" ref="I20:I24" si="2">H20*F20</f>
        <v>0</v>
      </c>
      <c r="J20" s="228">
        <f>(I20*K!$G$23)</f>
        <v>0</v>
      </c>
      <c r="K20" s="239">
        <f t="shared" si="1"/>
        <v>0</v>
      </c>
    </row>
    <row r="21" spans="1:13" s="123" customFormat="1" ht="16.149999999999999" customHeight="1">
      <c r="A21" s="232" t="s">
        <v>386</v>
      </c>
      <c r="B21" s="225" t="str">
        <f>'P1'!B21</f>
        <v>P8067</v>
      </c>
      <c r="C21" s="225" t="str">
        <f>Custos!G24</f>
        <v>abr/2024</v>
      </c>
      <c r="D21" s="230" t="str">
        <f>Custos!D24</f>
        <v>DNIT</v>
      </c>
      <c r="E21" s="227" t="str">
        <f>Custos!B24</f>
        <v>Engenheiro de Projeto (Calculista)</v>
      </c>
      <c r="F21" s="228">
        <f>Custos!J24</f>
        <v>107.32</v>
      </c>
      <c r="G21" s="226" t="s">
        <v>382</v>
      </c>
      <c r="H21" s="422">
        <f>'Horas trabalhadas'!E16</f>
        <v>0</v>
      </c>
      <c r="I21" s="228">
        <f t="shared" si="2"/>
        <v>0</v>
      </c>
      <c r="J21" s="228">
        <f>(I21*K!$G$23)</f>
        <v>0</v>
      </c>
      <c r="K21" s="239">
        <f t="shared" si="1"/>
        <v>0</v>
      </c>
    </row>
    <row r="22" spans="1:13" s="123" customFormat="1" ht="16.149999999999999" customHeight="1">
      <c r="A22" s="232" t="s">
        <v>389</v>
      </c>
      <c r="B22" s="225" t="str">
        <f>'P1'!B22</f>
        <v>P8067</v>
      </c>
      <c r="C22" s="225" t="str">
        <f>Custos!G25</f>
        <v>abr/2024</v>
      </c>
      <c r="D22" s="230" t="str">
        <f>Custos!D25</f>
        <v>DNIT</v>
      </c>
      <c r="E22" s="227" t="str">
        <f>Custos!B25</f>
        <v>Engenheiro de Projetos (Mecânico)</v>
      </c>
      <c r="F22" s="228">
        <f>Custos!J25</f>
        <v>107.32</v>
      </c>
      <c r="G22" s="226" t="s">
        <v>382</v>
      </c>
      <c r="H22" s="422">
        <f>'Horas trabalhadas'!E17</f>
        <v>0</v>
      </c>
      <c r="I22" s="228">
        <f t="shared" si="2"/>
        <v>0</v>
      </c>
      <c r="J22" s="228">
        <f>(I22*K!$G$23)</f>
        <v>0</v>
      </c>
      <c r="K22" s="239">
        <f t="shared" si="1"/>
        <v>0</v>
      </c>
    </row>
    <row r="23" spans="1:13" s="123" customFormat="1" ht="16.149999999999999" customHeight="1">
      <c r="A23" s="232" t="s">
        <v>392</v>
      </c>
      <c r="B23" s="225" t="str">
        <f>'P1'!B23</f>
        <v>P8059</v>
      </c>
      <c r="C23" s="225" t="str">
        <f>Custos!G26</f>
        <v>abr/2024</v>
      </c>
      <c r="D23" s="230" t="str">
        <f>Custos!D27</f>
        <v>DNIT</v>
      </c>
      <c r="E23" s="227" t="str">
        <f>Custos!B26</f>
        <v>Engenheiro ambiental</v>
      </c>
      <c r="F23" s="228">
        <f>Custos!J26</f>
        <v>100.92</v>
      </c>
      <c r="G23" s="226" t="s">
        <v>382</v>
      </c>
      <c r="H23" s="422">
        <f>'Horas trabalhadas'!E18</f>
        <v>0</v>
      </c>
      <c r="I23" s="228">
        <f t="shared" si="2"/>
        <v>0</v>
      </c>
      <c r="J23" s="228">
        <f>(I23*K!$G$23)</f>
        <v>0</v>
      </c>
      <c r="K23" s="239">
        <f t="shared" si="1"/>
        <v>0</v>
      </c>
    </row>
    <row r="24" spans="1:13" s="123" customFormat="1" ht="16.149999999999999" customHeight="1">
      <c r="A24" s="232" t="s">
        <v>405</v>
      </c>
      <c r="B24" s="225" t="str">
        <f>'P1'!B24</f>
        <v>P8155</v>
      </c>
      <c r="C24" s="225" t="str">
        <f>Custos!G27</f>
        <v>abr/2024</v>
      </c>
      <c r="D24" s="230" t="str">
        <f>Custos!D27</f>
        <v>DNIT</v>
      </c>
      <c r="E24" s="227" t="str">
        <f>Custos!B27</f>
        <v>Técnico em geoprocessamento</v>
      </c>
      <c r="F24" s="228">
        <f>Custos!J27</f>
        <v>14.35</v>
      </c>
      <c r="G24" s="226" t="s">
        <v>382</v>
      </c>
      <c r="H24" s="422">
        <f>'Horas trabalhadas'!E19</f>
        <v>85.137972566075618</v>
      </c>
      <c r="I24" s="228">
        <f t="shared" si="2"/>
        <v>1221.7299063231851</v>
      </c>
      <c r="J24" s="228">
        <f>(I24*K!$G$23)</f>
        <v>2127.4001238182641</v>
      </c>
      <c r="K24" s="239">
        <f t="shared" si="1"/>
        <v>6.5286590864734692E-2</v>
      </c>
      <c r="M24" s="124"/>
    </row>
    <row r="25" spans="1:13" ht="6" customHeight="1">
      <c r="A25" s="160"/>
      <c r="B25" s="160"/>
      <c r="C25" s="160"/>
      <c r="D25" s="160"/>
      <c r="E25" s="161"/>
      <c r="F25" s="162"/>
      <c r="G25" s="185"/>
      <c r="H25" s="164"/>
      <c r="I25" s="163"/>
      <c r="J25" s="163"/>
      <c r="K25" s="192"/>
    </row>
    <row r="26" spans="1:13" s="122" customFormat="1" ht="18" customHeight="1">
      <c r="A26" s="393">
        <v>3</v>
      </c>
      <c r="B26" s="394" t="s">
        <v>129</v>
      </c>
      <c r="C26" s="394"/>
      <c r="D26" s="394"/>
      <c r="E26" s="182"/>
      <c r="F26" s="183"/>
      <c r="G26" s="181"/>
      <c r="H26" s="182"/>
      <c r="I26" s="182"/>
      <c r="J26" s="399">
        <f>J28+J33+J39+J43</f>
        <v>19272.339402425929</v>
      </c>
      <c r="K26" s="388">
        <f>J26/$J$53</f>
        <v>0.59143802968019965</v>
      </c>
    </row>
    <row r="27" spans="1:13" ht="5.0999999999999996" customHeight="1">
      <c r="A27" s="167"/>
      <c r="B27" s="168"/>
      <c r="C27" s="168"/>
      <c r="D27" s="169"/>
      <c r="E27" s="170"/>
      <c r="F27" s="165"/>
      <c r="G27" s="159"/>
      <c r="H27" s="166"/>
      <c r="I27" s="159"/>
      <c r="J27" s="159"/>
      <c r="K27" s="191"/>
    </row>
    <row r="28" spans="1:13" s="122" customFormat="1" ht="18" customHeight="1">
      <c r="A28" s="178" t="s">
        <v>59</v>
      </c>
      <c r="B28" s="179" t="s">
        <v>416</v>
      </c>
      <c r="C28" s="179"/>
      <c r="D28" s="179"/>
      <c r="E28" s="179"/>
      <c r="F28" s="180"/>
      <c r="G28" s="178"/>
      <c r="H28" s="179"/>
      <c r="I28" s="179"/>
      <c r="J28" s="400">
        <f>SUM(J29:J31)</f>
        <v>19272.339402425929</v>
      </c>
      <c r="K28" s="404">
        <f>SUM(K29:K31)</f>
        <v>0.59143802968019976</v>
      </c>
    </row>
    <row r="29" spans="1:13" s="123" customFormat="1">
      <c r="A29" s="232" t="s">
        <v>378</v>
      </c>
      <c r="B29" s="232">
        <f>'P1'!B29</f>
        <v>65003710</v>
      </c>
      <c r="C29" s="232" t="str">
        <f>Custos!G38</f>
        <v>set/2024</v>
      </c>
      <c r="D29" s="237" t="str">
        <f>Custos!D38</f>
        <v>COPASA</v>
      </c>
      <c r="E29" s="415" t="str">
        <f>Custos!B38</f>
        <v>Mobilização e desmobilização de equipe de topografia</v>
      </c>
      <c r="F29" s="234">
        <f>Custos!J38</f>
        <v>4.62</v>
      </c>
      <c r="G29" s="279" t="str">
        <f>Custos!H38</f>
        <v>km</v>
      </c>
      <c r="H29" s="279">
        <f>Serviços!E9</f>
        <v>308.19999999999993</v>
      </c>
      <c r="I29" s="228">
        <f>H29*F29</f>
        <v>1423.8839999999998</v>
      </c>
      <c r="J29" s="228">
        <f>(I29*K!$G$24)</f>
        <v>2118.2180594977958</v>
      </c>
      <c r="K29" s="240">
        <f>J29/$J$53</f>
        <v>6.5004807635584472E-2</v>
      </c>
    </row>
    <row r="30" spans="1:13" s="123" customFormat="1">
      <c r="A30" s="232" t="s">
        <v>383</v>
      </c>
      <c r="B30" s="232">
        <f>'P1'!B30</f>
        <v>65001667</v>
      </c>
      <c r="C30" s="232" t="str">
        <f>Custos!G39</f>
        <v>set/2024</v>
      </c>
      <c r="D30" s="237" t="str">
        <f>Custos!D39</f>
        <v>COPASA</v>
      </c>
      <c r="E30" s="415" t="str">
        <f>Custos!B39</f>
        <v>Equipe de topografia de campo</v>
      </c>
      <c r="F30" s="234">
        <f>Custos!J39</f>
        <v>50814.45</v>
      </c>
      <c r="G30" s="279" t="str">
        <f>Custos!H39</f>
        <v>mês</v>
      </c>
      <c r="H30" s="279">
        <f>Serviços!E10</f>
        <v>0.17956682104329014</v>
      </c>
      <c r="I30" s="228">
        <f t="shared" ref="I30:I31" si="3">H30*F30</f>
        <v>9124.5892495632143</v>
      </c>
      <c r="J30" s="228">
        <f>(I30*K!$G$24)</f>
        <v>13574.047979978877</v>
      </c>
      <c r="K30" s="240">
        <f>J30/$J$53</f>
        <v>0.41656635577166318</v>
      </c>
    </row>
    <row r="31" spans="1:13" s="123" customFormat="1">
      <c r="A31" s="232" t="s">
        <v>386</v>
      </c>
      <c r="B31" s="232">
        <f>'P1'!B31</f>
        <v>65001668</v>
      </c>
      <c r="C31" s="232" t="str">
        <f>Custos!G40</f>
        <v>set/2024</v>
      </c>
      <c r="D31" s="237" t="str">
        <f>Custos!D40</f>
        <v>COPASA</v>
      </c>
      <c r="E31" s="415" t="str">
        <f>Custos!B40</f>
        <v>Equipe de topografia de escritório</v>
      </c>
      <c r="F31" s="234">
        <f>Custos!J40</f>
        <v>26804.01</v>
      </c>
      <c r="G31" s="279" t="str">
        <f>Custos!H40</f>
        <v>mês</v>
      </c>
      <c r="H31" s="279">
        <f>Serviços!E11</f>
        <v>8.9783410521645068E-2</v>
      </c>
      <c r="I31" s="228">
        <f t="shared" si="3"/>
        <v>2406.5554334562794</v>
      </c>
      <c r="J31" s="228">
        <f>(I31*K!$G$24)</f>
        <v>3580.0733629492556</v>
      </c>
      <c r="K31" s="240">
        <f>J31/$J$53</f>
        <v>0.10986686627295206</v>
      </c>
    </row>
    <row r="32" spans="1:13" ht="10.5" customHeight="1">
      <c r="A32" s="167"/>
      <c r="B32" s="168"/>
      <c r="C32" s="168"/>
      <c r="D32" s="169"/>
      <c r="E32" s="170"/>
      <c r="F32" s="165"/>
      <c r="G32" s="279"/>
      <c r="H32" s="166"/>
      <c r="I32" s="159"/>
      <c r="J32" s="159"/>
      <c r="K32" s="191"/>
    </row>
    <row r="33" spans="1:11" s="122" customFormat="1" ht="18" customHeight="1">
      <c r="A33" s="156" t="s">
        <v>60</v>
      </c>
      <c r="B33" s="171" t="s">
        <v>708</v>
      </c>
      <c r="C33" s="171"/>
      <c r="D33" s="171"/>
      <c r="E33" s="171"/>
      <c r="F33" s="158"/>
      <c r="G33" s="156"/>
      <c r="H33" s="157"/>
      <c r="I33" s="157"/>
      <c r="J33" s="172">
        <f>SUM(J35:J36)</f>
        <v>0</v>
      </c>
      <c r="K33" s="403">
        <f>SUM(K35:K36)</f>
        <v>0</v>
      </c>
    </row>
    <row r="34" spans="1:11" s="123" customFormat="1">
      <c r="A34" s="232" t="s">
        <v>378</v>
      </c>
      <c r="B34" s="232">
        <f>'P1'!B34</f>
        <v>65001207</v>
      </c>
      <c r="C34" s="232" t="str">
        <f>Custos!G32</f>
        <v>set/2024</v>
      </c>
      <c r="D34" s="237" t="str">
        <f>Custos!D32</f>
        <v>COPASA</v>
      </c>
      <c r="E34" s="415" t="str">
        <f>Custos!B32</f>
        <v>Sondagem a percussao - mobilizacao e desmobilizacao</v>
      </c>
      <c r="F34" s="234">
        <f>Custos!J32</f>
        <v>1316.83</v>
      </c>
      <c r="G34" s="279" t="str">
        <f>Custos!H32</f>
        <v>unidade</v>
      </c>
      <c r="H34" s="279">
        <f>Serviços!E14</f>
        <v>0</v>
      </c>
      <c r="I34" s="228">
        <f>H34*F34</f>
        <v>0</v>
      </c>
      <c r="J34" s="228">
        <f>(I34*K!$G$24)</f>
        <v>0</v>
      </c>
      <c r="K34" s="240">
        <f>J34/$J$53</f>
        <v>0</v>
      </c>
    </row>
    <row r="35" spans="1:11" s="123" customFormat="1" ht="26.45" customHeight="1">
      <c r="A35" s="232" t="s">
        <v>383</v>
      </c>
      <c r="B35" s="232">
        <f>'P1'!B35</f>
        <v>65001208</v>
      </c>
      <c r="C35" s="236" t="str">
        <f>Custos!G33</f>
        <v>set/2024</v>
      </c>
      <c r="D35" s="279" t="str">
        <f>Custos!D33</f>
        <v>COPASA</v>
      </c>
      <c r="E35" s="465" t="str">
        <f>Custos!B33</f>
        <v>Sondagem a percussao - adicional de mobilizacao e desmobilizacao</v>
      </c>
      <c r="F35" s="234">
        <f>Custos!J33</f>
        <v>9.32</v>
      </c>
      <c r="G35" s="416" t="str">
        <f>Custos!H33</f>
        <v>km</v>
      </c>
      <c r="H35" s="279">
        <f>Serviços!E15</f>
        <v>0</v>
      </c>
      <c r="I35" s="228">
        <f t="shared" ref="I35:I37" si="4">H35*F35</f>
        <v>0</v>
      </c>
      <c r="J35" s="228">
        <f>(I35*K!$G$24)</f>
        <v>0</v>
      </c>
      <c r="K35" s="239">
        <f>J35/$J$53</f>
        <v>0</v>
      </c>
    </row>
    <row r="36" spans="1:11" s="123" customFormat="1">
      <c r="A36" s="232" t="s">
        <v>386</v>
      </c>
      <c r="B36" s="232">
        <f>'P1'!B36</f>
        <v>65001209</v>
      </c>
      <c r="C36" s="232" t="str">
        <f>Custos!G34</f>
        <v>set/2024</v>
      </c>
      <c r="D36" s="237" t="str">
        <f>Custos!D34</f>
        <v>COPASA</v>
      </c>
      <c r="E36" s="415" t="str">
        <f>Custos!B34</f>
        <v>Sondagem a percussao - instalacao por furo</v>
      </c>
      <c r="F36" s="234">
        <f>Custos!J34</f>
        <v>482.46</v>
      </c>
      <c r="G36" s="279" t="str">
        <f>Custos!H34</f>
        <v>unidade</v>
      </c>
      <c r="H36" s="279">
        <f>Serviços!E16</f>
        <v>0</v>
      </c>
      <c r="I36" s="228">
        <f t="shared" si="4"/>
        <v>0</v>
      </c>
      <c r="J36" s="228">
        <f>(I36*K!$G$24)</f>
        <v>0</v>
      </c>
      <c r="K36" s="240">
        <f>J36/$J$53</f>
        <v>0</v>
      </c>
    </row>
    <row r="37" spans="1:11" s="123" customFormat="1" ht="26.45" customHeight="1">
      <c r="A37" s="232" t="s">
        <v>389</v>
      </c>
      <c r="B37" s="232">
        <f>'P1'!B37</f>
        <v>65001210</v>
      </c>
      <c r="C37" s="236" t="str">
        <f>Custos!G35</f>
        <v>set/2024</v>
      </c>
      <c r="D37" s="279" t="str">
        <f>Custos!D35</f>
        <v>COPASA</v>
      </c>
      <c r="E37" s="465" t="str">
        <f>Custos!B35</f>
        <v>Sondagem a percussao ø2.1/2" - perfuracao e retirada de amostras</v>
      </c>
      <c r="F37" s="234">
        <f>Custos!J35</f>
        <v>145.19999999999999</v>
      </c>
      <c r="G37" s="416" t="str">
        <f>Custos!H35</f>
        <v>m</v>
      </c>
      <c r="H37" s="279">
        <f>Serviços!E17</f>
        <v>0</v>
      </c>
      <c r="I37" s="228">
        <f t="shared" si="4"/>
        <v>0</v>
      </c>
      <c r="J37" s="228">
        <f>(I37*K!$G$24)</f>
        <v>0</v>
      </c>
      <c r="K37" s="240">
        <f>J37/$J$53</f>
        <v>0</v>
      </c>
    </row>
    <row r="38" spans="1:11" ht="6" customHeight="1">
      <c r="A38" s="160"/>
      <c r="B38" s="160"/>
      <c r="C38" s="160"/>
      <c r="D38" s="160"/>
      <c r="E38" s="161"/>
      <c r="F38" s="162"/>
      <c r="G38" s="185"/>
      <c r="H38" s="164"/>
      <c r="I38" s="163"/>
      <c r="J38" s="163"/>
      <c r="K38" s="192"/>
    </row>
    <row r="39" spans="1:11" s="122" customFormat="1" ht="18" customHeight="1">
      <c r="A39" s="156" t="s">
        <v>61</v>
      </c>
      <c r="B39" s="171" t="s">
        <v>420</v>
      </c>
      <c r="C39" s="171"/>
      <c r="D39" s="171"/>
      <c r="E39" s="171"/>
      <c r="F39" s="158"/>
      <c r="G39" s="156"/>
      <c r="H39" s="157"/>
      <c r="I39" s="157"/>
      <c r="J39" s="172">
        <f>SUM(J40:J41)</f>
        <v>0</v>
      </c>
      <c r="K39" s="403">
        <f>SUM(K40:K41)</f>
        <v>0</v>
      </c>
    </row>
    <row r="40" spans="1:11" s="123" customFormat="1">
      <c r="A40" s="232" t="s">
        <v>378</v>
      </c>
      <c r="B40" s="232">
        <f>'P1'!B40</f>
        <v>65001667</v>
      </c>
      <c r="C40" s="232" t="str">
        <f>Custos!G43</f>
        <v>set/2024</v>
      </c>
      <c r="D40" s="237" t="str">
        <f>Custos!D43</f>
        <v>COPASA</v>
      </c>
      <c r="E40" s="415" t="str">
        <f>Custos!B43</f>
        <v>Equipe de topografia de campo</v>
      </c>
      <c r="F40" s="234">
        <f>Custos!J43</f>
        <v>50814.45</v>
      </c>
      <c r="G40" s="279" t="str">
        <f>Custos!H43</f>
        <v>mês</v>
      </c>
      <c r="H40" s="279">
        <f>Serviços!E12</f>
        <v>0</v>
      </c>
      <c r="I40" s="228">
        <f>H40*F40</f>
        <v>0</v>
      </c>
      <c r="J40" s="228">
        <f>(I40*K!$G$24)</f>
        <v>0</v>
      </c>
      <c r="K40" s="240">
        <f>J40/$J$53</f>
        <v>0</v>
      </c>
    </row>
    <row r="41" spans="1:11" s="123" customFormat="1">
      <c r="A41" s="232" t="s">
        <v>383</v>
      </c>
      <c r="B41" s="232">
        <f>'P1'!B41</f>
        <v>65001668</v>
      </c>
      <c r="C41" s="232" t="str">
        <f>Custos!G44</f>
        <v>set/2024</v>
      </c>
      <c r="D41" s="237" t="str">
        <f>Custos!D44</f>
        <v>COPASA</v>
      </c>
      <c r="E41" s="415" t="str">
        <f>Custos!B44</f>
        <v>Equipe de topografia de escritório</v>
      </c>
      <c r="F41" s="234">
        <f>Custos!J44</f>
        <v>26804.01</v>
      </c>
      <c r="G41" s="279" t="str">
        <f>Custos!H44</f>
        <v>mês</v>
      </c>
      <c r="H41" s="279">
        <f>Serviços!E13</f>
        <v>0</v>
      </c>
      <c r="I41" s="228">
        <f>H41*F41</f>
        <v>0</v>
      </c>
      <c r="J41" s="228">
        <f>(I41*K!$G$24)</f>
        <v>0</v>
      </c>
      <c r="K41" s="240">
        <f>J41/$J$53</f>
        <v>0</v>
      </c>
    </row>
    <row r="42" spans="1:11" ht="5.0999999999999996" customHeight="1">
      <c r="A42" s="232"/>
      <c r="B42" s="237"/>
      <c r="C42" s="237"/>
      <c r="D42" s="232"/>
      <c r="E42" s="173"/>
      <c r="F42" s="165"/>
      <c r="G42" s="226"/>
      <c r="H42" s="166"/>
      <c r="I42" s="159"/>
      <c r="J42" s="159"/>
      <c r="K42" s="191"/>
    </row>
    <row r="43" spans="1:11" s="122" customFormat="1" ht="18" customHeight="1">
      <c r="A43" s="156" t="s">
        <v>62</v>
      </c>
      <c r="B43" s="171" t="s">
        <v>422</v>
      </c>
      <c r="C43" s="171"/>
      <c r="D43" s="171"/>
      <c r="E43" s="171"/>
      <c r="F43" s="158"/>
      <c r="G43" s="156"/>
      <c r="H43" s="157"/>
      <c r="I43" s="157"/>
      <c r="J43" s="172">
        <f>SUM(J44:J45)</f>
        <v>0</v>
      </c>
      <c r="K43" s="403">
        <f>SUM(K44:K45)</f>
        <v>0</v>
      </c>
    </row>
    <row r="44" spans="1:11" s="123" customFormat="1">
      <c r="A44" s="237" t="s">
        <v>378</v>
      </c>
      <c r="B44" s="237">
        <f>Custos!E49</f>
        <v>65001114</v>
      </c>
      <c r="C44" s="237" t="str">
        <f>Custos!G49</f>
        <v>set/2024</v>
      </c>
      <c r="D44" s="237" t="str">
        <f>Custos!D49</f>
        <v>COPASA</v>
      </c>
      <c r="E44" s="466" t="str">
        <f>Custos!B49</f>
        <v>Análise fisico-química da água</v>
      </c>
      <c r="F44" s="234">
        <f>Custos!J49</f>
        <v>371.18</v>
      </c>
      <c r="G44" s="237" t="str">
        <f>Custos!H49</f>
        <v>unidade</v>
      </c>
      <c r="H44" s="279">
        <f>Serviços!E18</f>
        <v>0</v>
      </c>
      <c r="I44" s="228">
        <f>H44*F44</f>
        <v>0</v>
      </c>
      <c r="J44" s="228">
        <f>(I44*K!$G$24)</f>
        <v>0</v>
      </c>
      <c r="K44" s="240">
        <f>J44/$J$53</f>
        <v>0</v>
      </c>
    </row>
    <row r="45" spans="1:11" s="123" customFormat="1">
      <c r="A45" s="237" t="s">
        <v>383</v>
      </c>
      <c r="B45" s="237">
        <f>Custos!E50</f>
        <v>65001115</v>
      </c>
      <c r="C45" s="237" t="str">
        <f>Custos!G50</f>
        <v>set/2024</v>
      </c>
      <c r="D45" s="237" t="str">
        <f>Custos!D50</f>
        <v>COPASA</v>
      </c>
      <c r="E45" s="466" t="str">
        <f>Custos!B50</f>
        <v>Analise bactereologica da água</v>
      </c>
      <c r="F45" s="234">
        <f>Custos!J50</f>
        <v>120.28</v>
      </c>
      <c r="G45" s="237" t="str">
        <f>Custos!H50</f>
        <v>unidade</v>
      </c>
      <c r="H45" s="279">
        <f>Serviços!E19</f>
        <v>0</v>
      </c>
      <c r="I45" s="228">
        <f t="shared" ref="I45" si="5">H45*F45</f>
        <v>0</v>
      </c>
      <c r="J45" s="228">
        <f>(I45*K!$G$24)</f>
        <v>0</v>
      </c>
      <c r="K45" s="240">
        <f>J45/$J$53</f>
        <v>0</v>
      </c>
    </row>
    <row r="46" spans="1:11" s="122" customFormat="1" ht="18" customHeight="1">
      <c r="A46" s="393" t="s">
        <v>724</v>
      </c>
      <c r="B46" s="394" t="s">
        <v>725</v>
      </c>
      <c r="C46" s="394"/>
      <c r="D46" s="394"/>
      <c r="E46" s="182"/>
      <c r="F46" s="183"/>
      <c r="G46" s="181"/>
      <c r="H46" s="182"/>
      <c r="I46" s="182"/>
      <c r="J46" s="399">
        <f>J48</f>
        <v>0</v>
      </c>
      <c r="K46" s="388">
        <f>J46/$J$53</f>
        <v>0</v>
      </c>
    </row>
    <row r="47" spans="1:11" ht="5.0999999999999996" customHeight="1">
      <c r="A47" s="395"/>
      <c r="B47" s="168"/>
      <c r="C47" s="168"/>
      <c r="D47" s="395"/>
      <c r="E47" s="173"/>
      <c r="F47" s="165"/>
      <c r="G47" s="159"/>
      <c r="H47" s="166"/>
      <c r="I47" s="159"/>
      <c r="J47" s="159"/>
      <c r="K47" s="191"/>
    </row>
    <row r="48" spans="1:11" s="122" customFormat="1" ht="18" customHeight="1">
      <c r="A48" s="156" t="s">
        <v>72</v>
      </c>
      <c r="B48" s="157" t="s">
        <v>421</v>
      </c>
      <c r="C48" s="157"/>
      <c r="D48" s="157"/>
      <c r="E48" s="157"/>
      <c r="F48" s="158"/>
      <c r="G48" s="156"/>
      <c r="H48" s="157"/>
      <c r="I48" s="157"/>
      <c r="J48" s="177">
        <f>SUM(J49:J51)</f>
        <v>0</v>
      </c>
      <c r="K48" s="402">
        <f>SUM(K49:K51)</f>
        <v>0</v>
      </c>
    </row>
    <row r="49" spans="1:12" s="123" customFormat="1">
      <c r="A49" s="237" t="s">
        <v>378</v>
      </c>
      <c r="B49" s="237" t="str">
        <f>Custos!F52</f>
        <v>-</v>
      </c>
      <c r="C49" s="237" t="str">
        <f>Custos!G52</f>
        <v>out/2024</v>
      </c>
      <c r="D49" s="237" t="str">
        <f>Custos!D52</f>
        <v>Composição</v>
      </c>
      <c r="E49" s="233" t="str">
        <f>Custos!B52</f>
        <v>Veículo tipo pick-up 4X4</v>
      </c>
      <c r="F49" s="234">
        <f>'P1'!F49</f>
        <v>2491.71</v>
      </c>
      <c r="G49" s="279" t="str">
        <f>'P1'!G49</f>
        <v>R$/dia</v>
      </c>
      <c r="H49" s="279">
        <f>Serviços!E20</f>
        <v>0</v>
      </c>
      <c r="I49" s="228">
        <f>H49*F49</f>
        <v>0</v>
      </c>
      <c r="J49" s="228">
        <f>(I49*K!$G$25)</f>
        <v>0</v>
      </c>
      <c r="K49" s="240">
        <f>J49/$J$53</f>
        <v>0</v>
      </c>
    </row>
    <row r="50" spans="1:12" s="123" customFormat="1" ht="16.149999999999999" customHeight="1">
      <c r="A50" s="237" t="s">
        <v>383</v>
      </c>
      <c r="B50" s="237" t="str">
        <f>Custos!F53</f>
        <v>-</v>
      </c>
      <c r="C50" s="237" t="str">
        <f>Custos!G53</f>
        <v>out/2024</v>
      </c>
      <c r="D50" s="238" t="str">
        <f>Custos!D53</f>
        <v>AGEVAP</v>
      </c>
      <c r="E50" s="233" t="str">
        <f>Custos!B53</f>
        <v>Refeições</v>
      </c>
      <c r="F50" s="234">
        <f>'P1'!F50</f>
        <v>25.61</v>
      </c>
      <c r="G50" s="279" t="str">
        <f>'P1'!G50</f>
        <v>unidade</v>
      </c>
      <c r="H50" s="279">
        <f>Serviços!E21</f>
        <v>0</v>
      </c>
      <c r="I50" s="228">
        <f t="shared" ref="I50:I51" si="6">H50*F50</f>
        <v>0</v>
      </c>
      <c r="J50" s="228">
        <f>(I50*K!$G$25)</f>
        <v>0</v>
      </c>
      <c r="K50" s="240">
        <f>J50/$J$53</f>
        <v>0</v>
      </c>
    </row>
    <row r="51" spans="1:12" s="123" customFormat="1" ht="16.149999999999999" customHeight="1">
      <c r="A51" s="237" t="s">
        <v>386</v>
      </c>
      <c r="B51" s="237" t="str">
        <f>Custos!F54</f>
        <v>-</v>
      </c>
      <c r="C51" s="237" t="str">
        <f>Custos!G54</f>
        <v>out/2024</v>
      </c>
      <c r="D51" s="238" t="str">
        <f>Custos!D54</f>
        <v>AGEVAP</v>
      </c>
      <c r="E51" s="233" t="str">
        <f>Custos!B54</f>
        <v>Diárias</v>
      </c>
      <c r="F51" s="234">
        <f>'P1'!F51</f>
        <v>335</v>
      </c>
      <c r="G51" s="279" t="str">
        <f>'P1'!G51</f>
        <v>unidade</v>
      </c>
      <c r="H51" s="279">
        <f>Serviços!E22</f>
        <v>0</v>
      </c>
      <c r="I51" s="228">
        <f t="shared" si="6"/>
        <v>0</v>
      </c>
      <c r="J51" s="228">
        <f>(I51*K!$G$25)</f>
        <v>0</v>
      </c>
      <c r="K51" s="240">
        <f>J51/$J$53</f>
        <v>0</v>
      </c>
    </row>
    <row r="52" spans="1:12" ht="6" customHeight="1">
      <c r="A52" s="151"/>
      <c r="B52" s="160"/>
      <c r="C52" s="160"/>
      <c r="D52" s="160"/>
      <c r="E52" s="174"/>
      <c r="F52" s="175"/>
      <c r="G52" s="185"/>
      <c r="H52" s="163"/>
      <c r="I52" s="163"/>
      <c r="J52" s="176"/>
      <c r="K52" s="193"/>
    </row>
    <row r="53" spans="1:12" ht="18" customHeight="1">
      <c r="A53" s="746" t="s">
        <v>726</v>
      </c>
      <c r="B53" s="746"/>
      <c r="C53" s="746"/>
      <c r="D53" s="746"/>
      <c r="E53" s="746"/>
      <c r="F53" s="396"/>
      <c r="G53" s="397"/>
      <c r="H53" s="398"/>
      <c r="I53" s="396" t="s">
        <v>318</v>
      </c>
      <c r="J53" s="396">
        <f>ROUND((J7+J16+J26+J46),2)</f>
        <v>32585.56</v>
      </c>
      <c r="K53" s="401">
        <f>K7+K16+K26+K46</f>
        <v>1.0000001504352451</v>
      </c>
    </row>
    <row r="54" spans="1:12" ht="6" customHeight="1">
      <c r="A54" s="126"/>
      <c r="B54" s="80"/>
      <c r="C54" s="80"/>
      <c r="D54" s="127"/>
      <c r="E54" s="128"/>
      <c r="F54" s="133"/>
      <c r="G54" s="127"/>
      <c r="H54" s="125"/>
      <c r="I54" s="129"/>
      <c r="J54" s="121"/>
      <c r="K54" s="243"/>
    </row>
    <row r="55" spans="1:12" ht="20.100000000000001" customHeight="1">
      <c r="A55" s="152" t="s">
        <v>727</v>
      </c>
      <c r="B55" s="153"/>
      <c r="C55" s="153"/>
      <c r="D55" s="153"/>
      <c r="E55" s="153"/>
      <c r="F55" s="154"/>
      <c r="G55" s="186"/>
      <c r="H55" s="153"/>
      <c r="I55" s="153"/>
      <c r="J55" s="153"/>
      <c r="K55" s="154"/>
    </row>
    <row r="56" spans="1:12" ht="13.15" customHeight="1">
      <c r="A56" s="155" t="s">
        <v>728</v>
      </c>
      <c r="B56" s="743" t="s">
        <v>729</v>
      </c>
      <c r="C56" s="743"/>
      <c r="D56" s="743"/>
      <c r="E56" s="743"/>
      <c r="F56" s="743"/>
      <c r="G56" s="743"/>
      <c r="H56" s="743"/>
      <c r="I56" s="743"/>
      <c r="J56" s="743"/>
      <c r="K56" s="743"/>
    </row>
    <row r="57" spans="1:12" ht="13.15" customHeight="1">
      <c r="A57" s="155" t="s">
        <v>730</v>
      </c>
      <c r="B57" s="743" t="s">
        <v>731</v>
      </c>
      <c r="C57" s="743"/>
      <c r="D57" s="743"/>
      <c r="E57" s="743"/>
      <c r="F57" s="743"/>
      <c r="G57" s="743"/>
      <c r="H57" s="743"/>
      <c r="I57" s="743"/>
      <c r="J57" s="743"/>
      <c r="K57" s="743"/>
    </row>
    <row r="58" spans="1:12" ht="13.15" customHeight="1">
      <c r="A58" s="155" t="s">
        <v>732</v>
      </c>
      <c r="B58" s="743" t="s">
        <v>733</v>
      </c>
      <c r="C58" s="743"/>
      <c r="D58" s="743"/>
      <c r="E58" s="743"/>
      <c r="F58" s="743"/>
      <c r="G58" s="743"/>
      <c r="H58" s="743"/>
      <c r="I58" s="743"/>
      <c r="J58" s="743"/>
      <c r="K58" s="743"/>
    </row>
    <row r="59" spans="1:12" ht="13.15" customHeight="1">
      <c r="A59" s="155"/>
      <c r="B59" s="314"/>
      <c r="C59" s="314"/>
      <c r="D59" s="314"/>
      <c r="E59" s="314"/>
      <c r="F59" s="314"/>
      <c r="G59" s="314"/>
      <c r="H59" s="314"/>
      <c r="I59" s="314"/>
      <c r="J59" s="314"/>
      <c r="K59" s="314"/>
    </row>
    <row r="60" spans="1:12" ht="13.15" customHeight="1">
      <c r="A60" s="741" t="s">
        <v>734</v>
      </c>
      <c r="B60" s="741"/>
      <c r="C60" s="741"/>
      <c r="D60" s="741"/>
      <c r="E60" s="741"/>
      <c r="F60" s="741" t="s">
        <v>735</v>
      </c>
      <c r="G60" s="741"/>
      <c r="H60" s="741"/>
      <c r="I60" s="741"/>
      <c r="J60" s="314"/>
      <c r="K60" s="314"/>
    </row>
    <row r="61" spans="1:12" ht="13.15" customHeight="1">
      <c r="A61" s="742" t="s">
        <v>736</v>
      </c>
      <c r="B61" s="742"/>
      <c r="C61" s="742"/>
      <c r="D61" s="742"/>
      <c r="E61" s="742"/>
      <c r="F61" s="742" t="s">
        <v>737</v>
      </c>
      <c r="G61" s="742"/>
      <c r="H61" s="742"/>
      <c r="I61" s="742"/>
      <c r="J61" s="314"/>
      <c r="K61" s="314"/>
    </row>
    <row r="62" spans="1:12" ht="13.15" customHeight="1">
      <c r="A62" s="742" t="s">
        <v>738</v>
      </c>
      <c r="B62" s="742"/>
      <c r="C62" s="742"/>
      <c r="D62" s="742"/>
      <c r="E62" s="742"/>
      <c r="F62" s="742" t="s">
        <v>738</v>
      </c>
      <c r="G62" s="742"/>
      <c r="H62" s="742"/>
      <c r="I62" s="742"/>
      <c r="J62" s="314"/>
      <c r="K62" s="314"/>
    </row>
    <row r="63" spans="1:12">
      <c r="A63" s="551"/>
      <c r="B63" s="551"/>
      <c r="C63" s="551"/>
      <c r="D63" s="551"/>
      <c r="E63" s="131"/>
      <c r="G63" s="131"/>
      <c r="H63" s="131"/>
      <c r="L63"/>
    </row>
    <row r="64" spans="1:12" ht="15" customHeight="1">
      <c r="A64" s="741" t="s">
        <v>739</v>
      </c>
      <c r="B64" s="741"/>
      <c r="C64" s="741"/>
      <c r="D64" s="741"/>
      <c r="E64" s="741"/>
      <c r="F64" s="741"/>
      <c r="G64" s="741"/>
      <c r="H64" s="741"/>
      <c r="I64" s="741"/>
      <c r="J64" s="741"/>
      <c r="K64" s="741"/>
      <c r="L64"/>
    </row>
    <row r="65" spans="1:12" ht="15" customHeight="1">
      <c r="A65" s="742" t="s">
        <v>740</v>
      </c>
      <c r="B65" s="742"/>
      <c r="C65" s="742"/>
      <c r="D65" s="742"/>
      <c r="E65" s="742"/>
      <c r="F65" s="742"/>
      <c r="G65" s="742"/>
      <c r="H65" s="742"/>
      <c r="I65" s="742"/>
      <c r="J65" s="742"/>
      <c r="K65" s="742"/>
    </row>
    <row r="66" spans="1:12" ht="15" customHeight="1">
      <c r="A66" s="742" t="s">
        <v>738</v>
      </c>
      <c r="B66" s="742"/>
      <c r="C66" s="742"/>
      <c r="D66" s="742"/>
      <c r="E66" s="742"/>
      <c r="F66" s="742"/>
      <c r="G66" s="742"/>
      <c r="H66" s="742"/>
      <c r="I66" s="742"/>
      <c r="J66" s="742"/>
      <c r="K66" s="742"/>
      <c r="L66" s="122"/>
    </row>
  </sheetData>
  <mergeCells count="15">
    <mergeCell ref="D1:K1"/>
    <mergeCell ref="F6:G6"/>
    <mergeCell ref="A53:E53"/>
    <mergeCell ref="B56:K56"/>
    <mergeCell ref="B57:K57"/>
    <mergeCell ref="A64:K64"/>
    <mergeCell ref="A65:K65"/>
    <mergeCell ref="A66:K66"/>
    <mergeCell ref="B58:K58"/>
    <mergeCell ref="F60:I60"/>
    <mergeCell ref="F61:I61"/>
    <mergeCell ref="F62:I62"/>
    <mergeCell ref="A60:E60"/>
    <mergeCell ref="A61:E61"/>
    <mergeCell ref="A62:E62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1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8" tint="-0.249977111117893"/>
    <pageSetUpPr fitToPage="1"/>
  </sheetPr>
  <dimension ref="A1:M66"/>
  <sheetViews>
    <sheetView showGridLines="0" view="pageBreakPreview" zoomScaleNormal="100" zoomScaleSheetLayoutView="100" workbookViewId="0">
      <selection activeCell="A43" sqref="A43"/>
    </sheetView>
  </sheetViews>
  <sheetFormatPr defaultColWidth="9.140625" defaultRowHeight="15.75"/>
  <cols>
    <col min="1" max="1" width="5" style="81" customWidth="1"/>
    <col min="2" max="3" width="10" style="81" customWidth="1"/>
    <col min="4" max="4" width="13.85546875" style="81" customWidth="1"/>
    <col min="5" max="5" width="45.7109375" style="81" customWidth="1"/>
    <col min="6" max="6" width="9.85546875" style="131" customWidth="1"/>
    <col min="7" max="7" width="8.28515625" style="134" bestFit="1" customWidth="1"/>
    <col min="8" max="8" width="12.140625" style="81" customWidth="1"/>
    <col min="9" max="9" width="10.5703125" style="81" customWidth="1"/>
    <col min="10" max="10" width="13" style="81" customWidth="1"/>
    <col min="11" max="11" width="12.140625" style="131" customWidth="1"/>
    <col min="12" max="22" width="12.7109375" style="81" customWidth="1"/>
    <col min="23" max="16384" width="9.140625" style="81"/>
  </cols>
  <sheetData>
    <row r="1" spans="1:13" ht="35.25" customHeight="1">
      <c r="B1" s="130"/>
      <c r="C1" s="130"/>
      <c r="D1" s="744" t="str">
        <f>'P2'!D1</f>
        <v xml:space="preserve">ORÇAMENTO PARA ELABORAÇÃO DE PROJETOS DE SISTEMA DE ESGOTAMENTO SANITÁRIO </v>
      </c>
      <c r="E1" s="744"/>
      <c r="F1" s="744"/>
      <c r="G1" s="744"/>
      <c r="H1" s="744"/>
      <c r="I1" s="744"/>
      <c r="J1" s="744"/>
      <c r="K1" s="744"/>
    </row>
    <row r="2" spans="1:13" s="122" customFormat="1" ht="15" customHeight="1">
      <c r="A2" s="80" t="s">
        <v>743</v>
      </c>
      <c r="C2" s="83" t="str">
        <f>'Horas trabalhadas'!F8</f>
        <v>Estudo de Concepção</v>
      </c>
      <c r="F2" s="132"/>
      <c r="G2" s="184"/>
      <c r="J2" s="119" t="s">
        <v>134</v>
      </c>
      <c r="K2" s="63">
        <f ca="1">'Dados Básicos do município'!H4</f>
        <v>46139</v>
      </c>
    </row>
    <row r="3" spans="1:13" s="122" customFormat="1" ht="15" customHeight="1">
      <c r="A3" s="80" t="s">
        <v>135</v>
      </c>
      <c r="C3" s="83" t="str">
        <f>'Dados Básicos do município'!B5</f>
        <v>CBH-SANTO ANTÔNIO</v>
      </c>
      <c r="F3" s="132"/>
      <c r="G3" s="184"/>
      <c r="K3" s="132"/>
    </row>
    <row r="4" spans="1:13" s="122" customFormat="1" ht="15" customHeight="1">
      <c r="A4" s="80" t="s">
        <v>136</v>
      </c>
      <c r="C4" s="83" t="str">
        <f>'Dados Básicos do município'!B6</f>
        <v>Açucena/MG</v>
      </c>
      <c r="F4" s="132"/>
      <c r="G4" s="184"/>
      <c r="J4" s="120"/>
      <c r="K4" s="119"/>
    </row>
    <row r="5" spans="1:13" ht="6" customHeight="1">
      <c r="A5" s="160"/>
      <c r="B5" s="160"/>
      <c r="C5" s="160"/>
      <c r="D5" s="160"/>
      <c r="E5" s="161"/>
      <c r="F5" s="162"/>
      <c r="G5" s="185"/>
      <c r="H5" s="164"/>
      <c r="I5" s="163"/>
      <c r="J5" s="163"/>
      <c r="K5" s="192"/>
    </row>
    <row r="6" spans="1:13" s="134" customFormat="1" ht="47.45" customHeight="1">
      <c r="A6" s="380" t="s">
        <v>713</v>
      </c>
      <c r="B6" s="380" t="s">
        <v>10</v>
      </c>
      <c r="C6" s="380" t="s">
        <v>714</v>
      </c>
      <c r="D6" s="380" t="s">
        <v>715</v>
      </c>
      <c r="E6" s="381" t="s">
        <v>716</v>
      </c>
      <c r="F6" s="745" t="s">
        <v>717</v>
      </c>
      <c r="G6" s="745"/>
      <c r="H6" s="382" t="s">
        <v>718</v>
      </c>
      <c r="I6" s="383" t="s">
        <v>719</v>
      </c>
      <c r="J6" s="383" t="s">
        <v>720</v>
      </c>
      <c r="K6" s="383" t="s">
        <v>721</v>
      </c>
    </row>
    <row r="7" spans="1:13" s="122" customFormat="1" ht="18" customHeight="1">
      <c r="A7" s="384">
        <v>1</v>
      </c>
      <c r="B7" s="385" t="s">
        <v>722</v>
      </c>
      <c r="C7" s="385"/>
      <c r="D7" s="385"/>
      <c r="E7" s="385"/>
      <c r="F7" s="386"/>
      <c r="G7" s="384"/>
      <c r="H7" s="385"/>
      <c r="I7" s="385"/>
      <c r="J7" s="387">
        <f>J9</f>
        <v>29676.861100065507</v>
      </c>
      <c r="K7" s="388">
        <f>J7/$J$53</f>
        <v>0.66990021990910043</v>
      </c>
    </row>
    <row r="8" spans="1:13" ht="6" customHeight="1">
      <c r="A8" s="160"/>
      <c r="B8" s="160"/>
      <c r="C8" s="160"/>
      <c r="D8" s="160"/>
      <c r="E8" s="161"/>
      <c r="F8" s="162"/>
      <c r="G8" s="185"/>
      <c r="H8" s="164"/>
      <c r="I8" s="163"/>
      <c r="J8" s="163"/>
      <c r="K8" s="192"/>
    </row>
    <row r="9" spans="1:13" s="122" customFormat="1" ht="18" customHeight="1">
      <c r="A9" s="178" t="s">
        <v>29</v>
      </c>
      <c r="B9" s="179" t="s">
        <v>376</v>
      </c>
      <c r="C9" s="179"/>
      <c r="D9" s="179"/>
      <c r="E9" s="179"/>
      <c r="F9" s="180"/>
      <c r="G9" s="178"/>
      <c r="H9" s="179"/>
      <c r="I9" s="179"/>
      <c r="J9" s="400">
        <f>SUM(J10:J14)</f>
        <v>29676.861100065507</v>
      </c>
      <c r="K9" s="404">
        <f>SUM(K10:K14)</f>
        <v>0.66990021990910031</v>
      </c>
    </row>
    <row r="10" spans="1:13" s="123" customFormat="1" ht="16.149999999999999" customHeight="1">
      <c r="A10" s="232" t="s">
        <v>378</v>
      </c>
      <c r="B10" s="225" t="str">
        <f>'P1'!B10</f>
        <v>P8061</v>
      </c>
      <c r="C10" s="225" t="str">
        <f>Custos!G13</f>
        <v>abr/2024</v>
      </c>
      <c r="D10" s="226" t="str">
        <f>Custos!$D$13</f>
        <v>DNIT</v>
      </c>
      <c r="E10" s="227" t="str">
        <f>Custos!B13</f>
        <v>Engenheiro Coordenador</v>
      </c>
      <c r="F10" s="228">
        <f>Custos!J13</f>
        <v>123.19</v>
      </c>
      <c r="G10" s="226" t="s">
        <v>382</v>
      </c>
      <c r="H10" s="422">
        <f>'Horas trabalhadas'!F9</f>
        <v>51.082783539645362</v>
      </c>
      <c r="I10" s="228">
        <f>H10*F10</f>
        <v>6292.888104248912</v>
      </c>
      <c r="J10" s="228">
        <f>(I10*K!$G$23)</f>
        <v>10957.815522780706</v>
      </c>
      <c r="K10" s="240">
        <f>J10/$J$53</f>
        <v>0.24735240710541131</v>
      </c>
      <c r="M10" s="124"/>
    </row>
    <row r="11" spans="1:13" s="123" customFormat="1" ht="16.149999999999999" customHeight="1">
      <c r="A11" s="232" t="s">
        <v>383</v>
      </c>
      <c r="B11" s="225" t="str">
        <f>'P1'!B11</f>
        <v>P8066</v>
      </c>
      <c r="C11" s="229" t="str">
        <f>Custos!G14</f>
        <v>abr/2024</v>
      </c>
      <c r="D11" s="230" t="str">
        <f>Custos!D14</f>
        <v>DNIT</v>
      </c>
      <c r="E11" s="227" t="str">
        <f>Custos!B14</f>
        <v>Engenheiro de Projetos Pleno</v>
      </c>
      <c r="F11" s="231">
        <f>Custos!J14</f>
        <v>85.36</v>
      </c>
      <c r="G11" s="230" t="s">
        <v>382</v>
      </c>
      <c r="H11" s="422">
        <f>'Horas trabalhadas'!F10</f>
        <v>51.082783539645362</v>
      </c>
      <c r="I11" s="228">
        <f t="shared" ref="I11:I14" si="0">H11*F11</f>
        <v>4360.4264029441283</v>
      </c>
      <c r="J11" s="228">
        <f>(I11*K!$G$23)</f>
        <v>7592.8170551551357</v>
      </c>
      <c r="K11" s="240">
        <f>J11/$J$53</f>
        <v>0.1713937938998126</v>
      </c>
      <c r="M11" s="124"/>
    </row>
    <row r="12" spans="1:13" s="123" customFormat="1" ht="16.149999999999999" customHeight="1">
      <c r="A12" s="232" t="s">
        <v>386</v>
      </c>
      <c r="B12" s="225" t="str">
        <f>'P1'!B12</f>
        <v>P8065</v>
      </c>
      <c r="C12" s="229" t="str">
        <f>Custos!G15</f>
        <v>abr/2024</v>
      </c>
      <c r="D12" s="230" t="str">
        <f>Custos!D15</f>
        <v>DNIT</v>
      </c>
      <c r="E12" s="227" t="str">
        <f>Custos!B15</f>
        <v>Engenheiro de Projetos Júnior</v>
      </c>
      <c r="F12" s="231">
        <f>Custos!J15</f>
        <v>82.75</v>
      </c>
      <c r="G12" s="230" t="s">
        <v>382</v>
      </c>
      <c r="H12" s="422">
        <f>'Horas trabalhadas'!F11</f>
        <v>51.082783539645362</v>
      </c>
      <c r="I12" s="228">
        <f t="shared" si="0"/>
        <v>4227.1003379056538</v>
      </c>
      <c r="J12" s="228">
        <f>(I12*K!$G$23)</f>
        <v>7360.6561775314831</v>
      </c>
      <c r="K12" s="240">
        <f>J12/$J$53</f>
        <v>0.16615319171988624</v>
      </c>
      <c r="M12" s="124"/>
    </row>
    <row r="13" spans="1:13" s="123" customFormat="1" ht="16.149999999999999" customHeight="1">
      <c r="A13" s="232" t="s">
        <v>389</v>
      </c>
      <c r="B13" s="225" t="str">
        <f>'P1'!B13</f>
        <v>P8155</v>
      </c>
      <c r="C13" s="229" t="str">
        <f>Custos!G16</f>
        <v>abr/2024</v>
      </c>
      <c r="D13" s="230" t="str">
        <f>Custos!D16</f>
        <v>DNIT</v>
      </c>
      <c r="E13" s="227" t="str">
        <f>Custos!B16</f>
        <v>Técnico cadista</v>
      </c>
      <c r="F13" s="231">
        <f>Custos!J16</f>
        <v>19.32</v>
      </c>
      <c r="G13" s="230" t="s">
        <v>382</v>
      </c>
      <c r="H13" s="422">
        <f>'Horas trabalhadas'!F12</f>
        <v>0</v>
      </c>
      <c r="I13" s="228">
        <f t="shared" si="0"/>
        <v>0</v>
      </c>
      <c r="J13" s="228">
        <f>(I13*K!$G$23)</f>
        <v>0</v>
      </c>
      <c r="K13" s="240">
        <f>J13/$J$53</f>
        <v>0</v>
      </c>
      <c r="M13" s="124"/>
    </row>
    <row r="14" spans="1:13" s="123" customFormat="1" ht="16.149999999999999" customHeight="1">
      <c r="A14" s="232" t="s">
        <v>392</v>
      </c>
      <c r="B14" s="225" t="str">
        <f>'P1'!B13</f>
        <v>P8155</v>
      </c>
      <c r="C14" s="229" t="str">
        <f>Custos!G17</f>
        <v>abr/2024</v>
      </c>
      <c r="D14" s="230" t="str">
        <f>Custos!D17</f>
        <v>DNIT</v>
      </c>
      <c r="E14" s="227" t="str">
        <f>Custos!B17</f>
        <v>Auxiliar Administrativo</v>
      </c>
      <c r="F14" s="231">
        <f>Custos!J17</f>
        <v>12.7</v>
      </c>
      <c r="G14" s="230" t="s">
        <v>382</v>
      </c>
      <c r="H14" s="422">
        <f>'Horas trabalhadas'!F13</f>
        <v>170.27594513215124</v>
      </c>
      <c r="I14" s="228">
        <f t="shared" si="0"/>
        <v>2162.5045031783206</v>
      </c>
      <c r="J14" s="228">
        <f>(I14*K!$G$23)</f>
        <v>3765.5723445981812</v>
      </c>
      <c r="K14" s="240">
        <f>J14/$J$53</f>
        <v>8.5000827183990157E-2</v>
      </c>
      <c r="M14" s="124"/>
    </row>
    <row r="15" spans="1:13" ht="6" customHeight="1">
      <c r="A15" s="160"/>
      <c r="B15" s="160"/>
      <c r="C15" s="160"/>
      <c r="D15" s="160"/>
      <c r="E15" s="161"/>
      <c r="F15" s="162"/>
      <c r="G15" s="185"/>
      <c r="H15" s="164"/>
      <c r="I15" s="163"/>
      <c r="J15" s="163"/>
      <c r="K15" s="192"/>
    </row>
    <row r="16" spans="1:13" s="122" customFormat="1" ht="18" customHeight="1">
      <c r="A16" s="384">
        <v>2</v>
      </c>
      <c r="B16" s="385" t="s">
        <v>396</v>
      </c>
      <c r="C16" s="385"/>
      <c r="D16" s="385"/>
      <c r="E16" s="385"/>
      <c r="F16" s="386"/>
      <c r="G16" s="384"/>
      <c r="H16" s="385"/>
      <c r="I16" s="385"/>
      <c r="J16" s="387">
        <f>J18</f>
        <v>11397.527631996385</v>
      </c>
      <c r="K16" s="388">
        <f>J16/$J$53</f>
        <v>0.25727809424823478</v>
      </c>
    </row>
    <row r="17" spans="1:13" ht="5.0999999999999996" customHeight="1">
      <c r="A17" s="167"/>
      <c r="B17" s="168"/>
      <c r="C17" s="168"/>
      <c r="D17" s="169"/>
      <c r="E17" s="170"/>
      <c r="F17" s="165"/>
      <c r="G17" s="159"/>
      <c r="H17" s="166"/>
      <c r="I17" s="159"/>
      <c r="J17" s="159"/>
      <c r="K17" s="191"/>
    </row>
    <row r="18" spans="1:13" s="122" customFormat="1" ht="18" customHeight="1">
      <c r="A18" s="389" t="s">
        <v>47</v>
      </c>
      <c r="B18" s="390" t="s">
        <v>396</v>
      </c>
      <c r="C18" s="390"/>
      <c r="D18" s="390"/>
      <c r="E18" s="390"/>
      <c r="F18" s="391"/>
      <c r="G18" s="389"/>
      <c r="H18" s="390"/>
      <c r="I18" s="391"/>
      <c r="J18" s="392">
        <f>SUM(J19:J24)</f>
        <v>11397.527631996385</v>
      </c>
      <c r="K18" s="405">
        <f>SUM(K19:K24)</f>
        <v>0.25727809424823478</v>
      </c>
    </row>
    <row r="19" spans="1:13" s="123" customFormat="1" ht="16.149999999999999" customHeight="1">
      <c r="A19" s="232" t="s">
        <v>378</v>
      </c>
      <c r="B19" s="225" t="str">
        <f>'P1'!B19</f>
        <v>P8003</v>
      </c>
      <c r="C19" s="225" t="str">
        <f>Custos!G22</f>
        <v>abr/2024</v>
      </c>
      <c r="D19" s="230" t="str">
        <f>Custos!D22</f>
        <v>DNIT</v>
      </c>
      <c r="E19" s="227" t="str">
        <f>Custos!B22</f>
        <v>Advogado sênior</v>
      </c>
      <c r="F19" s="228">
        <f>Custos!J22</f>
        <v>76.88</v>
      </c>
      <c r="G19" s="226" t="s">
        <v>382</v>
      </c>
      <c r="H19" s="422">
        <f>'Horas trabalhadas'!F14</f>
        <v>85.137972566075618</v>
      </c>
      <c r="I19" s="228">
        <f t="shared" ref="I19:I24" si="1">H19*F19</f>
        <v>6545.4073308798934</v>
      </c>
      <c r="J19" s="228">
        <f>(I19*K!$G$23)</f>
        <v>11397.527631996385</v>
      </c>
      <c r="K19" s="239">
        <f t="shared" ref="K19:K24" si="2">J19/$J$53</f>
        <v>0.25727809424823478</v>
      </c>
    </row>
    <row r="20" spans="1:13" s="123" customFormat="1" ht="16.149999999999999" customHeight="1">
      <c r="A20" s="232" t="s">
        <v>383</v>
      </c>
      <c r="B20" s="225" t="str">
        <f>'P1'!B20</f>
        <v>P8067</v>
      </c>
      <c r="C20" s="225" t="str">
        <f>Custos!G23</f>
        <v>abr/2024</v>
      </c>
      <c r="D20" s="230" t="str">
        <f>Custos!D23</f>
        <v>DNIT</v>
      </c>
      <c r="E20" s="227" t="str">
        <f>Custos!B23</f>
        <v>Engenheiro de Projetos (Elétrico)</v>
      </c>
      <c r="F20" s="228">
        <f>Custos!J23</f>
        <v>107.32</v>
      </c>
      <c r="G20" s="226" t="s">
        <v>382</v>
      </c>
      <c r="H20" s="422">
        <f>'Horas trabalhadas'!F15</f>
        <v>0</v>
      </c>
      <c r="I20" s="228">
        <f t="shared" si="1"/>
        <v>0</v>
      </c>
      <c r="J20" s="228">
        <f>(I20*K!$G$23)</f>
        <v>0</v>
      </c>
      <c r="K20" s="239">
        <f t="shared" si="2"/>
        <v>0</v>
      </c>
    </row>
    <row r="21" spans="1:13" s="123" customFormat="1" ht="16.149999999999999" customHeight="1">
      <c r="A21" s="232" t="s">
        <v>386</v>
      </c>
      <c r="B21" s="225" t="str">
        <f>'P1'!B21</f>
        <v>P8067</v>
      </c>
      <c r="C21" s="225" t="str">
        <f>Custos!G24</f>
        <v>abr/2024</v>
      </c>
      <c r="D21" s="230" t="str">
        <f>Custos!D24</f>
        <v>DNIT</v>
      </c>
      <c r="E21" s="227" t="str">
        <f>Custos!B24</f>
        <v>Engenheiro de Projeto (Calculista)</v>
      </c>
      <c r="F21" s="228">
        <f>Custos!J24</f>
        <v>107.32</v>
      </c>
      <c r="G21" s="226" t="s">
        <v>382</v>
      </c>
      <c r="H21" s="422">
        <f>'Horas trabalhadas'!F16</f>
        <v>0</v>
      </c>
      <c r="I21" s="228">
        <f t="shared" si="1"/>
        <v>0</v>
      </c>
      <c r="J21" s="228">
        <f>(I21*K!$G$23)</f>
        <v>0</v>
      </c>
      <c r="K21" s="239">
        <f t="shared" si="2"/>
        <v>0</v>
      </c>
    </row>
    <row r="22" spans="1:13" s="123" customFormat="1" ht="16.149999999999999" customHeight="1">
      <c r="A22" s="232" t="s">
        <v>389</v>
      </c>
      <c r="B22" s="225" t="str">
        <f>'P1'!B22</f>
        <v>P8067</v>
      </c>
      <c r="C22" s="225" t="str">
        <f>Custos!G25</f>
        <v>abr/2024</v>
      </c>
      <c r="D22" s="230" t="str">
        <f>Custos!D25</f>
        <v>DNIT</v>
      </c>
      <c r="E22" s="227" t="str">
        <f>Custos!B25</f>
        <v>Engenheiro de Projetos (Mecânico)</v>
      </c>
      <c r="F22" s="228">
        <f>Custos!J25</f>
        <v>107.32</v>
      </c>
      <c r="G22" s="226" t="s">
        <v>382</v>
      </c>
      <c r="H22" s="422">
        <f>'Horas trabalhadas'!F17</f>
        <v>0</v>
      </c>
      <c r="I22" s="228">
        <f t="shared" si="1"/>
        <v>0</v>
      </c>
      <c r="J22" s="228">
        <f>(I22*K!$G$23)</f>
        <v>0</v>
      </c>
      <c r="K22" s="239">
        <f t="shared" si="2"/>
        <v>0</v>
      </c>
    </row>
    <row r="23" spans="1:13" s="123" customFormat="1" ht="16.149999999999999" customHeight="1">
      <c r="A23" s="232" t="s">
        <v>392</v>
      </c>
      <c r="B23" s="225" t="str">
        <f>'P1'!B23</f>
        <v>P8059</v>
      </c>
      <c r="C23" s="225" t="str">
        <f>Custos!G26</f>
        <v>abr/2024</v>
      </c>
      <c r="D23" s="230" t="str">
        <f>Custos!D27</f>
        <v>DNIT</v>
      </c>
      <c r="E23" s="227" t="str">
        <f>Custos!B26</f>
        <v>Engenheiro ambiental</v>
      </c>
      <c r="F23" s="228">
        <f>Custos!J26</f>
        <v>100.92</v>
      </c>
      <c r="G23" s="226" t="s">
        <v>382</v>
      </c>
      <c r="H23" s="422">
        <f>'Horas trabalhadas'!F18</f>
        <v>0</v>
      </c>
      <c r="I23" s="228">
        <f t="shared" si="1"/>
        <v>0</v>
      </c>
      <c r="J23" s="228">
        <f>(I23*K!$G$23)</f>
        <v>0</v>
      </c>
      <c r="K23" s="239">
        <f t="shared" si="2"/>
        <v>0</v>
      </c>
    </row>
    <row r="24" spans="1:13" s="123" customFormat="1" ht="16.149999999999999" customHeight="1">
      <c r="A24" s="232" t="s">
        <v>405</v>
      </c>
      <c r="B24" s="225" t="str">
        <f>'P1'!B24</f>
        <v>P8155</v>
      </c>
      <c r="C24" s="225" t="str">
        <f>Custos!G27</f>
        <v>abr/2024</v>
      </c>
      <c r="D24" s="230" t="str">
        <f>Custos!D27</f>
        <v>DNIT</v>
      </c>
      <c r="E24" s="227" t="str">
        <f>Custos!B27</f>
        <v>Técnico em geoprocessamento</v>
      </c>
      <c r="F24" s="228">
        <f>Custos!J27</f>
        <v>14.35</v>
      </c>
      <c r="G24" s="226" t="s">
        <v>382</v>
      </c>
      <c r="H24" s="422">
        <f>'Horas trabalhadas'!F19</f>
        <v>0</v>
      </c>
      <c r="I24" s="228">
        <f t="shared" si="1"/>
        <v>0</v>
      </c>
      <c r="J24" s="228">
        <f>(I24*K!$G$23)</f>
        <v>0</v>
      </c>
      <c r="K24" s="239">
        <f t="shared" si="2"/>
        <v>0</v>
      </c>
      <c r="M24" s="124"/>
    </row>
    <row r="25" spans="1:13" ht="6" customHeight="1">
      <c r="A25" s="160"/>
      <c r="B25" s="160"/>
      <c r="C25" s="160"/>
      <c r="D25" s="160"/>
      <c r="E25" s="161"/>
      <c r="F25" s="162"/>
      <c r="G25" s="185"/>
      <c r="H25" s="164"/>
      <c r="I25" s="163"/>
      <c r="J25" s="163"/>
      <c r="K25" s="192"/>
    </row>
    <row r="26" spans="1:13" s="122" customFormat="1" ht="18" customHeight="1">
      <c r="A26" s="393">
        <v>3</v>
      </c>
      <c r="B26" s="394" t="s">
        <v>129</v>
      </c>
      <c r="C26" s="394"/>
      <c r="D26" s="394"/>
      <c r="E26" s="182"/>
      <c r="F26" s="183"/>
      <c r="G26" s="181"/>
      <c r="H26" s="182"/>
      <c r="I26" s="182"/>
      <c r="J26" s="399">
        <f>J28+J33+J39+J43</f>
        <v>731.11253972991267</v>
      </c>
      <c r="K26" s="388">
        <f>J26/$J$53</f>
        <v>1.6503512601684422E-2</v>
      </c>
    </row>
    <row r="27" spans="1:13" ht="5.0999999999999996" customHeight="1">
      <c r="A27" s="167"/>
      <c r="B27" s="168"/>
      <c r="C27" s="168"/>
      <c r="D27" s="169"/>
      <c r="E27" s="170"/>
      <c r="F27" s="165"/>
      <c r="G27" s="159"/>
      <c r="H27" s="166"/>
      <c r="I27" s="159"/>
      <c r="J27" s="159"/>
      <c r="K27" s="191"/>
    </row>
    <row r="28" spans="1:13" s="122" customFormat="1" ht="18" customHeight="1">
      <c r="A28" s="178" t="s">
        <v>59</v>
      </c>
      <c r="B28" s="179" t="s">
        <v>416</v>
      </c>
      <c r="C28" s="179"/>
      <c r="D28" s="179"/>
      <c r="E28" s="179"/>
      <c r="F28" s="180"/>
      <c r="G28" s="178"/>
      <c r="H28" s="179"/>
      <c r="I28" s="179"/>
      <c r="J28" s="400">
        <f>SUM(J29:J31)</f>
        <v>0</v>
      </c>
      <c r="K28" s="404">
        <f>SUM(K29:K31)</f>
        <v>0</v>
      </c>
    </row>
    <row r="29" spans="1:13" s="123" customFormat="1">
      <c r="A29" s="232" t="s">
        <v>378</v>
      </c>
      <c r="B29" s="232">
        <f>'P1'!B29</f>
        <v>65003710</v>
      </c>
      <c r="C29" s="232" t="str">
        <f>Custos!G38</f>
        <v>set/2024</v>
      </c>
      <c r="D29" s="237" t="str">
        <f>Custos!D38</f>
        <v>COPASA</v>
      </c>
      <c r="E29" s="415" t="str">
        <f>Custos!B38</f>
        <v>Mobilização e desmobilização de equipe de topografia</v>
      </c>
      <c r="F29" s="234">
        <f>Custos!J38</f>
        <v>4.62</v>
      </c>
      <c r="G29" s="279" t="str">
        <f>Custos!H38</f>
        <v>km</v>
      </c>
      <c r="H29" s="279">
        <f>Serviços!F9</f>
        <v>0</v>
      </c>
      <c r="I29" s="228">
        <f t="shared" ref="I29:I31" si="3">H29*F29</f>
        <v>0</v>
      </c>
      <c r="J29" s="228">
        <f>(I29*K!$G$24)</f>
        <v>0</v>
      </c>
      <c r="K29" s="240">
        <f>J29/$J$53</f>
        <v>0</v>
      </c>
    </row>
    <row r="30" spans="1:13" s="123" customFormat="1">
      <c r="A30" s="232" t="s">
        <v>383</v>
      </c>
      <c r="B30" s="232">
        <f>'P1'!B30</f>
        <v>65001667</v>
      </c>
      <c r="C30" s="232" t="str">
        <f>Custos!G39</f>
        <v>set/2024</v>
      </c>
      <c r="D30" s="237" t="str">
        <f>Custos!D39</f>
        <v>COPASA</v>
      </c>
      <c r="E30" s="415" t="str">
        <f>Custos!B39</f>
        <v>Equipe de topografia de campo</v>
      </c>
      <c r="F30" s="234">
        <f>Custos!J39</f>
        <v>50814.45</v>
      </c>
      <c r="G30" s="279" t="str">
        <f>Custos!H39</f>
        <v>mês</v>
      </c>
      <c r="H30" s="279">
        <f>Serviços!F10</f>
        <v>0</v>
      </c>
      <c r="I30" s="228">
        <f t="shared" si="3"/>
        <v>0</v>
      </c>
      <c r="J30" s="228">
        <f>(I30*K!$G$24)</f>
        <v>0</v>
      </c>
      <c r="K30" s="240">
        <f>J30/$J$53</f>
        <v>0</v>
      </c>
    </row>
    <row r="31" spans="1:13" s="123" customFormat="1">
      <c r="A31" s="232" t="s">
        <v>386</v>
      </c>
      <c r="B31" s="232">
        <f>'P1'!B31</f>
        <v>65001668</v>
      </c>
      <c r="C31" s="232" t="str">
        <f>Custos!G40</f>
        <v>set/2024</v>
      </c>
      <c r="D31" s="237" t="str">
        <f>Custos!D40</f>
        <v>COPASA</v>
      </c>
      <c r="E31" s="415" t="str">
        <f>Custos!B40</f>
        <v>Equipe de topografia de escritório</v>
      </c>
      <c r="F31" s="234">
        <f>Custos!J40</f>
        <v>26804.01</v>
      </c>
      <c r="G31" s="279" t="str">
        <f>Custos!H40</f>
        <v>mês</v>
      </c>
      <c r="H31" s="279">
        <f>Serviços!F11</f>
        <v>0</v>
      </c>
      <c r="I31" s="228">
        <f t="shared" si="3"/>
        <v>0</v>
      </c>
      <c r="J31" s="228">
        <f>(I31*K!$G$24)</f>
        <v>0</v>
      </c>
      <c r="K31" s="240">
        <f>J31/$J$53</f>
        <v>0</v>
      </c>
    </row>
    <row r="32" spans="1:13" ht="10.5" customHeight="1">
      <c r="A32" s="167"/>
      <c r="B32" s="168"/>
      <c r="C32" s="168"/>
      <c r="D32" s="169"/>
      <c r="E32" s="170"/>
      <c r="F32" s="165"/>
      <c r="G32" s="279"/>
      <c r="H32" s="166"/>
      <c r="I32" s="159"/>
      <c r="J32" s="159"/>
      <c r="K32" s="191"/>
    </row>
    <row r="33" spans="1:11" s="122" customFormat="1" ht="18" customHeight="1">
      <c r="A33" s="156" t="s">
        <v>60</v>
      </c>
      <c r="B33" s="171" t="s">
        <v>708</v>
      </c>
      <c r="C33" s="171"/>
      <c r="D33" s="171"/>
      <c r="E33" s="171"/>
      <c r="F33" s="158"/>
      <c r="G33" s="156"/>
      <c r="H33" s="157"/>
      <c r="I33" s="157"/>
      <c r="J33" s="172">
        <f>SUM(J34:J37)</f>
        <v>0</v>
      </c>
      <c r="K33" s="403">
        <f>SUM(K34:K37)</f>
        <v>0</v>
      </c>
    </row>
    <row r="34" spans="1:11" s="123" customFormat="1">
      <c r="A34" s="232" t="s">
        <v>378</v>
      </c>
      <c r="B34" s="232">
        <f>'P1'!B34</f>
        <v>65001207</v>
      </c>
      <c r="C34" s="232" t="str">
        <f>Custos!G32</f>
        <v>set/2024</v>
      </c>
      <c r="D34" s="237" t="str">
        <f>Custos!D32</f>
        <v>COPASA</v>
      </c>
      <c r="E34" s="415" t="str">
        <f>Custos!B32</f>
        <v>Sondagem a percussao - mobilizacao e desmobilizacao</v>
      </c>
      <c r="F34" s="234">
        <f>Custos!J32</f>
        <v>1316.83</v>
      </c>
      <c r="G34" s="279" t="str">
        <f>Custos!H32</f>
        <v>unidade</v>
      </c>
      <c r="H34" s="279">
        <f>Serviços!F14</f>
        <v>0</v>
      </c>
      <c r="I34" s="228">
        <f t="shared" ref="I34:I37" si="4">H34*F34</f>
        <v>0</v>
      </c>
      <c r="J34" s="228">
        <f>(I34*K!$G$24)</f>
        <v>0</v>
      </c>
      <c r="K34" s="240">
        <f>J34/$J$53</f>
        <v>0</v>
      </c>
    </row>
    <row r="35" spans="1:11" s="123" customFormat="1" ht="26.45" customHeight="1">
      <c r="A35" s="232" t="s">
        <v>383</v>
      </c>
      <c r="B35" s="232">
        <f>'P1'!B35</f>
        <v>65001208</v>
      </c>
      <c r="C35" s="237" t="str">
        <f>Custos!G33</f>
        <v>set/2024</v>
      </c>
      <c r="D35" s="279" t="str">
        <f>Custos!D33</f>
        <v>COPASA</v>
      </c>
      <c r="E35" s="465" t="str">
        <f>Custos!B33</f>
        <v>Sondagem a percussao - adicional de mobilizacao e desmobilizacao</v>
      </c>
      <c r="F35" s="234">
        <f>Custos!J33</f>
        <v>9.32</v>
      </c>
      <c r="G35" s="416" t="str">
        <f>Custos!H33</f>
        <v>km</v>
      </c>
      <c r="H35" s="279">
        <f>Serviços!F15</f>
        <v>0</v>
      </c>
      <c r="I35" s="228">
        <f t="shared" si="4"/>
        <v>0</v>
      </c>
      <c r="J35" s="228">
        <f>(I35*K!$G$24)</f>
        <v>0</v>
      </c>
      <c r="K35" s="239">
        <f>J35/$J$53</f>
        <v>0</v>
      </c>
    </row>
    <row r="36" spans="1:11" s="123" customFormat="1">
      <c r="A36" s="232" t="s">
        <v>386</v>
      </c>
      <c r="B36" s="232">
        <f>'P1'!B36</f>
        <v>65001209</v>
      </c>
      <c r="C36" s="232" t="str">
        <f>Custos!G34</f>
        <v>set/2024</v>
      </c>
      <c r="D36" s="237" t="str">
        <f>Custos!D34</f>
        <v>COPASA</v>
      </c>
      <c r="E36" s="415" t="str">
        <f>Custos!B34</f>
        <v>Sondagem a percussao - instalacao por furo</v>
      </c>
      <c r="F36" s="234">
        <f>Custos!J34</f>
        <v>482.46</v>
      </c>
      <c r="G36" s="279" t="str">
        <f>Custos!H34</f>
        <v>unidade</v>
      </c>
      <c r="H36" s="279">
        <f>Serviços!F16</f>
        <v>0</v>
      </c>
      <c r="I36" s="228">
        <f t="shared" si="4"/>
        <v>0</v>
      </c>
      <c r="J36" s="228">
        <f>(I36*K!$G$24)</f>
        <v>0</v>
      </c>
      <c r="K36" s="240">
        <f>J36/$J$53</f>
        <v>0</v>
      </c>
    </row>
    <row r="37" spans="1:11" s="123" customFormat="1" ht="26.45" customHeight="1">
      <c r="A37" s="232" t="s">
        <v>389</v>
      </c>
      <c r="B37" s="232">
        <f>'P1'!B37</f>
        <v>65001210</v>
      </c>
      <c r="C37" s="237" t="str">
        <f>Custos!G35</f>
        <v>set/2024</v>
      </c>
      <c r="D37" s="279" t="str">
        <f>Custos!D35</f>
        <v>COPASA</v>
      </c>
      <c r="E37" s="465" t="str">
        <f>Custos!B35</f>
        <v>Sondagem a percussao ø2.1/2" - perfuracao e retirada de amostras</v>
      </c>
      <c r="F37" s="234">
        <f>Custos!J35</f>
        <v>145.19999999999999</v>
      </c>
      <c r="G37" s="416" t="str">
        <f>Custos!H35</f>
        <v>m</v>
      </c>
      <c r="H37" s="279">
        <f>Serviços!F17</f>
        <v>0</v>
      </c>
      <c r="I37" s="228">
        <f t="shared" si="4"/>
        <v>0</v>
      </c>
      <c r="J37" s="228">
        <f>(I37*K!$G$24)</f>
        <v>0</v>
      </c>
      <c r="K37" s="240">
        <f>J37/$J$53</f>
        <v>0</v>
      </c>
    </row>
    <row r="38" spans="1:11" ht="6" customHeight="1">
      <c r="A38" s="160"/>
      <c r="B38" s="160"/>
      <c r="C38" s="160"/>
      <c r="D38" s="160"/>
      <c r="E38" s="161"/>
      <c r="F38" s="162"/>
      <c r="G38" s="185"/>
      <c r="H38" s="235"/>
      <c r="I38" s="163"/>
      <c r="J38" s="163"/>
      <c r="K38" s="192"/>
    </row>
    <row r="39" spans="1:11" s="122" customFormat="1" ht="18" customHeight="1">
      <c r="A39" s="156" t="s">
        <v>61</v>
      </c>
      <c r="B39" s="171" t="s">
        <v>420</v>
      </c>
      <c r="C39" s="171"/>
      <c r="D39" s="171"/>
      <c r="E39" s="171"/>
      <c r="F39" s="158"/>
      <c r="G39" s="156"/>
      <c r="H39" s="157"/>
      <c r="I39" s="157"/>
      <c r="J39" s="172">
        <f>SUM(J40:J41)</f>
        <v>0</v>
      </c>
      <c r="K39" s="403">
        <f>SUM(K40:K41)</f>
        <v>0</v>
      </c>
    </row>
    <row r="40" spans="1:11" s="123" customFormat="1">
      <c r="A40" s="232" t="s">
        <v>378</v>
      </c>
      <c r="B40" s="232">
        <f>'P1'!B40</f>
        <v>65001667</v>
      </c>
      <c r="C40" s="232" t="str">
        <f>Custos!G43</f>
        <v>set/2024</v>
      </c>
      <c r="D40" s="237" t="str">
        <f>Custos!D43</f>
        <v>COPASA</v>
      </c>
      <c r="E40" s="415" t="str">
        <f>Custos!B43</f>
        <v>Equipe de topografia de campo</v>
      </c>
      <c r="F40" s="234">
        <f>Custos!J43</f>
        <v>50814.45</v>
      </c>
      <c r="G40" s="279" t="str">
        <f>Custos!H43</f>
        <v>mês</v>
      </c>
      <c r="H40" s="279">
        <f>Serviços!F12</f>
        <v>0</v>
      </c>
      <c r="I40" s="228">
        <f t="shared" ref="I40:I41" si="5">H40*F40</f>
        <v>0</v>
      </c>
      <c r="J40" s="228">
        <f>(I40*K!$G$24)</f>
        <v>0</v>
      </c>
      <c r="K40" s="240">
        <f>J40/$J$53</f>
        <v>0</v>
      </c>
    </row>
    <row r="41" spans="1:11" s="123" customFormat="1">
      <c r="A41" s="232" t="s">
        <v>383</v>
      </c>
      <c r="B41" s="232">
        <f>'P1'!B41</f>
        <v>65001668</v>
      </c>
      <c r="C41" s="232" t="str">
        <f>Custos!G44</f>
        <v>set/2024</v>
      </c>
      <c r="D41" s="237" t="str">
        <f>Custos!D44</f>
        <v>COPASA</v>
      </c>
      <c r="E41" s="415" t="str">
        <f>Custos!B44</f>
        <v>Equipe de topografia de escritório</v>
      </c>
      <c r="F41" s="234">
        <f>Custos!J44</f>
        <v>26804.01</v>
      </c>
      <c r="G41" s="279" t="str">
        <f>Custos!H44</f>
        <v>mês</v>
      </c>
      <c r="H41" s="279">
        <f>Serviços!F13</f>
        <v>0</v>
      </c>
      <c r="I41" s="228">
        <f t="shared" si="5"/>
        <v>0</v>
      </c>
      <c r="J41" s="228">
        <f>(I41*K!$G$24)</f>
        <v>0</v>
      </c>
      <c r="K41" s="240">
        <f>J41/$J$53</f>
        <v>0</v>
      </c>
    </row>
    <row r="42" spans="1:11" ht="5.0999999999999996" customHeight="1">
      <c r="A42" s="232"/>
      <c r="B42" s="237"/>
      <c r="C42" s="237"/>
      <c r="D42" s="232"/>
      <c r="E42" s="173"/>
      <c r="F42" s="165"/>
      <c r="G42" s="226"/>
      <c r="H42" s="166"/>
      <c r="I42" s="159"/>
      <c r="J42" s="159"/>
      <c r="K42" s="191"/>
    </row>
    <row r="43" spans="1:11" s="122" customFormat="1" ht="18" customHeight="1">
      <c r="A43" s="156" t="s">
        <v>62</v>
      </c>
      <c r="B43" s="171" t="s">
        <v>422</v>
      </c>
      <c r="C43" s="171"/>
      <c r="D43" s="171"/>
      <c r="E43" s="171"/>
      <c r="F43" s="158"/>
      <c r="G43" s="156"/>
      <c r="H43" s="157"/>
      <c r="I43" s="157"/>
      <c r="J43" s="172">
        <f>SUM(J44:J45)</f>
        <v>731.11253972991267</v>
      </c>
      <c r="K43" s="403">
        <f>SUM(K44:K45)</f>
        <v>1.6503512601684422E-2</v>
      </c>
    </row>
    <row r="44" spans="1:11" s="123" customFormat="1">
      <c r="A44" s="237" t="s">
        <v>378</v>
      </c>
      <c r="B44" s="237">
        <f>Custos!E49</f>
        <v>65001114</v>
      </c>
      <c r="C44" s="237" t="str">
        <f>Custos!G49</f>
        <v>set/2024</v>
      </c>
      <c r="D44" s="237" t="str">
        <f>Custos!D49</f>
        <v>COPASA</v>
      </c>
      <c r="E44" s="466" t="str">
        <f>Custos!B49</f>
        <v>Análise fisico-química da água</v>
      </c>
      <c r="F44" s="234">
        <f>Custos!J49</f>
        <v>371.18</v>
      </c>
      <c r="G44" s="237" t="str">
        <f>Custos!H49</f>
        <v>unidade</v>
      </c>
      <c r="H44" s="279">
        <f>Serviços!F18</f>
        <v>1</v>
      </c>
      <c r="I44" s="228">
        <f>H44*F44</f>
        <v>371.18</v>
      </c>
      <c r="J44" s="228">
        <f>(I44*K!$G$24)</f>
        <v>552.1799383407581</v>
      </c>
      <c r="K44" s="240">
        <f>J44/$J$53</f>
        <v>1.2464440254533887E-2</v>
      </c>
    </row>
    <row r="45" spans="1:11" s="123" customFormat="1">
      <c r="A45" s="237" t="s">
        <v>383</v>
      </c>
      <c r="B45" s="237">
        <f>Custos!E50</f>
        <v>65001115</v>
      </c>
      <c r="C45" s="237" t="str">
        <f>Custos!G50</f>
        <v>set/2024</v>
      </c>
      <c r="D45" s="237" t="str">
        <f>Custos!D50</f>
        <v>COPASA</v>
      </c>
      <c r="E45" s="466" t="str">
        <f>Custos!B50</f>
        <v>Analise bactereologica da água</v>
      </c>
      <c r="F45" s="234">
        <f>Custos!J50</f>
        <v>120.28</v>
      </c>
      <c r="G45" s="237" t="str">
        <f>Custos!H50</f>
        <v>unidade</v>
      </c>
      <c r="H45" s="279">
        <f>Serviços!F19</f>
        <v>1</v>
      </c>
      <c r="I45" s="228">
        <f t="shared" ref="I45" si="6">H45*F45</f>
        <v>120.28</v>
      </c>
      <c r="J45" s="228">
        <f>(I45*K!$G$24)</f>
        <v>178.93260138915454</v>
      </c>
      <c r="K45" s="240">
        <f>J45/$J$53</f>
        <v>4.0390723471505361E-3</v>
      </c>
    </row>
    <row r="46" spans="1:11" s="122" customFormat="1" ht="18" customHeight="1">
      <c r="A46" s="393" t="s">
        <v>724</v>
      </c>
      <c r="B46" s="394" t="s">
        <v>725</v>
      </c>
      <c r="C46" s="394"/>
      <c r="D46" s="394"/>
      <c r="E46" s="182"/>
      <c r="F46" s="183"/>
      <c r="G46" s="181"/>
      <c r="H46" s="182"/>
      <c r="I46" s="182"/>
      <c r="J46" s="399">
        <f>J48</f>
        <v>2494.9163498542271</v>
      </c>
      <c r="K46" s="388">
        <f>J46/$J$53</f>
        <v>5.6318119554040959E-2</v>
      </c>
    </row>
    <row r="47" spans="1:11" ht="5.0999999999999996" customHeight="1">
      <c r="A47" s="395"/>
      <c r="B47" s="168"/>
      <c r="C47" s="168"/>
      <c r="D47" s="395"/>
      <c r="E47" s="173"/>
      <c r="F47" s="165"/>
      <c r="G47" s="159"/>
      <c r="H47" s="166"/>
      <c r="I47" s="159"/>
      <c r="J47" s="159"/>
      <c r="K47" s="191"/>
    </row>
    <row r="48" spans="1:11" s="122" customFormat="1" ht="18" customHeight="1">
      <c r="A48" s="156" t="s">
        <v>72</v>
      </c>
      <c r="B48" s="157" t="s">
        <v>421</v>
      </c>
      <c r="C48" s="157"/>
      <c r="D48" s="157"/>
      <c r="E48" s="157"/>
      <c r="F48" s="158"/>
      <c r="G48" s="156"/>
      <c r="H48" s="157"/>
      <c r="I48" s="157"/>
      <c r="J48" s="177">
        <f>SUM(J49:J51)</f>
        <v>2494.9163498542271</v>
      </c>
      <c r="K48" s="402">
        <f>SUM(K49:K51)</f>
        <v>5.6318119554040959E-2</v>
      </c>
    </row>
    <row r="49" spans="1:12" s="123" customFormat="1" ht="16.149999999999999" customHeight="1">
      <c r="A49" s="232" t="s">
        <v>386</v>
      </c>
      <c r="B49" s="237" t="str">
        <f>Custos!F52</f>
        <v>-</v>
      </c>
      <c r="C49" s="237" t="str">
        <f>Custos!G52</f>
        <v>out/2024</v>
      </c>
      <c r="D49" s="238" t="str">
        <f>Custos!D52</f>
        <v>Composição</v>
      </c>
      <c r="E49" s="233" t="str">
        <f>Custos!B52</f>
        <v>Veículo tipo pick-up 4X4</v>
      </c>
      <c r="F49" s="234">
        <f>Custos!J52</f>
        <v>2491.71</v>
      </c>
      <c r="G49" s="279" t="str">
        <f>'P1'!G49</f>
        <v>R$/dia</v>
      </c>
      <c r="H49" s="279">
        <f>Serviços!F20</f>
        <v>0.5</v>
      </c>
      <c r="I49" s="228">
        <f t="shared" ref="I49:I51" si="7">H49*F49</f>
        <v>1245.855</v>
      </c>
      <c r="J49" s="228">
        <f>(I49*K!$G$25)</f>
        <v>1580.165478717201</v>
      </c>
      <c r="K49" s="240">
        <f>J49/$J$53</f>
        <v>3.5669311458383486E-2</v>
      </c>
    </row>
    <row r="50" spans="1:12" s="123" customFormat="1" ht="16.149999999999999" customHeight="1">
      <c r="A50" s="232" t="s">
        <v>389</v>
      </c>
      <c r="B50" s="237" t="str">
        <f>Custos!F53</f>
        <v>-</v>
      </c>
      <c r="C50" s="237" t="str">
        <f>Custos!G53</f>
        <v>out/2024</v>
      </c>
      <c r="D50" s="238" t="str">
        <f>Custos!D53</f>
        <v>AGEVAP</v>
      </c>
      <c r="E50" s="233" t="str">
        <f>Custos!B53</f>
        <v>Refeições</v>
      </c>
      <c r="F50" s="234">
        <f>Custos!J53</f>
        <v>25.61</v>
      </c>
      <c r="G50" s="279" t="str">
        <f>'P1'!G50</f>
        <v>unidade</v>
      </c>
      <c r="H50" s="279">
        <f>Serviços!F21</f>
        <v>2</v>
      </c>
      <c r="I50" s="228">
        <f t="shared" si="7"/>
        <v>51.22</v>
      </c>
      <c r="J50" s="228">
        <f>(I50*K!$G$25)</f>
        <v>64.964282215743438</v>
      </c>
      <c r="K50" s="240">
        <f>J50/$J$53</f>
        <v>1.4664484493768556E-3</v>
      </c>
    </row>
    <row r="51" spans="1:12" s="123" customFormat="1" ht="16.149999999999999" customHeight="1">
      <c r="A51" s="232" t="s">
        <v>392</v>
      </c>
      <c r="B51" s="237" t="str">
        <f>Custos!F54</f>
        <v>-</v>
      </c>
      <c r="C51" s="237" t="str">
        <f>Custos!G54</f>
        <v>out/2024</v>
      </c>
      <c r="D51" s="238" t="str">
        <f>Custos!D54</f>
        <v>AGEVAP</v>
      </c>
      <c r="E51" s="233" t="str">
        <f>Custos!B54</f>
        <v>Diárias</v>
      </c>
      <c r="F51" s="234">
        <f>Custos!J54</f>
        <v>335</v>
      </c>
      <c r="G51" s="279" t="str">
        <f>'P1'!G51</f>
        <v>unidade</v>
      </c>
      <c r="H51" s="279">
        <f>Serviços!F22</f>
        <v>2</v>
      </c>
      <c r="I51" s="228">
        <f t="shared" si="7"/>
        <v>670</v>
      </c>
      <c r="J51" s="228">
        <f>(I51*K!$G$25)</f>
        <v>849.78658892128271</v>
      </c>
      <c r="K51" s="240">
        <f>J51/$J$53</f>
        <v>1.9182359646280615E-2</v>
      </c>
    </row>
    <row r="52" spans="1:12" ht="6" customHeight="1">
      <c r="A52" s="151"/>
      <c r="B52" s="160"/>
      <c r="C52" s="160"/>
      <c r="D52" s="160"/>
      <c r="E52" s="174"/>
      <c r="F52" s="175"/>
      <c r="G52" s="185"/>
      <c r="H52" s="163"/>
      <c r="I52" s="163"/>
      <c r="J52" s="176"/>
      <c r="K52" s="193"/>
    </row>
    <row r="53" spans="1:12" ht="18" customHeight="1">
      <c r="A53" s="746" t="s">
        <v>726</v>
      </c>
      <c r="B53" s="746"/>
      <c r="C53" s="746"/>
      <c r="D53" s="746"/>
      <c r="E53" s="746"/>
      <c r="F53" s="396"/>
      <c r="G53" s="397"/>
      <c r="H53" s="398"/>
      <c r="I53" s="396" t="s">
        <v>318</v>
      </c>
      <c r="J53" s="396">
        <f>ROUND((J7+J16+J26+J46),2)</f>
        <v>44300.42</v>
      </c>
      <c r="K53" s="401">
        <f>K7+K16+K26+K46</f>
        <v>0.99999994631306066</v>
      </c>
    </row>
    <row r="54" spans="1:12" ht="6" customHeight="1">
      <c r="A54" s="126"/>
      <c r="B54" s="80"/>
      <c r="C54" s="80"/>
      <c r="D54" s="127"/>
      <c r="E54" s="128"/>
      <c r="F54" s="133"/>
      <c r="G54" s="127"/>
      <c r="H54" s="125"/>
      <c r="I54" s="129"/>
      <c r="J54" s="121"/>
      <c r="K54" s="243"/>
    </row>
    <row r="55" spans="1:12" ht="20.100000000000001" customHeight="1">
      <c r="A55" s="152" t="s">
        <v>727</v>
      </c>
      <c r="B55" s="153"/>
      <c r="C55" s="153"/>
      <c r="D55" s="153"/>
      <c r="E55" s="153"/>
      <c r="F55" s="154"/>
      <c r="G55" s="186"/>
      <c r="H55" s="153"/>
      <c r="I55" s="153"/>
      <c r="J55" s="153"/>
      <c r="K55" s="154"/>
    </row>
    <row r="56" spans="1:12" ht="24" customHeight="1">
      <c r="A56" s="155" t="s">
        <v>728</v>
      </c>
      <c r="B56" s="747" t="s">
        <v>729</v>
      </c>
      <c r="C56" s="747"/>
      <c r="D56" s="747"/>
      <c r="E56" s="747"/>
      <c r="F56" s="747"/>
      <c r="G56" s="747"/>
      <c r="H56" s="747"/>
      <c r="I56" s="747"/>
      <c r="J56" s="747"/>
      <c r="K56" s="747"/>
    </row>
    <row r="57" spans="1:12" ht="13.15" customHeight="1">
      <c r="A57" s="155" t="s">
        <v>730</v>
      </c>
      <c r="B57" s="743" t="s">
        <v>731</v>
      </c>
      <c r="C57" s="743"/>
      <c r="D57" s="743"/>
      <c r="E57" s="743"/>
      <c r="F57" s="743"/>
      <c r="G57" s="743"/>
      <c r="H57" s="743"/>
      <c r="I57" s="743"/>
      <c r="J57" s="743"/>
      <c r="K57" s="743"/>
    </row>
    <row r="58" spans="1:12" ht="13.15" customHeight="1">
      <c r="A58" s="155" t="s">
        <v>732</v>
      </c>
      <c r="B58" s="743" t="s">
        <v>733</v>
      </c>
      <c r="C58" s="743"/>
      <c r="D58" s="743"/>
      <c r="E58" s="743"/>
      <c r="F58" s="743"/>
      <c r="G58" s="743"/>
      <c r="H58" s="743"/>
      <c r="I58" s="743"/>
      <c r="J58" s="743"/>
      <c r="K58" s="743"/>
    </row>
    <row r="59" spans="1:12" ht="13.15" customHeight="1">
      <c r="A59" s="155"/>
      <c r="B59" s="314"/>
      <c r="C59" s="314"/>
      <c r="D59" s="314"/>
      <c r="E59" s="314"/>
      <c r="F59" s="314"/>
      <c r="G59" s="314"/>
      <c r="H59" s="314"/>
      <c r="I59" s="314"/>
      <c r="J59" s="314"/>
      <c r="K59" s="314"/>
    </row>
    <row r="60" spans="1:12" ht="13.15" customHeight="1">
      <c r="A60" s="741" t="s">
        <v>734</v>
      </c>
      <c r="B60" s="741"/>
      <c r="C60" s="741"/>
      <c r="D60" s="741"/>
      <c r="E60" s="741"/>
      <c r="F60" s="741" t="s">
        <v>735</v>
      </c>
      <c r="G60" s="741"/>
      <c r="H60" s="741"/>
      <c r="I60" s="741"/>
      <c r="J60" s="314"/>
      <c r="K60" s="314"/>
    </row>
    <row r="61" spans="1:12" ht="13.15" customHeight="1">
      <c r="A61" s="742" t="s">
        <v>736</v>
      </c>
      <c r="B61" s="742"/>
      <c r="C61" s="742"/>
      <c r="D61" s="742"/>
      <c r="E61" s="742"/>
      <c r="F61" s="742" t="s">
        <v>737</v>
      </c>
      <c r="G61" s="742"/>
      <c r="H61" s="742"/>
      <c r="I61" s="742"/>
      <c r="J61" s="314"/>
      <c r="K61" s="314"/>
    </row>
    <row r="62" spans="1:12" ht="13.15" customHeight="1">
      <c r="A62" s="742" t="s">
        <v>738</v>
      </c>
      <c r="B62" s="742"/>
      <c r="C62" s="742"/>
      <c r="D62" s="742"/>
      <c r="E62" s="742"/>
      <c r="F62" s="742" t="s">
        <v>738</v>
      </c>
      <c r="G62" s="742"/>
      <c r="H62" s="742"/>
      <c r="I62" s="742"/>
      <c r="J62" s="314"/>
      <c r="K62" s="314"/>
    </row>
    <row r="63" spans="1:12">
      <c r="A63" s="551"/>
      <c r="B63" s="551"/>
      <c r="C63" s="551"/>
      <c r="D63" s="551"/>
      <c r="E63" s="131"/>
      <c r="G63" s="131"/>
      <c r="H63" s="131"/>
      <c r="L63"/>
    </row>
    <row r="64" spans="1:12" ht="15" customHeight="1">
      <c r="A64" s="741" t="s">
        <v>739</v>
      </c>
      <c r="B64" s="741"/>
      <c r="C64" s="741"/>
      <c r="D64" s="741"/>
      <c r="E64" s="741"/>
      <c r="F64" s="741"/>
      <c r="G64" s="741"/>
      <c r="H64" s="741"/>
      <c r="I64" s="741"/>
      <c r="J64" s="741"/>
      <c r="K64" s="741"/>
      <c r="L64"/>
    </row>
    <row r="65" spans="1:12" ht="15" customHeight="1">
      <c r="A65" s="742" t="s">
        <v>740</v>
      </c>
      <c r="B65" s="742"/>
      <c r="C65" s="742"/>
      <c r="D65" s="742"/>
      <c r="E65" s="742"/>
      <c r="F65" s="742"/>
      <c r="G65" s="742"/>
      <c r="H65" s="742"/>
      <c r="I65" s="742"/>
      <c r="J65" s="742"/>
      <c r="K65" s="742"/>
    </row>
    <row r="66" spans="1:12" ht="15" customHeight="1">
      <c r="A66" s="742" t="s">
        <v>738</v>
      </c>
      <c r="B66" s="742"/>
      <c r="C66" s="742"/>
      <c r="D66" s="742"/>
      <c r="E66" s="742"/>
      <c r="F66" s="742"/>
      <c r="G66" s="742"/>
      <c r="H66" s="742"/>
      <c r="I66" s="742"/>
      <c r="J66" s="742"/>
      <c r="K66" s="742"/>
      <c r="L66" s="122"/>
    </row>
  </sheetData>
  <mergeCells count="15">
    <mergeCell ref="A64:K64"/>
    <mergeCell ref="A65:K65"/>
    <mergeCell ref="A66:K66"/>
    <mergeCell ref="D1:K1"/>
    <mergeCell ref="F6:G6"/>
    <mergeCell ref="A53:E53"/>
    <mergeCell ref="B56:K56"/>
    <mergeCell ref="B57:K57"/>
    <mergeCell ref="B58:K58"/>
    <mergeCell ref="F60:I60"/>
    <mergeCell ref="F61:I61"/>
    <mergeCell ref="F62:I62"/>
    <mergeCell ref="A60:E60"/>
    <mergeCell ref="A61:E61"/>
    <mergeCell ref="A62:E62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2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8" tint="-0.249977111117893"/>
    <pageSetUpPr fitToPage="1"/>
  </sheetPr>
  <dimension ref="A1:M66"/>
  <sheetViews>
    <sheetView showGridLines="0" view="pageBreakPreview" topLeftCell="A50" zoomScaleNormal="100" zoomScaleSheetLayoutView="100" workbookViewId="0">
      <selection activeCell="M60" sqref="M60"/>
    </sheetView>
  </sheetViews>
  <sheetFormatPr defaultColWidth="9.140625" defaultRowHeight="15.75"/>
  <cols>
    <col min="1" max="1" width="5" style="81" customWidth="1"/>
    <col min="2" max="2" width="10" style="551" customWidth="1"/>
    <col min="3" max="3" width="10" style="81" customWidth="1"/>
    <col min="4" max="4" width="13.85546875" style="81" customWidth="1"/>
    <col min="5" max="5" width="45.7109375" style="81" customWidth="1"/>
    <col min="6" max="6" width="9.85546875" style="131" customWidth="1"/>
    <col min="7" max="7" width="8.28515625" style="134" bestFit="1" customWidth="1"/>
    <col min="8" max="8" width="12.140625" style="81" customWidth="1"/>
    <col min="9" max="9" width="10.5703125" style="81" customWidth="1"/>
    <col min="10" max="10" width="13" style="81" customWidth="1"/>
    <col min="11" max="11" width="12.140625" style="131" customWidth="1"/>
    <col min="12" max="22" width="12.7109375" style="81" customWidth="1"/>
    <col min="23" max="16384" width="9.140625" style="81"/>
  </cols>
  <sheetData>
    <row r="1" spans="1:13" ht="35.25" customHeight="1">
      <c r="B1" s="576"/>
      <c r="C1" s="130"/>
      <c r="D1" s="744" t="str">
        <f>'P4'!D1</f>
        <v xml:space="preserve">ORÇAMENTO PARA ELABORAÇÃO DE PROJETOS DE SISTEMA DE ESGOTAMENTO SANITÁRIO </v>
      </c>
      <c r="E1" s="744"/>
      <c r="F1" s="744"/>
      <c r="G1" s="744"/>
      <c r="H1" s="744"/>
      <c r="I1" s="744"/>
      <c r="J1" s="744"/>
      <c r="K1" s="744"/>
    </row>
    <row r="2" spans="1:13" s="122" customFormat="1" ht="15" customHeight="1">
      <c r="A2" s="80" t="s">
        <v>744</v>
      </c>
      <c r="B2" s="83"/>
      <c r="C2" s="83" t="str">
        <f>'Horas trabalhadas'!G8</f>
        <v>Projeto Básico</v>
      </c>
      <c r="F2" s="132"/>
      <c r="G2" s="184"/>
      <c r="J2" s="119" t="s">
        <v>134</v>
      </c>
      <c r="K2" s="63">
        <f ca="1">'Dados Básicos do município'!H4</f>
        <v>46139</v>
      </c>
    </row>
    <row r="3" spans="1:13" s="122" customFormat="1" ht="15" customHeight="1">
      <c r="A3" s="80" t="s">
        <v>135</v>
      </c>
      <c r="B3" s="83"/>
      <c r="C3" s="83" t="str">
        <f>'Dados Básicos do município'!B5</f>
        <v>CBH-SANTO ANTÔNIO</v>
      </c>
      <c r="F3" s="132"/>
      <c r="G3" s="184"/>
      <c r="K3" s="132"/>
    </row>
    <row r="4" spans="1:13" s="122" customFormat="1" ht="15" customHeight="1">
      <c r="A4" s="80" t="s">
        <v>136</v>
      </c>
      <c r="B4" s="83"/>
      <c r="C4" s="83" t="str">
        <f>'Dados Básicos do município'!B6</f>
        <v>Açucena/MG</v>
      </c>
      <c r="F4" s="132"/>
      <c r="G4" s="184"/>
      <c r="J4" s="120"/>
      <c r="K4" s="119"/>
    </row>
    <row r="5" spans="1:13" ht="6" customHeight="1">
      <c r="A5" s="160"/>
      <c r="B5" s="577"/>
      <c r="C5" s="160"/>
      <c r="D5" s="160"/>
      <c r="E5" s="161"/>
      <c r="F5" s="162"/>
      <c r="G5" s="185"/>
      <c r="H5" s="164"/>
      <c r="I5" s="163"/>
      <c r="J5" s="163"/>
      <c r="K5" s="192"/>
    </row>
    <row r="6" spans="1:13" s="134" customFormat="1" ht="47.45" customHeight="1">
      <c r="A6" s="380" t="s">
        <v>713</v>
      </c>
      <c r="B6" s="578" t="s">
        <v>10</v>
      </c>
      <c r="C6" s="380" t="s">
        <v>714</v>
      </c>
      <c r="D6" s="380" t="s">
        <v>715</v>
      </c>
      <c r="E6" s="381" t="s">
        <v>716</v>
      </c>
      <c r="F6" s="745" t="s">
        <v>717</v>
      </c>
      <c r="G6" s="745"/>
      <c r="H6" s="382" t="s">
        <v>718</v>
      </c>
      <c r="I6" s="383" t="s">
        <v>719</v>
      </c>
      <c r="J6" s="383" t="s">
        <v>720</v>
      </c>
      <c r="K6" s="383" t="s">
        <v>721</v>
      </c>
    </row>
    <row r="7" spans="1:13" s="122" customFormat="1" ht="18" customHeight="1">
      <c r="A7" s="384">
        <v>1</v>
      </c>
      <c r="B7" s="579" t="s">
        <v>722</v>
      </c>
      <c r="C7" s="385"/>
      <c r="D7" s="385"/>
      <c r="E7" s="385"/>
      <c r="F7" s="386"/>
      <c r="G7" s="384"/>
      <c r="H7" s="385"/>
      <c r="I7" s="385"/>
      <c r="J7" s="387">
        <f>J9</f>
        <v>73474.321990614786</v>
      </c>
      <c r="K7" s="388">
        <f>J7/$J$53</f>
        <v>0.79374498324358667</v>
      </c>
    </row>
    <row r="8" spans="1:13" ht="6" customHeight="1">
      <c r="A8" s="160"/>
      <c r="B8" s="577"/>
      <c r="C8" s="160"/>
      <c r="D8" s="160"/>
      <c r="E8" s="161"/>
      <c r="F8" s="162"/>
      <c r="G8" s="185"/>
      <c r="H8" s="164"/>
      <c r="I8" s="163"/>
      <c r="J8" s="163"/>
      <c r="K8" s="192"/>
    </row>
    <row r="9" spans="1:13" s="122" customFormat="1" ht="18" customHeight="1">
      <c r="A9" s="178" t="s">
        <v>29</v>
      </c>
      <c r="B9" s="179" t="s">
        <v>376</v>
      </c>
      <c r="C9" s="179"/>
      <c r="D9" s="179"/>
      <c r="E9" s="179"/>
      <c r="F9" s="180"/>
      <c r="G9" s="178"/>
      <c r="H9" s="179"/>
      <c r="I9" s="179"/>
      <c r="J9" s="400">
        <f>SUM(J10:J14)</f>
        <v>73474.321990614786</v>
      </c>
      <c r="K9" s="404">
        <f>SUM(K10:K14)</f>
        <v>0.79374498324358678</v>
      </c>
    </row>
    <row r="10" spans="1:13" s="123" customFormat="1" ht="16.149999999999999" customHeight="1">
      <c r="A10" s="232" t="s">
        <v>378</v>
      </c>
      <c r="B10" s="580" t="str">
        <f>'P1'!B10</f>
        <v>P8061</v>
      </c>
      <c r="C10" s="225" t="str">
        <f>Custos!G13</f>
        <v>abr/2024</v>
      </c>
      <c r="D10" s="226" t="str">
        <f>Custos!$D$13</f>
        <v>DNIT</v>
      </c>
      <c r="E10" s="227" t="str">
        <f>Custos!B13</f>
        <v>Engenheiro Coordenador</v>
      </c>
      <c r="F10" s="228">
        <f>Custos!J13</f>
        <v>123.19</v>
      </c>
      <c r="G10" s="226" t="s">
        <v>382</v>
      </c>
      <c r="H10" s="422">
        <f>'Horas trabalhadas'!G9</f>
        <v>68.110378052860497</v>
      </c>
      <c r="I10" s="228">
        <f>H10*F10</f>
        <v>8390.5174723318851</v>
      </c>
      <c r="J10" s="228">
        <f>(I10*K!$G$23)</f>
        <v>14610.420697040945</v>
      </c>
      <c r="K10" s="240">
        <f>J10/$J$53</f>
        <v>0.15783674918205912</v>
      </c>
      <c r="M10" s="124"/>
    </row>
    <row r="11" spans="1:13" s="123" customFormat="1" ht="16.149999999999999" customHeight="1">
      <c r="A11" s="232" t="s">
        <v>383</v>
      </c>
      <c r="B11" s="580" t="str">
        <f>'P1'!B11</f>
        <v>P8066</v>
      </c>
      <c r="C11" s="229" t="str">
        <f>Custos!G14</f>
        <v>abr/2024</v>
      </c>
      <c r="D11" s="230" t="str">
        <f>Custos!D14</f>
        <v>DNIT</v>
      </c>
      <c r="E11" s="227" t="str">
        <f>Custos!B14</f>
        <v>Engenheiro de Projetos Pleno</v>
      </c>
      <c r="F11" s="231">
        <f>Custos!J14</f>
        <v>85.36</v>
      </c>
      <c r="G11" s="230" t="s">
        <v>382</v>
      </c>
      <c r="H11" s="422">
        <f>'Horas trabalhadas'!G10</f>
        <v>136.22075610572099</v>
      </c>
      <c r="I11" s="228">
        <f t="shared" ref="I11:I14" si="0">H11*F11</f>
        <v>11627.803741184343</v>
      </c>
      <c r="J11" s="228">
        <f>(I11*K!$G$23)</f>
        <v>20247.512147080364</v>
      </c>
      <c r="K11" s="240">
        <f>J11/$J$53</f>
        <v>0.21873439256726301</v>
      </c>
      <c r="M11" s="124"/>
    </row>
    <row r="12" spans="1:13" s="123" customFormat="1" ht="16.149999999999999" customHeight="1">
      <c r="A12" s="232" t="s">
        <v>386</v>
      </c>
      <c r="B12" s="580" t="str">
        <f>'P1'!B12</f>
        <v>P8065</v>
      </c>
      <c r="C12" s="229" t="str">
        <f>Custos!G15</f>
        <v>abr/2024</v>
      </c>
      <c r="D12" s="230" t="str">
        <f>Custos!D15</f>
        <v>DNIT</v>
      </c>
      <c r="E12" s="227" t="str">
        <f>Custos!B15</f>
        <v>Engenheiro de Projetos Júnior</v>
      </c>
      <c r="F12" s="231">
        <f>Custos!J15</f>
        <v>82.75</v>
      </c>
      <c r="G12" s="230" t="s">
        <v>382</v>
      </c>
      <c r="H12" s="422">
        <f>'Horas trabalhadas'!G11</f>
        <v>136.22075610572099</v>
      </c>
      <c r="I12" s="228">
        <f t="shared" si="0"/>
        <v>11272.267567748413</v>
      </c>
      <c r="J12" s="228">
        <f>(I12*K!$G$23)</f>
        <v>19628.416473417295</v>
      </c>
      <c r="K12" s="240">
        <f>J12/$J$53</f>
        <v>0.2120462861403587</v>
      </c>
      <c r="M12" s="124"/>
    </row>
    <row r="13" spans="1:13" s="123" customFormat="1" ht="16.149999999999999" customHeight="1">
      <c r="A13" s="232" t="s">
        <v>389</v>
      </c>
      <c r="B13" s="580" t="str">
        <f>'P1'!B13</f>
        <v>P8155</v>
      </c>
      <c r="C13" s="229" t="str">
        <f>Custos!G16</f>
        <v>abr/2024</v>
      </c>
      <c r="D13" s="230" t="str">
        <f>Custos!D16</f>
        <v>DNIT</v>
      </c>
      <c r="E13" s="227" t="str">
        <f>Custos!B16</f>
        <v>Técnico cadista</v>
      </c>
      <c r="F13" s="231">
        <f>Custos!J16</f>
        <v>19.32</v>
      </c>
      <c r="G13" s="230" t="s">
        <v>382</v>
      </c>
      <c r="H13" s="422">
        <f>'Horas trabalhadas'!G12</f>
        <v>340.55189026430247</v>
      </c>
      <c r="I13" s="228">
        <f t="shared" si="0"/>
        <v>6579.4625199063239</v>
      </c>
      <c r="J13" s="228">
        <f>(I13*K!$G$23)</f>
        <v>11456.827983879821</v>
      </c>
      <c r="K13" s="240">
        <f t="shared" ref="K13:K14" si="1">J13/$J$53</f>
        <v>0.12376840629098879</v>
      </c>
      <c r="M13" s="124"/>
    </row>
    <row r="14" spans="1:13" s="123" customFormat="1" ht="16.149999999999999" customHeight="1">
      <c r="A14" s="232" t="s">
        <v>392</v>
      </c>
      <c r="B14" s="580" t="str">
        <f>'P1'!B14</f>
        <v>P8026</v>
      </c>
      <c r="C14" s="229" t="str">
        <f>Custos!G17</f>
        <v>abr/2024</v>
      </c>
      <c r="D14" s="230" t="str">
        <f>Custos!D17</f>
        <v>DNIT</v>
      </c>
      <c r="E14" s="227" t="str">
        <f>Custos!B17</f>
        <v>Auxiliar Administrativo</v>
      </c>
      <c r="F14" s="231">
        <f>Custos!J17</f>
        <v>12.7</v>
      </c>
      <c r="G14" s="230" t="s">
        <v>382</v>
      </c>
      <c r="H14" s="422">
        <f>'Horas trabalhadas'!G13</f>
        <v>340.55189026430247</v>
      </c>
      <c r="I14" s="228">
        <f t="shared" si="0"/>
        <v>4325.0090063566413</v>
      </c>
      <c r="J14" s="228">
        <f>(I14*K!$G$23)</f>
        <v>7531.1446891963624</v>
      </c>
      <c r="K14" s="240">
        <f t="shared" si="1"/>
        <v>8.1359149062917066E-2</v>
      </c>
      <c r="M14" s="124"/>
    </row>
    <row r="15" spans="1:13" ht="6" customHeight="1">
      <c r="A15" s="160"/>
      <c r="B15" s="577"/>
      <c r="C15" s="160"/>
      <c r="D15" s="160"/>
      <c r="E15" s="161"/>
      <c r="F15" s="162"/>
      <c r="G15" s="185"/>
      <c r="H15" s="164"/>
      <c r="I15" s="163"/>
      <c r="J15" s="163"/>
      <c r="K15" s="192"/>
    </row>
    <row r="16" spans="1:13" s="122" customFormat="1" ht="18" customHeight="1">
      <c r="A16" s="384">
        <v>2</v>
      </c>
      <c r="B16" s="579" t="s">
        <v>396</v>
      </c>
      <c r="C16" s="384"/>
      <c r="D16" s="384"/>
      <c r="E16" s="385"/>
      <c r="F16" s="386"/>
      <c r="G16" s="384"/>
      <c r="H16" s="385"/>
      <c r="I16" s="385"/>
      <c r="J16" s="387">
        <f>J18</f>
        <v>19092.341292391033</v>
      </c>
      <c r="K16" s="388">
        <f>J16/$J$53</f>
        <v>0.20625505222280929</v>
      </c>
    </row>
    <row r="17" spans="1:13" ht="5.0999999999999996" customHeight="1">
      <c r="A17" s="168"/>
      <c r="B17" s="581"/>
      <c r="C17" s="168"/>
      <c r="D17" s="169"/>
      <c r="E17" s="170"/>
      <c r="F17" s="165"/>
      <c r="G17" s="159"/>
      <c r="H17" s="166"/>
      <c r="I17" s="159"/>
      <c r="J17" s="159"/>
      <c r="K17" s="191"/>
    </row>
    <row r="18" spans="1:13" s="122" customFormat="1" ht="18" customHeight="1">
      <c r="A18" s="389" t="s">
        <v>47</v>
      </c>
      <c r="B18" s="390" t="s">
        <v>396</v>
      </c>
      <c r="C18" s="389"/>
      <c r="D18" s="389"/>
      <c r="E18" s="390"/>
      <c r="F18" s="391"/>
      <c r="G18" s="389"/>
      <c r="H18" s="390"/>
      <c r="I18" s="391"/>
      <c r="J18" s="392">
        <f>SUM(J19:J24)</f>
        <v>19092.341292391033</v>
      </c>
      <c r="K18" s="405">
        <f>SUM(K19:K24)</f>
        <v>0.20625505222280929</v>
      </c>
    </row>
    <row r="19" spans="1:13" s="123" customFormat="1" ht="16.149999999999999" customHeight="1">
      <c r="A19" s="232" t="s">
        <v>378</v>
      </c>
      <c r="B19" s="580" t="str">
        <f>'P1'!B19</f>
        <v>P8003</v>
      </c>
      <c r="C19" s="225" t="str">
        <f>Custos!G22</f>
        <v>abr/2024</v>
      </c>
      <c r="D19" s="230" t="str">
        <f>Custos!D22</f>
        <v>DNIT</v>
      </c>
      <c r="E19" s="227" t="str">
        <f>Custos!B22</f>
        <v>Advogado sênior</v>
      </c>
      <c r="F19" s="228">
        <f>Custos!J22</f>
        <v>76.88</v>
      </c>
      <c r="G19" s="226" t="s">
        <v>382</v>
      </c>
      <c r="H19" s="422">
        <f>'Horas trabalhadas'!G14</f>
        <v>0</v>
      </c>
      <c r="I19" s="228">
        <f t="shared" ref="I19:I24" si="2">H19*F19</f>
        <v>0</v>
      </c>
      <c r="J19" s="228">
        <f>(I19*K!$G$23)</f>
        <v>0</v>
      </c>
      <c r="K19" s="239">
        <f t="shared" ref="K19:K24" si="3">J19/$J$53</f>
        <v>0</v>
      </c>
    </row>
    <row r="20" spans="1:13" s="123" customFormat="1" ht="16.149999999999999" customHeight="1">
      <c r="A20" s="232" t="s">
        <v>383</v>
      </c>
      <c r="B20" s="580" t="str">
        <f>'P1'!B20</f>
        <v>P8067</v>
      </c>
      <c r="C20" s="225" t="str">
        <f>Custos!G23</f>
        <v>abr/2024</v>
      </c>
      <c r="D20" s="230" t="str">
        <f>Custos!D23</f>
        <v>DNIT</v>
      </c>
      <c r="E20" s="227" t="str">
        <f>Custos!B23</f>
        <v>Engenheiro de Projetos (Elétrico)</v>
      </c>
      <c r="F20" s="228">
        <f>Custos!J23</f>
        <v>107.32</v>
      </c>
      <c r="G20" s="226" t="s">
        <v>382</v>
      </c>
      <c r="H20" s="422">
        <f>'Horas trabalhadas'!G15</f>
        <v>34.055189026430249</v>
      </c>
      <c r="I20" s="228">
        <f t="shared" si="2"/>
        <v>3654.8028863164941</v>
      </c>
      <c r="J20" s="228">
        <f>(I20*K!$G$23)</f>
        <v>6364.113764130344</v>
      </c>
      <c r="K20" s="239">
        <f t="shared" si="3"/>
        <v>6.8751684074269764E-2</v>
      </c>
    </row>
    <row r="21" spans="1:13" s="123" customFormat="1" ht="16.149999999999999" customHeight="1">
      <c r="A21" s="232" t="s">
        <v>386</v>
      </c>
      <c r="B21" s="580" t="str">
        <f>'P1'!B21</f>
        <v>P8067</v>
      </c>
      <c r="C21" s="225" t="str">
        <f>Custos!G24</f>
        <v>abr/2024</v>
      </c>
      <c r="D21" s="230" t="str">
        <f>Custos!D24</f>
        <v>DNIT</v>
      </c>
      <c r="E21" s="227" t="str">
        <f>Custos!B24</f>
        <v>Engenheiro de Projeto (Calculista)</v>
      </c>
      <c r="F21" s="228">
        <f>Custos!J24</f>
        <v>107.32</v>
      </c>
      <c r="G21" s="226" t="s">
        <v>382</v>
      </c>
      <c r="H21" s="422">
        <f>'Horas trabalhadas'!G16</f>
        <v>34.055189026430249</v>
      </c>
      <c r="I21" s="228">
        <f t="shared" si="2"/>
        <v>3654.8028863164941</v>
      </c>
      <c r="J21" s="228">
        <f>(I21*K!$G$23)</f>
        <v>6364.113764130344</v>
      </c>
      <c r="K21" s="239">
        <f t="shared" si="3"/>
        <v>6.8751684074269764E-2</v>
      </c>
    </row>
    <row r="22" spans="1:13" s="123" customFormat="1" ht="16.149999999999999" customHeight="1">
      <c r="A22" s="232" t="s">
        <v>389</v>
      </c>
      <c r="B22" s="580" t="str">
        <f>'P1'!B22</f>
        <v>P8067</v>
      </c>
      <c r="C22" s="225" t="str">
        <f>Custos!G25</f>
        <v>abr/2024</v>
      </c>
      <c r="D22" s="230" t="str">
        <f>Custos!D25</f>
        <v>DNIT</v>
      </c>
      <c r="E22" s="227" t="str">
        <f>Custos!B25</f>
        <v>Engenheiro de Projetos (Mecânico)</v>
      </c>
      <c r="F22" s="228">
        <f>Custos!J25</f>
        <v>107.32</v>
      </c>
      <c r="G22" s="226" t="s">
        <v>382</v>
      </c>
      <c r="H22" s="422">
        <f>'Horas trabalhadas'!G17</f>
        <v>34.055189026430249</v>
      </c>
      <c r="I22" s="228">
        <f t="shared" si="2"/>
        <v>3654.8028863164941</v>
      </c>
      <c r="J22" s="228">
        <f>(I22*K!$G$23)</f>
        <v>6364.113764130344</v>
      </c>
      <c r="K22" s="239">
        <f t="shared" si="3"/>
        <v>6.8751684074269764E-2</v>
      </c>
    </row>
    <row r="23" spans="1:13" s="123" customFormat="1" ht="16.149999999999999" customHeight="1">
      <c r="A23" s="232" t="s">
        <v>392</v>
      </c>
      <c r="B23" s="580" t="str">
        <f>'P1'!B23</f>
        <v>P8059</v>
      </c>
      <c r="C23" s="225" t="str">
        <f>Custos!G26</f>
        <v>abr/2024</v>
      </c>
      <c r="D23" s="230" t="str">
        <f>Custos!D26</f>
        <v>DNIT</v>
      </c>
      <c r="E23" s="227" t="str">
        <f>Custos!B26</f>
        <v>Engenheiro ambiental</v>
      </c>
      <c r="F23" s="228">
        <f>Custos!J26</f>
        <v>100.92</v>
      </c>
      <c r="G23" s="226" t="s">
        <v>382</v>
      </c>
      <c r="H23" s="422">
        <f>'Horas trabalhadas'!G18</f>
        <v>0</v>
      </c>
      <c r="I23" s="228">
        <f t="shared" si="2"/>
        <v>0</v>
      </c>
      <c r="J23" s="228">
        <f>(I23*K!$G$23)</f>
        <v>0</v>
      </c>
      <c r="K23" s="239">
        <f t="shared" si="3"/>
        <v>0</v>
      </c>
    </row>
    <row r="24" spans="1:13" s="123" customFormat="1" ht="16.149999999999999" customHeight="1">
      <c r="A24" s="232" t="s">
        <v>405</v>
      </c>
      <c r="B24" s="580" t="str">
        <f>'P1'!B24</f>
        <v>P8155</v>
      </c>
      <c r="C24" s="225" t="str">
        <f>Custos!G27</f>
        <v>abr/2024</v>
      </c>
      <c r="D24" s="230" t="str">
        <f>Custos!D27</f>
        <v>DNIT</v>
      </c>
      <c r="E24" s="227" t="str">
        <f>Custos!B27</f>
        <v>Técnico em geoprocessamento</v>
      </c>
      <c r="F24" s="228">
        <f>Custos!J27</f>
        <v>14.35</v>
      </c>
      <c r="G24" s="226" t="s">
        <v>382</v>
      </c>
      <c r="H24" s="422">
        <f>'Horas trabalhadas'!G19</f>
        <v>0</v>
      </c>
      <c r="I24" s="228">
        <f t="shared" si="2"/>
        <v>0</v>
      </c>
      <c r="J24" s="228">
        <f>(I24*K!$G$23)</f>
        <v>0</v>
      </c>
      <c r="K24" s="239">
        <f t="shared" si="3"/>
        <v>0</v>
      </c>
      <c r="M24" s="124"/>
    </row>
    <row r="25" spans="1:13" ht="6" customHeight="1">
      <c r="A25" s="160"/>
      <c r="B25" s="577"/>
      <c r="C25" s="160"/>
      <c r="D25" s="160"/>
      <c r="E25" s="161"/>
      <c r="F25" s="162"/>
      <c r="G25" s="185"/>
      <c r="H25" s="164"/>
      <c r="I25" s="163"/>
      <c r="J25" s="163"/>
      <c r="K25" s="192"/>
    </row>
    <row r="26" spans="1:13" s="122" customFormat="1" ht="18" customHeight="1">
      <c r="A26" s="393">
        <v>3</v>
      </c>
      <c r="B26" s="582" t="s">
        <v>129</v>
      </c>
      <c r="C26" s="393"/>
      <c r="D26" s="393"/>
      <c r="E26" s="182"/>
      <c r="F26" s="183"/>
      <c r="G26" s="181"/>
      <c r="H26" s="182"/>
      <c r="I26" s="182"/>
      <c r="J26" s="399">
        <f>J28+J33+J39+J46</f>
        <v>0</v>
      </c>
      <c r="K26" s="388">
        <f>J26/$J$53</f>
        <v>0</v>
      </c>
    </row>
    <row r="27" spans="1:13" ht="5.0999999999999996" customHeight="1">
      <c r="A27" s="168"/>
      <c r="B27" s="581"/>
      <c r="C27" s="168"/>
      <c r="D27" s="169"/>
      <c r="E27" s="170"/>
      <c r="F27" s="165"/>
      <c r="G27" s="159"/>
      <c r="H27" s="166"/>
      <c r="I27" s="159"/>
      <c r="J27" s="159"/>
      <c r="K27" s="191"/>
    </row>
    <row r="28" spans="1:13" s="122" customFormat="1" ht="18" customHeight="1">
      <c r="A28" s="178" t="s">
        <v>59</v>
      </c>
      <c r="B28" s="179" t="s">
        <v>416</v>
      </c>
      <c r="C28" s="178"/>
      <c r="D28" s="178"/>
      <c r="E28" s="179"/>
      <c r="F28" s="180"/>
      <c r="G28" s="178"/>
      <c r="H28" s="179"/>
      <c r="I28" s="179"/>
      <c r="J28" s="400">
        <f>SUM(J29:J31)</f>
        <v>0</v>
      </c>
      <c r="K28" s="404">
        <f>SUM(K29:K31)</f>
        <v>0</v>
      </c>
    </row>
    <row r="29" spans="1:13" s="123" customFormat="1">
      <c r="A29" s="232" t="s">
        <v>378</v>
      </c>
      <c r="B29" s="415">
        <f>'P1'!B29</f>
        <v>65003710</v>
      </c>
      <c r="C29" s="232" t="str">
        <f>Custos!G38</f>
        <v>set/2024</v>
      </c>
      <c r="D29" s="237" t="str">
        <f>Custos!D38</f>
        <v>COPASA</v>
      </c>
      <c r="E29" s="415" t="str">
        <f>Custos!B38</f>
        <v>Mobilização e desmobilização de equipe de topografia</v>
      </c>
      <c r="F29" s="234">
        <f>Custos!J38</f>
        <v>4.62</v>
      </c>
      <c r="G29" s="279" t="str">
        <f>Custos!H38</f>
        <v>km</v>
      </c>
      <c r="H29" s="279">
        <f>Serviços!G9</f>
        <v>0</v>
      </c>
      <c r="I29" s="228">
        <f t="shared" ref="I29:I31" si="4">H29*F29</f>
        <v>0</v>
      </c>
      <c r="J29" s="228">
        <f>(I29*K!$G$24)</f>
        <v>0</v>
      </c>
      <c r="K29" s="240">
        <f>J29/$J$53</f>
        <v>0</v>
      </c>
    </row>
    <row r="30" spans="1:13" s="123" customFormat="1">
      <c r="A30" s="232" t="s">
        <v>383</v>
      </c>
      <c r="B30" s="415">
        <f>'P1'!B30</f>
        <v>65001667</v>
      </c>
      <c r="C30" s="232" t="str">
        <f>Custos!G39</f>
        <v>set/2024</v>
      </c>
      <c r="D30" s="237" t="str">
        <f>Custos!D39</f>
        <v>COPASA</v>
      </c>
      <c r="E30" s="415" t="str">
        <f>Custos!B39</f>
        <v>Equipe de topografia de campo</v>
      </c>
      <c r="F30" s="234">
        <f>Custos!J39</f>
        <v>50814.45</v>
      </c>
      <c r="G30" s="279" t="str">
        <f>Custos!H39</f>
        <v>mês</v>
      </c>
      <c r="H30" s="279">
        <f>Serviços!G10</f>
        <v>0</v>
      </c>
      <c r="I30" s="228">
        <f t="shared" si="4"/>
        <v>0</v>
      </c>
      <c r="J30" s="228">
        <f>(I30*K!$G$24)</f>
        <v>0</v>
      </c>
      <c r="K30" s="240">
        <f>J30/$J$53</f>
        <v>0</v>
      </c>
    </row>
    <row r="31" spans="1:13" s="123" customFormat="1">
      <c r="A31" s="232" t="s">
        <v>386</v>
      </c>
      <c r="B31" s="415">
        <f>'P1'!B31</f>
        <v>65001668</v>
      </c>
      <c r="C31" s="232" t="str">
        <f>Custos!G40</f>
        <v>set/2024</v>
      </c>
      <c r="D31" s="237" t="str">
        <f>Custos!D40</f>
        <v>COPASA</v>
      </c>
      <c r="E31" s="415" t="str">
        <f>Custos!B40</f>
        <v>Equipe de topografia de escritório</v>
      </c>
      <c r="F31" s="234">
        <f>Custos!J40</f>
        <v>26804.01</v>
      </c>
      <c r="G31" s="279" t="str">
        <f>Custos!H40</f>
        <v>mês</v>
      </c>
      <c r="H31" s="279">
        <f>Serviços!G11</f>
        <v>0</v>
      </c>
      <c r="I31" s="228">
        <f t="shared" si="4"/>
        <v>0</v>
      </c>
      <c r="J31" s="228">
        <f>(I31*K!$G$24)</f>
        <v>0</v>
      </c>
      <c r="K31" s="240">
        <f>J31/$J$53</f>
        <v>0</v>
      </c>
    </row>
    <row r="32" spans="1:13" ht="10.5" customHeight="1">
      <c r="A32" s="168"/>
      <c r="B32" s="581"/>
      <c r="C32" s="168"/>
      <c r="D32" s="169"/>
      <c r="E32" s="170"/>
      <c r="F32" s="165"/>
      <c r="G32" s="279"/>
      <c r="H32" s="166"/>
      <c r="I32" s="159"/>
      <c r="J32" s="159"/>
      <c r="K32" s="191"/>
    </row>
    <row r="33" spans="1:11" s="122" customFormat="1" ht="18" customHeight="1">
      <c r="A33" s="156" t="s">
        <v>60</v>
      </c>
      <c r="B33" s="157" t="s">
        <v>708</v>
      </c>
      <c r="C33" s="156"/>
      <c r="D33" s="156"/>
      <c r="E33" s="171"/>
      <c r="F33" s="158"/>
      <c r="G33" s="156"/>
      <c r="H33" s="157"/>
      <c r="I33" s="157"/>
      <c r="J33" s="172">
        <f>SUM(J34:J37)</f>
        <v>0</v>
      </c>
      <c r="K33" s="403">
        <f>SUM(K35:K36)</f>
        <v>0</v>
      </c>
    </row>
    <row r="34" spans="1:11" s="123" customFormat="1">
      <c r="A34" s="232" t="s">
        <v>378</v>
      </c>
      <c r="B34" s="415">
        <f>'P1'!B34</f>
        <v>65001207</v>
      </c>
      <c r="C34" s="232" t="str">
        <f>Custos!G32</f>
        <v>set/2024</v>
      </c>
      <c r="D34" s="237" t="str">
        <f>Custos!D32</f>
        <v>COPASA</v>
      </c>
      <c r="E34" s="415" t="str">
        <f>Custos!B32</f>
        <v>Sondagem a percussao - mobilizacao e desmobilizacao</v>
      </c>
      <c r="F34" s="234">
        <f>Custos!J32</f>
        <v>1316.83</v>
      </c>
      <c r="G34" s="279" t="str">
        <f>Custos!H32</f>
        <v>unidade</v>
      </c>
      <c r="H34" s="279">
        <f>Serviços!G14</f>
        <v>0</v>
      </c>
      <c r="I34" s="228">
        <f t="shared" ref="I34:I37" si="5">H34*F34</f>
        <v>0</v>
      </c>
      <c r="J34" s="228">
        <f>(I34*K!$G$24)</f>
        <v>0</v>
      </c>
      <c r="K34" s="240">
        <f>J34/$J$53</f>
        <v>0</v>
      </c>
    </row>
    <row r="35" spans="1:11" s="123" customFormat="1" ht="26.45" customHeight="1">
      <c r="A35" s="232" t="s">
        <v>383</v>
      </c>
      <c r="B35" s="415">
        <f>'P1'!B35</f>
        <v>65001208</v>
      </c>
      <c r="C35" s="237" t="str">
        <f>Custos!G33</f>
        <v>set/2024</v>
      </c>
      <c r="D35" s="279" t="str">
        <f>Custos!D33</f>
        <v>COPASA</v>
      </c>
      <c r="E35" s="465" t="str">
        <f>Custos!B33</f>
        <v>Sondagem a percussao - adicional de mobilizacao e desmobilizacao</v>
      </c>
      <c r="F35" s="234">
        <f>Custos!J33</f>
        <v>9.32</v>
      </c>
      <c r="G35" s="416" t="str">
        <f>Custos!H33</f>
        <v>km</v>
      </c>
      <c r="H35" s="279">
        <f>Serviços!G15</f>
        <v>0</v>
      </c>
      <c r="I35" s="228">
        <f t="shared" si="5"/>
        <v>0</v>
      </c>
      <c r="J35" s="228">
        <f>(I35*K!$G$24)</f>
        <v>0</v>
      </c>
      <c r="K35" s="239">
        <f>J35/$J$53</f>
        <v>0</v>
      </c>
    </row>
    <row r="36" spans="1:11" s="123" customFormat="1">
      <c r="A36" s="232" t="s">
        <v>386</v>
      </c>
      <c r="B36" s="415">
        <f>'P1'!B36</f>
        <v>65001209</v>
      </c>
      <c r="C36" s="232" t="str">
        <f>Custos!G34</f>
        <v>set/2024</v>
      </c>
      <c r="D36" s="237" t="str">
        <f>Custos!D34</f>
        <v>COPASA</v>
      </c>
      <c r="E36" s="415" t="str">
        <f>Custos!B34</f>
        <v>Sondagem a percussao - instalacao por furo</v>
      </c>
      <c r="F36" s="234">
        <f>Custos!J34</f>
        <v>482.46</v>
      </c>
      <c r="G36" s="279" t="str">
        <f>Custos!H34</f>
        <v>unidade</v>
      </c>
      <c r="H36" s="279">
        <f>Serviços!G16</f>
        <v>0</v>
      </c>
      <c r="I36" s="228">
        <f t="shared" si="5"/>
        <v>0</v>
      </c>
      <c r="J36" s="228">
        <f>(I36*K!$G$24)</f>
        <v>0</v>
      </c>
      <c r="K36" s="240">
        <f>J36/$J$53</f>
        <v>0</v>
      </c>
    </row>
    <row r="37" spans="1:11" s="123" customFormat="1" ht="26.45" customHeight="1">
      <c r="A37" s="232" t="s">
        <v>389</v>
      </c>
      <c r="B37" s="415">
        <f>'P1'!B37</f>
        <v>65001210</v>
      </c>
      <c r="C37" s="237" t="str">
        <f>Custos!G35</f>
        <v>set/2024</v>
      </c>
      <c r="D37" s="279" t="str">
        <f>Custos!D35</f>
        <v>COPASA</v>
      </c>
      <c r="E37" s="465" t="str">
        <f>Custos!B35</f>
        <v>Sondagem a percussao ø2.1/2" - perfuracao e retirada de amostras</v>
      </c>
      <c r="F37" s="234">
        <f>Custos!J35</f>
        <v>145.19999999999999</v>
      </c>
      <c r="G37" s="416" t="str">
        <f>Custos!H35</f>
        <v>m</v>
      </c>
      <c r="H37" s="279">
        <f>Serviços!G17</f>
        <v>0</v>
      </c>
      <c r="I37" s="228">
        <f t="shared" si="5"/>
        <v>0</v>
      </c>
      <c r="J37" s="228">
        <f>(I37*K!$G$24)</f>
        <v>0</v>
      </c>
      <c r="K37" s="240">
        <f>J37/$J$53</f>
        <v>0</v>
      </c>
    </row>
    <row r="38" spans="1:11" ht="6" customHeight="1">
      <c r="A38" s="160"/>
      <c r="B38" s="577"/>
      <c r="C38" s="160"/>
      <c r="D38" s="160"/>
      <c r="E38" s="161"/>
      <c r="F38" s="162"/>
      <c r="G38" s="185"/>
      <c r="H38" s="235"/>
      <c r="I38" s="163"/>
      <c r="J38" s="163"/>
      <c r="K38" s="192"/>
    </row>
    <row r="39" spans="1:11" s="122" customFormat="1" ht="18" customHeight="1">
      <c r="A39" s="156" t="s">
        <v>61</v>
      </c>
      <c r="B39" s="157" t="s">
        <v>420</v>
      </c>
      <c r="C39" s="156"/>
      <c r="D39" s="156"/>
      <c r="E39" s="171"/>
      <c r="F39" s="158"/>
      <c r="G39" s="156"/>
      <c r="H39" s="157"/>
      <c r="I39" s="157"/>
      <c r="J39" s="172">
        <f>SUM(J40:J41)</f>
        <v>0</v>
      </c>
      <c r="K39" s="403">
        <f>SUM(K40:K41)</f>
        <v>0</v>
      </c>
    </row>
    <row r="40" spans="1:11" s="123" customFormat="1">
      <c r="A40" s="232" t="s">
        <v>378</v>
      </c>
      <c r="B40" s="415">
        <f>'P1'!B40</f>
        <v>65001667</v>
      </c>
      <c r="C40" s="232" t="str">
        <f>Custos!G43</f>
        <v>set/2024</v>
      </c>
      <c r="D40" s="237" t="str">
        <f>Custos!D43</f>
        <v>COPASA</v>
      </c>
      <c r="E40" s="415" t="str">
        <f>Custos!B43</f>
        <v>Equipe de topografia de campo</v>
      </c>
      <c r="F40" s="234">
        <f>Custos!J43</f>
        <v>50814.45</v>
      </c>
      <c r="G40" s="279" t="str">
        <f>Custos!H43</f>
        <v>mês</v>
      </c>
      <c r="H40" s="279">
        <f>Serviços!G12</f>
        <v>0</v>
      </c>
      <c r="I40" s="228">
        <f t="shared" ref="I40:I41" si="6">H40*F40</f>
        <v>0</v>
      </c>
      <c r="J40" s="228">
        <f>(I40*K!$G$24)</f>
        <v>0</v>
      </c>
      <c r="K40" s="240">
        <f>J40/$J$53</f>
        <v>0</v>
      </c>
    </row>
    <row r="41" spans="1:11" s="123" customFormat="1">
      <c r="A41" s="232" t="s">
        <v>383</v>
      </c>
      <c r="B41" s="415">
        <f>'P1'!B41</f>
        <v>65001668</v>
      </c>
      <c r="C41" s="232" t="str">
        <f>Custos!G44</f>
        <v>set/2024</v>
      </c>
      <c r="D41" s="237" t="str">
        <f>Custos!D44</f>
        <v>COPASA</v>
      </c>
      <c r="E41" s="415" t="str">
        <f>Custos!B44</f>
        <v>Equipe de topografia de escritório</v>
      </c>
      <c r="F41" s="234">
        <f>Custos!J44</f>
        <v>26804.01</v>
      </c>
      <c r="G41" s="279" t="str">
        <f>Custos!H44</f>
        <v>mês</v>
      </c>
      <c r="H41" s="279">
        <f>Serviços!G13</f>
        <v>0</v>
      </c>
      <c r="I41" s="228">
        <f t="shared" si="6"/>
        <v>0</v>
      </c>
      <c r="J41" s="228">
        <f>(I41*K!$G$24)</f>
        <v>0</v>
      </c>
      <c r="K41" s="240">
        <f>J41/$J$53</f>
        <v>0</v>
      </c>
    </row>
    <row r="42" spans="1:11" ht="5.0999999999999996" customHeight="1">
      <c r="A42" s="232"/>
      <c r="B42" s="466"/>
      <c r="C42" s="237"/>
      <c r="D42" s="232"/>
      <c r="E42" s="173"/>
      <c r="F42" s="165"/>
      <c r="G42" s="226"/>
      <c r="H42" s="166"/>
      <c r="I42" s="159"/>
      <c r="J42" s="159"/>
      <c r="K42" s="191"/>
    </row>
    <row r="43" spans="1:11" s="122" customFormat="1" ht="18" customHeight="1">
      <c r="A43" s="156" t="s">
        <v>62</v>
      </c>
      <c r="B43" s="157" t="s">
        <v>422</v>
      </c>
      <c r="C43" s="171"/>
      <c r="D43" s="171"/>
      <c r="E43" s="171"/>
      <c r="F43" s="158"/>
      <c r="G43" s="156"/>
      <c r="H43" s="157"/>
      <c r="I43" s="157"/>
      <c r="J43" s="172">
        <f>SUM(J44:J45)</f>
        <v>0</v>
      </c>
      <c r="K43" s="403">
        <f>SUM(K44:K45)</f>
        <v>0</v>
      </c>
    </row>
    <row r="44" spans="1:11" s="123" customFormat="1">
      <c r="A44" s="237" t="s">
        <v>378</v>
      </c>
      <c r="B44" s="466">
        <f>Custos!E49</f>
        <v>65001114</v>
      </c>
      <c r="C44" s="237" t="str">
        <f>Custos!G49</f>
        <v>set/2024</v>
      </c>
      <c r="D44" s="237" t="str">
        <f>Custos!D49</f>
        <v>COPASA</v>
      </c>
      <c r="E44" s="466" t="str">
        <f>Custos!B49</f>
        <v>Análise fisico-química da água</v>
      </c>
      <c r="F44" s="234">
        <f>Custos!J49</f>
        <v>371.18</v>
      </c>
      <c r="G44" s="237" t="str">
        <f>Custos!H49</f>
        <v>unidade</v>
      </c>
      <c r="H44" s="279">
        <f>Serviços!G18</f>
        <v>0</v>
      </c>
      <c r="I44" s="228">
        <f>H44*F44</f>
        <v>0</v>
      </c>
      <c r="J44" s="228">
        <f>(I44*K!$G$24)</f>
        <v>0</v>
      </c>
      <c r="K44" s="240">
        <f>J44/$J$53</f>
        <v>0</v>
      </c>
    </row>
    <row r="45" spans="1:11" s="123" customFormat="1">
      <c r="A45" s="237" t="s">
        <v>383</v>
      </c>
      <c r="B45" s="466">
        <f>Custos!E50</f>
        <v>65001115</v>
      </c>
      <c r="C45" s="237" t="str">
        <f>Custos!G50</f>
        <v>set/2024</v>
      </c>
      <c r="D45" s="237" t="str">
        <f>Custos!D50</f>
        <v>COPASA</v>
      </c>
      <c r="E45" s="466" t="str">
        <f>Custos!B50</f>
        <v>Analise bactereologica da água</v>
      </c>
      <c r="F45" s="234">
        <f>Custos!J50</f>
        <v>120.28</v>
      </c>
      <c r="G45" s="237" t="str">
        <f>Custos!H50</f>
        <v>unidade</v>
      </c>
      <c r="H45" s="279">
        <f>Serviços!G19</f>
        <v>0</v>
      </c>
      <c r="I45" s="228">
        <f t="shared" ref="I45" si="7">H45*F45</f>
        <v>0</v>
      </c>
      <c r="J45" s="228">
        <f>(I45*K!$G$24)</f>
        <v>0</v>
      </c>
      <c r="K45" s="240">
        <f>J45/$J$53</f>
        <v>0</v>
      </c>
    </row>
    <row r="46" spans="1:11" s="122" customFormat="1" ht="18" customHeight="1">
      <c r="A46" s="393" t="s">
        <v>724</v>
      </c>
      <c r="B46" s="582" t="s">
        <v>725</v>
      </c>
      <c r="C46" s="393"/>
      <c r="D46" s="393"/>
      <c r="E46" s="182"/>
      <c r="F46" s="183"/>
      <c r="G46" s="181"/>
      <c r="H46" s="182"/>
      <c r="I46" s="182"/>
      <c r="J46" s="399">
        <f>J48</f>
        <v>0</v>
      </c>
      <c r="K46" s="388">
        <f>J46/$J$53</f>
        <v>0</v>
      </c>
    </row>
    <row r="47" spans="1:11" ht="5.0999999999999996" customHeight="1">
      <c r="A47" s="395"/>
      <c r="B47" s="581"/>
      <c r="C47" s="168"/>
      <c r="D47" s="395"/>
      <c r="E47" s="173"/>
      <c r="F47" s="165"/>
      <c r="G47" s="159"/>
      <c r="H47" s="166"/>
      <c r="I47" s="159"/>
      <c r="J47" s="159"/>
      <c r="K47" s="191"/>
    </row>
    <row r="48" spans="1:11" s="122" customFormat="1" ht="18" customHeight="1">
      <c r="A48" s="156" t="s">
        <v>72</v>
      </c>
      <c r="B48" s="157" t="s">
        <v>421</v>
      </c>
      <c r="C48" s="156"/>
      <c r="D48" s="156"/>
      <c r="E48" s="157"/>
      <c r="F48" s="158"/>
      <c r="G48" s="156"/>
      <c r="H48" s="157"/>
      <c r="I48" s="157"/>
      <c r="J48" s="177">
        <f>SUM(J49:J51)</f>
        <v>0</v>
      </c>
      <c r="K48" s="402">
        <f>SUM(K49:K51)</f>
        <v>0</v>
      </c>
    </row>
    <row r="49" spans="1:12" s="123" customFormat="1">
      <c r="A49" s="232" t="s">
        <v>378</v>
      </c>
      <c r="B49" s="466" t="str">
        <f>Custos!F52</f>
        <v>-</v>
      </c>
      <c r="C49" s="237" t="str">
        <f>Custos!G52</f>
        <v>out/2024</v>
      </c>
      <c r="D49" s="237" t="str">
        <f>Custos!D52</f>
        <v>Composição</v>
      </c>
      <c r="E49" s="233" t="str">
        <f>Custos!B52</f>
        <v>Veículo tipo pick-up 4X4</v>
      </c>
      <c r="F49" s="234">
        <f>Custos!J52</f>
        <v>2491.71</v>
      </c>
      <c r="G49" s="279" t="str">
        <f>'P1'!G49</f>
        <v>R$/dia</v>
      </c>
      <c r="H49" s="279">
        <f>Serviços!G20</f>
        <v>0</v>
      </c>
      <c r="I49" s="228">
        <f t="shared" ref="I49:I51" si="8">H49*F49</f>
        <v>0</v>
      </c>
      <c r="J49" s="228">
        <f>(I49*K!$G$25)</f>
        <v>0</v>
      </c>
      <c r="K49" s="240">
        <f>J49/$J$53</f>
        <v>0</v>
      </c>
    </row>
    <row r="50" spans="1:12" s="123" customFormat="1" ht="16.149999999999999" customHeight="1">
      <c r="A50" s="232" t="s">
        <v>383</v>
      </c>
      <c r="B50" s="466" t="str">
        <f>Custos!F53</f>
        <v>-</v>
      </c>
      <c r="C50" s="237" t="str">
        <f>Custos!G53</f>
        <v>out/2024</v>
      </c>
      <c r="D50" s="238" t="str">
        <f>Custos!D53</f>
        <v>AGEVAP</v>
      </c>
      <c r="E50" s="233" t="str">
        <f>Custos!B53</f>
        <v>Refeições</v>
      </c>
      <c r="F50" s="234">
        <f>'P1'!F50</f>
        <v>25.61</v>
      </c>
      <c r="G50" s="279" t="str">
        <f>'P1'!G50</f>
        <v>unidade</v>
      </c>
      <c r="H50" s="279">
        <f>Serviços!G21</f>
        <v>0</v>
      </c>
      <c r="I50" s="228">
        <f t="shared" si="8"/>
        <v>0</v>
      </c>
      <c r="J50" s="228">
        <f>(I50*K!$G$25)</f>
        <v>0</v>
      </c>
      <c r="K50" s="240">
        <f>J50/$J$53</f>
        <v>0</v>
      </c>
    </row>
    <row r="51" spans="1:12" s="123" customFormat="1" ht="16.149999999999999" customHeight="1">
      <c r="A51" s="232" t="s">
        <v>386</v>
      </c>
      <c r="B51" s="466" t="str">
        <f>Custos!F54</f>
        <v>-</v>
      </c>
      <c r="C51" s="237" t="str">
        <f>Custos!G54</f>
        <v>out/2024</v>
      </c>
      <c r="D51" s="238" t="str">
        <f>Custos!D54</f>
        <v>AGEVAP</v>
      </c>
      <c r="E51" s="233" t="str">
        <f>Custos!B54</f>
        <v>Diárias</v>
      </c>
      <c r="F51" s="234">
        <f>'P1'!F51</f>
        <v>335</v>
      </c>
      <c r="G51" s="279" t="str">
        <f>'P1'!G51</f>
        <v>unidade</v>
      </c>
      <c r="H51" s="279">
        <f>Serviços!G22</f>
        <v>0</v>
      </c>
      <c r="I51" s="228">
        <f t="shared" si="8"/>
        <v>0</v>
      </c>
      <c r="J51" s="228">
        <f>(I51*K!$G$25)</f>
        <v>0</v>
      </c>
      <c r="K51" s="240">
        <f>J51/$J$53</f>
        <v>0</v>
      </c>
    </row>
    <row r="52" spans="1:12" ht="6" customHeight="1">
      <c r="A52" s="151"/>
      <c r="B52" s="577"/>
      <c r="C52" s="160"/>
      <c r="D52" s="160"/>
      <c r="E52" s="174"/>
      <c r="F52" s="175"/>
      <c r="G52" s="185"/>
      <c r="H52" s="163"/>
      <c r="I52" s="163"/>
      <c r="J52" s="176"/>
      <c r="K52" s="193"/>
    </row>
    <row r="53" spans="1:12" ht="18" customHeight="1">
      <c r="A53" s="746" t="s">
        <v>726</v>
      </c>
      <c r="B53" s="746"/>
      <c r="C53" s="746"/>
      <c r="D53" s="746"/>
      <c r="E53" s="746"/>
      <c r="F53" s="396"/>
      <c r="G53" s="397"/>
      <c r="H53" s="398"/>
      <c r="I53" s="396" t="s">
        <v>318</v>
      </c>
      <c r="J53" s="396">
        <f>ROUND((J7+J16+J26+J46),2)</f>
        <v>92566.66</v>
      </c>
      <c r="K53" s="401">
        <f>K7+K16+K26+K46</f>
        <v>1.000000035466396</v>
      </c>
    </row>
    <row r="54" spans="1:12" ht="6" customHeight="1">
      <c r="A54" s="126"/>
      <c r="B54" s="80"/>
      <c r="C54" s="80"/>
      <c r="D54" s="127"/>
      <c r="E54" s="128"/>
      <c r="F54" s="133"/>
      <c r="G54" s="127"/>
      <c r="H54" s="125"/>
      <c r="I54" s="129"/>
      <c r="J54" s="121"/>
      <c r="K54" s="243"/>
    </row>
    <row r="55" spans="1:12" ht="20.100000000000001" customHeight="1">
      <c r="A55" s="152" t="s">
        <v>727</v>
      </c>
      <c r="B55" s="583"/>
      <c r="C55" s="153"/>
      <c r="D55" s="153"/>
      <c r="E55" s="153"/>
      <c r="F55" s="154"/>
      <c r="G55" s="186"/>
      <c r="H55" s="153"/>
      <c r="I55" s="153"/>
      <c r="J55" s="153"/>
      <c r="K55" s="154"/>
    </row>
    <row r="56" spans="1:12" ht="24" customHeight="1">
      <c r="A56" s="155" t="s">
        <v>728</v>
      </c>
      <c r="B56" s="747" t="s">
        <v>729</v>
      </c>
      <c r="C56" s="747"/>
      <c r="D56" s="747"/>
      <c r="E56" s="747"/>
      <c r="F56" s="747"/>
      <c r="G56" s="747"/>
      <c r="H56" s="747"/>
      <c r="I56" s="747"/>
      <c r="J56" s="747"/>
      <c r="K56" s="747"/>
    </row>
    <row r="57" spans="1:12" ht="13.15" customHeight="1">
      <c r="A57" s="155" t="s">
        <v>730</v>
      </c>
      <c r="B57" s="743" t="s">
        <v>731</v>
      </c>
      <c r="C57" s="743"/>
      <c r="D57" s="743"/>
      <c r="E57" s="743"/>
      <c r="F57" s="743"/>
      <c r="G57" s="743"/>
      <c r="H57" s="743"/>
      <c r="I57" s="743"/>
      <c r="J57" s="743"/>
      <c r="K57" s="743"/>
    </row>
    <row r="58" spans="1:12" ht="13.15" customHeight="1">
      <c r="A58" s="155" t="s">
        <v>732</v>
      </c>
      <c r="B58" s="743" t="s">
        <v>733</v>
      </c>
      <c r="C58" s="743"/>
      <c r="D58" s="743"/>
      <c r="E58" s="743"/>
      <c r="F58" s="743"/>
      <c r="G58" s="743"/>
      <c r="H58" s="743"/>
      <c r="I58" s="743"/>
      <c r="J58" s="743"/>
      <c r="K58" s="743"/>
    </row>
    <row r="59" spans="1:12" ht="13.15" customHeight="1">
      <c r="A59" s="155"/>
      <c r="B59" s="314"/>
      <c r="C59" s="314"/>
      <c r="D59" s="314"/>
      <c r="E59" s="314"/>
      <c r="F59" s="314"/>
      <c r="G59" s="314"/>
      <c r="H59" s="314"/>
      <c r="I59" s="314"/>
      <c r="J59" s="314"/>
      <c r="K59" s="314"/>
    </row>
    <row r="60" spans="1:12" ht="13.15" customHeight="1">
      <c r="A60" s="741" t="s">
        <v>734</v>
      </c>
      <c r="B60" s="741"/>
      <c r="C60" s="741"/>
      <c r="D60" s="741"/>
      <c r="E60" s="741"/>
      <c r="F60" s="741" t="s">
        <v>735</v>
      </c>
      <c r="G60" s="741"/>
      <c r="H60" s="741"/>
      <c r="I60" s="741"/>
      <c r="J60" s="314"/>
      <c r="K60" s="314"/>
    </row>
    <row r="61" spans="1:12" ht="13.15" customHeight="1">
      <c r="A61" s="742" t="s">
        <v>736</v>
      </c>
      <c r="B61" s="742"/>
      <c r="C61" s="742"/>
      <c r="D61" s="742"/>
      <c r="E61" s="742"/>
      <c r="F61" s="742" t="s">
        <v>737</v>
      </c>
      <c r="G61" s="742"/>
      <c r="H61" s="742"/>
      <c r="I61" s="742"/>
      <c r="J61" s="314"/>
      <c r="K61" s="314"/>
    </row>
    <row r="62" spans="1:12" ht="13.15" customHeight="1">
      <c r="A62" s="742" t="s">
        <v>738</v>
      </c>
      <c r="B62" s="742"/>
      <c r="C62" s="742"/>
      <c r="D62" s="742"/>
      <c r="E62" s="742"/>
      <c r="F62" s="742" t="s">
        <v>738</v>
      </c>
      <c r="G62" s="742"/>
      <c r="H62" s="742"/>
      <c r="I62" s="742"/>
      <c r="J62" s="314"/>
      <c r="K62" s="314"/>
    </row>
    <row r="63" spans="1:12">
      <c r="A63" s="551"/>
      <c r="C63" s="551"/>
      <c r="D63" s="551"/>
      <c r="E63" s="131"/>
      <c r="G63" s="131"/>
      <c r="H63" s="131"/>
      <c r="L63"/>
    </row>
    <row r="64" spans="1:12" ht="15" customHeight="1">
      <c r="A64" s="741" t="s">
        <v>739</v>
      </c>
      <c r="B64" s="741"/>
      <c r="C64" s="741"/>
      <c r="D64" s="741"/>
      <c r="E64" s="741"/>
      <c r="F64" s="741"/>
      <c r="G64" s="741"/>
      <c r="H64" s="741"/>
      <c r="I64" s="741"/>
      <c r="J64" s="741"/>
      <c r="K64" s="741"/>
      <c r="L64"/>
    </row>
    <row r="65" spans="1:12" ht="15" customHeight="1">
      <c r="A65" s="742" t="s">
        <v>740</v>
      </c>
      <c r="B65" s="742"/>
      <c r="C65" s="742"/>
      <c r="D65" s="742"/>
      <c r="E65" s="742"/>
      <c r="F65" s="742"/>
      <c r="G65" s="742"/>
      <c r="H65" s="742"/>
      <c r="I65" s="742"/>
      <c r="J65" s="742"/>
      <c r="K65" s="742"/>
    </row>
    <row r="66" spans="1:12" ht="15" customHeight="1">
      <c r="A66" s="742" t="s">
        <v>738</v>
      </c>
      <c r="B66" s="742"/>
      <c r="C66" s="742"/>
      <c r="D66" s="742"/>
      <c r="E66" s="742"/>
      <c r="F66" s="742"/>
      <c r="G66" s="742"/>
      <c r="H66" s="742"/>
      <c r="I66" s="742"/>
      <c r="J66" s="742"/>
      <c r="K66" s="742"/>
      <c r="L66" s="122"/>
    </row>
  </sheetData>
  <mergeCells count="15">
    <mergeCell ref="A64:K64"/>
    <mergeCell ref="A65:K65"/>
    <mergeCell ref="A66:K66"/>
    <mergeCell ref="D1:K1"/>
    <mergeCell ref="F6:G6"/>
    <mergeCell ref="A53:E53"/>
    <mergeCell ref="B56:K56"/>
    <mergeCell ref="B57:K57"/>
    <mergeCell ref="B58:K58"/>
    <mergeCell ref="F60:I60"/>
    <mergeCell ref="F61:I61"/>
    <mergeCell ref="F62:I62"/>
    <mergeCell ref="A60:E60"/>
    <mergeCell ref="A61:E61"/>
    <mergeCell ref="A62:E62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2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8" tint="-0.249977111117893"/>
    <pageSetUpPr fitToPage="1"/>
  </sheetPr>
  <dimension ref="A1:M66"/>
  <sheetViews>
    <sheetView showGridLines="0" view="pageBreakPreview" topLeftCell="A9" zoomScaleNormal="100" zoomScaleSheetLayoutView="100" workbookViewId="0">
      <selection activeCell="H44" sqref="H44"/>
    </sheetView>
  </sheetViews>
  <sheetFormatPr defaultColWidth="9.140625" defaultRowHeight="15.75"/>
  <cols>
    <col min="1" max="1" width="5" style="81" customWidth="1"/>
    <col min="2" max="3" width="10" style="81" customWidth="1"/>
    <col min="4" max="4" width="13.85546875" style="81" customWidth="1"/>
    <col min="5" max="5" width="45.7109375" style="81" customWidth="1"/>
    <col min="6" max="6" width="9.85546875" style="131" customWidth="1"/>
    <col min="7" max="7" width="8.28515625" style="134" bestFit="1" customWidth="1"/>
    <col min="8" max="8" width="12.140625" style="81" customWidth="1"/>
    <col min="9" max="9" width="10.5703125" style="81" customWidth="1"/>
    <col min="10" max="10" width="13" style="81" customWidth="1"/>
    <col min="11" max="11" width="12.140625" style="131" customWidth="1"/>
    <col min="12" max="22" width="12.7109375" style="81" customWidth="1"/>
    <col min="23" max="16384" width="9.140625" style="81"/>
  </cols>
  <sheetData>
    <row r="1" spans="1:13" ht="35.25" customHeight="1">
      <c r="B1" s="130"/>
      <c r="C1" s="130"/>
      <c r="D1" s="744" t="s">
        <v>745</v>
      </c>
      <c r="E1" s="744"/>
      <c r="F1" s="744"/>
      <c r="G1" s="744"/>
      <c r="H1" s="744"/>
      <c r="I1" s="744"/>
      <c r="J1" s="744"/>
      <c r="K1" s="744"/>
    </row>
    <row r="2" spans="1:13" s="122" customFormat="1" ht="15" customHeight="1">
      <c r="A2" s="80" t="s">
        <v>746</v>
      </c>
      <c r="C2" s="83" t="str">
        <f>'Horas trabalhadas'!H8</f>
        <v>Estudos Geotécnicos</v>
      </c>
      <c r="F2" s="132"/>
      <c r="G2" s="184"/>
      <c r="J2" s="119" t="s">
        <v>134</v>
      </c>
      <c r="K2" s="63">
        <f ca="1">'Dados Básicos do município'!H4</f>
        <v>46139</v>
      </c>
    </row>
    <row r="3" spans="1:13" s="122" customFormat="1" ht="15" customHeight="1">
      <c r="A3" s="80" t="s">
        <v>135</v>
      </c>
      <c r="C3" s="83" t="str">
        <f>'Dados Básicos do município'!B5</f>
        <v>CBH-SANTO ANTÔNIO</v>
      </c>
      <c r="F3" s="132"/>
      <c r="G3" s="184"/>
      <c r="K3" s="132"/>
    </row>
    <row r="4" spans="1:13" s="122" customFormat="1" ht="15" customHeight="1">
      <c r="A4" s="80" t="s">
        <v>136</v>
      </c>
      <c r="C4" s="83" t="str">
        <f>'Dados Básicos do município'!B6</f>
        <v>Açucena/MG</v>
      </c>
      <c r="F4" s="132"/>
      <c r="G4" s="184"/>
      <c r="J4" s="120"/>
      <c r="K4" s="119"/>
    </row>
    <row r="5" spans="1:13" ht="6" customHeight="1">
      <c r="A5" s="160"/>
      <c r="B5" s="160"/>
      <c r="C5" s="160"/>
      <c r="D5" s="160"/>
      <c r="E5" s="161"/>
      <c r="F5" s="162"/>
      <c r="G5" s="185"/>
      <c r="H5" s="164"/>
      <c r="I5" s="163"/>
      <c r="J5" s="163"/>
      <c r="K5" s="192"/>
    </row>
    <row r="6" spans="1:13" s="134" customFormat="1" ht="47.45" customHeight="1">
      <c r="A6" s="380" t="s">
        <v>713</v>
      </c>
      <c r="B6" s="380" t="s">
        <v>10</v>
      </c>
      <c r="C6" s="380" t="s">
        <v>714</v>
      </c>
      <c r="D6" s="380" t="s">
        <v>715</v>
      </c>
      <c r="E6" s="381" t="s">
        <v>716</v>
      </c>
      <c r="F6" s="745" t="s">
        <v>717</v>
      </c>
      <c r="G6" s="745"/>
      <c r="H6" s="382" t="s">
        <v>718</v>
      </c>
      <c r="I6" s="383" t="s">
        <v>719</v>
      </c>
      <c r="J6" s="383" t="s">
        <v>720</v>
      </c>
      <c r="K6" s="383" t="s">
        <v>721</v>
      </c>
    </row>
    <row r="7" spans="1:13" s="122" customFormat="1" ht="18" customHeight="1">
      <c r="A7" s="384">
        <v>1</v>
      </c>
      <c r="B7" s="385" t="s">
        <v>722</v>
      </c>
      <c r="C7" s="385"/>
      <c r="D7" s="385"/>
      <c r="E7" s="385"/>
      <c r="F7" s="386"/>
      <c r="G7" s="384"/>
      <c r="H7" s="385"/>
      <c r="I7" s="385"/>
      <c r="J7" s="387">
        <f>J9</f>
        <v>3709.0887594292089</v>
      </c>
      <c r="K7" s="388">
        <f>J7/$J$53</f>
        <v>9.5716468217272699E-2</v>
      </c>
    </row>
    <row r="8" spans="1:13" ht="6" customHeight="1">
      <c r="A8" s="160"/>
      <c r="B8" s="160"/>
      <c r="C8" s="160"/>
      <c r="D8" s="160"/>
      <c r="E8" s="161"/>
      <c r="F8" s="162"/>
      <c r="G8" s="185"/>
      <c r="H8" s="164"/>
      <c r="I8" s="163"/>
      <c r="J8" s="163"/>
      <c r="K8" s="192"/>
    </row>
    <row r="9" spans="1:13" s="122" customFormat="1" ht="18" customHeight="1">
      <c r="A9" s="178" t="s">
        <v>29</v>
      </c>
      <c r="B9" s="179" t="s">
        <v>376</v>
      </c>
      <c r="C9" s="179"/>
      <c r="D9" s="179"/>
      <c r="E9" s="179"/>
      <c r="F9" s="180"/>
      <c r="G9" s="178"/>
      <c r="H9" s="179"/>
      <c r="I9" s="179"/>
      <c r="J9" s="400">
        <f>SUM(J10:J14)</f>
        <v>3709.0887594292089</v>
      </c>
      <c r="K9" s="404">
        <f>SUM(K10:K14)</f>
        <v>9.5716468217272699E-2</v>
      </c>
    </row>
    <row r="10" spans="1:13" s="123" customFormat="1" ht="16.149999999999999" customHeight="1">
      <c r="A10" s="232" t="s">
        <v>378</v>
      </c>
      <c r="B10" s="225" t="str">
        <f>'P1'!B10</f>
        <v>P8061</v>
      </c>
      <c r="C10" s="225" t="str">
        <f>Custos!G13</f>
        <v>abr/2024</v>
      </c>
      <c r="D10" s="226" t="str">
        <f>Custos!$D$13</f>
        <v>DNIT</v>
      </c>
      <c r="E10" s="227" t="str">
        <f>Custos!B13</f>
        <v>Engenheiro Coordenador</v>
      </c>
      <c r="F10" s="228">
        <f>Custos!J13</f>
        <v>123.19</v>
      </c>
      <c r="G10" s="226" t="s">
        <v>382</v>
      </c>
      <c r="H10" s="422">
        <f>'Horas trabalhadas'!H9</f>
        <v>8.5137972566075621</v>
      </c>
      <c r="I10" s="228">
        <f>F10*H10</f>
        <v>1048.8146840414856</v>
      </c>
      <c r="J10" s="228">
        <f>(I10*K!$G$23)</f>
        <v>1826.3025871301181</v>
      </c>
      <c r="K10" s="240">
        <f>J10/$J$53</f>
        <v>4.7129428513073363E-2</v>
      </c>
      <c r="M10" s="124"/>
    </row>
    <row r="11" spans="1:13" s="123" customFormat="1" ht="16.149999999999999" customHeight="1">
      <c r="A11" s="232" t="s">
        <v>383</v>
      </c>
      <c r="B11" s="225" t="str">
        <f>'P1'!B11</f>
        <v>P8066</v>
      </c>
      <c r="C11" s="229" t="str">
        <f>Custos!G14</f>
        <v>abr/2024</v>
      </c>
      <c r="D11" s="230" t="str">
        <f>Custos!D14</f>
        <v>DNIT</v>
      </c>
      <c r="E11" s="227" t="str">
        <f>Custos!B14</f>
        <v>Engenheiro de Projetos Pleno</v>
      </c>
      <c r="F11" s="231">
        <f>Custos!J14</f>
        <v>85.36</v>
      </c>
      <c r="G11" s="230" t="s">
        <v>382</v>
      </c>
      <c r="H11" s="422">
        <f>'Horas trabalhadas'!H10</f>
        <v>0</v>
      </c>
      <c r="I11" s="228">
        <f t="shared" ref="I11:I14" si="0">F11*H11</f>
        <v>0</v>
      </c>
      <c r="J11" s="228">
        <f>(I11*K!$G$23)</f>
        <v>0</v>
      </c>
      <c r="K11" s="240">
        <f>J11/$J$53</f>
        <v>0</v>
      </c>
      <c r="M11" s="124"/>
    </row>
    <row r="12" spans="1:13" s="123" customFormat="1" ht="16.149999999999999" customHeight="1">
      <c r="A12" s="232" t="s">
        <v>386</v>
      </c>
      <c r="B12" s="225" t="str">
        <f>'P1'!B12</f>
        <v>P8065</v>
      </c>
      <c r="C12" s="229" t="str">
        <f>Custos!G15</f>
        <v>abr/2024</v>
      </c>
      <c r="D12" s="230" t="str">
        <f>Custos!D15</f>
        <v>DNIT</v>
      </c>
      <c r="E12" s="227" t="str">
        <f>Custos!B15</f>
        <v>Engenheiro de Projetos Júnior</v>
      </c>
      <c r="F12" s="231">
        <f>Custos!J15</f>
        <v>82.75</v>
      </c>
      <c r="G12" s="230" t="s">
        <v>382</v>
      </c>
      <c r="H12" s="422">
        <f>'Horas trabalhadas'!H11</f>
        <v>0</v>
      </c>
      <c r="I12" s="228">
        <f t="shared" si="0"/>
        <v>0</v>
      </c>
      <c r="J12" s="228">
        <f>(I12*K!$G$23)</f>
        <v>0</v>
      </c>
      <c r="K12" s="240">
        <f>J12/$J$53</f>
        <v>0</v>
      </c>
      <c r="M12" s="124"/>
    </row>
    <row r="13" spans="1:13" s="123" customFormat="1" ht="16.149999999999999" customHeight="1">
      <c r="A13" s="232" t="s">
        <v>389</v>
      </c>
      <c r="B13" s="225" t="str">
        <f>'P1'!B13</f>
        <v>P8155</v>
      </c>
      <c r="C13" s="229" t="str">
        <f>Custos!G16</f>
        <v>abr/2024</v>
      </c>
      <c r="D13" s="230" t="str">
        <f>Custos!D16</f>
        <v>DNIT</v>
      </c>
      <c r="E13" s="227" t="str">
        <f>Custos!B16</f>
        <v>Técnico cadista</v>
      </c>
      <c r="F13" s="231">
        <f>Custos!J16</f>
        <v>19.32</v>
      </c>
      <c r="G13" s="230" t="s">
        <v>382</v>
      </c>
      <c r="H13" s="422">
        <f>'Horas trabalhadas'!H12</f>
        <v>0</v>
      </c>
      <c r="I13" s="228">
        <f t="shared" si="0"/>
        <v>0</v>
      </c>
      <c r="J13" s="228">
        <f>(I13*K!$G$23)</f>
        <v>0</v>
      </c>
      <c r="K13" s="240">
        <f>J13/$J$53</f>
        <v>0</v>
      </c>
      <c r="M13" s="124"/>
    </row>
    <row r="14" spans="1:13" s="123" customFormat="1" ht="16.149999999999999" customHeight="1">
      <c r="A14" s="232" t="s">
        <v>392</v>
      </c>
      <c r="B14" s="225" t="str">
        <f>'P1'!B14</f>
        <v>P8026</v>
      </c>
      <c r="C14" s="229" t="str">
        <f>Custos!G17</f>
        <v>abr/2024</v>
      </c>
      <c r="D14" s="230" t="str">
        <f>Custos!D17</f>
        <v>DNIT</v>
      </c>
      <c r="E14" s="227" t="str">
        <f>Custos!B17</f>
        <v>Auxiliar Administrativo</v>
      </c>
      <c r="F14" s="231">
        <f>Custos!J17</f>
        <v>12.7</v>
      </c>
      <c r="G14" s="230" t="s">
        <v>382</v>
      </c>
      <c r="H14" s="422">
        <f>'Horas trabalhadas'!H13</f>
        <v>85.137972566075618</v>
      </c>
      <c r="I14" s="228">
        <f t="shared" si="0"/>
        <v>1081.2522515891603</v>
      </c>
      <c r="J14" s="228">
        <f>(I14*K!$G$23)</f>
        <v>1882.7861722990906</v>
      </c>
      <c r="K14" s="240">
        <f>J14/$J$53</f>
        <v>4.8587039704199336E-2</v>
      </c>
      <c r="M14" s="124"/>
    </row>
    <row r="15" spans="1:13" ht="6" customHeight="1">
      <c r="A15" s="160"/>
      <c r="B15" s="160"/>
      <c r="C15" s="160"/>
      <c r="D15" s="160"/>
      <c r="E15" s="161"/>
      <c r="F15" s="162"/>
      <c r="G15" s="185"/>
      <c r="H15" s="164"/>
      <c r="I15" s="163"/>
      <c r="J15" s="163"/>
      <c r="K15" s="192"/>
    </row>
    <row r="16" spans="1:13" s="122" customFormat="1" ht="18" customHeight="1">
      <c r="A16" s="384">
        <v>2</v>
      </c>
      <c r="B16" s="385" t="s">
        <v>396</v>
      </c>
      <c r="C16" s="385"/>
      <c r="D16" s="385"/>
      <c r="E16" s="385"/>
      <c r="F16" s="386"/>
      <c r="G16" s="384"/>
      <c r="H16" s="385"/>
      <c r="I16" s="385"/>
      <c r="J16" s="387">
        <f>J18</f>
        <v>0</v>
      </c>
      <c r="K16" s="388">
        <f>J16/$J$53</f>
        <v>0</v>
      </c>
    </row>
    <row r="17" spans="1:13" ht="5.0999999999999996" customHeight="1">
      <c r="A17" s="167"/>
      <c r="B17" s="168"/>
      <c r="C17" s="168"/>
      <c r="D17" s="169"/>
      <c r="E17" s="170"/>
      <c r="F17" s="165"/>
      <c r="G17" s="159"/>
      <c r="H17" s="166"/>
      <c r="I17" s="159"/>
      <c r="J17" s="159"/>
      <c r="K17" s="191"/>
    </row>
    <row r="18" spans="1:13" s="122" customFormat="1" ht="18" customHeight="1">
      <c r="A18" s="389" t="s">
        <v>47</v>
      </c>
      <c r="B18" s="390" t="s">
        <v>396</v>
      </c>
      <c r="C18" s="390"/>
      <c r="D18" s="390"/>
      <c r="E18" s="390"/>
      <c r="F18" s="391"/>
      <c r="G18" s="389"/>
      <c r="H18" s="390"/>
      <c r="I18" s="391"/>
      <c r="J18" s="392">
        <f>SUM(J19:J24)</f>
        <v>0</v>
      </c>
      <c r="K18" s="405">
        <f>SUM(K19:K24)</f>
        <v>0</v>
      </c>
    </row>
    <row r="19" spans="1:13" s="123" customFormat="1" ht="16.149999999999999" customHeight="1">
      <c r="A19" s="232" t="s">
        <v>378</v>
      </c>
      <c r="B19" s="225" t="str">
        <f>'P1'!B19</f>
        <v>P8003</v>
      </c>
      <c r="C19" s="225" t="str">
        <f>Custos!G22</f>
        <v>abr/2024</v>
      </c>
      <c r="D19" s="230" t="str">
        <f>Custos!D22</f>
        <v>DNIT</v>
      </c>
      <c r="E19" s="227" t="str">
        <f>Custos!B22</f>
        <v>Advogado sênior</v>
      </c>
      <c r="F19" s="228">
        <f>Custos!J22</f>
        <v>76.88</v>
      </c>
      <c r="G19" s="226" t="s">
        <v>382</v>
      </c>
      <c r="H19" s="422">
        <f>'Horas trabalhadas'!H14</f>
        <v>0</v>
      </c>
      <c r="I19" s="228">
        <f t="shared" ref="I19:I24" si="1">F19*H19</f>
        <v>0</v>
      </c>
      <c r="J19" s="228">
        <f>(I19*K!$G$23)</f>
        <v>0</v>
      </c>
      <c r="K19" s="239">
        <f t="shared" ref="K19:K24" si="2">J19/$J$53</f>
        <v>0</v>
      </c>
    </row>
    <row r="20" spans="1:13" s="123" customFormat="1" ht="16.149999999999999" customHeight="1">
      <c r="A20" s="232" t="s">
        <v>383</v>
      </c>
      <c r="B20" s="225" t="str">
        <f>'P1'!B20</f>
        <v>P8067</v>
      </c>
      <c r="C20" s="225" t="str">
        <f>Custos!G23</f>
        <v>abr/2024</v>
      </c>
      <c r="D20" s="230" t="str">
        <f>Custos!D23</f>
        <v>DNIT</v>
      </c>
      <c r="E20" s="227" t="str">
        <f>Custos!B23</f>
        <v>Engenheiro de Projetos (Elétrico)</v>
      </c>
      <c r="F20" s="228">
        <f>Custos!J23</f>
        <v>107.32</v>
      </c>
      <c r="G20" s="226" t="s">
        <v>382</v>
      </c>
      <c r="H20" s="422">
        <f>'Horas trabalhadas'!H15</f>
        <v>0</v>
      </c>
      <c r="I20" s="228">
        <f t="shared" si="1"/>
        <v>0</v>
      </c>
      <c r="J20" s="228">
        <f>(I20*K!$G$23)</f>
        <v>0</v>
      </c>
      <c r="K20" s="239">
        <f t="shared" si="2"/>
        <v>0</v>
      </c>
    </row>
    <row r="21" spans="1:13" s="123" customFormat="1" ht="16.149999999999999" customHeight="1">
      <c r="A21" s="232" t="s">
        <v>386</v>
      </c>
      <c r="B21" s="225" t="str">
        <f>'P1'!B21</f>
        <v>P8067</v>
      </c>
      <c r="C21" s="225" t="str">
        <f>Custos!G24</f>
        <v>abr/2024</v>
      </c>
      <c r="D21" s="230" t="str">
        <f>Custos!D24</f>
        <v>DNIT</v>
      </c>
      <c r="E21" s="227" t="str">
        <f>Custos!B24</f>
        <v>Engenheiro de Projeto (Calculista)</v>
      </c>
      <c r="F21" s="228">
        <f>Custos!J24</f>
        <v>107.32</v>
      </c>
      <c r="G21" s="226" t="s">
        <v>382</v>
      </c>
      <c r="H21" s="422">
        <f>'Horas trabalhadas'!H16</f>
        <v>0</v>
      </c>
      <c r="I21" s="228">
        <f t="shared" si="1"/>
        <v>0</v>
      </c>
      <c r="J21" s="228">
        <f>(I21*K!$G$23)</f>
        <v>0</v>
      </c>
      <c r="K21" s="239">
        <f t="shared" si="2"/>
        <v>0</v>
      </c>
    </row>
    <row r="22" spans="1:13" s="123" customFormat="1" ht="16.149999999999999" customHeight="1">
      <c r="A22" s="232" t="s">
        <v>389</v>
      </c>
      <c r="B22" s="225" t="str">
        <f>'P1'!B22</f>
        <v>P8067</v>
      </c>
      <c r="C22" s="225" t="str">
        <f>Custos!G25</f>
        <v>abr/2024</v>
      </c>
      <c r="D22" s="230" t="str">
        <f>Custos!D25</f>
        <v>DNIT</v>
      </c>
      <c r="E22" s="227" t="str">
        <f>Custos!B25</f>
        <v>Engenheiro de Projetos (Mecânico)</v>
      </c>
      <c r="F22" s="228">
        <f>Custos!J25</f>
        <v>107.32</v>
      </c>
      <c r="G22" s="226" t="s">
        <v>382</v>
      </c>
      <c r="H22" s="422">
        <f>'Horas trabalhadas'!H17</f>
        <v>0</v>
      </c>
      <c r="I22" s="228">
        <f t="shared" si="1"/>
        <v>0</v>
      </c>
      <c r="J22" s="228">
        <f>(I22*K!$G$23)</f>
        <v>0</v>
      </c>
      <c r="K22" s="239">
        <f t="shared" si="2"/>
        <v>0</v>
      </c>
    </row>
    <row r="23" spans="1:13" s="123" customFormat="1" ht="16.149999999999999" customHeight="1">
      <c r="A23" s="232" t="s">
        <v>392</v>
      </c>
      <c r="B23" s="225" t="str">
        <f>'P1'!B23</f>
        <v>P8059</v>
      </c>
      <c r="C23" s="225" t="str">
        <f>Custos!G26</f>
        <v>abr/2024</v>
      </c>
      <c r="D23" s="230" t="str">
        <f>Custos!D27</f>
        <v>DNIT</v>
      </c>
      <c r="E23" s="227" t="str">
        <f>Custos!B26</f>
        <v>Engenheiro ambiental</v>
      </c>
      <c r="F23" s="228">
        <f>Custos!J26</f>
        <v>100.92</v>
      </c>
      <c r="G23" s="226" t="s">
        <v>382</v>
      </c>
      <c r="H23" s="422">
        <f>'Horas trabalhadas'!H18</f>
        <v>0</v>
      </c>
      <c r="I23" s="228">
        <f t="shared" si="1"/>
        <v>0</v>
      </c>
      <c r="J23" s="228">
        <f>(I23*K!$G$23)</f>
        <v>0</v>
      </c>
      <c r="K23" s="239">
        <f t="shared" si="2"/>
        <v>0</v>
      </c>
    </row>
    <row r="24" spans="1:13" s="123" customFormat="1" ht="16.149999999999999" customHeight="1">
      <c r="A24" s="232" t="s">
        <v>405</v>
      </c>
      <c r="B24" s="225" t="str">
        <f>'P1'!B24</f>
        <v>P8155</v>
      </c>
      <c r="C24" s="225" t="str">
        <f>Custos!G27</f>
        <v>abr/2024</v>
      </c>
      <c r="D24" s="230" t="str">
        <f>Custos!D27</f>
        <v>DNIT</v>
      </c>
      <c r="E24" s="227" t="str">
        <f>Custos!B27</f>
        <v>Técnico em geoprocessamento</v>
      </c>
      <c r="F24" s="228">
        <f>Custos!J27</f>
        <v>14.35</v>
      </c>
      <c r="G24" s="226" t="s">
        <v>382</v>
      </c>
      <c r="H24" s="422">
        <f>'Horas trabalhadas'!H19</f>
        <v>0</v>
      </c>
      <c r="I24" s="228">
        <f t="shared" si="1"/>
        <v>0</v>
      </c>
      <c r="J24" s="228">
        <f>(I24*K!$G$23)</f>
        <v>0</v>
      </c>
      <c r="K24" s="239">
        <f t="shared" si="2"/>
        <v>0</v>
      </c>
      <c r="M24" s="124"/>
    </row>
    <row r="25" spans="1:13" ht="6" customHeight="1">
      <c r="A25" s="160"/>
      <c r="B25" s="160"/>
      <c r="C25" s="160"/>
      <c r="D25" s="160"/>
      <c r="E25" s="161"/>
      <c r="F25" s="162"/>
      <c r="G25" s="185"/>
      <c r="H25" s="164"/>
      <c r="I25" s="163"/>
      <c r="J25" s="163"/>
      <c r="K25" s="192"/>
    </row>
    <row r="26" spans="1:13" s="122" customFormat="1" ht="18" customHeight="1">
      <c r="A26" s="393">
        <v>3</v>
      </c>
      <c r="B26" s="394" t="s">
        <v>129</v>
      </c>
      <c r="C26" s="394"/>
      <c r="D26" s="394"/>
      <c r="E26" s="182"/>
      <c r="F26" s="183"/>
      <c r="G26" s="181"/>
      <c r="H26" s="182"/>
      <c r="I26" s="182"/>
      <c r="J26" s="399">
        <f>J28+J33+J39+J43</f>
        <v>35041.703964839449</v>
      </c>
      <c r="K26" s="388">
        <f>J26/$J$53</f>
        <v>0.90428360208500136</v>
      </c>
    </row>
    <row r="27" spans="1:13" ht="5.0999999999999996" customHeight="1">
      <c r="A27" s="167"/>
      <c r="B27" s="168"/>
      <c r="C27" s="168"/>
      <c r="D27" s="169"/>
      <c r="E27" s="170"/>
      <c r="F27" s="165"/>
      <c r="G27" s="159"/>
      <c r="H27" s="166"/>
      <c r="I27" s="159"/>
      <c r="J27" s="159"/>
      <c r="K27" s="191"/>
    </row>
    <row r="28" spans="1:13" s="122" customFormat="1" ht="18" customHeight="1">
      <c r="A28" s="178" t="s">
        <v>59</v>
      </c>
      <c r="B28" s="179" t="s">
        <v>416</v>
      </c>
      <c r="C28" s="179"/>
      <c r="D28" s="179"/>
      <c r="E28" s="179"/>
      <c r="F28" s="180"/>
      <c r="G28" s="178"/>
      <c r="H28" s="179"/>
      <c r="I28" s="179"/>
      <c r="J28" s="400">
        <f>SUM(J29:J31)</f>
        <v>0</v>
      </c>
      <c r="K28" s="404">
        <f>SUM(K29:K31)</f>
        <v>0</v>
      </c>
    </row>
    <row r="29" spans="1:13" s="123" customFormat="1">
      <c r="A29" s="232" t="s">
        <v>378</v>
      </c>
      <c r="B29" s="232">
        <f>'P1'!B29</f>
        <v>65003710</v>
      </c>
      <c r="C29" s="232" t="str">
        <f>Custos!G38</f>
        <v>set/2024</v>
      </c>
      <c r="D29" s="237" t="str">
        <f>Custos!D38</f>
        <v>COPASA</v>
      </c>
      <c r="E29" s="415" t="str">
        <f>Custos!B38</f>
        <v>Mobilização e desmobilização de equipe de topografia</v>
      </c>
      <c r="F29" s="234">
        <f>Custos!J38</f>
        <v>4.62</v>
      </c>
      <c r="G29" s="279" t="str">
        <f>Custos!H38</f>
        <v>km</v>
      </c>
      <c r="H29" s="279">
        <f>Serviços!H9</f>
        <v>0</v>
      </c>
      <c r="I29" s="228">
        <f t="shared" ref="I29:I31" si="3">F29*H29</f>
        <v>0</v>
      </c>
      <c r="J29" s="228">
        <f>(I29*K!$G$24)</f>
        <v>0</v>
      </c>
      <c r="K29" s="240">
        <f>J29/$J$53</f>
        <v>0</v>
      </c>
    </row>
    <row r="30" spans="1:13" s="123" customFormat="1">
      <c r="A30" s="232" t="s">
        <v>383</v>
      </c>
      <c r="B30" s="232">
        <f>'P1'!B30</f>
        <v>65001667</v>
      </c>
      <c r="C30" s="232" t="str">
        <f>Custos!G39</f>
        <v>set/2024</v>
      </c>
      <c r="D30" s="237" t="str">
        <f>Custos!D39</f>
        <v>COPASA</v>
      </c>
      <c r="E30" s="415" t="str">
        <f>Custos!B39</f>
        <v>Equipe de topografia de campo</v>
      </c>
      <c r="F30" s="234">
        <f>Custos!J39</f>
        <v>50814.45</v>
      </c>
      <c r="G30" s="279" t="str">
        <f>Custos!H39</f>
        <v>mês</v>
      </c>
      <c r="H30" s="279">
        <f>Serviços!H10</f>
        <v>0</v>
      </c>
      <c r="I30" s="228">
        <f t="shared" si="3"/>
        <v>0</v>
      </c>
      <c r="J30" s="228">
        <f>(I30*K!$G$24)</f>
        <v>0</v>
      </c>
      <c r="K30" s="240">
        <f>J30/$J$53</f>
        <v>0</v>
      </c>
    </row>
    <row r="31" spans="1:13" s="123" customFormat="1">
      <c r="A31" s="232" t="s">
        <v>386</v>
      </c>
      <c r="B31" s="232">
        <f>'P1'!B31</f>
        <v>65001668</v>
      </c>
      <c r="C31" s="232" t="str">
        <f>Custos!G40</f>
        <v>set/2024</v>
      </c>
      <c r="D31" s="237" t="str">
        <f>Custos!D40</f>
        <v>COPASA</v>
      </c>
      <c r="E31" s="415" t="str">
        <f>Custos!B40</f>
        <v>Equipe de topografia de escritório</v>
      </c>
      <c r="F31" s="234">
        <f>Custos!J40</f>
        <v>26804.01</v>
      </c>
      <c r="G31" s="279" t="str">
        <f>Custos!H40</f>
        <v>mês</v>
      </c>
      <c r="H31" s="279">
        <f>Serviços!H11</f>
        <v>0</v>
      </c>
      <c r="I31" s="228">
        <f t="shared" si="3"/>
        <v>0</v>
      </c>
      <c r="J31" s="228">
        <f>(I31*K!$G$24)</f>
        <v>0</v>
      </c>
      <c r="K31" s="240">
        <f>J31/$J$53</f>
        <v>0</v>
      </c>
    </row>
    <row r="32" spans="1:13" ht="10.5" customHeight="1">
      <c r="A32" s="167"/>
      <c r="B32" s="168"/>
      <c r="C32" s="168"/>
      <c r="D32" s="169"/>
      <c r="E32" s="170"/>
      <c r="F32" s="165"/>
      <c r="G32" s="279"/>
      <c r="H32" s="166"/>
      <c r="I32" s="159"/>
      <c r="J32" s="159"/>
      <c r="K32" s="191"/>
    </row>
    <row r="33" spans="1:11" s="122" customFormat="1" ht="18" customHeight="1">
      <c r="A33" s="156" t="s">
        <v>60</v>
      </c>
      <c r="B33" s="171" t="s">
        <v>708</v>
      </c>
      <c r="C33" s="171"/>
      <c r="D33" s="171"/>
      <c r="E33" s="171"/>
      <c r="F33" s="158"/>
      <c r="G33" s="156"/>
      <c r="H33" s="157"/>
      <c r="I33" s="157"/>
      <c r="J33" s="172">
        <f>SUM(J34:J37)</f>
        <v>35041.703964839449</v>
      </c>
      <c r="K33" s="403">
        <f>SUM(K35:K36)</f>
        <v>0.29569257646429475</v>
      </c>
    </row>
    <row r="34" spans="1:11" s="123" customFormat="1">
      <c r="A34" s="232" t="s">
        <v>378</v>
      </c>
      <c r="B34" s="232">
        <f>'P1'!B34</f>
        <v>65001207</v>
      </c>
      <c r="C34" s="232" t="str">
        <f>Custos!G32</f>
        <v>set/2024</v>
      </c>
      <c r="D34" s="237" t="str">
        <f>Custos!D32</f>
        <v>COPASA</v>
      </c>
      <c r="E34" s="415" t="str">
        <f>Custos!B32</f>
        <v>Sondagem a percussao - mobilizacao e desmobilizacao</v>
      </c>
      <c r="F34" s="234">
        <f>Custos!J32</f>
        <v>1316.83</v>
      </c>
      <c r="G34" s="279" t="str">
        <f>Custos!H32</f>
        <v>unidade</v>
      </c>
      <c r="H34" s="279">
        <f>Serviços!H14</f>
        <v>1</v>
      </c>
      <c r="I34" s="228">
        <f t="shared" ref="I34:I37" si="4">F34*H34</f>
        <v>1316.83</v>
      </c>
      <c r="J34" s="228">
        <f>(I34*K!$G$24)</f>
        <v>1958.9609036188922</v>
      </c>
      <c r="K34" s="240">
        <f>J34/$J$53</f>
        <v>5.0552799146001727E-2</v>
      </c>
    </row>
    <row r="35" spans="1:11" s="123" customFormat="1" ht="26.45" customHeight="1">
      <c r="A35" s="232" t="s">
        <v>383</v>
      </c>
      <c r="B35" s="232">
        <f>'P1'!B35</f>
        <v>65001208</v>
      </c>
      <c r="C35" s="237" t="str">
        <f>Custos!G33</f>
        <v>set/2024</v>
      </c>
      <c r="D35" s="279" t="str">
        <f>Custos!D33</f>
        <v>COPASA</v>
      </c>
      <c r="E35" s="465" t="str">
        <f>Custos!B33</f>
        <v>Sondagem a percussao - adicional de mobilizacao e desmobilizacao</v>
      </c>
      <c r="F35" s="234">
        <f>Custos!J33</f>
        <v>9.32</v>
      </c>
      <c r="G35" s="416" t="str">
        <f>Custos!H33</f>
        <v>km</v>
      </c>
      <c r="H35" s="279">
        <f>Serviços!H15</f>
        <v>308.19999999999993</v>
      </c>
      <c r="I35" s="228">
        <f t="shared" si="4"/>
        <v>2872.4239999999995</v>
      </c>
      <c r="J35" s="228">
        <f>(I35*K!$G$24)</f>
        <v>4273.1152195929562</v>
      </c>
      <c r="K35" s="239">
        <f>J35/$J$53</f>
        <v>0.11027169303110869</v>
      </c>
    </row>
    <row r="36" spans="1:11" s="123" customFormat="1">
      <c r="A36" s="232" t="s">
        <v>386</v>
      </c>
      <c r="B36" s="232">
        <f>'P1'!B36</f>
        <v>65001209</v>
      </c>
      <c r="C36" s="232" t="str">
        <f>Custos!G34</f>
        <v>set/2024</v>
      </c>
      <c r="D36" s="237" t="str">
        <f>Custos!D34</f>
        <v>COPASA</v>
      </c>
      <c r="E36" s="415" t="str">
        <f>Custos!B34</f>
        <v>Sondagem a percussao - instalacao por furo</v>
      </c>
      <c r="F36" s="234">
        <f>Custos!J34</f>
        <v>482.46</v>
      </c>
      <c r="G36" s="279" t="str">
        <f>Custos!H34</f>
        <v>unidade</v>
      </c>
      <c r="H36" s="279">
        <f>Serviços!H16</f>
        <v>10.011100880000001</v>
      </c>
      <c r="I36" s="228">
        <f t="shared" si="4"/>
        <v>4829.9557305648004</v>
      </c>
      <c r="J36" s="228">
        <f>(I36*K!$G$24)</f>
        <v>7185.2057155338716</v>
      </c>
      <c r="K36" s="240">
        <f>J36/$J$53</f>
        <v>0.18542088343318605</v>
      </c>
    </row>
    <row r="37" spans="1:11" s="123" customFormat="1" ht="26.45" customHeight="1">
      <c r="A37" s="232" t="s">
        <v>389</v>
      </c>
      <c r="B37" s="232">
        <f>'P1'!B37</f>
        <v>65001210</v>
      </c>
      <c r="C37" s="237" t="str">
        <f>Custos!G35</f>
        <v>set/2024</v>
      </c>
      <c r="D37" s="279" t="str">
        <f>Custos!D35</f>
        <v>COPASA</v>
      </c>
      <c r="E37" s="465" t="str">
        <f>Custos!B35</f>
        <v>Sondagem a percussao ø2.1/2" - perfuracao e retirada de amostras</v>
      </c>
      <c r="F37" s="234">
        <f>Custos!J35</f>
        <v>145.19999999999999</v>
      </c>
      <c r="G37" s="416" t="str">
        <f>Custos!H35</f>
        <v>m</v>
      </c>
      <c r="H37" s="279">
        <f>Serviços!H17</f>
        <v>100.11100880000001</v>
      </c>
      <c r="I37" s="228">
        <f t="shared" si="4"/>
        <v>14536.118477759999</v>
      </c>
      <c r="J37" s="228">
        <f>(I37*K!$G$24)</f>
        <v>21624.42212609373</v>
      </c>
      <c r="K37" s="240">
        <f>J37/$J$53</f>
        <v>0.55803822647470491</v>
      </c>
    </row>
    <row r="38" spans="1:11" ht="6" customHeight="1">
      <c r="A38" s="160"/>
      <c r="B38" s="160"/>
      <c r="C38" s="160"/>
      <c r="D38" s="160"/>
      <c r="E38" s="161"/>
      <c r="F38" s="162"/>
      <c r="G38" s="185"/>
      <c r="H38" s="235"/>
      <c r="I38" s="163"/>
      <c r="J38" s="163"/>
      <c r="K38" s="192"/>
    </row>
    <row r="39" spans="1:11" s="122" customFormat="1" ht="18" customHeight="1">
      <c r="A39" s="156" t="s">
        <v>61</v>
      </c>
      <c r="B39" s="171" t="s">
        <v>420</v>
      </c>
      <c r="C39" s="171"/>
      <c r="D39" s="171"/>
      <c r="E39" s="171"/>
      <c r="F39" s="158"/>
      <c r="G39" s="156"/>
      <c r="H39" s="157"/>
      <c r="I39" s="157"/>
      <c r="J39" s="172">
        <f>SUM(J40:J41)</f>
        <v>0</v>
      </c>
      <c r="K39" s="403">
        <f>SUM(K40:K41)</f>
        <v>0</v>
      </c>
    </row>
    <row r="40" spans="1:11" s="123" customFormat="1">
      <c r="A40" s="232" t="s">
        <v>378</v>
      </c>
      <c r="B40" s="232">
        <f>'P1'!B40</f>
        <v>65001667</v>
      </c>
      <c r="C40" s="232" t="str">
        <f>Custos!G43</f>
        <v>set/2024</v>
      </c>
      <c r="D40" s="237" t="str">
        <f>Custos!D43</f>
        <v>COPASA</v>
      </c>
      <c r="E40" s="415" t="str">
        <f>Custos!B43</f>
        <v>Equipe de topografia de campo</v>
      </c>
      <c r="F40" s="234">
        <f>Custos!J43</f>
        <v>50814.45</v>
      </c>
      <c r="G40" s="279" t="str">
        <f>Custos!H43</f>
        <v>mês</v>
      </c>
      <c r="H40" s="279">
        <f>Serviços!H12</f>
        <v>0</v>
      </c>
      <c r="I40" s="228">
        <f t="shared" ref="I40:I41" si="5">F40*H40</f>
        <v>0</v>
      </c>
      <c r="J40" s="228">
        <f>(I40*K!$G$24)</f>
        <v>0</v>
      </c>
      <c r="K40" s="240">
        <f>J40/$J$53</f>
        <v>0</v>
      </c>
    </row>
    <row r="41" spans="1:11" s="123" customFormat="1">
      <c r="A41" s="232" t="s">
        <v>383</v>
      </c>
      <c r="B41" s="232">
        <f>'P1'!B41</f>
        <v>65001668</v>
      </c>
      <c r="C41" s="232" t="str">
        <f>Custos!G44</f>
        <v>set/2024</v>
      </c>
      <c r="D41" s="237" t="str">
        <f>Custos!D44</f>
        <v>COPASA</v>
      </c>
      <c r="E41" s="415" t="str">
        <f>Custos!B44</f>
        <v>Equipe de topografia de escritório</v>
      </c>
      <c r="F41" s="234">
        <f>Custos!J44</f>
        <v>26804.01</v>
      </c>
      <c r="G41" s="279" t="str">
        <f>Custos!H44</f>
        <v>mês</v>
      </c>
      <c r="H41" s="279">
        <f>Serviços!H13</f>
        <v>0</v>
      </c>
      <c r="I41" s="228">
        <f t="shared" si="5"/>
        <v>0</v>
      </c>
      <c r="J41" s="228">
        <f>(I41*K!$G$24)</f>
        <v>0</v>
      </c>
      <c r="K41" s="240">
        <f>J41/$J$53</f>
        <v>0</v>
      </c>
    </row>
    <row r="42" spans="1:11" ht="5.0999999999999996" customHeight="1">
      <c r="A42" s="232"/>
      <c r="B42" s="237"/>
      <c r="C42" s="237"/>
      <c r="D42" s="232"/>
      <c r="E42" s="173"/>
      <c r="F42" s="165"/>
      <c r="G42" s="226"/>
      <c r="H42" s="166"/>
      <c r="I42" s="159"/>
      <c r="J42" s="159"/>
      <c r="K42" s="191"/>
    </row>
    <row r="43" spans="1:11" s="122" customFormat="1" ht="18" customHeight="1">
      <c r="A43" s="156" t="s">
        <v>62</v>
      </c>
      <c r="B43" s="157" t="s">
        <v>422</v>
      </c>
      <c r="C43" s="171"/>
      <c r="D43" s="171"/>
      <c r="E43" s="171"/>
      <c r="F43" s="158"/>
      <c r="G43" s="156"/>
      <c r="H43" s="157"/>
      <c r="I43" s="157"/>
      <c r="J43" s="172">
        <f>SUM(J44:J45)</f>
        <v>0</v>
      </c>
      <c r="K43" s="403">
        <f>SUM(K44:K45)</f>
        <v>0</v>
      </c>
    </row>
    <row r="44" spans="1:11" s="123" customFormat="1">
      <c r="A44" s="237" t="s">
        <v>378</v>
      </c>
      <c r="B44" s="466">
        <f>Custos!E49</f>
        <v>65001114</v>
      </c>
      <c r="C44" s="237" t="str">
        <f>Custos!G49</f>
        <v>set/2024</v>
      </c>
      <c r="D44" s="237" t="str">
        <f>Custos!D49</f>
        <v>COPASA</v>
      </c>
      <c r="E44" s="466" t="str">
        <f>Custos!B49</f>
        <v>Análise fisico-química da água</v>
      </c>
      <c r="F44" s="234">
        <f>Custos!J49</f>
        <v>371.18</v>
      </c>
      <c r="G44" s="237" t="str">
        <f>Custos!H49</f>
        <v>unidade</v>
      </c>
      <c r="H44" s="279">
        <f>Serviços!H18</f>
        <v>0</v>
      </c>
      <c r="I44" s="228">
        <f>H44*F44</f>
        <v>0</v>
      </c>
      <c r="J44" s="228">
        <f>(I44*K!$G$24)</f>
        <v>0</v>
      </c>
      <c r="K44" s="240">
        <f>J44/$J$53</f>
        <v>0</v>
      </c>
    </row>
    <row r="45" spans="1:11" s="123" customFormat="1">
      <c r="A45" s="237" t="s">
        <v>383</v>
      </c>
      <c r="B45" s="466">
        <f>Custos!E50</f>
        <v>65001115</v>
      </c>
      <c r="C45" s="237" t="str">
        <f>Custos!G50</f>
        <v>set/2024</v>
      </c>
      <c r="D45" s="237" t="str">
        <f>Custos!D50</f>
        <v>COPASA</v>
      </c>
      <c r="E45" s="466" t="str">
        <f>Custos!B50</f>
        <v>Analise bactereologica da água</v>
      </c>
      <c r="F45" s="234">
        <f>Custos!J50</f>
        <v>120.28</v>
      </c>
      <c r="G45" s="237" t="str">
        <f>Custos!H50</f>
        <v>unidade</v>
      </c>
      <c r="H45" s="279">
        <f>Serviços!H19</f>
        <v>0</v>
      </c>
      <c r="I45" s="228">
        <f t="shared" ref="I45" si="6">H45*F45</f>
        <v>0</v>
      </c>
      <c r="J45" s="228">
        <f>(I45*K!$G$24)</f>
        <v>0</v>
      </c>
      <c r="K45" s="240">
        <f>J45/$J$53</f>
        <v>0</v>
      </c>
    </row>
    <row r="46" spans="1:11" s="122" customFormat="1" ht="18" customHeight="1">
      <c r="A46" s="393" t="s">
        <v>724</v>
      </c>
      <c r="B46" s="394" t="s">
        <v>725</v>
      </c>
      <c r="C46" s="394"/>
      <c r="D46" s="394"/>
      <c r="E46" s="182"/>
      <c r="F46" s="183"/>
      <c r="G46" s="181"/>
      <c r="H46" s="182"/>
      <c r="I46" s="182"/>
      <c r="J46" s="399">
        <f>J48</f>
        <v>0</v>
      </c>
      <c r="K46" s="388">
        <f>J46/$J$53</f>
        <v>0</v>
      </c>
    </row>
    <row r="47" spans="1:11" ht="5.0999999999999996" customHeight="1">
      <c r="A47" s="395"/>
      <c r="B47" s="168"/>
      <c r="C47" s="168"/>
      <c r="D47" s="395"/>
      <c r="E47" s="173"/>
      <c r="F47" s="165"/>
      <c r="G47" s="159"/>
      <c r="H47" s="166"/>
      <c r="I47" s="159"/>
      <c r="J47" s="159"/>
      <c r="K47" s="191"/>
    </row>
    <row r="48" spans="1:11" s="122" customFormat="1" ht="18" customHeight="1">
      <c r="A48" s="156" t="s">
        <v>72</v>
      </c>
      <c r="B48" s="157" t="s">
        <v>421</v>
      </c>
      <c r="C48" s="157"/>
      <c r="D48" s="157"/>
      <c r="E48" s="157"/>
      <c r="F48" s="158"/>
      <c r="G48" s="156"/>
      <c r="H48" s="157"/>
      <c r="I48" s="157"/>
      <c r="J48" s="177">
        <f>SUM(J49:J51)</f>
        <v>0</v>
      </c>
      <c r="K48" s="402">
        <f>SUM(K49:K51)</f>
        <v>0</v>
      </c>
    </row>
    <row r="49" spans="1:12" s="123" customFormat="1">
      <c r="A49" s="232" t="s">
        <v>378</v>
      </c>
      <c r="B49" s="237" t="str">
        <f>Custos!F52</f>
        <v>-</v>
      </c>
      <c r="C49" s="237" t="str">
        <f>Custos!G52</f>
        <v>out/2024</v>
      </c>
      <c r="D49" s="237" t="str">
        <f>Custos!D52</f>
        <v>Composição</v>
      </c>
      <c r="E49" s="233" t="str">
        <f>Custos!B52</f>
        <v>Veículo tipo pick-up 4X4</v>
      </c>
      <c r="F49" s="234">
        <f>Custos!J52</f>
        <v>2491.71</v>
      </c>
      <c r="G49" s="279" t="str">
        <f>'P1'!G49</f>
        <v>R$/dia</v>
      </c>
      <c r="H49" s="279">
        <f>Serviços!H20</f>
        <v>0</v>
      </c>
      <c r="I49" s="228">
        <f t="shared" ref="I49:I51" si="7">F49*H49</f>
        <v>0</v>
      </c>
      <c r="J49" s="228">
        <f>(I49*K!$G$24)</f>
        <v>0</v>
      </c>
      <c r="K49" s="240">
        <f>J49/$J$53</f>
        <v>0</v>
      </c>
    </row>
    <row r="50" spans="1:12" s="123" customFormat="1" ht="16.149999999999999" customHeight="1">
      <c r="A50" s="232" t="s">
        <v>383</v>
      </c>
      <c r="B50" s="237" t="str">
        <f>Custos!F53</f>
        <v>-</v>
      </c>
      <c r="C50" s="237" t="str">
        <f>Custos!G53</f>
        <v>out/2024</v>
      </c>
      <c r="D50" s="238" t="str">
        <f>Custos!D53</f>
        <v>AGEVAP</v>
      </c>
      <c r="E50" s="233" t="str">
        <f>Custos!B53</f>
        <v>Refeições</v>
      </c>
      <c r="F50" s="234">
        <f>'P1'!F50</f>
        <v>25.61</v>
      </c>
      <c r="G50" s="279" t="str">
        <f>'P1'!G50</f>
        <v>unidade</v>
      </c>
      <c r="H50" s="279">
        <f>Serviços!H21</f>
        <v>0</v>
      </c>
      <c r="I50" s="228">
        <f t="shared" si="7"/>
        <v>0</v>
      </c>
      <c r="J50" s="228">
        <f>(I50*K!$G$24)</f>
        <v>0</v>
      </c>
      <c r="K50" s="240">
        <f>J50/$J$53</f>
        <v>0</v>
      </c>
    </row>
    <row r="51" spans="1:12" s="123" customFormat="1" ht="16.149999999999999" customHeight="1">
      <c r="A51" s="232" t="s">
        <v>386</v>
      </c>
      <c r="B51" s="237" t="str">
        <f>Custos!F54</f>
        <v>-</v>
      </c>
      <c r="C51" s="237" t="str">
        <f>Custos!G54</f>
        <v>out/2024</v>
      </c>
      <c r="D51" s="238" t="str">
        <f>Custos!D54</f>
        <v>AGEVAP</v>
      </c>
      <c r="E51" s="233" t="str">
        <f>Custos!B54</f>
        <v>Diárias</v>
      </c>
      <c r="F51" s="234">
        <f>'P1'!F51</f>
        <v>335</v>
      </c>
      <c r="G51" s="279" t="str">
        <f>'P1'!G51</f>
        <v>unidade</v>
      </c>
      <c r="H51" s="279">
        <f>Serviços!H22</f>
        <v>0</v>
      </c>
      <c r="I51" s="228">
        <f t="shared" si="7"/>
        <v>0</v>
      </c>
      <c r="J51" s="228">
        <f>(I51*K!$G$24)</f>
        <v>0</v>
      </c>
      <c r="K51" s="240">
        <f>J51/$J$53</f>
        <v>0</v>
      </c>
    </row>
    <row r="52" spans="1:12" ht="6" customHeight="1">
      <c r="A52" s="151"/>
      <c r="B52" s="160"/>
      <c r="C52" s="160"/>
      <c r="D52" s="160"/>
      <c r="E52" s="174"/>
      <c r="F52" s="175"/>
      <c r="G52" s="185"/>
      <c r="H52" s="163"/>
      <c r="I52" s="163"/>
      <c r="J52" s="176"/>
      <c r="K52" s="193"/>
    </row>
    <row r="53" spans="1:12" ht="18" customHeight="1">
      <c r="A53" s="746" t="s">
        <v>726</v>
      </c>
      <c r="B53" s="746"/>
      <c r="C53" s="746"/>
      <c r="D53" s="746"/>
      <c r="E53" s="746"/>
      <c r="F53" s="396"/>
      <c r="G53" s="397"/>
      <c r="H53" s="398"/>
      <c r="I53" s="396" t="s">
        <v>318</v>
      </c>
      <c r="J53" s="396">
        <f>ROUND((J7+J16+J26+J46),2)</f>
        <v>38750.79</v>
      </c>
      <c r="K53" s="401">
        <f>K7+K16+K26+K46</f>
        <v>1.000000070302274</v>
      </c>
    </row>
    <row r="54" spans="1:12" ht="6" customHeight="1">
      <c r="A54" s="126"/>
      <c r="B54" s="80"/>
      <c r="C54" s="80"/>
      <c r="D54" s="127"/>
      <c r="E54" s="128"/>
      <c r="F54" s="133"/>
      <c r="G54" s="127"/>
      <c r="H54" s="125"/>
      <c r="I54" s="129"/>
      <c r="J54" s="121"/>
      <c r="K54" s="243"/>
    </row>
    <row r="55" spans="1:12" ht="20.100000000000001" customHeight="1">
      <c r="A55" s="152" t="s">
        <v>727</v>
      </c>
      <c r="B55" s="153"/>
      <c r="C55" s="153"/>
      <c r="D55" s="153"/>
      <c r="E55" s="153"/>
      <c r="F55" s="154"/>
      <c r="G55" s="186"/>
      <c r="H55" s="153"/>
      <c r="I55" s="153"/>
      <c r="J55" s="153"/>
      <c r="K55" s="154"/>
    </row>
    <row r="56" spans="1:12" ht="24" customHeight="1">
      <c r="A56" s="155" t="s">
        <v>728</v>
      </c>
      <c r="B56" s="747" t="s">
        <v>729</v>
      </c>
      <c r="C56" s="747"/>
      <c r="D56" s="747"/>
      <c r="E56" s="747"/>
      <c r="F56" s="747"/>
      <c r="G56" s="747"/>
      <c r="H56" s="747"/>
      <c r="I56" s="747"/>
      <c r="J56" s="747"/>
      <c r="K56" s="747"/>
    </row>
    <row r="57" spans="1:12" ht="13.15" customHeight="1">
      <c r="A57" s="155" t="s">
        <v>730</v>
      </c>
      <c r="B57" s="743" t="s">
        <v>731</v>
      </c>
      <c r="C57" s="743"/>
      <c r="D57" s="743"/>
      <c r="E57" s="743"/>
      <c r="F57" s="743"/>
      <c r="G57" s="743"/>
      <c r="H57" s="743"/>
      <c r="I57" s="743"/>
      <c r="J57" s="743"/>
      <c r="K57" s="743"/>
    </row>
    <row r="58" spans="1:12" ht="13.15" customHeight="1">
      <c r="A58" s="155" t="s">
        <v>732</v>
      </c>
      <c r="B58" s="743" t="s">
        <v>733</v>
      </c>
      <c r="C58" s="743"/>
      <c r="D58" s="743"/>
      <c r="E58" s="743"/>
      <c r="F58" s="743"/>
      <c r="G58" s="743"/>
      <c r="H58" s="743"/>
      <c r="I58" s="743"/>
      <c r="J58" s="743"/>
      <c r="K58" s="743"/>
    </row>
    <row r="59" spans="1:12" ht="13.15" customHeight="1">
      <c r="A59" s="155"/>
      <c r="B59" s="314"/>
      <c r="C59" s="314"/>
      <c r="D59" s="314"/>
      <c r="E59" s="314"/>
      <c r="F59" s="314"/>
      <c r="G59" s="314"/>
      <c r="H59" s="314"/>
      <c r="I59" s="314"/>
      <c r="J59" s="314"/>
      <c r="K59" s="314"/>
    </row>
    <row r="60" spans="1:12" ht="13.15" customHeight="1">
      <c r="A60" s="741" t="s">
        <v>734</v>
      </c>
      <c r="B60" s="741"/>
      <c r="C60" s="741"/>
      <c r="D60" s="741"/>
      <c r="E60" s="741"/>
      <c r="F60" s="741" t="s">
        <v>735</v>
      </c>
      <c r="G60" s="741"/>
      <c r="H60" s="741"/>
      <c r="I60" s="741"/>
      <c r="J60" s="314"/>
      <c r="K60" s="314"/>
    </row>
    <row r="61" spans="1:12" ht="13.15" customHeight="1">
      <c r="A61" s="742" t="s">
        <v>736</v>
      </c>
      <c r="B61" s="742"/>
      <c r="C61" s="742"/>
      <c r="D61" s="742"/>
      <c r="E61" s="742"/>
      <c r="F61" s="742" t="s">
        <v>737</v>
      </c>
      <c r="G61" s="742"/>
      <c r="H61" s="742"/>
      <c r="I61" s="742"/>
      <c r="J61" s="314"/>
      <c r="K61" s="314"/>
    </row>
    <row r="62" spans="1:12" ht="13.15" customHeight="1">
      <c r="A62" s="742" t="s">
        <v>738</v>
      </c>
      <c r="B62" s="742"/>
      <c r="C62" s="742"/>
      <c r="D62" s="742"/>
      <c r="E62" s="742"/>
      <c r="F62" s="742" t="s">
        <v>738</v>
      </c>
      <c r="G62" s="742"/>
      <c r="H62" s="742"/>
      <c r="I62" s="742"/>
      <c r="J62" s="314"/>
      <c r="K62" s="314"/>
    </row>
    <row r="63" spans="1:12">
      <c r="A63" s="551"/>
      <c r="B63" s="551"/>
      <c r="C63" s="551"/>
      <c r="D63" s="551"/>
      <c r="E63" s="131"/>
      <c r="G63" s="131"/>
      <c r="H63" s="131"/>
      <c r="L63"/>
    </row>
    <row r="64" spans="1:12" ht="15" customHeight="1">
      <c r="A64" s="741" t="s">
        <v>739</v>
      </c>
      <c r="B64" s="741"/>
      <c r="C64" s="741"/>
      <c r="D64" s="741"/>
      <c r="E64" s="741"/>
      <c r="F64" s="741"/>
      <c r="G64" s="741"/>
      <c r="H64" s="741"/>
      <c r="I64" s="741"/>
      <c r="J64" s="741"/>
      <c r="K64" s="741"/>
      <c r="L64"/>
    </row>
    <row r="65" spans="1:12" ht="15" customHeight="1">
      <c r="A65" s="742" t="s">
        <v>740</v>
      </c>
      <c r="B65" s="742"/>
      <c r="C65" s="742"/>
      <c r="D65" s="742"/>
      <c r="E65" s="742"/>
      <c r="F65" s="742"/>
      <c r="G65" s="742"/>
      <c r="H65" s="742"/>
      <c r="I65" s="742"/>
      <c r="J65" s="742"/>
      <c r="K65" s="742"/>
    </row>
    <row r="66" spans="1:12" ht="15" customHeight="1">
      <c r="A66" s="742" t="s">
        <v>738</v>
      </c>
      <c r="B66" s="742"/>
      <c r="C66" s="742"/>
      <c r="D66" s="742"/>
      <c r="E66" s="742"/>
      <c r="F66" s="742"/>
      <c r="G66" s="742"/>
      <c r="H66" s="742"/>
      <c r="I66" s="742"/>
      <c r="J66" s="742"/>
      <c r="K66" s="742"/>
      <c r="L66" s="122"/>
    </row>
  </sheetData>
  <mergeCells count="15">
    <mergeCell ref="A65:K65"/>
    <mergeCell ref="A66:K66"/>
    <mergeCell ref="D1:K1"/>
    <mergeCell ref="F6:G6"/>
    <mergeCell ref="A53:E53"/>
    <mergeCell ref="B56:K56"/>
    <mergeCell ref="B57:K57"/>
    <mergeCell ref="B58:K58"/>
    <mergeCell ref="F60:I60"/>
    <mergeCell ref="F61:I61"/>
    <mergeCell ref="F62:I62"/>
    <mergeCell ref="A60:E60"/>
    <mergeCell ref="A61:E61"/>
    <mergeCell ref="A62:E62"/>
    <mergeCell ref="A64:K64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2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8" tint="-0.249977111117893"/>
    <pageSetUpPr fitToPage="1"/>
  </sheetPr>
  <dimension ref="A1:M66"/>
  <sheetViews>
    <sheetView showGridLines="0" view="pageBreakPreview" zoomScaleNormal="100" zoomScaleSheetLayoutView="100" workbookViewId="0">
      <selection activeCell="C2" sqref="C2:E2"/>
    </sheetView>
  </sheetViews>
  <sheetFormatPr defaultColWidth="9.140625" defaultRowHeight="15.75"/>
  <cols>
    <col min="1" max="1" width="5" style="81" customWidth="1"/>
    <col min="2" max="3" width="10" style="81" customWidth="1"/>
    <col min="4" max="4" width="13.85546875" style="81" customWidth="1"/>
    <col min="5" max="5" width="45.7109375" style="81" customWidth="1"/>
    <col min="6" max="6" width="9.85546875" style="131" customWidth="1"/>
    <col min="7" max="7" width="8.28515625" style="134" bestFit="1" customWidth="1"/>
    <col min="8" max="8" width="12.140625" style="81" customWidth="1"/>
    <col min="9" max="9" width="10.5703125" style="81" customWidth="1"/>
    <col min="10" max="10" width="13" style="81" customWidth="1"/>
    <col min="11" max="11" width="12.140625" style="131" customWidth="1"/>
    <col min="12" max="22" width="12.7109375" style="81" customWidth="1"/>
    <col min="23" max="16384" width="9.140625" style="81"/>
  </cols>
  <sheetData>
    <row r="1" spans="1:13" ht="35.25" customHeight="1">
      <c r="B1" s="130"/>
      <c r="C1" s="130"/>
      <c r="D1" s="744" t="s">
        <v>745</v>
      </c>
      <c r="E1" s="744"/>
      <c r="F1" s="744"/>
      <c r="G1" s="744"/>
      <c r="H1" s="744"/>
      <c r="I1" s="744"/>
      <c r="J1" s="744"/>
      <c r="K1" s="744"/>
    </row>
    <row r="2" spans="1:13" s="122" customFormat="1" ht="15" customHeight="1">
      <c r="A2" s="576" t="s">
        <v>747</v>
      </c>
      <c r="C2" s="748" t="str">
        <f>_xlfn.CONCAT('Horas trabalhadas'!I8)</f>
        <v>Estudos Ambientais Preliminares</v>
      </c>
      <c r="D2" s="748"/>
      <c r="E2" s="748"/>
      <c r="F2" s="132"/>
      <c r="G2" s="184"/>
      <c r="J2" s="119" t="s">
        <v>134</v>
      </c>
      <c r="K2" s="63">
        <f ca="1">'Dados Básicos do município'!H4</f>
        <v>46139</v>
      </c>
    </row>
    <row r="3" spans="1:13" s="122" customFormat="1" ht="15" customHeight="1">
      <c r="A3" s="80" t="s">
        <v>135</v>
      </c>
      <c r="C3" s="83" t="str">
        <f>'Dados Básicos do município'!B5</f>
        <v>CBH-SANTO ANTÔNIO</v>
      </c>
      <c r="F3" s="132"/>
      <c r="G3" s="184"/>
      <c r="K3" s="132"/>
    </row>
    <row r="4" spans="1:13" s="122" customFormat="1" ht="15" customHeight="1">
      <c r="A4" s="80" t="s">
        <v>136</v>
      </c>
      <c r="C4" s="83" t="str">
        <f>'Dados Básicos do município'!B6</f>
        <v>Açucena/MG</v>
      </c>
      <c r="F4" s="132"/>
      <c r="G4" s="184"/>
      <c r="J4" s="120"/>
      <c r="K4" s="119"/>
    </row>
    <row r="5" spans="1:13" ht="6" customHeight="1">
      <c r="A5" s="160"/>
      <c r="B5" s="160"/>
      <c r="C5" s="160"/>
      <c r="D5" s="160"/>
      <c r="E5" s="161"/>
      <c r="F5" s="162"/>
      <c r="G5" s="185"/>
      <c r="H5" s="164"/>
      <c r="I5" s="163"/>
      <c r="J5" s="163"/>
      <c r="K5" s="192"/>
    </row>
    <row r="6" spans="1:13" s="134" customFormat="1" ht="47.45" customHeight="1">
      <c r="A6" s="380" t="s">
        <v>713</v>
      </c>
      <c r="B6" s="380" t="s">
        <v>10</v>
      </c>
      <c r="C6" s="380" t="s">
        <v>714</v>
      </c>
      <c r="D6" s="380" t="s">
        <v>715</v>
      </c>
      <c r="E6" s="381" t="s">
        <v>716</v>
      </c>
      <c r="F6" s="745" t="s">
        <v>717</v>
      </c>
      <c r="G6" s="745"/>
      <c r="H6" s="382" t="s">
        <v>718</v>
      </c>
      <c r="I6" s="383" t="s">
        <v>719</v>
      </c>
      <c r="J6" s="383" t="s">
        <v>720</v>
      </c>
      <c r="K6" s="383" t="s">
        <v>721</v>
      </c>
    </row>
    <row r="7" spans="1:13" s="122" customFormat="1" ht="18" customHeight="1">
      <c r="A7" s="384">
        <v>1</v>
      </c>
      <c r="B7" s="385" t="s">
        <v>722</v>
      </c>
      <c r="C7" s="385"/>
      <c r="D7" s="385"/>
      <c r="E7" s="385"/>
      <c r="F7" s="386"/>
      <c r="G7" s="384"/>
      <c r="H7" s="385"/>
      <c r="I7" s="385"/>
      <c r="J7" s="387">
        <f>J9</f>
        <v>1854.5443797146045</v>
      </c>
      <c r="K7" s="388">
        <f>J7/$J$53</f>
        <v>0.19865974879324502</v>
      </c>
    </row>
    <row r="8" spans="1:13" ht="6" customHeight="1">
      <c r="A8" s="160"/>
      <c r="B8" s="160"/>
      <c r="C8" s="160"/>
      <c r="D8" s="160"/>
      <c r="E8" s="161"/>
      <c r="F8" s="162"/>
      <c r="G8" s="185"/>
      <c r="H8" s="164"/>
      <c r="I8" s="163"/>
      <c r="J8" s="163"/>
      <c r="K8" s="192"/>
    </row>
    <row r="9" spans="1:13" s="122" customFormat="1" ht="18" customHeight="1">
      <c r="A9" s="178" t="s">
        <v>29</v>
      </c>
      <c r="B9" s="179" t="s">
        <v>376</v>
      </c>
      <c r="C9" s="179"/>
      <c r="D9" s="179"/>
      <c r="E9" s="179"/>
      <c r="F9" s="180"/>
      <c r="G9" s="178"/>
      <c r="H9" s="179"/>
      <c r="I9" s="179"/>
      <c r="J9" s="400">
        <f>SUM(J10:J14)</f>
        <v>1854.5443797146045</v>
      </c>
      <c r="K9" s="404">
        <f>SUM(K10:K14)</f>
        <v>0.19865974879324499</v>
      </c>
    </row>
    <row r="10" spans="1:13" s="123" customFormat="1" ht="16.149999999999999" customHeight="1">
      <c r="A10" s="232" t="s">
        <v>378</v>
      </c>
      <c r="B10" s="225" t="str">
        <f>'P1'!B10</f>
        <v>P8061</v>
      </c>
      <c r="C10" s="225" t="str">
        <f>Custos!G13</f>
        <v>abr/2024</v>
      </c>
      <c r="D10" s="226" t="str">
        <f>Custos!$D$13</f>
        <v>DNIT</v>
      </c>
      <c r="E10" s="227" t="str">
        <f>Custos!B13</f>
        <v>Engenheiro Coordenador</v>
      </c>
      <c r="F10" s="228">
        <f>Custos!J13</f>
        <v>123.19</v>
      </c>
      <c r="G10" s="226" t="s">
        <v>382</v>
      </c>
      <c r="H10" s="422">
        <f>'Horas trabalhadas'!I9</f>
        <v>4.2568986283037811</v>
      </c>
      <c r="I10" s="228">
        <f>H10*F10</f>
        <v>524.40734202074282</v>
      </c>
      <c r="J10" s="228">
        <f>(I10*K!$G$23)</f>
        <v>913.15129356505906</v>
      </c>
      <c r="K10" s="240">
        <f>J10/$J$53</f>
        <v>9.7817236715455669E-2</v>
      </c>
      <c r="M10" s="124"/>
    </row>
    <row r="11" spans="1:13" s="123" customFormat="1" ht="16.149999999999999" customHeight="1">
      <c r="A11" s="232" t="s">
        <v>383</v>
      </c>
      <c r="B11" s="225" t="str">
        <f>'P1'!B11</f>
        <v>P8066</v>
      </c>
      <c r="C11" s="229" t="str">
        <f>Custos!G14</f>
        <v>abr/2024</v>
      </c>
      <c r="D11" s="230" t="str">
        <f>Custos!D14</f>
        <v>DNIT</v>
      </c>
      <c r="E11" s="227" t="str">
        <f>Custos!B14</f>
        <v>Engenheiro de Projetos Pleno</v>
      </c>
      <c r="F11" s="231">
        <f>Custos!J14</f>
        <v>85.36</v>
      </c>
      <c r="G11" s="230" t="s">
        <v>382</v>
      </c>
      <c r="H11" s="422">
        <f>'Horas trabalhadas'!I10</f>
        <v>0</v>
      </c>
      <c r="I11" s="228">
        <f t="shared" ref="I11:I14" si="0">H11*F11</f>
        <v>0</v>
      </c>
      <c r="J11" s="228">
        <f>(I11*K!$G$23)</f>
        <v>0</v>
      </c>
      <c r="K11" s="240">
        <f>J11/$J$53</f>
        <v>0</v>
      </c>
      <c r="M11" s="124"/>
    </row>
    <row r="12" spans="1:13" s="123" customFormat="1" ht="16.149999999999999" customHeight="1">
      <c r="A12" s="232" t="s">
        <v>386</v>
      </c>
      <c r="B12" s="225" t="str">
        <f>'P1'!B12</f>
        <v>P8065</v>
      </c>
      <c r="C12" s="229" t="str">
        <f>Custos!G15</f>
        <v>abr/2024</v>
      </c>
      <c r="D12" s="230" t="str">
        <f>Custos!D15</f>
        <v>DNIT</v>
      </c>
      <c r="E12" s="227" t="str">
        <f>Custos!B15</f>
        <v>Engenheiro de Projetos Júnior</v>
      </c>
      <c r="F12" s="231">
        <f>Custos!J15</f>
        <v>82.75</v>
      </c>
      <c r="G12" s="230" t="s">
        <v>382</v>
      </c>
      <c r="H12" s="422">
        <f>'Horas trabalhadas'!I11</f>
        <v>0</v>
      </c>
      <c r="I12" s="228">
        <f t="shared" si="0"/>
        <v>0</v>
      </c>
      <c r="J12" s="228">
        <f>(I12*K!$G$23)</f>
        <v>0</v>
      </c>
      <c r="K12" s="240">
        <f>J12/$J$53</f>
        <v>0</v>
      </c>
      <c r="M12" s="124"/>
    </row>
    <row r="13" spans="1:13" s="123" customFormat="1" ht="16.149999999999999" customHeight="1">
      <c r="A13" s="232" t="s">
        <v>389</v>
      </c>
      <c r="B13" s="225" t="str">
        <f>'P1'!B13</f>
        <v>P8155</v>
      </c>
      <c r="C13" s="229" t="str">
        <f>Custos!G16</f>
        <v>abr/2024</v>
      </c>
      <c r="D13" s="230" t="str">
        <f>Custos!D16</f>
        <v>DNIT</v>
      </c>
      <c r="E13" s="227" t="str">
        <f>Custos!B16</f>
        <v>Técnico cadista</v>
      </c>
      <c r="F13" s="231">
        <f>Custos!J16</f>
        <v>19.32</v>
      </c>
      <c r="G13" s="230" t="s">
        <v>382</v>
      </c>
      <c r="H13" s="422">
        <f>'Horas trabalhadas'!I12</f>
        <v>0</v>
      </c>
      <c r="I13" s="228">
        <f t="shared" si="0"/>
        <v>0</v>
      </c>
      <c r="J13" s="228">
        <f>(I13*K!$G$23)</f>
        <v>0</v>
      </c>
      <c r="K13" s="240">
        <f>J13/$J$53</f>
        <v>0</v>
      </c>
      <c r="M13" s="124"/>
    </row>
    <row r="14" spans="1:13" s="123" customFormat="1" ht="16.149999999999999" customHeight="1">
      <c r="A14" s="232" t="s">
        <v>392</v>
      </c>
      <c r="B14" s="225" t="str">
        <f>'P1'!B14</f>
        <v>P8026</v>
      </c>
      <c r="C14" s="229" t="str">
        <f>Custos!G17</f>
        <v>abr/2024</v>
      </c>
      <c r="D14" s="230" t="str">
        <f>Custos!D17</f>
        <v>DNIT</v>
      </c>
      <c r="E14" s="227" t="str">
        <f>Custos!B17</f>
        <v>Auxiliar Administrativo</v>
      </c>
      <c r="F14" s="231">
        <f>Custos!J17</f>
        <v>12.7</v>
      </c>
      <c r="G14" s="230" t="s">
        <v>382</v>
      </c>
      <c r="H14" s="422">
        <f>'Horas trabalhadas'!I13</f>
        <v>42.568986283037809</v>
      </c>
      <c r="I14" s="228">
        <f t="shared" si="0"/>
        <v>540.62612579458016</v>
      </c>
      <c r="J14" s="228">
        <f>(I14*K!$G$23)</f>
        <v>941.3930861495453</v>
      </c>
      <c r="K14" s="240">
        <f>J14/$J$53</f>
        <v>0.10084251207778934</v>
      </c>
      <c r="M14" s="124"/>
    </row>
    <row r="15" spans="1:13" ht="6" customHeight="1">
      <c r="A15" s="160"/>
      <c r="B15" s="160"/>
      <c r="C15" s="160"/>
      <c r="D15" s="160"/>
      <c r="E15" s="161"/>
      <c r="F15" s="162"/>
      <c r="G15" s="185"/>
      <c r="H15" s="547"/>
      <c r="I15" s="163"/>
      <c r="J15" s="163"/>
      <c r="K15" s="192"/>
    </row>
    <row r="16" spans="1:13" s="122" customFormat="1" ht="18" customHeight="1">
      <c r="A16" s="384">
        <v>2</v>
      </c>
      <c r="B16" s="385" t="s">
        <v>396</v>
      </c>
      <c r="C16" s="385"/>
      <c r="D16" s="385"/>
      <c r="E16" s="385"/>
      <c r="F16" s="386"/>
      <c r="G16" s="384"/>
      <c r="H16" s="548"/>
      <c r="I16" s="385"/>
      <c r="J16" s="387">
        <f>J18</f>
        <v>7480.739390095443</v>
      </c>
      <c r="K16" s="388">
        <f>J16/$J$53</f>
        <v>0.80134065503074814</v>
      </c>
    </row>
    <row r="17" spans="1:13" ht="5.0999999999999996" customHeight="1">
      <c r="A17" s="167"/>
      <c r="B17" s="168"/>
      <c r="C17" s="168"/>
      <c r="D17" s="169"/>
      <c r="E17" s="170"/>
      <c r="F17" s="165"/>
      <c r="G17" s="159"/>
      <c r="H17" s="549"/>
      <c r="I17" s="159"/>
      <c r="J17" s="159"/>
      <c r="K17" s="191"/>
    </row>
    <row r="18" spans="1:13" s="122" customFormat="1" ht="18" customHeight="1">
      <c r="A18" s="389" t="s">
        <v>47</v>
      </c>
      <c r="B18" s="390" t="s">
        <v>396</v>
      </c>
      <c r="C18" s="390"/>
      <c r="D18" s="390"/>
      <c r="E18" s="390"/>
      <c r="F18" s="391"/>
      <c r="G18" s="389"/>
      <c r="H18" s="550"/>
      <c r="I18" s="391"/>
      <c r="J18" s="392">
        <f>SUM(J19:J24)</f>
        <v>7480.739390095443</v>
      </c>
      <c r="K18" s="405">
        <f>SUM(K19:K24)</f>
        <v>0.80134065503074814</v>
      </c>
    </row>
    <row r="19" spans="1:13" s="123" customFormat="1" ht="16.149999999999999" customHeight="1">
      <c r="A19" s="232" t="s">
        <v>378</v>
      </c>
      <c r="B19" s="225" t="str">
        <f>'P1'!B19</f>
        <v>P8003</v>
      </c>
      <c r="C19" s="225" t="str">
        <f>Custos!G22</f>
        <v>abr/2024</v>
      </c>
      <c r="D19" s="230" t="str">
        <f>Custos!D22</f>
        <v>DNIT</v>
      </c>
      <c r="E19" s="227" t="str">
        <f>Custos!B22</f>
        <v>Advogado sênior</v>
      </c>
      <c r="F19" s="228">
        <f>Custos!J22</f>
        <v>76.88</v>
      </c>
      <c r="G19" s="226" t="s">
        <v>382</v>
      </c>
      <c r="H19" s="422">
        <f>'Horas trabalhadas'!I14</f>
        <v>0</v>
      </c>
      <c r="I19" s="228">
        <f t="shared" ref="I19:I24" si="1">H19*F19</f>
        <v>0</v>
      </c>
      <c r="J19" s="228">
        <f>(I19*K!$G$23)</f>
        <v>0</v>
      </c>
      <c r="K19" s="239">
        <f t="shared" ref="K19:K24" si="2">J19/$J$53</f>
        <v>0</v>
      </c>
    </row>
    <row r="20" spans="1:13" s="123" customFormat="1" ht="16.149999999999999" customHeight="1">
      <c r="A20" s="232" t="s">
        <v>383</v>
      </c>
      <c r="B20" s="225" t="str">
        <f>'P1'!B20</f>
        <v>P8067</v>
      </c>
      <c r="C20" s="225" t="str">
        <f>Custos!G23</f>
        <v>abr/2024</v>
      </c>
      <c r="D20" s="230" t="str">
        <f>Custos!D23</f>
        <v>DNIT</v>
      </c>
      <c r="E20" s="227" t="str">
        <f>Custos!B23</f>
        <v>Engenheiro de Projetos (Elétrico)</v>
      </c>
      <c r="F20" s="228">
        <f>Custos!J23</f>
        <v>107.32</v>
      </c>
      <c r="G20" s="226" t="s">
        <v>382</v>
      </c>
      <c r="H20" s="422">
        <f>'Horas trabalhadas'!I15</f>
        <v>0</v>
      </c>
      <c r="I20" s="228">
        <f t="shared" si="1"/>
        <v>0</v>
      </c>
      <c r="J20" s="228">
        <f>(I20*K!$G$23)</f>
        <v>0</v>
      </c>
      <c r="K20" s="239">
        <f t="shared" si="2"/>
        <v>0</v>
      </c>
    </row>
    <row r="21" spans="1:13" s="123" customFormat="1" ht="16.149999999999999" customHeight="1">
      <c r="A21" s="232" t="s">
        <v>386</v>
      </c>
      <c r="B21" s="225" t="str">
        <f>'P1'!B21</f>
        <v>P8067</v>
      </c>
      <c r="C21" s="225" t="str">
        <f>Custos!G24</f>
        <v>abr/2024</v>
      </c>
      <c r="D21" s="230" t="str">
        <f>Custos!D24</f>
        <v>DNIT</v>
      </c>
      <c r="E21" s="227" t="str">
        <f>Custos!B24</f>
        <v>Engenheiro de Projeto (Calculista)</v>
      </c>
      <c r="F21" s="228">
        <f>Custos!J24</f>
        <v>107.32</v>
      </c>
      <c r="G21" s="226" t="s">
        <v>382</v>
      </c>
      <c r="H21" s="422">
        <f>'Horas trabalhadas'!I16</f>
        <v>0</v>
      </c>
      <c r="I21" s="228">
        <f t="shared" si="1"/>
        <v>0</v>
      </c>
      <c r="J21" s="228">
        <f>(I21*K!$G$23)</f>
        <v>0</v>
      </c>
      <c r="K21" s="239">
        <f t="shared" si="2"/>
        <v>0</v>
      </c>
    </row>
    <row r="22" spans="1:13" s="123" customFormat="1" ht="16.149999999999999" customHeight="1">
      <c r="A22" s="232" t="s">
        <v>389</v>
      </c>
      <c r="B22" s="225" t="str">
        <f>'P1'!B22</f>
        <v>P8067</v>
      </c>
      <c r="C22" s="225" t="str">
        <f>Custos!G25</f>
        <v>abr/2024</v>
      </c>
      <c r="D22" s="230" t="str">
        <f>Custos!D25</f>
        <v>DNIT</v>
      </c>
      <c r="E22" s="227" t="str">
        <f>Custos!B25</f>
        <v>Engenheiro de Projetos (Mecânico)</v>
      </c>
      <c r="F22" s="228">
        <f>Custos!J25</f>
        <v>107.32</v>
      </c>
      <c r="G22" s="226" t="s">
        <v>382</v>
      </c>
      <c r="H22" s="422">
        <f>'Horas trabalhadas'!I17</f>
        <v>0</v>
      </c>
      <c r="I22" s="228">
        <f t="shared" si="1"/>
        <v>0</v>
      </c>
      <c r="J22" s="228">
        <f>(I22*K!$G$23)</f>
        <v>0</v>
      </c>
      <c r="K22" s="239">
        <f t="shared" si="2"/>
        <v>0</v>
      </c>
    </row>
    <row r="23" spans="1:13" s="123" customFormat="1" ht="16.149999999999999" customHeight="1">
      <c r="A23" s="232" t="s">
        <v>392</v>
      </c>
      <c r="B23" s="225" t="str">
        <f>'P1'!B23</f>
        <v>P8059</v>
      </c>
      <c r="C23" s="225" t="str">
        <f>Custos!G26</f>
        <v>abr/2024</v>
      </c>
      <c r="D23" s="230" t="str">
        <f>Custos!D27</f>
        <v>DNIT</v>
      </c>
      <c r="E23" s="227" t="str">
        <f>Custos!B26</f>
        <v>Engenheiro ambiental</v>
      </c>
      <c r="F23" s="228">
        <f>Custos!J26</f>
        <v>100.92</v>
      </c>
      <c r="G23" s="226" t="s">
        <v>382</v>
      </c>
      <c r="H23" s="422">
        <f>'Horas trabalhadas'!I18</f>
        <v>42.568986283037809</v>
      </c>
      <c r="I23" s="228">
        <f t="shared" si="1"/>
        <v>4296.0620956841758</v>
      </c>
      <c r="J23" s="228">
        <f>(I23*K!$G$23)</f>
        <v>7480.739390095443</v>
      </c>
      <c r="K23" s="239">
        <f t="shared" si="2"/>
        <v>0.80134065503074814</v>
      </c>
    </row>
    <row r="24" spans="1:13" s="123" customFormat="1" ht="16.149999999999999" customHeight="1">
      <c r="A24" s="232" t="s">
        <v>405</v>
      </c>
      <c r="B24" s="225" t="str">
        <f>'P1'!B24</f>
        <v>P8155</v>
      </c>
      <c r="C24" s="225" t="str">
        <f>Custos!G27</f>
        <v>abr/2024</v>
      </c>
      <c r="D24" s="230" t="str">
        <f>Custos!D27</f>
        <v>DNIT</v>
      </c>
      <c r="E24" s="227" t="str">
        <f>Custos!B27</f>
        <v>Técnico em geoprocessamento</v>
      </c>
      <c r="F24" s="228">
        <f>Custos!J27</f>
        <v>14.35</v>
      </c>
      <c r="G24" s="226" t="s">
        <v>382</v>
      </c>
      <c r="H24" s="422">
        <f>'Horas trabalhadas'!I19</f>
        <v>0</v>
      </c>
      <c r="I24" s="228">
        <f t="shared" si="1"/>
        <v>0</v>
      </c>
      <c r="J24" s="228">
        <f>(I24*K!$G$23)</f>
        <v>0</v>
      </c>
      <c r="K24" s="239">
        <f t="shared" si="2"/>
        <v>0</v>
      </c>
      <c r="M24" s="124"/>
    </row>
    <row r="25" spans="1:13" ht="6" customHeight="1">
      <c r="A25" s="160"/>
      <c r="B25" s="160"/>
      <c r="C25" s="160"/>
      <c r="D25" s="160"/>
      <c r="E25" s="161"/>
      <c r="F25" s="162"/>
      <c r="G25" s="185"/>
      <c r="H25" s="164"/>
      <c r="I25" s="163"/>
      <c r="J25" s="163"/>
      <c r="K25" s="192"/>
    </row>
    <row r="26" spans="1:13" s="122" customFormat="1" ht="18" customHeight="1">
      <c r="A26" s="393">
        <v>3</v>
      </c>
      <c r="B26" s="394" t="s">
        <v>129</v>
      </c>
      <c r="C26" s="394"/>
      <c r="D26" s="394"/>
      <c r="E26" s="182"/>
      <c r="F26" s="183"/>
      <c r="G26" s="181"/>
      <c r="H26" s="182"/>
      <c r="I26" s="182"/>
      <c r="J26" s="399">
        <f>J28+J33+J39+J43</f>
        <v>0</v>
      </c>
      <c r="K26" s="388">
        <f>J26/$J$53</f>
        <v>0</v>
      </c>
    </row>
    <row r="27" spans="1:13" ht="5.0999999999999996" customHeight="1">
      <c r="A27" s="167"/>
      <c r="B27" s="168"/>
      <c r="C27" s="168"/>
      <c r="D27" s="169"/>
      <c r="E27" s="170"/>
      <c r="F27" s="165"/>
      <c r="G27" s="159"/>
      <c r="H27" s="166"/>
      <c r="I27" s="159"/>
      <c r="J27" s="159"/>
      <c r="K27" s="191"/>
    </row>
    <row r="28" spans="1:13" s="122" customFormat="1" ht="18" customHeight="1">
      <c r="A28" s="178" t="s">
        <v>59</v>
      </c>
      <c r="B28" s="179" t="s">
        <v>416</v>
      </c>
      <c r="C28" s="179"/>
      <c r="D28" s="179"/>
      <c r="E28" s="179"/>
      <c r="F28" s="180"/>
      <c r="G28" s="178"/>
      <c r="H28" s="179"/>
      <c r="I28" s="179"/>
      <c r="J28" s="400">
        <f>SUM(J29:J31)</f>
        <v>0</v>
      </c>
      <c r="K28" s="404">
        <f>SUM(K29:K31)</f>
        <v>0</v>
      </c>
    </row>
    <row r="29" spans="1:13" s="123" customFormat="1">
      <c r="A29" s="232" t="s">
        <v>378</v>
      </c>
      <c r="B29" s="232">
        <f>'P1'!B29</f>
        <v>65003710</v>
      </c>
      <c r="C29" s="232" t="str">
        <f>Custos!G38</f>
        <v>set/2024</v>
      </c>
      <c r="D29" s="237" t="str">
        <f>Custos!D38</f>
        <v>COPASA</v>
      </c>
      <c r="E29" s="415" t="str">
        <f>Custos!B38</f>
        <v>Mobilização e desmobilização de equipe de topografia</v>
      </c>
      <c r="F29" s="234">
        <f>Custos!J38</f>
        <v>4.62</v>
      </c>
      <c r="G29" s="279" t="str">
        <f>Custos!H38</f>
        <v>km</v>
      </c>
      <c r="H29" s="279">
        <v>0</v>
      </c>
      <c r="I29" s="228">
        <f t="shared" ref="I29:I31" si="3">H29*F29</f>
        <v>0</v>
      </c>
      <c r="J29" s="228">
        <f>(I29*K!$G$24)</f>
        <v>0</v>
      </c>
      <c r="K29" s="240">
        <f>J29/$J$53</f>
        <v>0</v>
      </c>
    </row>
    <row r="30" spans="1:13" s="123" customFormat="1">
      <c r="A30" s="232" t="s">
        <v>383</v>
      </c>
      <c r="B30" s="232">
        <f>'P1'!B30</f>
        <v>65001667</v>
      </c>
      <c r="C30" s="232" t="str">
        <f>Custos!G39</f>
        <v>set/2024</v>
      </c>
      <c r="D30" s="237" t="str">
        <f>Custos!D39</f>
        <v>COPASA</v>
      </c>
      <c r="E30" s="415" t="str">
        <f>Custos!B39</f>
        <v>Equipe de topografia de campo</v>
      </c>
      <c r="F30" s="234">
        <f>Custos!J39</f>
        <v>50814.45</v>
      </c>
      <c r="G30" s="279" t="str">
        <f>Custos!H39</f>
        <v>mês</v>
      </c>
      <c r="H30" s="279">
        <v>0</v>
      </c>
      <c r="I30" s="228">
        <f t="shared" si="3"/>
        <v>0</v>
      </c>
      <c r="J30" s="228">
        <f>(I30*K!$G$24)</f>
        <v>0</v>
      </c>
      <c r="K30" s="240">
        <f>J30/$J$53</f>
        <v>0</v>
      </c>
    </row>
    <row r="31" spans="1:13" s="123" customFormat="1">
      <c r="A31" s="232" t="s">
        <v>386</v>
      </c>
      <c r="B31" s="232">
        <f>'P1'!B31</f>
        <v>65001668</v>
      </c>
      <c r="C31" s="232" t="str">
        <f>Custos!G40</f>
        <v>set/2024</v>
      </c>
      <c r="D31" s="237" t="str">
        <f>Custos!D40</f>
        <v>COPASA</v>
      </c>
      <c r="E31" s="415" t="str">
        <f>Custos!B40</f>
        <v>Equipe de topografia de escritório</v>
      </c>
      <c r="F31" s="234">
        <f>Custos!J40</f>
        <v>26804.01</v>
      </c>
      <c r="G31" s="279" t="str">
        <f>Custos!H40</f>
        <v>mês</v>
      </c>
      <c r="H31" s="279">
        <v>0</v>
      </c>
      <c r="I31" s="228">
        <f t="shared" si="3"/>
        <v>0</v>
      </c>
      <c r="J31" s="228">
        <f>(I31*K!$G$24)</f>
        <v>0</v>
      </c>
      <c r="K31" s="240">
        <f>J31/$J$53</f>
        <v>0</v>
      </c>
    </row>
    <row r="32" spans="1:13" ht="10.5" customHeight="1">
      <c r="A32" s="167"/>
      <c r="B32" s="168"/>
      <c r="C32" s="168"/>
      <c r="D32" s="169"/>
      <c r="E32" s="170"/>
      <c r="F32" s="165"/>
      <c r="G32" s="279"/>
      <c r="H32" s="166"/>
      <c r="I32" s="159"/>
      <c r="J32" s="159"/>
      <c r="K32" s="191"/>
    </row>
    <row r="33" spans="1:11" s="122" customFormat="1" ht="18" customHeight="1">
      <c r="A33" s="156" t="s">
        <v>60</v>
      </c>
      <c r="B33" s="171" t="s">
        <v>708</v>
      </c>
      <c r="C33" s="171"/>
      <c r="D33" s="171"/>
      <c r="E33" s="171"/>
      <c r="F33" s="158"/>
      <c r="G33" s="156"/>
      <c r="H33" s="157"/>
      <c r="I33" s="157"/>
      <c r="J33" s="172">
        <f>SUM(J35:J36)</f>
        <v>0</v>
      </c>
      <c r="K33" s="403">
        <f>SUM(K35:K36)</f>
        <v>0</v>
      </c>
    </row>
    <row r="34" spans="1:11" s="123" customFormat="1">
      <c r="A34" s="232" t="s">
        <v>378</v>
      </c>
      <c r="B34" s="232">
        <f>'P1'!B34</f>
        <v>65001207</v>
      </c>
      <c r="C34" s="232" t="str">
        <f>Custos!G32</f>
        <v>set/2024</v>
      </c>
      <c r="D34" s="237" t="str">
        <f>Custos!D32</f>
        <v>COPASA</v>
      </c>
      <c r="E34" s="415" t="str">
        <f>Custos!B32</f>
        <v>Sondagem a percussao - mobilizacao e desmobilizacao</v>
      </c>
      <c r="F34" s="234">
        <f>Custos!J32</f>
        <v>1316.83</v>
      </c>
      <c r="G34" s="279" t="str">
        <f>Custos!H32</f>
        <v>unidade</v>
      </c>
      <c r="H34" s="279">
        <v>0</v>
      </c>
      <c r="I34" s="228">
        <f t="shared" ref="I34:I37" si="4">H34*F34</f>
        <v>0</v>
      </c>
      <c r="J34" s="228">
        <f>(I34*K!$G$24)</f>
        <v>0</v>
      </c>
      <c r="K34" s="240">
        <f>J34/$J$53</f>
        <v>0</v>
      </c>
    </row>
    <row r="35" spans="1:11" s="123" customFormat="1" ht="26.45" customHeight="1">
      <c r="A35" s="232" t="s">
        <v>383</v>
      </c>
      <c r="B35" s="232">
        <f>'P1'!B35</f>
        <v>65001208</v>
      </c>
      <c r="C35" s="237" t="str">
        <f>Custos!G33</f>
        <v>set/2024</v>
      </c>
      <c r="D35" s="279" t="str">
        <f>Custos!D33</f>
        <v>COPASA</v>
      </c>
      <c r="E35" s="465" t="str">
        <f>Custos!B33</f>
        <v>Sondagem a percussao - adicional de mobilizacao e desmobilizacao</v>
      </c>
      <c r="F35" s="234">
        <f>Custos!J33</f>
        <v>9.32</v>
      </c>
      <c r="G35" s="416" t="str">
        <f>Custos!H33</f>
        <v>km</v>
      </c>
      <c r="H35" s="279">
        <v>0</v>
      </c>
      <c r="I35" s="228">
        <f t="shared" si="4"/>
        <v>0</v>
      </c>
      <c r="J35" s="228">
        <f>(I35*K!$G$24)</f>
        <v>0</v>
      </c>
      <c r="K35" s="239">
        <f>J35/$J$53</f>
        <v>0</v>
      </c>
    </row>
    <row r="36" spans="1:11" s="123" customFormat="1">
      <c r="A36" s="232" t="s">
        <v>386</v>
      </c>
      <c r="B36" s="232">
        <f>'P1'!B36</f>
        <v>65001209</v>
      </c>
      <c r="C36" s="232" t="str">
        <f>Custos!G34</f>
        <v>set/2024</v>
      </c>
      <c r="D36" s="237" t="str">
        <f>Custos!D34</f>
        <v>COPASA</v>
      </c>
      <c r="E36" s="415" t="str">
        <f>Custos!B34</f>
        <v>Sondagem a percussao - instalacao por furo</v>
      </c>
      <c r="F36" s="234">
        <f>Custos!J34</f>
        <v>482.46</v>
      </c>
      <c r="G36" s="279" t="str">
        <f>Custos!H34</f>
        <v>unidade</v>
      </c>
      <c r="H36" s="279">
        <v>0</v>
      </c>
      <c r="I36" s="228">
        <f t="shared" si="4"/>
        <v>0</v>
      </c>
      <c r="J36" s="228">
        <f>(I36*K!$G$24)</f>
        <v>0</v>
      </c>
      <c r="K36" s="240">
        <f>J36/$J$53</f>
        <v>0</v>
      </c>
    </row>
    <row r="37" spans="1:11" s="123" customFormat="1" ht="26.45" customHeight="1">
      <c r="A37" s="232" t="s">
        <v>389</v>
      </c>
      <c r="B37" s="232">
        <f>'P1'!B37</f>
        <v>65001210</v>
      </c>
      <c r="C37" s="237" t="str">
        <f>Custos!G35</f>
        <v>set/2024</v>
      </c>
      <c r="D37" s="279" t="str">
        <f>Custos!D35</f>
        <v>COPASA</v>
      </c>
      <c r="E37" s="465" t="str">
        <f>Custos!B35</f>
        <v>Sondagem a percussao ø2.1/2" - perfuracao e retirada de amostras</v>
      </c>
      <c r="F37" s="234">
        <f>Custos!J35</f>
        <v>145.19999999999999</v>
      </c>
      <c r="G37" s="416" t="str">
        <f>Custos!H35</f>
        <v>m</v>
      </c>
      <c r="H37" s="279">
        <v>0</v>
      </c>
      <c r="I37" s="228">
        <f t="shared" si="4"/>
        <v>0</v>
      </c>
      <c r="J37" s="228">
        <f>(I37*K!$G$24)</f>
        <v>0</v>
      </c>
      <c r="K37" s="240">
        <f>J37/$J$53</f>
        <v>0</v>
      </c>
    </row>
    <row r="38" spans="1:11" ht="6" customHeight="1">
      <c r="A38" s="160"/>
      <c r="B38" s="160"/>
      <c r="C38" s="160"/>
      <c r="D38" s="160"/>
      <c r="E38" s="161"/>
      <c r="F38" s="162"/>
      <c r="G38" s="185"/>
      <c r="H38" s="235"/>
      <c r="I38" s="163"/>
      <c r="J38" s="163"/>
      <c r="K38" s="192"/>
    </row>
    <row r="39" spans="1:11" s="122" customFormat="1" ht="18" customHeight="1">
      <c r="A39" s="156" t="s">
        <v>61</v>
      </c>
      <c r="B39" s="171" t="s">
        <v>420</v>
      </c>
      <c r="C39" s="171"/>
      <c r="D39" s="171"/>
      <c r="E39" s="171"/>
      <c r="F39" s="158"/>
      <c r="G39" s="156"/>
      <c r="H39" s="157"/>
      <c r="I39" s="157"/>
      <c r="J39" s="172">
        <f>SUM(J40:J41)</f>
        <v>0</v>
      </c>
      <c r="K39" s="403">
        <f>SUM(K40:K41)</f>
        <v>0</v>
      </c>
    </row>
    <row r="40" spans="1:11" s="123" customFormat="1">
      <c r="A40" s="232" t="s">
        <v>378</v>
      </c>
      <c r="B40" s="232">
        <f>'P1'!B40</f>
        <v>65001667</v>
      </c>
      <c r="C40" s="232" t="str">
        <f>Custos!G43</f>
        <v>set/2024</v>
      </c>
      <c r="D40" s="237" t="str">
        <f>Custos!D43</f>
        <v>COPASA</v>
      </c>
      <c r="E40" s="415" t="str">
        <f>Custos!B43</f>
        <v>Equipe de topografia de campo</v>
      </c>
      <c r="F40" s="234">
        <f>Custos!J43</f>
        <v>50814.45</v>
      </c>
      <c r="G40" s="279" t="str">
        <f>Custos!H43</f>
        <v>mês</v>
      </c>
      <c r="H40" s="279">
        <v>0</v>
      </c>
      <c r="I40" s="228">
        <f t="shared" ref="I40:I41" si="5">H40*F40</f>
        <v>0</v>
      </c>
      <c r="J40" s="228">
        <f>(I40*K!$G$24)</f>
        <v>0</v>
      </c>
      <c r="K40" s="240">
        <f>J40/$J$53</f>
        <v>0</v>
      </c>
    </row>
    <row r="41" spans="1:11" s="123" customFormat="1">
      <c r="A41" s="232" t="s">
        <v>383</v>
      </c>
      <c r="B41" s="232">
        <f>'P1'!B41</f>
        <v>65001668</v>
      </c>
      <c r="C41" s="232" t="str">
        <f>Custos!G44</f>
        <v>set/2024</v>
      </c>
      <c r="D41" s="237" t="str">
        <f>Custos!D44</f>
        <v>COPASA</v>
      </c>
      <c r="E41" s="415" t="str">
        <f>Custos!B44</f>
        <v>Equipe de topografia de escritório</v>
      </c>
      <c r="F41" s="234">
        <f>Custos!J44</f>
        <v>26804.01</v>
      </c>
      <c r="G41" s="279" t="str">
        <f>Custos!H44</f>
        <v>mês</v>
      </c>
      <c r="H41" s="279">
        <v>0</v>
      </c>
      <c r="I41" s="228">
        <f t="shared" si="5"/>
        <v>0</v>
      </c>
      <c r="J41" s="228">
        <f>(I41*K!$G$24)</f>
        <v>0</v>
      </c>
      <c r="K41" s="240">
        <f>J41/$J$53</f>
        <v>0</v>
      </c>
    </row>
    <row r="42" spans="1:11" ht="5.0999999999999996" customHeight="1">
      <c r="A42" s="232"/>
      <c r="B42" s="237"/>
      <c r="C42" s="237"/>
      <c r="D42" s="232"/>
      <c r="E42" s="173"/>
      <c r="F42" s="165"/>
      <c r="G42" s="226"/>
      <c r="H42" s="235"/>
      <c r="I42" s="159"/>
      <c r="J42" s="159"/>
      <c r="K42" s="191"/>
    </row>
    <row r="43" spans="1:11" s="122" customFormat="1" ht="18" customHeight="1">
      <c r="A43" s="156" t="s">
        <v>62</v>
      </c>
      <c r="B43" s="157" t="s">
        <v>422</v>
      </c>
      <c r="C43" s="171"/>
      <c r="D43" s="171"/>
      <c r="E43" s="171"/>
      <c r="F43" s="158"/>
      <c r="G43" s="156"/>
      <c r="H43" s="157"/>
      <c r="I43" s="157"/>
      <c r="J43" s="172">
        <f>SUM(J44:J45)</f>
        <v>0</v>
      </c>
      <c r="K43" s="403">
        <f>SUM(K44:K45)</f>
        <v>0</v>
      </c>
    </row>
    <row r="44" spans="1:11" s="123" customFormat="1">
      <c r="A44" s="237" t="s">
        <v>378</v>
      </c>
      <c r="B44" s="466">
        <f>Custos!E49</f>
        <v>65001114</v>
      </c>
      <c r="C44" s="237" t="str">
        <f>Custos!G49</f>
        <v>set/2024</v>
      </c>
      <c r="D44" s="237" t="str">
        <f>Custos!D49</f>
        <v>COPASA</v>
      </c>
      <c r="E44" s="466" t="str">
        <f>Custos!B49</f>
        <v>Análise fisico-química da água</v>
      </c>
      <c r="F44" s="234">
        <f>Custos!J49</f>
        <v>371.18</v>
      </c>
      <c r="G44" s="237" t="str">
        <f>Custos!H49</f>
        <v>unidade</v>
      </c>
      <c r="H44" s="279">
        <f>Serviços!I18</f>
        <v>0</v>
      </c>
      <c r="I44" s="228">
        <f t="shared" ref="I44:I45" si="6">H44*F44</f>
        <v>0</v>
      </c>
      <c r="J44" s="228">
        <f>(I44*K!$G$24)</f>
        <v>0</v>
      </c>
      <c r="K44" s="240">
        <f>J44/$J$53</f>
        <v>0</v>
      </c>
    </row>
    <row r="45" spans="1:11" s="123" customFormat="1">
      <c r="A45" s="237" t="s">
        <v>383</v>
      </c>
      <c r="B45" s="466">
        <f>Custos!E50</f>
        <v>65001115</v>
      </c>
      <c r="C45" s="237" t="str">
        <f>Custos!G50</f>
        <v>set/2024</v>
      </c>
      <c r="D45" s="237" t="str">
        <f>Custos!D50</f>
        <v>COPASA</v>
      </c>
      <c r="E45" s="466" t="str">
        <f>Custos!B50</f>
        <v>Analise bactereologica da água</v>
      </c>
      <c r="F45" s="234">
        <f>Custos!J50</f>
        <v>120.28</v>
      </c>
      <c r="G45" s="237" t="str">
        <f>Custos!H50</f>
        <v>unidade</v>
      </c>
      <c r="H45" s="279">
        <f>Serviços!I19</f>
        <v>0</v>
      </c>
      <c r="I45" s="228">
        <f t="shared" si="6"/>
        <v>0</v>
      </c>
      <c r="J45" s="228">
        <f>(I45*K!$G$24)</f>
        <v>0</v>
      </c>
      <c r="K45" s="240">
        <f>J45/$J$53</f>
        <v>0</v>
      </c>
    </row>
    <row r="46" spans="1:11" s="122" customFormat="1" ht="18" customHeight="1">
      <c r="A46" s="393" t="s">
        <v>724</v>
      </c>
      <c r="B46" s="394" t="s">
        <v>725</v>
      </c>
      <c r="C46" s="394"/>
      <c r="D46" s="394"/>
      <c r="E46" s="182"/>
      <c r="F46" s="183"/>
      <c r="G46" s="181"/>
      <c r="H46" s="182"/>
      <c r="I46" s="182"/>
      <c r="J46" s="399">
        <f>J48</f>
        <v>0</v>
      </c>
      <c r="K46" s="388">
        <f>J46/$J$53</f>
        <v>0</v>
      </c>
    </row>
    <row r="47" spans="1:11" ht="5.0999999999999996" customHeight="1">
      <c r="A47" s="395"/>
      <c r="B47" s="168"/>
      <c r="C47" s="168"/>
      <c r="D47" s="395"/>
      <c r="E47" s="173"/>
      <c r="F47" s="165"/>
      <c r="G47" s="159"/>
      <c r="H47" s="166"/>
      <c r="I47" s="159"/>
      <c r="J47" s="159"/>
      <c r="K47" s="191"/>
    </row>
    <row r="48" spans="1:11" s="122" customFormat="1" ht="18" customHeight="1">
      <c r="A48" s="156" t="s">
        <v>72</v>
      </c>
      <c r="B48" s="157" t="s">
        <v>421</v>
      </c>
      <c r="C48" s="157"/>
      <c r="D48" s="157"/>
      <c r="E48" s="157"/>
      <c r="F48" s="158"/>
      <c r="G48" s="156"/>
      <c r="H48" s="157"/>
      <c r="I48" s="157"/>
      <c r="J48" s="177">
        <f>SUM(J49:J51)</f>
        <v>0</v>
      </c>
      <c r="K48" s="402">
        <f>SUM(K49:K51)</f>
        <v>0</v>
      </c>
    </row>
    <row r="49" spans="1:12" s="123" customFormat="1">
      <c r="A49" s="232" t="s">
        <v>378</v>
      </c>
      <c r="B49" s="237" t="str">
        <f>Custos!F52</f>
        <v>-</v>
      </c>
      <c r="C49" s="237" t="str">
        <f>Custos!G52</f>
        <v>out/2024</v>
      </c>
      <c r="D49" s="237" t="str">
        <f>Custos!D52</f>
        <v>Composição</v>
      </c>
      <c r="E49" s="233" t="str">
        <f>Custos!B52</f>
        <v>Veículo tipo pick-up 4X4</v>
      </c>
      <c r="F49" s="234">
        <f>'Produto Consolidado'!F49</f>
        <v>2491.71</v>
      </c>
      <c r="G49" s="279" t="str">
        <f>'P1'!G49</f>
        <v>R$/dia</v>
      </c>
      <c r="H49" s="279">
        <v>0</v>
      </c>
      <c r="I49" s="228">
        <f t="shared" ref="I49:I51" si="7">H49*F49</f>
        <v>0</v>
      </c>
      <c r="J49" s="228">
        <f>(I49*K!$G$25)</f>
        <v>0</v>
      </c>
      <c r="K49" s="240">
        <f>J49/$J$53</f>
        <v>0</v>
      </c>
    </row>
    <row r="50" spans="1:12" s="123" customFormat="1" ht="16.149999999999999" customHeight="1">
      <c r="A50" s="232" t="s">
        <v>383</v>
      </c>
      <c r="B50" s="237" t="str">
        <f>Custos!F53</f>
        <v>-</v>
      </c>
      <c r="C50" s="237" t="str">
        <f>Custos!G53</f>
        <v>out/2024</v>
      </c>
      <c r="D50" s="238" t="str">
        <f>Custos!D53</f>
        <v>AGEVAP</v>
      </c>
      <c r="E50" s="233" t="str">
        <f>Custos!B53</f>
        <v>Refeições</v>
      </c>
      <c r="F50" s="234">
        <f>'P1'!F50</f>
        <v>25.61</v>
      </c>
      <c r="G50" s="279" t="str">
        <f>'P1'!G50</f>
        <v>unidade</v>
      </c>
      <c r="H50" s="279">
        <v>0</v>
      </c>
      <c r="I50" s="228">
        <f t="shared" si="7"/>
        <v>0</v>
      </c>
      <c r="J50" s="228">
        <f>(I50*K!$G$25)</f>
        <v>0</v>
      </c>
      <c r="K50" s="240">
        <f>J50/$J$53</f>
        <v>0</v>
      </c>
    </row>
    <row r="51" spans="1:12" s="123" customFormat="1" ht="16.149999999999999" customHeight="1">
      <c r="A51" s="232" t="s">
        <v>386</v>
      </c>
      <c r="B51" s="237" t="str">
        <f>Custos!F54</f>
        <v>-</v>
      </c>
      <c r="C51" s="237" t="str">
        <f>Custos!G54</f>
        <v>out/2024</v>
      </c>
      <c r="D51" s="238" t="str">
        <f>Custos!D54</f>
        <v>AGEVAP</v>
      </c>
      <c r="E51" s="233" t="str">
        <f>Custos!B54</f>
        <v>Diárias</v>
      </c>
      <c r="F51" s="234">
        <f>'P1'!F51</f>
        <v>335</v>
      </c>
      <c r="G51" s="279" t="str">
        <f>'P1'!G51</f>
        <v>unidade</v>
      </c>
      <c r="H51" s="279">
        <v>0</v>
      </c>
      <c r="I51" s="228">
        <f t="shared" si="7"/>
        <v>0</v>
      </c>
      <c r="J51" s="228">
        <f>(I51*K!$G$25)</f>
        <v>0</v>
      </c>
      <c r="K51" s="240">
        <f>J51/$J$53</f>
        <v>0</v>
      </c>
    </row>
    <row r="52" spans="1:12" ht="6" customHeight="1">
      <c r="A52" s="151"/>
      <c r="B52" s="160"/>
      <c r="C52" s="160"/>
      <c r="D52" s="160"/>
      <c r="E52" s="174"/>
      <c r="F52" s="175"/>
      <c r="G52" s="185"/>
      <c r="H52" s="163"/>
      <c r="I52" s="163"/>
      <c r="J52" s="176"/>
      <c r="K52" s="193"/>
    </row>
    <row r="53" spans="1:12" ht="18" customHeight="1">
      <c r="A53" s="746" t="s">
        <v>726</v>
      </c>
      <c r="B53" s="746"/>
      <c r="C53" s="746"/>
      <c r="D53" s="746"/>
      <c r="E53" s="746"/>
      <c r="F53" s="396"/>
      <c r="G53" s="397"/>
      <c r="H53" s="398"/>
      <c r="I53" s="396" t="s">
        <v>318</v>
      </c>
      <c r="J53" s="396">
        <f>ROUND((J7+J16+J26+J46),2)</f>
        <v>9335.2800000000007</v>
      </c>
      <c r="K53" s="401">
        <f>K7+K16+K26+K46</f>
        <v>1.0000004038239931</v>
      </c>
    </row>
    <row r="54" spans="1:12" ht="6" customHeight="1">
      <c r="A54" s="126"/>
      <c r="B54" s="80"/>
      <c r="C54" s="80"/>
      <c r="D54" s="127"/>
      <c r="E54" s="128"/>
      <c r="F54" s="133"/>
      <c r="G54" s="127"/>
      <c r="H54" s="125"/>
      <c r="I54" s="129"/>
      <c r="J54" s="121"/>
      <c r="K54" s="243"/>
    </row>
    <row r="55" spans="1:12" ht="20.100000000000001" customHeight="1">
      <c r="A55" s="152" t="s">
        <v>727</v>
      </c>
      <c r="B55" s="153"/>
      <c r="C55" s="153"/>
      <c r="D55" s="153"/>
      <c r="E55" s="153"/>
      <c r="F55" s="154"/>
      <c r="G55" s="186"/>
      <c r="H55" s="153"/>
      <c r="I55" s="153"/>
      <c r="J55" s="153"/>
      <c r="K55" s="154"/>
    </row>
    <row r="56" spans="1:12" ht="24" customHeight="1">
      <c r="A56" s="155" t="s">
        <v>728</v>
      </c>
      <c r="B56" s="747" t="s">
        <v>729</v>
      </c>
      <c r="C56" s="747"/>
      <c r="D56" s="747"/>
      <c r="E56" s="747"/>
      <c r="F56" s="747"/>
      <c r="G56" s="747"/>
      <c r="H56" s="747"/>
      <c r="I56" s="747"/>
      <c r="J56" s="747"/>
      <c r="K56" s="747"/>
    </row>
    <row r="57" spans="1:12" ht="13.15" customHeight="1">
      <c r="A57" s="155" t="s">
        <v>730</v>
      </c>
      <c r="B57" s="743" t="s">
        <v>731</v>
      </c>
      <c r="C57" s="743"/>
      <c r="D57" s="743"/>
      <c r="E57" s="743"/>
      <c r="F57" s="743"/>
      <c r="G57" s="743"/>
      <c r="H57" s="743"/>
      <c r="I57" s="743"/>
      <c r="J57" s="743"/>
      <c r="K57" s="743"/>
    </row>
    <row r="58" spans="1:12" ht="13.15" customHeight="1">
      <c r="A58" s="155" t="s">
        <v>732</v>
      </c>
      <c r="B58" s="743" t="s">
        <v>733</v>
      </c>
      <c r="C58" s="743"/>
      <c r="D58" s="743"/>
      <c r="E58" s="743"/>
      <c r="F58" s="743"/>
      <c r="G58" s="743"/>
      <c r="H58" s="743"/>
      <c r="I58" s="743"/>
      <c r="J58" s="743"/>
      <c r="K58" s="743"/>
    </row>
    <row r="59" spans="1:12" ht="13.15" customHeight="1">
      <c r="A59" s="155"/>
      <c r="B59" s="314"/>
      <c r="C59" s="314"/>
      <c r="D59" s="314"/>
      <c r="E59" s="314"/>
      <c r="F59" s="314"/>
      <c r="G59" s="314"/>
      <c r="H59" s="314"/>
      <c r="I59" s="314"/>
      <c r="J59" s="314"/>
      <c r="K59" s="314"/>
    </row>
    <row r="60" spans="1:12" ht="13.15" customHeight="1">
      <c r="A60" s="741" t="s">
        <v>734</v>
      </c>
      <c r="B60" s="741"/>
      <c r="C60" s="741"/>
      <c r="D60" s="741"/>
      <c r="E60" s="741"/>
      <c r="F60" s="741" t="s">
        <v>735</v>
      </c>
      <c r="G60" s="741"/>
      <c r="H60" s="741"/>
      <c r="I60" s="741"/>
      <c r="J60" s="314"/>
      <c r="K60" s="314"/>
    </row>
    <row r="61" spans="1:12" ht="13.15" customHeight="1">
      <c r="A61" s="742" t="s">
        <v>736</v>
      </c>
      <c r="B61" s="742"/>
      <c r="C61" s="742"/>
      <c r="D61" s="742"/>
      <c r="E61" s="742"/>
      <c r="F61" s="742" t="s">
        <v>737</v>
      </c>
      <c r="G61" s="742"/>
      <c r="H61" s="742"/>
      <c r="I61" s="742"/>
      <c r="J61" s="314"/>
      <c r="K61" s="314"/>
    </row>
    <row r="62" spans="1:12" ht="13.15" customHeight="1">
      <c r="A62" s="742" t="s">
        <v>738</v>
      </c>
      <c r="B62" s="742"/>
      <c r="C62" s="742"/>
      <c r="D62" s="742"/>
      <c r="E62" s="742"/>
      <c r="F62" s="742" t="s">
        <v>738</v>
      </c>
      <c r="G62" s="742"/>
      <c r="H62" s="742"/>
      <c r="I62" s="742"/>
      <c r="J62" s="314"/>
      <c r="K62" s="314"/>
    </row>
    <row r="63" spans="1:12">
      <c r="A63" s="551"/>
      <c r="B63" s="551"/>
      <c r="C63" s="551"/>
      <c r="D63" s="551"/>
      <c r="E63" s="131"/>
      <c r="G63" s="131"/>
      <c r="H63" s="131"/>
      <c r="L63"/>
    </row>
    <row r="64" spans="1:12" ht="15" customHeight="1">
      <c r="A64" s="741" t="s">
        <v>739</v>
      </c>
      <c r="B64" s="741"/>
      <c r="C64" s="741"/>
      <c r="D64" s="741"/>
      <c r="E64" s="741"/>
      <c r="F64" s="741"/>
      <c r="G64" s="741"/>
      <c r="H64" s="741"/>
      <c r="I64" s="741"/>
      <c r="J64" s="741"/>
      <c r="K64" s="741"/>
      <c r="L64"/>
    </row>
    <row r="65" spans="1:12" ht="15" customHeight="1">
      <c r="A65" s="742" t="s">
        <v>740</v>
      </c>
      <c r="B65" s="742"/>
      <c r="C65" s="742"/>
      <c r="D65" s="742"/>
      <c r="E65" s="742"/>
      <c r="F65" s="742"/>
      <c r="G65" s="742"/>
      <c r="H65" s="742"/>
      <c r="I65" s="742"/>
      <c r="J65" s="742"/>
      <c r="K65" s="742"/>
    </row>
    <row r="66" spans="1:12" ht="15" customHeight="1">
      <c r="A66" s="742" t="s">
        <v>738</v>
      </c>
      <c r="B66" s="742"/>
      <c r="C66" s="742"/>
      <c r="D66" s="742"/>
      <c r="E66" s="742"/>
      <c r="F66" s="742"/>
      <c r="G66" s="742"/>
      <c r="H66" s="742"/>
      <c r="I66" s="742"/>
      <c r="J66" s="742"/>
      <c r="K66" s="742"/>
      <c r="L66" s="122"/>
    </row>
  </sheetData>
  <mergeCells count="16">
    <mergeCell ref="B58:K58"/>
    <mergeCell ref="D1:K1"/>
    <mergeCell ref="F6:G6"/>
    <mergeCell ref="A53:E53"/>
    <mergeCell ref="B56:K56"/>
    <mergeCell ref="B57:K57"/>
    <mergeCell ref="C2:E2"/>
    <mergeCell ref="A64:K64"/>
    <mergeCell ref="A65:K65"/>
    <mergeCell ref="A66:K66"/>
    <mergeCell ref="F60:I60"/>
    <mergeCell ref="F61:I61"/>
    <mergeCell ref="F62:I62"/>
    <mergeCell ref="A60:E60"/>
    <mergeCell ref="A61:E61"/>
    <mergeCell ref="A62:E62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2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8AD18-76A3-4BFA-A7F0-2DE85BECF4A6}">
  <sheetPr>
    <tabColor theme="8" tint="-0.249977111117893"/>
    <pageSetUpPr fitToPage="1"/>
  </sheetPr>
  <dimension ref="A1:M66"/>
  <sheetViews>
    <sheetView view="pageBreakPreview" zoomScale="115" zoomScaleNormal="100" zoomScaleSheetLayoutView="115" workbookViewId="0">
      <selection activeCell="C3" sqref="C3"/>
    </sheetView>
  </sheetViews>
  <sheetFormatPr defaultColWidth="9.140625" defaultRowHeight="15.75"/>
  <cols>
    <col min="1" max="1" width="5" style="81" customWidth="1"/>
    <col min="2" max="3" width="10" style="81" customWidth="1"/>
    <col min="4" max="4" width="13.85546875" style="81" customWidth="1"/>
    <col min="5" max="5" width="45.7109375" style="81" customWidth="1"/>
    <col min="6" max="6" width="9.85546875" style="131" customWidth="1"/>
    <col min="7" max="7" width="8.28515625" style="134" bestFit="1" customWidth="1"/>
    <col min="8" max="8" width="12.140625" style="81" customWidth="1"/>
    <col min="9" max="9" width="10.5703125" style="81" customWidth="1"/>
    <col min="10" max="10" width="13" style="81" customWidth="1"/>
    <col min="11" max="11" width="12.140625" style="131" customWidth="1"/>
    <col min="12" max="22" width="12.7109375" style="81" customWidth="1"/>
    <col min="23" max="16384" width="9.140625" style="81"/>
  </cols>
  <sheetData>
    <row r="1" spans="1:13" ht="35.25" customHeight="1">
      <c r="B1" s="130"/>
      <c r="C1" s="130"/>
      <c r="D1" s="744" t="str">
        <f>'P7.1'!D1</f>
        <v xml:space="preserve">ORÇAMENTO PARA ELABORAÇÃO DE PROJETO DE SISTEMA DE ESGOTAMENTO SANITÁRIO </v>
      </c>
      <c r="E1" s="744"/>
      <c r="F1" s="744"/>
      <c r="G1" s="744"/>
      <c r="H1" s="744"/>
      <c r="I1" s="744"/>
      <c r="J1" s="744"/>
      <c r="K1" s="744"/>
    </row>
    <row r="2" spans="1:13" s="122" customFormat="1" ht="15" customHeight="1">
      <c r="A2" s="80" t="s">
        <v>748</v>
      </c>
      <c r="C2" s="83" t="str">
        <f>_xlfn.CONCAT('Horas trabalhadas'!J8)</f>
        <v>Estudos Ambientais Consolidados</v>
      </c>
      <c r="F2" s="132"/>
      <c r="G2" s="184"/>
      <c r="J2" s="119" t="s">
        <v>134</v>
      </c>
      <c r="K2" s="63">
        <f ca="1">'Dados Básicos do município'!H4</f>
        <v>46139</v>
      </c>
    </row>
    <row r="3" spans="1:13" s="122" customFormat="1" ht="15" customHeight="1">
      <c r="A3" s="80" t="s">
        <v>135</v>
      </c>
      <c r="C3" s="83" t="str">
        <f>'Dados Básicos do município'!B5</f>
        <v>CBH-SANTO ANTÔNIO</v>
      </c>
      <c r="F3" s="132"/>
      <c r="G3" s="184"/>
      <c r="K3" s="132"/>
    </row>
    <row r="4" spans="1:13" s="122" customFormat="1" ht="15" customHeight="1">
      <c r="A4" s="80" t="s">
        <v>136</v>
      </c>
      <c r="C4" s="83" t="str">
        <f>'Dados Básicos do município'!B6</f>
        <v>Açucena/MG</v>
      </c>
      <c r="F4" s="132"/>
      <c r="G4" s="184"/>
      <c r="J4" s="120"/>
      <c r="K4" s="119"/>
    </row>
    <row r="5" spans="1:13" ht="6" customHeight="1">
      <c r="A5" s="160"/>
      <c r="B5" s="160"/>
      <c r="C5" s="160"/>
      <c r="D5" s="160"/>
      <c r="E5" s="161"/>
      <c r="F5" s="162"/>
      <c r="G5" s="185"/>
      <c r="H5" s="164"/>
      <c r="I5" s="163"/>
      <c r="J5" s="163"/>
      <c r="K5" s="192"/>
    </row>
    <row r="6" spans="1:13" s="134" customFormat="1" ht="47.45" customHeight="1">
      <c r="A6" s="380" t="s">
        <v>713</v>
      </c>
      <c r="B6" s="380" t="s">
        <v>10</v>
      </c>
      <c r="C6" s="380" t="s">
        <v>714</v>
      </c>
      <c r="D6" s="380" t="s">
        <v>715</v>
      </c>
      <c r="E6" s="381" t="s">
        <v>716</v>
      </c>
      <c r="F6" s="745" t="s">
        <v>717</v>
      </c>
      <c r="G6" s="745"/>
      <c r="H6" s="382" t="s">
        <v>718</v>
      </c>
      <c r="I6" s="383" t="s">
        <v>719</v>
      </c>
      <c r="J6" s="383" t="s">
        <v>720</v>
      </c>
      <c r="K6" s="383" t="s">
        <v>721</v>
      </c>
    </row>
    <row r="7" spans="1:13" s="122" customFormat="1" ht="18" customHeight="1">
      <c r="A7" s="384">
        <v>1</v>
      </c>
      <c r="B7" s="385" t="s">
        <v>722</v>
      </c>
      <c r="C7" s="385"/>
      <c r="D7" s="385"/>
      <c r="E7" s="385"/>
      <c r="F7" s="386"/>
      <c r="G7" s="384"/>
      <c r="H7" s="385"/>
      <c r="I7" s="385"/>
      <c r="J7" s="387">
        <f>J9</f>
        <v>3709.0887594292089</v>
      </c>
      <c r="K7" s="388">
        <f>J7/$J$53</f>
        <v>0.19865964239062917</v>
      </c>
    </row>
    <row r="8" spans="1:13" ht="6" customHeight="1">
      <c r="A8" s="160"/>
      <c r="B8" s="160"/>
      <c r="C8" s="160"/>
      <c r="D8" s="160"/>
      <c r="E8" s="161"/>
      <c r="F8" s="162"/>
      <c r="G8" s="185"/>
      <c r="H8" s="164"/>
      <c r="I8" s="163"/>
      <c r="J8" s="163"/>
      <c r="K8" s="192"/>
    </row>
    <row r="9" spans="1:13" s="122" customFormat="1" ht="18" customHeight="1">
      <c r="A9" s="178" t="s">
        <v>29</v>
      </c>
      <c r="B9" s="179" t="s">
        <v>376</v>
      </c>
      <c r="C9" s="179"/>
      <c r="D9" s="179"/>
      <c r="E9" s="179"/>
      <c r="F9" s="180"/>
      <c r="G9" s="178"/>
      <c r="H9" s="179"/>
      <c r="I9" s="179"/>
      <c r="J9" s="400">
        <f>SUM(J10:J14)</f>
        <v>3709.0887594292089</v>
      </c>
      <c r="K9" s="404">
        <f>SUM(K10:K14)</f>
        <v>0.19865964239062917</v>
      </c>
    </row>
    <row r="10" spans="1:13" s="123" customFormat="1" ht="16.149999999999999" customHeight="1">
      <c r="A10" s="232" t="s">
        <v>378</v>
      </c>
      <c r="B10" s="225" t="str">
        <f>'P1'!B10</f>
        <v>P8061</v>
      </c>
      <c r="C10" s="225" t="str">
        <f>Custos!G13</f>
        <v>abr/2024</v>
      </c>
      <c r="D10" s="226" t="str">
        <f>Custos!$D$13</f>
        <v>DNIT</v>
      </c>
      <c r="E10" s="227" t="str">
        <f>Custos!B13</f>
        <v>Engenheiro Coordenador</v>
      </c>
      <c r="F10" s="228">
        <f>Custos!J13</f>
        <v>123.19</v>
      </c>
      <c r="G10" s="226" t="s">
        <v>382</v>
      </c>
      <c r="H10" s="422">
        <f>'Horas trabalhadas'!J9</f>
        <v>8.5137972566075621</v>
      </c>
      <c r="I10" s="228">
        <f>H10*F10</f>
        <v>1048.8146840414856</v>
      </c>
      <c r="J10" s="228">
        <f>(I10*K!$G$23)</f>
        <v>1826.3025871301181</v>
      </c>
      <c r="K10" s="240">
        <f>J10/$J$53</f>
        <v>9.7817184324319947E-2</v>
      </c>
      <c r="M10" s="124"/>
    </row>
    <row r="11" spans="1:13" s="123" customFormat="1" ht="16.149999999999999" customHeight="1">
      <c r="A11" s="232" t="s">
        <v>383</v>
      </c>
      <c r="B11" s="225" t="str">
        <f>'P1'!B11</f>
        <v>P8066</v>
      </c>
      <c r="C11" s="229" t="str">
        <f>Custos!G14</f>
        <v>abr/2024</v>
      </c>
      <c r="D11" s="230" t="str">
        <f>Custos!D14</f>
        <v>DNIT</v>
      </c>
      <c r="E11" s="227" t="str">
        <f>Custos!B14</f>
        <v>Engenheiro de Projetos Pleno</v>
      </c>
      <c r="F11" s="231">
        <f>Custos!J14</f>
        <v>85.36</v>
      </c>
      <c r="G11" s="230" t="s">
        <v>382</v>
      </c>
      <c r="H11" s="422">
        <f>'Horas trabalhadas'!J10</f>
        <v>0</v>
      </c>
      <c r="I11" s="228">
        <f t="shared" ref="I11:I14" si="0">H11*F11</f>
        <v>0</v>
      </c>
      <c r="J11" s="228">
        <f>(I11*K!$G$23)</f>
        <v>0</v>
      </c>
      <c r="K11" s="240">
        <f>J11/$J$53</f>
        <v>0</v>
      </c>
      <c r="M11" s="124"/>
    </row>
    <row r="12" spans="1:13" s="123" customFormat="1" ht="16.149999999999999" customHeight="1">
      <c r="A12" s="232" t="s">
        <v>386</v>
      </c>
      <c r="B12" s="225" t="str">
        <f>'P1'!B12</f>
        <v>P8065</v>
      </c>
      <c r="C12" s="229" t="str">
        <f>Custos!G15</f>
        <v>abr/2024</v>
      </c>
      <c r="D12" s="230" t="str">
        <f>Custos!D15</f>
        <v>DNIT</v>
      </c>
      <c r="E12" s="227" t="str">
        <f>Custos!B15</f>
        <v>Engenheiro de Projetos Júnior</v>
      </c>
      <c r="F12" s="231">
        <f>Custos!J15</f>
        <v>82.75</v>
      </c>
      <c r="G12" s="230" t="s">
        <v>382</v>
      </c>
      <c r="H12" s="422">
        <f>'Horas trabalhadas'!J11</f>
        <v>0</v>
      </c>
      <c r="I12" s="228">
        <f t="shared" si="0"/>
        <v>0</v>
      </c>
      <c r="J12" s="228">
        <f>(I12*K!$G$23)</f>
        <v>0</v>
      </c>
      <c r="K12" s="240">
        <f>J12/$J$53</f>
        <v>0</v>
      </c>
      <c r="M12" s="124"/>
    </row>
    <row r="13" spans="1:13" s="123" customFormat="1" ht="16.149999999999999" customHeight="1">
      <c r="A13" s="232" t="s">
        <v>389</v>
      </c>
      <c r="B13" s="225" t="str">
        <f>'P1'!B13</f>
        <v>P8155</v>
      </c>
      <c r="C13" s="229" t="str">
        <f>Custos!G16</f>
        <v>abr/2024</v>
      </c>
      <c r="D13" s="230" t="str">
        <f>Custos!D16</f>
        <v>DNIT</v>
      </c>
      <c r="E13" s="227" t="str">
        <f>Custos!B16</f>
        <v>Técnico cadista</v>
      </c>
      <c r="F13" s="231">
        <f>Custos!J16</f>
        <v>19.32</v>
      </c>
      <c r="G13" s="230" t="s">
        <v>382</v>
      </c>
      <c r="H13" s="422">
        <f>'Horas trabalhadas'!J12</f>
        <v>0</v>
      </c>
      <c r="I13" s="228">
        <f t="shared" si="0"/>
        <v>0</v>
      </c>
      <c r="J13" s="228">
        <f>(I13*K!$G$23)</f>
        <v>0</v>
      </c>
      <c r="K13" s="240">
        <f>J13/$J$53</f>
        <v>0</v>
      </c>
      <c r="M13" s="124"/>
    </row>
    <row r="14" spans="1:13" s="123" customFormat="1" ht="16.149999999999999" customHeight="1">
      <c r="A14" s="232" t="s">
        <v>392</v>
      </c>
      <c r="B14" s="225" t="str">
        <f>'P1'!B14</f>
        <v>P8026</v>
      </c>
      <c r="C14" s="229" t="str">
        <f>Custos!G17</f>
        <v>abr/2024</v>
      </c>
      <c r="D14" s="230" t="str">
        <f>Custos!D17</f>
        <v>DNIT</v>
      </c>
      <c r="E14" s="227" t="str">
        <f>Custos!B17</f>
        <v>Auxiliar Administrativo</v>
      </c>
      <c r="F14" s="231">
        <f>Custos!J17</f>
        <v>12.7</v>
      </c>
      <c r="G14" s="230" t="s">
        <v>382</v>
      </c>
      <c r="H14" s="422">
        <f>'Horas trabalhadas'!J13</f>
        <v>85.137972566075618</v>
      </c>
      <c r="I14" s="228">
        <f t="shared" si="0"/>
        <v>1081.2522515891603</v>
      </c>
      <c r="J14" s="228">
        <f>(I14*K!$G$23)</f>
        <v>1882.7861722990906</v>
      </c>
      <c r="K14" s="240">
        <f>J14/$J$53</f>
        <v>0.1008424580663092</v>
      </c>
      <c r="M14" s="124"/>
    </row>
    <row r="15" spans="1:13" ht="6" customHeight="1">
      <c r="A15" s="160"/>
      <c r="B15" s="160"/>
      <c r="C15" s="160"/>
      <c r="D15" s="160"/>
      <c r="E15" s="161"/>
      <c r="F15" s="162"/>
      <c r="G15" s="185"/>
      <c r="H15" s="164"/>
      <c r="I15" s="163"/>
      <c r="J15" s="163"/>
      <c r="K15" s="192"/>
    </row>
    <row r="16" spans="1:13" s="122" customFormat="1" ht="18" customHeight="1">
      <c r="A16" s="384">
        <v>2</v>
      </c>
      <c r="B16" s="385" t="s">
        <v>396</v>
      </c>
      <c r="C16" s="385"/>
      <c r="D16" s="385"/>
      <c r="E16" s="385"/>
      <c r="F16" s="386"/>
      <c r="G16" s="384"/>
      <c r="H16" s="385"/>
      <c r="I16" s="385"/>
      <c r="J16" s="387">
        <f>J18</f>
        <v>14961.478780190886</v>
      </c>
      <c r="K16" s="388">
        <f>J16/$J$53</f>
        <v>0.8013402258308604</v>
      </c>
    </row>
    <row r="17" spans="1:13" ht="5.0999999999999996" customHeight="1">
      <c r="A17" s="167"/>
      <c r="B17" s="168"/>
      <c r="C17" s="168"/>
      <c r="D17" s="169"/>
      <c r="E17" s="170"/>
      <c r="F17" s="165"/>
      <c r="G17" s="159"/>
      <c r="H17" s="166"/>
      <c r="I17" s="159"/>
      <c r="J17" s="159"/>
      <c r="K17" s="191"/>
    </row>
    <row r="18" spans="1:13" s="122" customFormat="1" ht="18" customHeight="1">
      <c r="A18" s="389" t="s">
        <v>47</v>
      </c>
      <c r="B18" s="390" t="s">
        <v>396</v>
      </c>
      <c r="C18" s="390"/>
      <c r="D18" s="390"/>
      <c r="E18" s="390"/>
      <c r="F18" s="391"/>
      <c r="G18" s="389"/>
      <c r="H18" s="390"/>
      <c r="I18" s="391"/>
      <c r="J18" s="392">
        <f>SUM(J19:J24)</f>
        <v>14961.478780190886</v>
      </c>
      <c r="K18" s="405">
        <f>SUM(K19:K24)</f>
        <v>0.8013402258308604</v>
      </c>
    </row>
    <row r="19" spans="1:13" s="123" customFormat="1" ht="16.149999999999999" customHeight="1">
      <c r="A19" s="232" t="s">
        <v>378</v>
      </c>
      <c r="B19" s="225" t="str">
        <f>'P1'!B19</f>
        <v>P8003</v>
      </c>
      <c r="C19" s="225" t="str">
        <f>Custos!G22</f>
        <v>abr/2024</v>
      </c>
      <c r="D19" s="230" t="str">
        <f>Custos!D22</f>
        <v>DNIT</v>
      </c>
      <c r="E19" s="227" t="str">
        <f>Custos!B22</f>
        <v>Advogado sênior</v>
      </c>
      <c r="F19" s="228">
        <f>Custos!J22</f>
        <v>76.88</v>
      </c>
      <c r="G19" s="226" t="s">
        <v>382</v>
      </c>
      <c r="H19" s="422">
        <f>'Horas trabalhadas'!J14</f>
        <v>0</v>
      </c>
      <c r="I19" s="228">
        <f t="shared" ref="I19:I24" si="1">H19*F19</f>
        <v>0</v>
      </c>
      <c r="J19" s="228">
        <f>(I19*K!$G$23)</f>
        <v>0</v>
      </c>
      <c r="K19" s="239">
        <f t="shared" ref="K19:K24" si="2">J19/$J$53</f>
        <v>0</v>
      </c>
    </row>
    <row r="20" spans="1:13" s="123" customFormat="1" ht="16.149999999999999" customHeight="1">
      <c r="A20" s="232" t="s">
        <v>383</v>
      </c>
      <c r="B20" s="225" t="str">
        <f>'P1'!B20</f>
        <v>P8067</v>
      </c>
      <c r="C20" s="225" t="str">
        <f>Custos!G23</f>
        <v>abr/2024</v>
      </c>
      <c r="D20" s="230" t="str">
        <f>Custos!D23</f>
        <v>DNIT</v>
      </c>
      <c r="E20" s="227" t="str">
        <f>Custos!B23</f>
        <v>Engenheiro de Projetos (Elétrico)</v>
      </c>
      <c r="F20" s="228">
        <f>Custos!J23</f>
        <v>107.32</v>
      </c>
      <c r="G20" s="226" t="s">
        <v>382</v>
      </c>
      <c r="H20" s="422">
        <f>'Horas trabalhadas'!J15</f>
        <v>0</v>
      </c>
      <c r="I20" s="228">
        <f t="shared" si="1"/>
        <v>0</v>
      </c>
      <c r="J20" s="228">
        <f>(I20*K!$G$23)</f>
        <v>0</v>
      </c>
      <c r="K20" s="239">
        <f t="shared" si="2"/>
        <v>0</v>
      </c>
    </row>
    <row r="21" spans="1:13" s="123" customFormat="1" ht="16.149999999999999" customHeight="1">
      <c r="A21" s="232" t="s">
        <v>386</v>
      </c>
      <c r="B21" s="225" t="str">
        <f>'P1'!B21</f>
        <v>P8067</v>
      </c>
      <c r="C21" s="225" t="str">
        <f>Custos!G24</f>
        <v>abr/2024</v>
      </c>
      <c r="D21" s="230" t="str">
        <f>Custos!D24</f>
        <v>DNIT</v>
      </c>
      <c r="E21" s="227" t="str">
        <f>Custos!B24</f>
        <v>Engenheiro de Projeto (Calculista)</v>
      </c>
      <c r="F21" s="228">
        <f>Custos!J24</f>
        <v>107.32</v>
      </c>
      <c r="G21" s="226" t="s">
        <v>382</v>
      </c>
      <c r="H21" s="422">
        <f>'Horas trabalhadas'!J16</f>
        <v>0</v>
      </c>
      <c r="I21" s="228">
        <f t="shared" si="1"/>
        <v>0</v>
      </c>
      <c r="J21" s="228">
        <f>(I21*K!$G$23)</f>
        <v>0</v>
      </c>
      <c r="K21" s="239">
        <f t="shared" si="2"/>
        <v>0</v>
      </c>
    </row>
    <row r="22" spans="1:13" s="123" customFormat="1" ht="16.149999999999999" customHeight="1">
      <c r="A22" s="232" t="s">
        <v>389</v>
      </c>
      <c r="B22" s="225" t="str">
        <f>'P1'!B22</f>
        <v>P8067</v>
      </c>
      <c r="C22" s="225" t="str">
        <f>Custos!G25</f>
        <v>abr/2024</v>
      </c>
      <c r="D22" s="230" t="str">
        <f>Custos!D25</f>
        <v>DNIT</v>
      </c>
      <c r="E22" s="227" t="str">
        <f>Custos!B25</f>
        <v>Engenheiro de Projetos (Mecânico)</v>
      </c>
      <c r="F22" s="228">
        <f>Custos!J25</f>
        <v>107.32</v>
      </c>
      <c r="G22" s="226" t="s">
        <v>382</v>
      </c>
      <c r="H22" s="422">
        <f>'Horas trabalhadas'!J17</f>
        <v>0</v>
      </c>
      <c r="I22" s="228">
        <f t="shared" si="1"/>
        <v>0</v>
      </c>
      <c r="J22" s="228">
        <f>(I22*K!$G$23)</f>
        <v>0</v>
      </c>
      <c r="K22" s="239">
        <f t="shared" si="2"/>
        <v>0</v>
      </c>
    </row>
    <row r="23" spans="1:13" s="123" customFormat="1" ht="16.149999999999999" customHeight="1">
      <c r="A23" s="232" t="s">
        <v>392</v>
      </c>
      <c r="B23" s="225" t="str">
        <f>'P1'!B23</f>
        <v>P8059</v>
      </c>
      <c r="C23" s="225" t="str">
        <f>Custos!G26</f>
        <v>abr/2024</v>
      </c>
      <c r="D23" s="230" t="str">
        <f>Custos!D27</f>
        <v>DNIT</v>
      </c>
      <c r="E23" s="227" t="str">
        <f>Custos!B26</f>
        <v>Engenheiro ambiental</v>
      </c>
      <c r="F23" s="228">
        <f>Custos!J26</f>
        <v>100.92</v>
      </c>
      <c r="G23" s="226" t="s">
        <v>382</v>
      </c>
      <c r="H23" s="422">
        <f>'Horas trabalhadas'!J18</f>
        <v>85.137972566075618</v>
      </c>
      <c r="I23" s="228">
        <f t="shared" si="1"/>
        <v>8592.1241913683516</v>
      </c>
      <c r="J23" s="228">
        <f>(I23*K!$G$23)</f>
        <v>14961.478780190886</v>
      </c>
      <c r="K23" s="239">
        <f t="shared" si="2"/>
        <v>0.8013402258308604</v>
      </c>
    </row>
    <row r="24" spans="1:13" s="123" customFormat="1" ht="16.149999999999999" customHeight="1">
      <c r="A24" s="232" t="s">
        <v>405</v>
      </c>
      <c r="B24" s="225" t="str">
        <f>'P1'!B24</f>
        <v>P8155</v>
      </c>
      <c r="C24" s="225" t="str">
        <f>Custos!G27</f>
        <v>abr/2024</v>
      </c>
      <c r="D24" s="230" t="str">
        <f>Custos!D27</f>
        <v>DNIT</v>
      </c>
      <c r="E24" s="227" t="str">
        <f>Custos!B27</f>
        <v>Técnico em geoprocessamento</v>
      </c>
      <c r="F24" s="228">
        <f>Custos!J27</f>
        <v>14.35</v>
      </c>
      <c r="G24" s="226" t="s">
        <v>382</v>
      </c>
      <c r="H24" s="422">
        <f>'Horas trabalhadas'!J19</f>
        <v>0</v>
      </c>
      <c r="I24" s="228">
        <f t="shared" si="1"/>
        <v>0</v>
      </c>
      <c r="J24" s="228">
        <f>(I24*K!$G$23)</f>
        <v>0</v>
      </c>
      <c r="K24" s="239">
        <f t="shared" si="2"/>
        <v>0</v>
      </c>
      <c r="M24" s="124"/>
    </row>
    <row r="25" spans="1:13" ht="6" customHeight="1">
      <c r="A25" s="160"/>
      <c r="B25" s="160"/>
      <c r="C25" s="160"/>
      <c r="D25" s="160"/>
      <c r="E25" s="161"/>
      <c r="F25" s="162"/>
      <c r="G25" s="185"/>
      <c r="H25" s="164"/>
      <c r="I25" s="163"/>
      <c r="J25" s="163"/>
      <c r="K25" s="192"/>
    </row>
    <row r="26" spans="1:13" s="122" customFormat="1" ht="18" customHeight="1">
      <c r="A26" s="393">
        <v>3</v>
      </c>
      <c r="B26" s="394" t="s">
        <v>129</v>
      </c>
      <c r="C26" s="394"/>
      <c r="D26" s="394"/>
      <c r="E26" s="182"/>
      <c r="F26" s="183"/>
      <c r="G26" s="181"/>
      <c r="H26" s="182"/>
      <c r="I26" s="182"/>
      <c r="J26" s="399">
        <f>J28+J33+J39+J43</f>
        <v>0</v>
      </c>
      <c r="K26" s="388">
        <f>J26/$J$53</f>
        <v>0</v>
      </c>
    </row>
    <row r="27" spans="1:13" ht="5.0999999999999996" customHeight="1">
      <c r="A27" s="167"/>
      <c r="B27" s="168"/>
      <c r="C27" s="168"/>
      <c r="D27" s="169"/>
      <c r="E27" s="170"/>
      <c r="F27" s="165"/>
      <c r="G27" s="159"/>
      <c r="H27" s="166"/>
      <c r="I27" s="159"/>
      <c r="J27" s="159"/>
      <c r="K27" s="191"/>
    </row>
    <row r="28" spans="1:13" s="122" customFormat="1" ht="18" customHeight="1">
      <c r="A28" s="178" t="s">
        <v>59</v>
      </c>
      <c r="B28" s="179" t="s">
        <v>416</v>
      </c>
      <c r="C28" s="179"/>
      <c r="D28" s="179"/>
      <c r="E28" s="179"/>
      <c r="F28" s="180"/>
      <c r="G28" s="178"/>
      <c r="H28" s="179"/>
      <c r="I28" s="179"/>
      <c r="J28" s="400">
        <f>SUM(J29:J31)</f>
        <v>0</v>
      </c>
      <c r="K28" s="404">
        <f>SUM(K29:K31)</f>
        <v>0</v>
      </c>
    </row>
    <row r="29" spans="1:13" s="123" customFormat="1">
      <c r="A29" s="232" t="s">
        <v>378</v>
      </c>
      <c r="B29" s="232">
        <f>'P1'!B29</f>
        <v>65003710</v>
      </c>
      <c r="C29" s="232" t="str">
        <f>Custos!G38</f>
        <v>set/2024</v>
      </c>
      <c r="D29" s="237" t="str">
        <f>Custos!D38</f>
        <v>COPASA</v>
      </c>
      <c r="E29" s="415" t="str">
        <f>Custos!B38</f>
        <v>Mobilização e desmobilização de equipe de topografia</v>
      </c>
      <c r="F29" s="234">
        <f>Custos!J38</f>
        <v>4.62</v>
      </c>
      <c r="G29" s="279" t="str">
        <f>Custos!H38</f>
        <v>km</v>
      </c>
      <c r="H29" s="279">
        <v>0</v>
      </c>
      <c r="I29" s="228">
        <f t="shared" ref="I29:I31" si="3">H29*F29</f>
        <v>0</v>
      </c>
      <c r="J29" s="228">
        <f>(I29*K!$G$24)</f>
        <v>0</v>
      </c>
      <c r="K29" s="240">
        <f>J29/$J$53</f>
        <v>0</v>
      </c>
    </row>
    <row r="30" spans="1:13" s="123" customFormat="1">
      <c r="A30" s="232" t="s">
        <v>383</v>
      </c>
      <c r="B30" s="232">
        <f>'P1'!B30</f>
        <v>65001667</v>
      </c>
      <c r="C30" s="232" t="str">
        <f>Custos!G39</f>
        <v>set/2024</v>
      </c>
      <c r="D30" s="237" t="str">
        <f>Custos!D39</f>
        <v>COPASA</v>
      </c>
      <c r="E30" s="415" t="str">
        <f>Custos!B39</f>
        <v>Equipe de topografia de campo</v>
      </c>
      <c r="F30" s="234">
        <f>Custos!J39</f>
        <v>50814.45</v>
      </c>
      <c r="G30" s="279" t="str">
        <f>Custos!H39</f>
        <v>mês</v>
      </c>
      <c r="H30" s="279">
        <v>0</v>
      </c>
      <c r="I30" s="228">
        <f t="shared" si="3"/>
        <v>0</v>
      </c>
      <c r="J30" s="228">
        <f>(I30*K!$G$24)</f>
        <v>0</v>
      </c>
      <c r="K30" s="240">
        <f>J30/$J$53</f>
        <v>0</v>
      </c>
    </row>
    <row r="31" spans="1:13" s="123" customFormat="1">
      <c r="A31" s="232" t="s">
        <v>386</v>
      </c>
      <c r="B31" s="232">
        <f>'P1'!B31</f>
        <v>65001668</v>
      </c>
      <c r="C31" s="232" t="str">
        <f>Custos!G40</f>
        <v>set/2024</v>
      </c>
      <c r="D31" s="237" t="str">
        <f>Custos!D40</f>
        <v>COPASA</v>
      </c>
      <c r="E31" s="415" t="str">
        <f>Custos!B40</f>
        <v>Equipe de topografia de escritório</v>
      </c>
      <c r="F31" s="234">
        <f>Custos!J40</f>
        <v>26804.01</v>
      </c>
      <c r="G31" s="279" t="str">
        <f>Custos!H40</f>
        <v>mês</v>
      </c>
      <c r="H31" s="279">
        <v>0</v>
      </c>
      <c r="I31" s="228">
        <f t="shared" si="3"/>
        <v>0</v>
      </c>
      <c r="J31" s="228">
        <f>(I31*K!$G$24)</f>
        <v>0</v>
      </c>
      <c r="K31" s="240">
        <f>J31/$J$53</f>
        <v>0</v>
      </c>
    </row>
    <row r="32" spans="1:13" ht="10.5" customHeight="1">
      <c r="A32" s="167"/>
      <c r="B32" s="168"/>
      <c r="C32" s="168"/>
      <c r="D32" s="169"/>
      <c r="E32" s="170"/>
      <c r="F32" s="165"/>
      <c r="G32" s="279"/>
      <c r="H32" s="166"/>
      <c r="I32" s="159"/>
      <c r="J32" s="159"/>
      <c r="K32" s="191"/>
    </row>
    <row r="33" spans="1:11" s="122" customFormat="1" ht="18" customHeight="1">
      <c r="A33" s="156" t="s">
        <v>60</v>
      </c>
      <c r="B33" s="171" t="s">
        <v>708</v>
      </c>
      <c r="C33" s="171"/>
      <c r="D33" s="171"/>
      <c r="E33" s="171"/>
      <c r="F33" s="158"/>
      <c r="G33" s="156"/>
      <c r="H33" s="157"/>
      <c r="I33" s="157"/>
      <c r="J33" s="172">
        <f>SUM(J35:J36)</f>
        <v>0</v>
      </c>
      <c r="K33" s="403">
        <f>SUM(K35:K36)</f>
        <v>0</v>
      </c>
    </row>
    <row r="34" spans="1:11" s="123" customFormat="1">
      <c r="A34" s="232" t="s">
        <v>378</v>
      </c>
      <c r="B34" s="232">
        <f>'P1'!B34</f>
        <v>65001207</v>
      </c>
      <c r="C34" s="232" t="str">
        <f>Custos!G32</f>
        <v>set/2024</v>
      </c>
      <c r="D34" s="237" t="str">
        <f>Custos!D32</f>
        <v>COPASA</v>
      </c>
      <c r="E34" s="415" t="str">
        <f>Custos!B32</f>
        <v>Sondagem a percussao - mobilizacao e desmobilizacao</v>
      </c>
      <c r="F34" s="234">
        <f>Custos!J32</f>
        <v>1316.83</v>
      </c>
      <c r="G34" s="279" t="str">
        <f>Custos!H32</f>
        <v>unidade</v>
      </c>
      <c r="H34" s="279">
        <v>0</v>
      </c>
      <c r="I34" s="228">
        <f t="shared" ref="I34:I37" si="4">H34*F34</f>
        <v>0</v>
      </c>
      <c r="J34" s="228">
        <f>(I34*K!$G$24)</f>
        <v>0</v>
      </c>
      <c r="K34" s="240">
        <f>J34/$J$53</f>
        <v>0</v>
      </c>
    </row>
    <row r="35" spans="1:11" s="123" customFormat="1" ht="26.45" customHeight="1">
      <c r="A35" s="232" t="s">
        <v>383</v>
      </c>
      <c r="B35" s="232">
        <f>'P1'!B35</f>
        <v>65001208</v>
      </c>
      <c r="C35" s="237" t="str">
        <f>Custos!G33</f>
        <v>set/2024</v>
      </c>
      <c r="D35" s="279" t="str">
        <f>Custos!D33</f>
        <v>COPASA</v>
      </c>
      <c r="E35" s="465" t="str">
        <f>Custos!B33</f>
        <v>Sondagem a percussao - adicional de mobilizacao e desmobilizacao</v>
      </c>
      <c r="F35" s="234">
        <f>Custos!J33</f>
        <v>9.32</v>
      </c>
      <c r="G35" s="416" t="str">
        <f>Custos!H33</f>
        <v>km</v>
      </c>
      <c r="H35" s="279">
        <v>0</v>
      </c>
      <c r="I35" s="228">
        <f t="shared" si="4"/>
        <v>0</v>
      </c>
      <c r="J35" s="228">
        <f>(I35*K!$G$24)</f>
        <v>0</v>
      </c>
      <c r="K35" s="239">
        <f>J35/$J$53</f>
        <v>0</v>
      </c>
    </row>
    <row r="36" spans="1:11" s="123" customFormat="1">
      <c r="A36" s="232" t="s">
        <v>386</v>
      </c>
      <c r="B36" s="232">
        <f>'P1'!B36</f>
        <v>65001209</v>
      </c>
      <c r="C36" s="232" t="str">
        <f>Custos!G34</f>
        <v>set/2024</v>
      </c>
      <c r="D36" s="237" t="str">
        <f>Custos!D34</f>
        <v>COPASA</v>
      </c>
      <c r="E36" s="415" t="str">
        <f>Custos!B34</f>
        <v>Sondagem a percussao - instalacao por furo</v>
      </c>
      <c r="F36" s="234">
        <f>Custos!J34</f>
        <v>482.46</v>
      </c>
      <c r="G36" s="279" t="str">
        <f>Custos!H34</f>
        <v>unidade</v>
      </c>
      <c r="H36" s="279">
        <v>0</v>
      </c>
      <c r="I36" s="228">
        <f t="shared" si="4"/>
        <v>0</v>
      </c>
      <c r="J36" s="228">
        <f>(I36*K!$G$24)</f>
        <v>0</v>
      </c>
      <c r="K36" s="240">
        <f>J36/$J$53</f>
        <v>0</v>
      </c>
    </row>
    <row r="37" spans="1:11" s="123" customFormat="1" ht="26.45" customHeight="1">
      <c r="A37" s="232" t="s">
        <v>389</v>
      </c>
      <c r="B37" s="232">
        <f>'P1'!B37</f>
        <v>65001210</v>
      </c>
      <c r="C37" s="237" t="str">
        <f>Custos!G35</f>
        <v>set/2024</v>
      </c>
      <c r="D37" s="279" t="str">
        <f>Custos!D35</f>
        <v>COPASA</v>
      </c>
      <c r="E37" s="465" t="str">
        <f>Custos!B35</f>
        <v>Sondagem a percussao ø2.1/2" - perfuracao e retirada de amostras</v>
      </c>
      <c r="F37" s="234">
        <f>Custos!J35</f>
        <v>145.19999999999999</v>
      </c>
      <c r="G37" s="416" t="str">
        <f>Custos!H35</f>
        <v>m</v>
      </c>
      <c r="H37" s="279">
        <v>0</v>
      </c>
      <c r="I37" s="228">
        <f t="shared" si="4"/>
        <v>0</v>
      </c>
      <c r="J37" s="228">
        <f>(I37*K!$G$24)</f>
        <v>0</v>
      </c>
      <c r="K37" s="240">
        <f>J37/$J$53</f>
        <v>0</v>
      </c>
    </row>
    <row r="38" spans="1:11" ht="6" customHeight="1">
      <c r="A38" s="160"/>
      <c r="B38" s="160"/>
      <c r="C38" s="160"/>
      <c r="D38" s="160"/>
      <c r="E38" s="161"/>
      <c r="F38" s="162"/>
      <c r="G38" s="185"/>
      <c r="H38" s="235"/>
      <c r="I38" s="163"/>
      <c r="J38" s="163"/>
      <c r="K38" s="192"/>
    </row>
    <row r="39" spans="1:11" s="122" customFormat="1" ht="18" customHeight="1">
      <c r="A39" s="156" t="s">
        <v>61</v>
      </c>
      <c r="B39" s="171" t="s">
        <v>420</v>
      </c>
      <c r="C39" s="171"/>
      <c r="D39" s="171"/>
      <c r="E39" s="171"/>
      <c r="F39" s="158"/>
      <c r="G39" s="156"/>
      <c r="H39" s="157"/>
      <c r="I39" s="157"/>
      <c r="J39" s="172">
        <f>SUM(J40:J41)</f>
        <v>0</v>
      </c>
      <c r="K39" s="403">
        <f>SUM(K40:K41)</f>
        <v>0</v>
      </c>
    </row>
    <row r="40" spans="1:11" s="123" customFormat="1">
      <c r="A40" s="232" t="s">
        <v>378</v>
      </c>
      <c r="B40" s="232">
        <f>'P1'!B40</f>
        <v>65001667</v>
      </c>
      <c r="C40" s="232" t="str">
        <f>Custos!G43</f>
        <v>set/2024</v>
      </c>
      <c r="D40" s="237" t="str">
        <f>Custos!D43</f>
        <v>COPASA</v>
      </c>
      <c r="E40" s="415" t="str">
        <f>Custos!B43</f>
        <v>Equipe de topografia de campo</v>
      </c>
      <c r="F40" s="234">
        <f>Custos!J43</f>
        <v>50814.45</v>
      </c>
      <c r="G40" s="279" t="str">
        <f>Custos!H43</f>
        <v>mês</v>
      </c>
      <c r="H40" s="574">
        <v>0</v>
      </c>
      <c r="I40" s="228">
        <f t="shared" ref="I40:I41" si="5">H40*F40</f>
        <v>0</v>
      </c>
      <c r="J40" s="228">
        <f>(I40*K!$G$24)</f>
        <v>0</v>
      </c>
      <c r="K40" s="240">
        <f>J40/$J$53</f>
        <v>0</v>
      </c>
    </row>
    <row r="41" spans="1:11" s="123" customFormat="1">
      <c r="A41" s="232" t="s">
        <v>383</v>
      </c>
      <c r="B41" s="232">
        <f>'P1'!B41</f>
        <v>65001668</v>
      </c>
      <c r="C41" s="232" t="str">
        <f>Custos!G44</f>
        <v>set/2024</v>
      </c>
      <c r="D41" s="237" t="str">
        <f>Custos!D44</f>
        <v>COPASA</v>
      </c>
      <c r="E41" s="415" t="str">
        <f>Custos!B44</f>
        <v>Equipe de topografia de escritório</v>
      </c>
      <c r="F41" s="234">
        <f>Custos!J44</f>
        <v>26804.01</v>
      </c>
      <c r="G41" s="279" t="str">
        <f>Custos!H44</f>
        <v>mês</v>
      </c>
      <c r="H41" s="574">
        <v>0</v>
      </c>
      <c r="I41" s="228">
        <f t="shared" si="5"/>
        <v>0</v>
      </c>
      <c r="J41" s="228">
        <f>(I41*K!$G$24)</f>
        <v>0</v>
      </c>
      <c r="K41" s="240">
        <f>J41/$J$53</f>
        <v>0</v>
      </c>
    </row>
    <row r="42" spans="1:11" ht="5.0999999999999996" customHeight="1">
      <c r="A42" s="232"/>
      <c r="B42" s="237"/>
      <c r="C42" s="237"/>
      <c r="D42" s="232"/>
      <c r="E42" s="173"/>
      <c r="F42" s="165"/>
      <c r="G42" s="226"/>
      <c r="H42" s="235"/>
      <c r="I42" s="159"/>
      <c r="J42" s="159"/>
      <c r="K42" s="191"/>
    </row>
    <row r="43" spans="1:11" s="122" customFormat="1" ht="18" customHeight="1">
      <c r="A43" s="156" t="s">
        <v>62</v>
      </c>
      <c r="B43" s="157" t="s">
        <v>422</v>
      </c>
      <c r="C43" s="171"/>
      <c r="D43" s="171"/>
      <c r="E43" s="171"/>
      <c r="F43" s="158"/>
      <c r="G43" s="156"/>
      <c r="H43" s="157"/>
      <c r="I43" s="157"/>
      <c r="J43" s="172">
        <f>SUM(J44:J45)</f>
        <v>0</v>
      </c>
      <c r="K43" s="403">
        <f>SUM(K44:K45)</f>
        <v>0</v>
      </c>
    </row>
    <row r="44" spans="1:11" s="123" customFormat="1">
      <c r="A44" s="237" t="s">
        <v>378</v>
      </c>
      <c r="B44" s="466">
        <f>Custos!E49</f>
        <v>65001114</v>
      </c>
      <c r="C44" s="237" t="str">
        <f>Custos!G49</f>
        <v>set/2024</v>
      </c>
      <c r="D44" s="237" t="str">
        <f>Custos!D49</f>
        <v>COPASA</v>
      </c>
      <c r="E44" s="466" t="str">
        <f>Custos!B49</f>
        <v>Análise fisico-química da água</v>
      </c>
      <c r="F44" s="234">
        <f>Custos!J49</f>
        <v>371.18</v>
      </c>
      <c r="G44" s="237" t="str">
        <f>Custos!H49</f>
        <v>unidade</v>
      </c>
      <c r="H44" s="279">
        <f>Serviços!I18</f>
        <v>0</v>
      </c>
      <c r="I44" s="228">
        <f t="shared" ref="I44:I45" si="6">H44*F44</f>
        <v>0</v>
      </c>
      <c r="J44" s="228">
        <f>(I44*K!$G$24)</f>
        <v>0</v>
      </c>
      <c r="K44" s="240">
        <f>J44/$J$53</f>
        <v>0</v>
      </c>
    </row>
    <row r="45" spans="1:11" s="123" customFormat="1">
      <c r="A45" s="237" t="s">
        <v>383</v>
      </c>
      <c r="B45" s="466">
        <f>Custos!E50</f>
        <v>65001115</v>
      </c>
      <c r="C45" s="237" t="str">
        <f>Custos!G50</f>
        <v>set/2024</v>
      </c>
      <c r="D45" s="237" t="str">
        <f>Custos!D50</f>
        <v>COPASA</v>
      </c>
      <c r="E45" s="466" t="str">
        <f>Custos!B50</f>
        <v>Analise bactereologica da água</v>
      </c>
      <c r="F45" s="234">
        <f>Custos!J50</f>
        <v>120.28</v>
      </c>
      <c r="G45" s="237" t="str">
        <f>Custos!H50</f>
        <v>unidade</v>
      </c>
      <c r="H45" s="279">
        <f>Serviços!I19</f>
        <v>0</v>
      </c>
      <c r="I45" s="228">
        <f t="shared" si="6"/>
        <v>0</v>
      </c>
      <c r="J45" s="228">
        <f>(I45*K!$G$24)</f>
        <v>0</v>
      </c>
      <c r="K45" s="240">
        <f>J45/$J$53</f>
        <v>0</v>
      </c>
    </row>
    <row r="46" spans="1:11" s="122" customFormat="1" ht="18" customHeight="1">
      <c r="A46" s="393" t="s">
        <v>724</v>
      </c>
      <c r="B46" s="394" t="s">
        <v>725</v>
      </c>
      <c r="C46" s="394"/>
      <c r="D46" s="394"/>
      <c r="E46" s="182"/>
      <c r="F46" s="183"/>
      <c r="G46" s="181"/>
      <c r="H46" s="182"/>
      <c r="I46" s="182"/>
      <c r="J46" s="399">
        <f>J48</f>
        <v>0</v>
      </c>
      <c r="K46" s="388">
        <f>J46/$J$53</f>
        <v>0</v>
      </c>
    </row>
    <row r="47" spans="1:11" ht="5.0999999999999996" customHeight="1">
      <c r="A47" s="395"/>
      <c r="B47" s="168"/>
      <c r="C47" s="168"/>
      <c r="D47" s="395"/>
      <c r="E47" s="173"/>
      <c r="F47" s="165"/>
      <c r="G47" s="159"/>
      <c r="H47" s="166"/>
      <c r="I47" s="159"/>
      <c r="J47" s="159"/>
      <c r="K47" s="191"/>
    </row>
    <row r="48" spans="1:11" s="122" customFormat="1" ht="18" customHeight="1">
      <c r="A48" s="156" t="s">
        <v>72</v>
      </c>
      <c r="B48" s="157" t="s">
        <v>421</v>
      </c>
      <c r="C48" s="157"/>
      <c r="D48" s="157"/>
      <c r="E48" s="157"/>
      <c r="F48" s="158"/>
      <c r="G48" s="156"/>
      <c r="H48" s="157"/>
      <c r="I48" s="157"/>
      <c r="J48" s="177">
        <f>SUM(J49:J51)</f>
        <v>0</v>
      </c>
      <c r="K48" s="402">
        <f>SUM(K49:K51)</f>
        <v>0</v>
      </c>
    </row>
    <row r="49" spans="1:12" s="123" customFormat="1">
      <c r="A49" s="232" t="s">
        <v>378</v>
      </c>
      <c r="B49" s="237" t="str">
        <f>Custos!F52</f>
        <v>-</v>
      </c>
      <c r="C49" s="237" t="str">
        <f>Custos!G52</f>
        <v>out/2024</v>
      </c>
      <c r="D49" s="237" t="str">
        <f>Custos!D52</f>
        <v>Composição</v>
      </c>
      <c r="E49" s="233" t="str">
        <f>Custos!B52</f>
        <v>Veículo tipo pick-up 4X4</v>
      </c>
      <c r="F49" s="234">
        <f>Custos!J52</f>
        <v>2491.71</v>
      </c>
      <c r="G49" s="279" t="str">
        <f>'P1'!G49</f>
        <v>R$/dia</v>
      </c>
      <c r="H49" s="279">
        <v>0</v>
      </c>
      <c r="I49" s="228">
        <f t="shared" ref="I49:I51" si="7">H49*F49</f>
        <v>0</v>
      </c>
      <c r="J49" s="228">
        <f>ROUND((I49*K!$G$25),2)</f>
        <v>0</v>
      </c>
      <c r="K49" s="240">
        <f>J49/$J$53</f>
        <v>0</v>
      </c>
    </row>
    <row r="50" spans="1:12" s="123" customFormat="1" ht="16.149999999999999" customHeight="1">
      <c r="A50" s="232" t="s">
        <v>383</v>
      </c>
      <c r="B50" s="237" t="str">
        <f>Custos!F53</f>
        <v>-</v>
      </c>
      <c r="C50" s="237" t="str">
        <f>Custos!G53</f>
        <v>out/2024</v>
      </c>
      <c r="D50" s="238" t="str">
        <f>Custos!D53</f>
        <v>AGEVAP</v>
      </c>
      <c r="E50" s="233" t="str">
        <f>Custos!B53</f>
        <v>Refeições</v>
      </c>
      <c r="F50" s="234">
        <f>'P1'!F50</f>
        <v>25.61</v>
      </c>
      <c r="G50" s="279" t="str">
        <f>'P1'!G50</f>
        <v>unidade</v>
      </c>
      <c r="H50" s="279">
        <v>0</v>
      </c>
      <c r="I50" s="228">
        <f t="shared" si="7"/>
        <v>0</v>
      </c>
      <c r="J50" s="228">
        <f>ROUND((I50*K!$G$25),2)</f>
        <v>0</v>
      </c>
      <c r="K50" s="240">
        <f>J50/$J$53</f>
        <v>0</v>
      </c>
    </row>
    <row r="51" spans="1:12" s="123" customFormat="1" ht="16.149999999999999" customHeight="1">
      <c r="A51" s="232" t="s">
        <v>386</v>
      </c>
      <c r="B51" s="237" t="str">
        <f>Custos!F54</f>
        <v>-</v>
      </c>
      <c r="C51" s="237" t="str">
        <f>Custos!G54</f>
        <v>out/2024</v>
      </c>
      <c r="D51" s="238" t="str">
        <f>Custos!D54</f>
        <v>AGEVAP</v>
      </c>
      <c r="E51" s="233" t="str">
        <f>Custos!B54</f>
        <v>Diárias</v>
      </c>
      <c r="F51" s="234">
        <f>'P1'!F51</f>
        <v>335</v>
      </c>
      <c r="G51" s="279" t="str">
        <f>'P1'!G51</f>
        <v>unidade</v>
      </c>
      <c r="H51" s="279">
        <v>0</v>
      </c>
      <c r="I51" s="228">
        <f t="shared" si="7"/>
        <v>0</v>
      </c>
      <c r="J51" s="228">
        <f>ROUND((I51*K!$G$25),2)</f>
        <v>0</v>
      </c>
      <c r="K51" s="240">
        <f>J51/$J$53</f>
        <v>0</v>
      </c>
    </row>
    <row r="52" spans="1:12" ht="6" customHeight="1">
      <c r="A52" s="151"/>
      <c r="B52" s="160"/>
      <c r="C52" s="160"/>
      <c r="D52" s="160"/>
      <c r="E52" s="174"/>
      <c r="F52" s="175"/>
      <c r="G52" s="185"/>
      <c r="H52" s="163"/>
      <c r="I52" s="163"/>
      <c r="J52" s="176"/>
      <c r="K52" s="193"/>
    </row>
    <row r="53" spans="1:12" ht="18" customHeight="1">
      <c r="A53" s="746" t="s">
        <v>726</v>
      </c>
      <c r="B53" s="746"/>
      <c r="C53" s="746"/>
      <c r="D53" s="746"/>
      <c r="E53" s="746"/>
      <c r="F53" s="396"/>
      <c r="G53" s="397"/>
      <c r="H53" s="398"/>
      <c r="I53" s="396" t="s">
        <v>318</v>
      </c>
      <c r="J53" s="396">
        <f>ROUND((J7+J16+J26+J46),2)</f>
        <v>18670.57</v>
      </c>
      <c r="K53" s="401">
        <f>K7+K16+K26+K46</f>
        <v>0.99999986822148956</v>
      </c>
    </row>
    <row r="54" spans="1:12" ht="6" customHeight="1">
      <c r="A54" s="126"/>
      <c r="B54" s="80"/>
      <c r="C54" s="80"/>
      <c r="D54" s="127"/>
      <c r="E54" s="128"/>
      <c r="F54" s="133"/>
      <c r="G54" s="127"/>
      <c r="H54" s="125"/>
      <c r="I54" s="129"/>
      <c r="J54" s="121"/>
      <c r="K54" s="243"/>
    </row>
    <row r="55" spans="1:12" ht="20.100000000000001" customHeight="1">
      <c r="A55" s="152" t="s">
        <v>727</v>
      </c>
      <c r="B55" s="153"/>
      <c r="C55" s="153"/>
      <c r="D55" s="153"/>
      <c r="E55" s="153"/>
      <c r="F55" s="154"/>
      <c r="G55" s="186"/>
      <c r="H55" s="153"/>
      <c r="I55" s="153"/>
      <c r="J55" s="153"/>
      <c r="K55" s="154"/>
    </row>
    <row r="56" spans="1:12" ht="24" customHeight="1">
      <c r="A56" s="155" t="s">
        <v>728</v>
      </c>
      <c r="B56" s="747" t="s">
        <v>729</v>
      </c>
      <c r="C56" s="747"/>
      <c r="D56" s="747"/>
      <c r="E56" s="747"/>
      <c r="F56" s="747"/>
      <c r="G56" s="747"/>
      <c r="H56" s="747"/>
      <c r="I56" s="747"/>
      <c r="J56" s="747"/>
      <c r="K56" s="747"/>
    </row>
    <row r="57" spans="1:12" ht="13.15" customHeight="1">
      <c r="A57" s="155" t="s">
        <v>730</v>
      </c>
      <c r="B57" s="743" t="s">
        <v>731</v>
      </c>
      <c r="C57" s="743"/>
      <c r="D57" s="743"/>
      <c r="E57" s="743"/>
      <c r="F57" s="743"/>
      <c r="G57" s="743"/>
      <c r="H57" s="743"/>
      <c r="I57" s="743"/>
      <c r="J57" s="743"/>
      <c r="K57" s="743"/>
    </row>
    <row r="58" spans="1:12" ht="13.15" customHeight="1">
      <c r="A58" s="155" t="s">
        <v>732</v>
      </c>
      <c r="B58" s="743" t="s">
        <v>733</v>
      </c>
      <c r="C58" s="743"/>
      <c r="D58" s="743"/>
      <c r="E58" s="743"/>
      <c r="F58" s="743"/>
      <c r="G58" s="743"/>
      <c r="H58" s="743"/>
      <c r="I58" s="743"/>
      <c r="J58" s="743"/>
      <c r="K58" s="743"/>
    </row>
    <row r="59" spans="1:12" ht="13.15" customHeight="1">
      <c r="A59" s="155"/>
      <c r="B59" s="314"/>
      <c r="C59" s="314"/>
      <c r="D59" s="314"/>
      <c r="E59" s="314"/>
      <c r="F59" s="314"/>
      <c r="G59" s="314"/>
      <c r="H59" s="314"/>
      <c r="I59" s="314"/>
      <c r="J59" s="314"/>
      <c r="K59" s="314"/>
    </row>
    <row r="60" spans="1:12" ht="13.15" customHeight="1">
      <c r="A60" s="741" t="s">
        <v>734</v>
      </c>
      <c r="B60" s="741"/>
      <c r="C60" s="741"/>
      <c r="D60" s="741"/>
      <c r="E60" s="741"/>
      <c r="F60" s="741" t="s">
        <v>735</v>
      </c>
      <c r="G60" s="741"/>
      <c r="H60" s="741"/>
      <c r="I60" s="741"/>
      <c r="J60" s="314"/>
      <c r="K60" s="314"/>
    </row>
    <row r="61" spans="1:12" ht="13.15" customHeight="1">
      <c r="A61" s="742" t="s">
        <v>736</v>
      </c>
      <c r="B61" s="742"/>
      <c r="C61" s="742"/>
      <c r="D61" s="742"/>
      <c r="E61" s="742"/>
      <c r="F61" s="742" t="s">
        <v>737</v>
      </c>
      <c r="G61" s="742"/>
      <c r="H61" s="742"/>
      <c r="I61" s="742"/>
      <c r="J61" s="314"/>
      <c r="K61" s="314"/>
    </row>
    <row r="62" spans="1:12" ht="13.15" customHeight="1">
      <c r="A62" s="742" t="s">
        <v>738</v>
      </c>
      <c r="B62" s="742"/>
      <c r="C62" s="742"/>
      <c r="D62" s="742"/>
      <c r="E62" s="742"/>
      <c r="F62" s="742" t="s">
        <v>738</v>
      </c>
      <c r="G62" s="742"/>
      <c r="H62" s="742"/>
      <c r="I62" s="742"/>
      <c r="J62" s="314"/>
      <c r="K62" s="314"/>
    </row>
    <row r="63" spans="1:12">
      <c r="A63" s="551"/>
      <c r="B63" s="551"/>
      <c r="C63" s="551"/>
      <c r="D63" s="551"/>
      <c r="E63" s="131"/>
      <c r="G63" s="131"/>
      <c r="H63" s="131"/>
      <c r="L63"/>
    </row>
    <row r="64" spans="1:12" ht="15" customHeight="1">
      <c r="A64" s="741" t="s">
        <v>739</v>
      </c>
      <c r="B64" s="741"/>
      <c r="C64" s="741"/>
      <c r="D64" s="741"/>
      <c r="E64" s="741"/>
      <c r="F64" s="741"/>
      <c r="G64" s="741"/>
      <c r="H64" s="741"/>
      <c r="I64" s="741"/>
      <c r="J64" s="741"/>
      <c r="K64" s="741"/>
      <c r="L64"/>
    </row>
    <row r="65" spans="1:12" ht="15" customHeight="1">
      <c r="A65" s="742" t="s">
        <v>740</v>
      </c>
      <c r="B65" s="742"/>
      <c r="C65" s="742"/>
      <c r="D65" s="742"/>
      <c r="E65" s="742"/>
      <c r="F65" s="742"/>
      <c r="G65" s="742"/>
      <c r="H65" s="742"/>
      <c r="I65" s="742"/>
      <c r="J65" s="742"/>
      <c r="K65" s="742"/>
    </row>
    <row r="66" spans="1:12" ht="15" customHeight="1">
      <c r="A66" s="742" t="s">
        <v>738</v>
      </c>
      <c r="B66" s="742"/>
      <c r="C66" s="742"/>
      <c r="D66" s="742"/>
      <c r="E66" s="742"/>
      <c r="F66" s="742"/>
      <c r="G66" s="742"/>
      <c r="H66" s="742"/>
      <c r="I66" s="742"/>
      <c r="J66" s="742"/>
      <c r="K66" s="742"/>
      <c r="L66" s="122"/>
    </row>
  </sheetData>
  <mergeCells count="15">
    <mergeCell ref="F62:I62"/>
    <mergeCell ref="A62:E62"/>
    <mergeCell ref="A64:K64"/>
    <mergeCell ref="A65:K65"/>
    <mergeCell ref="A66:K66"/>
    <mergeCell ref="D1:K1"/>
    <mergeCell ref="F6:G6"/>
    <mergeCell ref="A53:E53"/>
    <mergeCell ref="B56:K56"/>
    <mergeCell ref="B57:K57"/>
    <mergeCell ref="B58:K58"/>
    <mergeCell ref="F60:I60"/>
    <mergeCell ref="F61:I61"/>
    <mergeCell ref="A60:E60"/>
    <mergeCell ref="A61:E61"/>
  </mergeCells>
  <pageMargins left="0.511811024" right="0.511811024" top="0.78740157499999996" bottom="0.78740157499999996" header="0.31496062000000002" footer="0.31496062000000002"/>
  <pageSetup paperSize="9" scale="62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8" tint="-0.249977111117893"/>
    <pageSetUpPr fitToPage="1"/>
  </sheetPr>
  <dimension ref="A1:M66"/>
  <sheetViews>
    <sheetView showGridLines="0" view="pageBreakPreview" zoomScaleNormal="100" zoomScaleSheetLayoutView="100" workbookViewId="0">
      <selection activeCell="A43" sqref="A43"/>
    </sheetView>
  </sheetViews>
  <sheetFormatPr defaultColWidth="9.140625" defaultRowHeight="15.75"/>
  <cols>
    <col min="1" max="1" width="5" style="81" customWidth="1"/>
    <col min="2" max="3" width="10" style="81" customWidth="1"/>
    <col min="4" max="4" width="13.85546875" style="81" customWidth="1"/>
    <col min="5" max="5" width="45.7109375" style="81" customWidth="1"/>
    <col min="6" max="6" width="9.85546875" style="131" customWidth="1"/>
    <col min="7" max="7" width="8.28515625" style="134" bestFit="1" customWidth="1"/>
    <col min="8" max="8" width="12.140625" style="81" customWidth="1"/>
    <col min="9" max="9" width="10.5703125" style="81" customWidth="1"/>
    <col min="10" max="10" width="13" style="81" customWidth="1"/>
    <col min="11" max="11" width="12.140625" style="131" customWidth="1"/>
    <col min="12" max="22" width="12.7109375" style="81" customWidth="1"/>
    <col min="23" max="16384" width="9.140625" style="81"/>
  </cols>
  <sheetData>
    <row r="1" spans="1:13" ht="35.25" customHeight="1">
      <c r="B1" s="130"/>
      <c r="C1" s="130"/>
      <c r="D1" s="744" t="str">
        <f>'P.7.2'!D1</f>
        <v xml:space="preserve">ORÇAMENTO PARA ELABORAÇÃO DE PROJETO DE SISTEMA DE ESGOTAMENTO SANITÁRIO </v>
      </c>
      <c r="E1" s="744"/>
      <c r="F1" s="744"/>
      <c r="G1" s="744"/>
      <c r="H1" s="744"/>
      <c r="I1" s="744"/>
      <c r="J1" s="744"/>
      <c r="K1" s="744"/>
    </row>
    <row r="2" spans="1:13" s="122" customFormat="1" ht="15" customHeight="1">
      <c r="A2" s="80" t="s">
        <v>749</v>
      </c>
      <c r="C2" s="83" t="str">
        <f>'Horas trabalhadas'!K8</f>
        <v>Projeto Executivo</v>
      </c>
      <c r="F2" s="132"/>
      <c r="G2" s="184"/>
      <c r="J2" s="119" t="s">
        <v>134</v>
      </c>
      <c r="K2" s="63">
        <f ca="1">'Dados Básicos do município'!H4</f>
        <v>46139</v>
      </c>
    </row>
    <row r="3" spans="1:13" s="122" customFormat="1" ht="15" customHeight="1">
      <c r="A3" s="80" t="s">
        <v>135</v>
      </c>
      <c r="C3" s="83" t="str">
        <f>'Dados Básicos do município'!B5</f>
        <v>CBH-SANTO ANTÔNIO</v>
      </c>
      <c r="F3" s="132"/>
      <c r="G3" s="184"/>
      <c r="K3" s="132"/>
    </row>
    <row r="4" spans="1:13" s="122" customFormat="1" ht="15" customHeight="1">
      <c r="A4" s="80" t="s">
        <v>136</v>
      </c>
      <c r="C4" s="83" t="str">
        <f>'Dados Básicos do município'!B6</f>
        <v>Açucena/MG</v>
      </c>
      <c r="F4" s="132"/>
      <c r="G4" s="184"/>
      <c r="J4" s="120"/>
      <c r="K4" s="119"/>
    </row>
    <row r="5" spans="1:13" ht="6" customHeight="1">
      <c r="A5" s="160"/>
      <c r="B5" s="160"/>
      <c r="C5" s="160"/>
      <c r="D5" s="160"/>
      <c r="E5" s="161"/>
      <c r="F5" s="162"/>
      <c r="G5" s="185"/>
      <c r="H5" s="164"/>
      <c r="I5" s="163"/>
      <c r="J5" s="163"/>
      <c r="K5" s="192"/>
    </row>
    <row r="6" spans="1:13" s="134" customFormat="1" ht="47.45" customHeight="1">
      <c r="A6" s="380" t="s">
        <v>713</v>
      </c>
      <c r="B6" s="380" t="s">
        <v>10</v>
      </c>
      <c r="C6" s="380" t="s">
        <v>714</v>
      </c>
      <c r="D6" s="380" t="s">
        <v>715</v>
      </c>
      <c r="E6" s="381" t="s">
        <v>716</v>
      </c>
      <c r="F6" s="745" t="s">
        <v>717</v>
      </c>
      <c r="G6" s="745"/>
      <c r="H6" s="382" t="s">
        <v>718</v>
      </c>
      <c r="I6" s="383" t="s">
        <v>719</v>
      </c>
      <c r="J6" s="383" t="s">
        <v>720</v>
      </c>
      <c r="K6" s="383" t="s">
        <v>721</v>
      </c>
    </row>
    <row r="7" spans="1:13" s="122" customFormat="1" ht="18" customHeight="1">
      <c r="A7" s="384">
        <v>1</v>
      </c>
      <c r="B7" s="385" t="s">
        <v>722</v>
      </c>
      <c r="C7" s="385"/>
      <c r="D7" s="385"/>
      <c r="E7" s="385"/>
      <c r="F7" s="386"/>
      <c r="G7" s="384"/>
      <c r="H7" s="385"/>
      <c r="I7" s="385"/>
      <c r="J7" s="387">
        <f>J9</f>
        <v>27196.6238825408</v>
      </c>
      <c r="K7" s="388">
        <f>J7/$J$53</f>
        <v>0.29679854178024406</v>
      </c>
    </row>
    <row r="8" spans="1:13" ht="6" customHeight="1">
      <c r="A8" s="160"/>
      <c r="B8" s="160"/>
      <c r="C8" s="160"/>
      <c r="D8" s="160"/>
      <c r="E8" s="161"/>
      <c r="F8" s="162"/>
      <c r="G8" s="185"/>
      <c r="H8" s="164"/>
      <c r="I8" s="163"/>
      <c r="J8" s="163"/>
      <c r="K8" s="192"/>
    </row>
    <row r="9" spans="1:13" s="122" customFormat="1" ht="18" customHeight="1">
      <c r="A9" s="178" t="s">
        <v>29</v>
      </c>
      <c r="B9" s="179" t="s">
        <v>376</v>
      </c>
      <c r="C9" s="179"/>
      <c r="D9" s="179"/>
      <c r="E9" s="179"/>
      <c r="F9" s="180"/>
      <c r="G9" s="178"/>
      <c r="H9" s="179"/>
      <c r="I9" s="179"/>
      <c r="J9" s="400">
        <f>SUM(J10:J14)</f>
        <v>27196.6238825408</v>
      </c>
      <c r="K9" s="404">
        <f>SUM(K10:K14)</f>
        <v>0.29679854178024406</v>
      </c>
    </row>
    <row r="10" spans="1:13" s="123" customFormat="1" ht="16.149999999999999" customHeight="1">
      <c r="A10" s="232" t="s">
        <v>378</v>
      </c>
      <c r="B10" s="225" t="str">
        <f>'P1'!B10</f>
        <v>P8061</v>
      </c>
      <c r="C10" s="225" t="str">
        <f>Custos!G13</f>
        <v>abr/2024</v>
      </c>
      <c r="D10" s="226" t="str">
        <f>Custos!$D$13</f>
        <v>DNIT</v>
      </c>
      <c r="E10" s="227" t="str">
        <f>Custos!B13</f>
        <v>Engenheiro Coordenador</v>
      </c>
      <c r="F10" s="228">
        <f>Custos!J13</f>
        <v>123.19</v>
      </c>
      <c r="G10" s="226" t="s">
        <v>382</v>
      </c>
      <c r="H10" s="422">
        <f>'Horas trabalhadas'!K9</f>
        <v>25.541391769822685</v>
      </c>
      <c r="I10" s="228">
        <f>H10*F10</f>
        <v>3146.4440521244564</v>
      </c>
      <c r="J10" s="228">
        <f>(I10*K!$G$23)</f>
        <v>5478.9077613903537</v>
      </c>
      <c r="K10" s="240">
        <f>J10/$J$53</f>
        <v>5.9791680068533547E-2</v>
      </c>
      <c r="M10" s="124"/>
    </row>
    <row r="11" spans="1:13" s="123" customFormat="1" ht="16.149999999999999" customHeight="1">
      <c r="A11" s="232" t="s">
        <v>383</v>
      </c>
      <c r="B11" s="225" t="str">
        <f>'P1'!B11</f>
        <v>P8066</v>
      </c>
      <c r="C11" s="229" t="str">
        <f>Custos!G14</f>
        <v>abr/2024</v>
      </c>
      <c r="D11" s="230" t="str">
        <f>Custos!D14</f>
        <v>DNIT</v>
      </c>
      <c r="E11" s="227" t="str">
        <f>Custos!B14</f>
        <v>Engenheiro de Projetos Pleno</v>
      </c>
      <c r="F11" s="231">
        <f>Custos!J14</f>
        <v>85.36</v>
      </c>
      <c r="G11" s="230" t="s">
        <v>382</v>
      </c>
      <c r="H11" s="422">
        <f>'Horas trabalhadas'!K10</f>
        <v>25.541391769822685</v>
      </c>
      <c r="I11" s="228">
        <f t="shared" ref="I11:I14" si="0">H11*F11</f>
        <v>2180.2132014720642</v>
      </c>
      <c r="J11" s="228">
        <f>(I11*K!$G$23)</f>
        <v>3796.4085275775678</v>
      </c>
      <c r="K11" s="240">
        <f>J11/$J$53</f>
        <v>4.1430455480558681E-2</v>
      </c>
      <c r="M11" s="124"/>
    </row>
    <row r="12" spans="1:13" s="123" customFormat="1" ht="16.149999999999999" customHeight="1">
      <c r="A12" s="232" t="s">
        <v>386</v>
      </c>
      <c r="B12" s="225" t="str">
        <f>'P1'!B12</f>
        <v>P8065</v>
      </c>
      <c r="C12" s="229" t="str">
        <f>Custos!G15</f>
        <v>abr/2024</v>
      </c>
      <c r="D12" s="230" t="str">
        <f>Custos!D15</f>
        <v>DNIT</v>
      </c>
      <c r="E12" s="227" t="str">
        <f>Custos!B15</f>
        <v>Engenheiro de Projetos Júnior</v>
      </c>
      <c r="F12" s="231">
        <f>Custos!J15</f>
        <v>82.75</v>
      </c>
      <c r="G12" s="230" t="s">
        <v>382</v>
      </c>
      <c r="H12" s="422">
        <f>'Horas trabalhadas'!K11</f>
        <v>25.541391769822685</v>
      </c>
      <c r="I12" s="228">
        <f t="shared" si="0"/>
        <v>2113.5501689528273</v>
      </c>
      <c r="J12" s="228">
        <f>(I12*K!$G$23)</f>
        <v>3680.3280887657425</v>
      </c>
      <c r="K12" s="240">
        <f>J12/$J$53</f>
        <v>4.0163662031586583E-2</v>
      </c>
      <c r="M12" s="124"/>
    </row>
    <row r="13" spans="1:13" s="123" customFormat="1" ht="16.149999999999999" customHeight="1">
      <c r="A13" s="232" t="s">
        <v>389</v>
      </c>
      <c r="B13" s="225" t="str">
        <f>'P1'!B13</f>
        <v>P8155</v>
      </c>
      <c r="C13" s="229" t="str">
        <f>Custos!G16</f>
        <v>abr/2024</v>
      </c>
      <c r="D13" s="230" t="str">
        <f>Custos!D16</f>
        <v>DNIT</v>
      </c>
      <c r="E13" s="227" t="str">
        <f>Custos!B16</f>
        <v>Técnico cadista</v>
      </c>
      <c r="F13" s="231">
        <f>Custos!J16</f>
        <v>19.32</v>
      </c>
      <c r="G13" s="230" t="s">
        <v>382</v>
      </c>
      <c r="H13" s="422">
        <f>'Horas trabalhadas'!K12</f>
        <v>255.41391769822684</v>
      </c>
      <c r="I13" s="228">
        <f t="shared" si="0"/>
        <v>4934.5968899297422</v>
      </c>
      <c r="J13" s="228">
        <f>(I13*K!$G$23)</f>
        <v>8592.6209879098642</v>
      </c>
      <c r="K13" s="240">
        <f>J13/$J$53</f>
        <v>9.3771836912417236E-2</v>
      </c>
      <c r="M13" s="124"/>
    </row>
    <row r="14" spans="1:13" s="123" customFormat="1" ht="16.149999999999999" customHeight="1">
      <c r="A14" s="232" t="s">
        <v>392</v>
      </c>
      <c r="B14" s="225" t="str">
        <f>'P1'!B14</f>
        <v>P8026</v>
      </c>
      <c r="C14" s="229" t="str">
        <f>Custos!G17</f>
        <v>abr/2024</v>
      </c>
      <c r="D14" s="230" t="str">
        <f>Custos!D17</f>
        <v>DNIT</v>
      </c>
      <c r="E14" s="227" t="str">
        <f>Custos!B17</f>
        <v>Auxiliar Administrativo</v>
      </c>
      <c r="F14" s="231">
        <f>Custos!J17</f>
        <v>12.7</v>
      </c>
      <c r="G14" s="230" t="s">
        <v>382</v>
      </c>
      <c r="H14" s="422">
        <f>'Horas trabalhadas'!K13</f>
        <v>255.41391769822684</v>
      </c>
      <c r="I14" s="228">
        <f t="shared" si="0"/>
        <v>3243.7567547674807</v>
      </c>
      <c r="J14" s="228">
        <f>(I14*K!$G$23)</f>
        <v>5648.3585168972713</v>
      </c>
      <c r="K14" s="240">
        <f>J14/$J$53</f>
        <v>6.1640907287147981E-2</v>
      </c>
      <c r="M14" s="124"/>
    </row>
    <row r="15" spans="1:13" ht="6" customHeight="1">
      <c r="A15" s="160"/>
      <c r="B15" s="160"/>
      <c r="C15" s="160"/>
      <c r="D15" s="160"/>
      <c r="E15" s="161"/>
      <c r="F15" s="162"/>
      <c r="G15" s="185"/>
      <c r="H15" s="164"/>
      <c r="I15" s="163"/>
      <c r="J15" s="163"/>
      <c r="K15" s="192"/>
    </row>
    <row r="16" spans="1:13" s="122" customFormat="1" ht="18" customHeight="1">
      <c r="A16" s="384">
        <v>2</v>
      </c>
      <c r="B16" s="385" t="s">
        <v>396</v>
      </c>
      <c r="C16" s="385"/>
      <c r="D16" s="385"/>
      <c r="E16" s="385"/>
      <c r="F16" s="386"/>
      <c r="G16" s="384"/>
      <c r="H16" s="385"/>
      <c r="I16" s="385"/>
      <c r="J16" s="387">
        <f>J18</f>
        <v>64436.651861819715</v>
      </c>
      <c r="K16" s="388">
        <f>J16/$J$53</f>
        <v>0.70320141177768292</v>
      </c>
    </row>
    <row r="17" spans="1:13" ht="5.0999999999999996" customHeight="1">
      <c r="A17" s="167"/>
      <c r="B17" s="168"/>
      <c r="C17" s="168"/>
      <c r="D17" s="169"/>
      <c r="E17" s="170"/>
      <c r="F17" s="165"/>
      <c r="G17" s="159"/>
      <c r="H17" s="166"/>
      <c r="I17" s="159"/>
      <c r="J17" s="159"/>
      <c r="K17" s="191"/>
    </row>
    <row r="18" spans="1:13" s="122" customFormat="1" ht="18" customHeight="1">
      <c r="A18" s="389" t="s">
        <v>47</v>
      </c>
      <c r="B18" s="390" t="s">
        <v>396</v>
      </c>
      <c r="C18" s="390"/>
      <c r="D18" s="390"/>
      <c r="E18" s="390"/>
      <c r="F18" s="391"/>
      <c r="G18" s="389"/>
      <c r="H18" s="390"/>
      <c r="I18" s="391"/>
      <c r="J18" s="392">
        <f>SUM(J19:J24)</f>
        <v>64436.651861819715</v>
      </c>
      <c r="K18" s="405">
        <f>SUM(K19:K24)</f>
        <v>0.70320141177768292</v>
      </c>
    </row>
    <row r="19" spans="1:13" s="123" customFormat="1" ht="16.149999999999999" customHeight="1">
      <c r="A19" s="232" t="s">
        <v>378</v>
      </c>
      <c r="B19" s="225" t="str">
        <f>'P1'!B19</f>
        <v>P8003</v>
      </c>
      <c r="C19" s="225" t="str">
        <f>Custos!G22</f>
        <v>abr/2024</v>
      </c>
      <c r="D19" s="230" t="str">
        <f>Custos!D22</f>
        <v>DNIT</v>
      </c>
      <c r="E19" s="227" t="str">
        <f>Custos!B22</f>
        <v>Advogado sênior</v>
      </c>
      <c r="F19" s="228">
        <f>Custos!J22</f>
        <v>76.88</v>
      </c>
      <c r="G19" s="226" t="s">
        <v>382</v>
      </c>
      <c r="H19" s="422">
        <f>'Horas trabalhadas'!K14</f>
        <v>0</v>
      </c>
      <c r="I19" s="228">
        <f t="shared" ref="I19:I24" si="1">H19*F19</f>
        <v>0</v>
      </c>
      <c r="J19" s="228">
        <f>(I19*K!$G$23)</f>
        <v>0</v>
      </c>
      <c r="K19" s="239">
        <f t="shared" ref="K19:K24" si="2">J19/$J$53</f>
        <v>0</v>
      </c>
    </row>
    <row r="20" spans="1:13" s="123" customFormat="1" ht="16.149999999999999" customHeight="1">
      <c r="A20" s="232" t="s">
        <v>383</v>
      </c>
      <c r="B20" s="225" t="str">
        <f>'P1'!B20</f>
        <v>P8067</v>
      </c>
      <c r="C20" s="225" t="str">
        <f>Custos!G23</f>
        <v>abr/2024</v>
      </c>
      <c r="D20" s="230" t="str">
        <f>Custos!D23</f>
        <v>DNIT</v>
      </c>
      <c r="E20" s="227" t="str">
        <f>Custos!B23</f>
        <v>Engenheiro de Projetos (Elétrico)</v>
      </c>
      <c r="F20" s="228">
        <f>Custos!J23</f>
        <v>107.32</v>
      </c>
      <c r="G20" s="226" t="s">
        <v>382</v>
      </c>
      <c r="H20" s="422">
        <f>'Horas trabalhadas'!K15</f>
        <v>114.93626296420207</v>
      </c>
      <c r="I20" s="228">
        <f t="shared" si="1"/>
        <v>12334.959741318165</v>
      </c>
      <c r="J20" s="228">
        <f>(I20*K!$G$23)</f>
        <v>21478.883953939905</v>
      </c>
      <c r="K20" s="239">
        <f t="shared" si="2"/>
        <v>0.23440047059256097</v>
      </c>
    </row>
    <row r="21" spans="1:13" s="123" customFormat="1" ht="16.149999999999999" customHeight="1">
      <c r="A21" s="232" t="s">
        <v>386</v>
      </c>
      <c r="B21" s="225" t="str">
        <f>'P1'!B21</f>
        <v>P8067</v>
      </c>
      <c r="C21" s="225" t="str">
        <f>Custos!G24</f>
        <v>abr/2024</v>
      </c>
      <c r="D21" s="230" t="str">
        <f>Custos!D24</f>
        <v>DNIT</v>
      </c>
      <c r="E21" s="227" t="str">
        <f>Custos!B24</f>
        <v>Engenheiro de Projeto (Calculista)</v>
      </c>
      <c r="F21" s="228">
        <f>Custos!J24</f>
        <v>107.32</v>
      </c>
      <c r="G21" s="226" t="s">
        <v>382</v>
      </c>
      <c r="H21" s="422">
        <f>'Horas trabalhadas'!K16</f>
        <v>114.93626296420207</v>
      </c>
      <c r="I21" s="228">
        <f t="shared" si="1"/>
        <v>12334.959741318165</v>
      </c>
      <c r="J21" s="228">
        <f>(I21*K!$G$23)</f>
        <v>21478.883953939905</v>
      </c>
      <c r="K21" s="239">
        <f t="shared" si="2"/>
        <v>0.23440047059256097</v>
      </c>
    </row>
    <row r="22" spans="1:13" s="123" customFormat="1" ht="16.149999999999999" customHeight="1">
      <c r="A22" s="232" t="s">
        <v>389</v>
      </c>
      <c r="B22" s="225" t="str">
        <f>'P1'!B22</f>
        <v>P8067</v>
      </c>
      <c r="C22" s="225" t="str">
        <f>Custos!G25</f>
        <v>abr/2024</v>
      </c>
      <c r="D22" s="230" t="str">
        <f>Custos!D25</f>
        <v>DNIT</v>
      </c>
      <c r="E22" s="227" t="str">
        <f>Custos!B25</f>
        <v>Engenheiro de Projetos (Mecânico)</v>
      </c>
      <c r="F22" s="228">
        <f>Custos!J25</f>
        <v>107.32</v>
      </c>
      <c r="G22" s="226" t="s">
        <v>382</v>
      </c>
      <c r="H22" s="422">
        <f>'Horas trabalhadas'!K17</f>
        <v>114.93626296420207</v>
      </c>
      <c r="I22" s="228">
        <f t="shared" si="1"/>
        <v>12334.959741318165</v>
      </c>
      <c r="J22" s="228">
        <f>(I22*K!$G$23)</f>
        <v>21478.883953939905</v>
      </c>
      <c r="K22" s="239">
        <f t="shared" si="2"/>
        <v>0.23440047059256097</v>
      </c>
    </row>
    <row r="23" spans="1:13" s="123" customFormat="1" ht="16.149999999999999" customHeight="1">
      <c r="A23" s="232" t="s">
        <v>392</v>
      </c>
      <c r="B23" s="225" t="str">
        <f>'P1'!B23</f>
        <v>P8059</v>
      </c>
      <c r="C23" s="225" t="str">
        <f>Custos!G26</f>
        <v>abr/2024</v>
      </c>
      <c r="D23" s="230" t="str">
        <f>Custos!D26</f>
        <v>DNIT</v>
      </c>
      <c r="E23" s="227" t="str">
        <f>Custos!B26</f>
        <v>Engenheiro ambiental</v>
      </c>
      <c r="F23" s="228">
        <f>Custos!J26</f>
        <v>100.92</v>
      </c>
      <c r="G23" s="226" t="s">
        <v>382</v>
      </c>
      <c r="H23" s="422">
        <f>'Horas trabalhadas'!K18</f>
        <v>0</v>
      </c>
      <c r="I23" s="228">
        <f t="shared" si="1"/>
        <v>0</v>
      </c>
      <c r="J23" s="228">
        <f>(I23*K!$G$23)</f>
        <v>0</v>
      </c>
      <c r="K23" s="239">
        <f t="shared" si="2"/>
        <v>0</v>
      </c>
    </row>
    <row r="24" spans="1:13" s="123" customFormat="1" ht="16.149999999999999" customHeight="1">
      <c r="A24" s="232" t="s">
        <v>405</v>
      </c>
      <c r="B24" s="225" t="str">
        <f>'P1'!B24</f>
        <v>P8155</v>
      </c>
      <c r="C24" s="225" t="str">
        <f>Custos!G27</f>
        <v>abr/2024</v>
      </c>
      <c r="D24" s="230" t="str">
        <f>Custos!D27</f>
        <v>DNIT</v>
      </c>
      <c r="E24" s="227" t="str">
        <f>Custos!B27</f>
        <v>Técnico em geoprocessamento</v>
      </c>
      <c r="F24" s="228">
        <f>Custos!J27</f>
        <v>14.35</v>
      </c>
      <c r="G24" s="226" t="s">
        <v>382</v>
      </c>
      <c r="H24" s="422">
        <f>'Horas trabalhadas'!K19</f>
        <v>0</v>
      </c>
      <c r="I24" s="228">
        <f t="shared" si="1"/>
        <v>0</v>
      </c>
      <c r="J24" s="228">
        <f>(I24*K!$G$23)</f>
        <v>0</v>
      </c>
      <c r="K24" s="239">
        <f t="shared" si="2"/>
        <v>0</v>
      </c>
      <c r="M24" s="124"/>
    </row>
    <row r="25" spans="1:13" ht="6" customHeight="1">
      <c r="A25" s="160"/>
      <c r="B25" s="160"/>
      <c r="C25" s="160"/>
      <c r="D25" s="160"/>
      <c r="E25" s="161"/>
      <c r="F25" s="162"/>
      <c r="G25" s="185"/>
      <c r="H25" s="164"/>
      <c r="I25" s="163"/>
      <c r="J25" s="163"/>
      <c r="K25" s="192"/>
    </row>
    <row r="26" spans="1:13" s="122" customFormat="1" ht="18" customHeight="1">
      <c r="A26" s="393">
        <v>3</v>
      </c>
      <c r="B26" s="394" t="s">
        <v>129</v>
      </c>
      <c r="C26" s="394"/>
      <c r="D26" s="394"/>
      <c r="E26" s="182"/>
      <c r="F26" s="183"/>
      <c r="G26" s="181"/>
      <c r="H26" s="182"/>
      <c r="I26" s="182"/>
      <c r="J26" s="399">
        <f>J28+J33+J39+J43</f>
        <v>0</v>
      </c>
      <c r="K26" s="388">
        <f>J26/$J$53</f>
        <v>0</v>
      </c>
    </row>
    <row r="27" spans="1:13" ht="5.0999999999999996" customHeight="1">
      <c r="A27" s="167"/>
      <c r="B27" s="168"/>
      <c r="C27" s="168"/>
      <c r="D27" s="169"/>
      <c r="E27" s="170"/>
      <c r="F27" s="165"/>
      <c r="G27" s="159"/>
      <c r="H27" s="166"/>
      <c r="I27" s="159"/>
      <c r="J27" s="159"/>
      <c r="K27" s="191"/>
    </row>
    <row r="28" spans="1:13" s="122" customFormat="1" ht="18" customHeight="1">
      <c r="A28" s="178" t="s">
        <v>59</v>
      </c>
      <c r="B28" s="179" t="s">
        <v>416</v>
      </c>
      <c r="C28" s="179"/>
      <c r="D28" s="179"/>
      <c r="E28" s="179"/>
      <c r="F28" s="180"/>
      <c r="G28" s="178"/>
      <c r="H28" s="179"/>
      <c r="I28" s="179"/>
      <c r="J28" s="400">
        <f>SUM(J29:J31)</f>
        <v>0</v>
      </c>
      <c r="K28" s="404">
        <f>SUM(K29:K31)</f>
        <v>0</v>
      </c>
    </row>
    <row r="29" spans="1:13" s="123" customFormat="1">
      <c r="A29" s="232" t="s">
        <v>378</v>
      </c>
      <c r="B29" s="232">
        <f>'P1'!B29</f>
        <v>65003710</v>
      </c>
      <c r="C29" s="232" t="str">
        <f>Custos!G38</f>
        <v>set/2024</v>
      </c>
      <c r="D29" s="237" t="str">
        <f>Custos!D38</f>
        <v>COPASA</v>
      </c>
      <c r="E29" s="415" t="str">
        <f>Custos!B38</f>
        <v>Mobilização e desmobilização de equipe de topografia</v>
      </c>
      <c r="F29" s="234">
        <f>Custos!J38</f>
        <v>4.62</v>
      </c>
      <c r="G29" s="279" t="str">
        <f>Custos!H38</f>
        <v>km</v>
      </c>
      <c r="H29" s="279">
        <v>0</v>
      </c>
      <c r="I29" s="228">
        <f t="shared" ref="I29:I31" si="3">H29*F29</f>
        <v>0</v>
      </c>
      <c r="J29" s="228">
        <f>(I29*K!$G$24)</f>
        <v>0</v>
      </c>
      <c r="K29" s="240">
        <f>J29/$J$53</f>
        <v>0</v>
      </c>
    </row>
    <row r="30" spans="1:13" s="123" customFormat="1">
      <c r="A30" s="232" t="s">
        <v>383</v>
      </c>
      <c r="B30" s="232">
        <f>'P1'!B30</f>
        <v>65001667</v>
      </c>
      <c r="C30" s="232" t="str">
        <f>Custos!G39</f>
        <v>set/2024</v>
      </c>
      <c r="D30" s="237" t="str">
        <f>Custos!D39</f>
        <v>COPASA</v>
      </c>
      <c r="E30" s="415" t="str">
        <f>Custos!B39</f>
        <v>Equipe de topografia de campo</v>
      </c>
      <c r="F30" s="234">
        <f>Custos!J39</f>
        <v>50814.45</v>
      </c>
      <c r="G30" s="279" t="str">
        <f>Custos!H39</f>
        <v>mês</v>
      </c>
      <c r="H30" s="279">
        <v>0</v>
      </c>
      <c r="I30" s="228">
        <f t="shared" si="3"/>
        <v>0</v>
      </c>
      <c r="J30" s="228">
        <f>(I30*K!$G$24)</f>
        <v>0</v>
      </c>
      <c r="K30" s="240">
        <f>J30/$J$53</f>
        <v>0</v>
      </c>
    </row>
    <row r="31" spans="1:13" s="123" customFormat="1">
      <c r="A31" s="232" t="s">
        <v>386</v>
      </c>
      <c r="B31" s="232">
        <f>'P1'!B31</f>
        <v>65001668</v>
      </c>
      <c r="C31" s="232" t="str">
        <f>Custos!G40</f>
        <v>set/2024</v>
      </c>
      <c r="D31" s="237" t="str">
        <f>Custos!D40</f>
        <v>COPASA</v>
      </c>
      <c r="E31" s="415" t="str">
        <f>Custos!B40</f>
        <v>Equipe de topografia de escritório</v>
      </c>
      <c r="F31" s="234">
        <f>Custos!J40</f>
        <v>26804.01</v>
      </c>
      <c r="G31" s="279" t="str">
        <f>Custos!H40</f>
        <v>mês</v>
      </c>
      <c r="H31" s="279">
        <v>0</v>
      </c>
      <c r="I31" s="228">
        <f t="shared" si="3"/>
        <v>0</v>
      </c>
      <c r="J31" s="228">
        <f>(I31*K!$G$24)</f>
        <v>0</v>
      </c>
      <c r="K31" s="240">
        <f>J31/$J$53</f>
        <v>0</v>
      </c>
    </row>
    <row r="32" spans="1:13" ht="10.5" customHeight="1">
      <c r="A32" s="167"/>
      <c r="B32" s="168"/>
      <c r="C32" s="168"/>
      <c r="D32" s="169"/>
      <c r="E32" s="170"/>
      <c r="F32" s="165"/>
      <c r="G32" s="279"/>
      <c r="H32" s="166"/>
      <c r="I32" s="159"/>
      <c r="J32" s="159"/>
      <c r="K32" s="191"/>
    </row>
    <row r="33" spans="1:11" s="122" customFormat="1" ht="18" customHeight="1">
      <c r="A33" s="156" t="s">
        <v>60</v>
      </c>
      <c r="B33" s="171" t="s">
        <v>708</v>
      </c>
      <c r="C33" s="171"/>
      <c r="D33" s="171"/>
      <c r="E33" s="171"/>
      <c r="F33" s="158"/>
      <c r="G33" s="156"/>
      <c r="H33" s="157"/>
      <c r="I33" s="157"/>
      <c r="J33" s="172">
        <f>SUM(J35:J36)</f>
        <v>0</v>
      </c>
      <c r="K33" s="403">
        <f>SUM(K35:K36)</f>
        <v>0</v>
      </c>
    </row>
    <row r="34" spans="1:11" s="123" customFormat="1">
      <c r="A34" s="232" t="s">
        <v>378</v>
      </c>
      <c r="B34" s="232">
        <f>'P1'!B34</f>
        <v>65001207</v>
      </c>
      <c r="C34" s="232" t="str">
        <f>Custos!G32</f>
        <v>set/2024</v>
      </c>
      <c r="D34" s="237" t="str">
        <f>Custos!D32</f>
        <v>COPASA</v>
      </c>
      <c r="E34" s="415" t="str">
        <f>Custos!B32</f>
        <v>Sondagem a percussao - mobilizacao e desmobilizacao</v>
      </c>
      <c r="F34" s="234">
        <f>Custos!J32</f>
        <v>1316.83</v>
      </c>
      <c r="G34" s="279" t="str">
        <f>Custos!H32</f>
        <v>unidade</v>
      </c>
      <c r="H34" s="279">
        <v>0</v>
      </c>
      <c r="I34" s="228">
        <f t="shared" ref="I34:I37" si="4">H34*F34</f>
        <v>0</v>
      </c>
      <c r="J34" s="228">
        <f>(I34*K!$G$24)</f>
        <v>0</v>
      </c>
      <c r="K34" s="240">
        <f>J34/$J$53</f>
        <v>0</v>
      </c>
    </row>
    <row r="35" spans="1:11" s="123" customFormat="1" ht="26.45" customHeight="1">
      <c r="A35" s="232" t="s">
        <v>383</v>
      </c>
      <c r="B35" s="232">
        <f>'P1'!B35</f>
        <v>65001208</v>
      </c>
      <c r="C35" s="237" t="str">
        <f>Custos!G33</f>
        <v>set/2024</v>
      </c>
      <c r="D35" s="279" t="str">
        <f>Custos!D33</f>
        <v>COPASA</v>
      </c>
      <c r="E35" s="465" t="str">
        <f>Custos!B33</f>
        <v>Sondagem a percussao - adicional de mobilizacao e desmobilizacao</v>
      </c>
      <c r="F35" s="234">
        <f>Custos!J33</f>
        <v>9.32</v>
      </c>
      <c r="G35" s="416" t="str">
        <f>Custos!H33</f>
        <v>km</v>
      </c>
      <c r="H35" s="279">
        <v>0</v>
      </c>
      <c r="I35" s="228">
        <f t="shared" si="4"/>
        <v>0</v>
      </c>
      <c r="J35" s="228">
        <f>(I35*K!$G$24)</f>
        <v>0</v>
      </c>
      <c r="K35" s="239">
        <f>J35/$J$53</f>
        <v>0</v>
      </c>
    </row>
    <row r="36" spans="1:11" s="123" customFormat="1">
      <c r="A36" s="232" t="s">
        <v>386</v>
      </c>
      <c r="B36" s="232">
        <f>'P1'!B36</f>
        <v>65001209</v>
      </c>
      <c r="C36" s="232" t="str">
        <f>Custos!G34</f>
        <v>set/2024</v>
      </c>
      <c r="D36" s="237" t="str">
        <f>Custos!D34</f>
        <v>COPASA</v>
      </c>
      <c r="E36" s="415" t="str">
        <f>Custos!B34</f>
        <v>Sondagem a percussao - instalacao por furo</v>
      </c>
      <c r="F36" s="234">
        <f>Custos!J34</f>
        <v>482.46</v>
      </c>
      <c r="G36" s="279" t="str">
        <f>Custos!H34</f>
        <v>unidade</v>
      </c>
      <c r="H36" s="279">
        <v>0</v>
      </c>
      <c r="I36" s="228">
        <f t="shared" si="4"/>
        <v>0</v>
      </c>
      <c r="J36" s="228">
        <f>(I36*K!$G$24)</f>
        <v>0</v>
      </c>
      <c r="K36" s="240">
        <f>J36/$J$53</f>
        <v>0</v>
      </c>
    </row>
    <row r="37" spans="1:11" s="123" customFormat="1" ht="26.45" customHeight="1">
      <c r="A37" s="232" t="s">
        <v>389</v>
      </c>
      <c r="B37" s="232">
        <f>'P1'!B37</f>
        <v>65001210</v>
      </c>
      <c r="C37" s="237" t="str">
        <f>Custos!G35</f>
        <v>set/2024</v>
      </c>
      <c r="D37" s="279" t="str">
        <f>Custos!D35</f>
        <v>COPASA</v>
      </c>
      <c r="E37" s="465" t="str">
        <f>Custos!B35</f>
        <v>Sondagem a percussao ø2.1/2" - perfuracao e retirada de amostras</v>
      </c>
      <c r="F37" s="234">
        <f>Custos!J35</f>
        <v>145.19999999999999</v>
      </c>
      <c r="G37" s="416" t="str">
        <f>Custos!H35</f>
        <v>m</v>
      </c>
      <c r="H37" s="279">
        <v>0</v>
      </c>
      <c r="I37" s="228">
        <f t="shared" si="4"/>
        <v>0</v>
      </c>
      <c r="J37" s="228">
        <f>(I37*K!$G$24)</f>
        <v>0</v>
      </c>
      <c r="K37" s="240">
        <f>J37/$J$53</f>
        <v>0</v>
      </c>
    </row>
    <row r="38" spans="1:11" ht="6" customHeight="1">
      <c r="A38" s="160"/>
      <c r="B38" s="160"/>
      <c r="C38" s="160"/>
      <c r="D38" s="160"/>
      <c r="E38" s="161"/>
      <c r="F38" s="162"/>
      <c r="G38" s="185"/>
      <c r="H38" s="235"/>
      <c r="I38" s="163"/>
      <c r="J38" s="163"/>
      <c r="K38" s="192"/>
    </row>
    <row r="39" spans="1:11" s="122" customFormat="1" ht="18" customHeight="1">
      <c r="A39" s="156" t="s">
        <v>61</v>
      </c>
      <c r="B39" s="171" t="s">
        <v>420</v>
      </c>
      <c r="C39" s="171"/>
      <c r="D39" s="171"/>
      <c r="E39" s="171"/>
      <c r="F39" s="158"/>
      <c r="G39" s="156"/>
      <c r="H39" s="157"/>
      <c r="I39" s="157"/>
      <c r="J39" s="172">
        <f>SUM(J40:J41)</f>
        <v>0</v>
      </c>
      <c r="K39" s="403">
        <f>SUM(K40:K41)</f>
        <v>0</v>
      </c>
    </row>
    <row r="40" spans="1:11" s="123" customFormat="1">
      <c r="A40" s="232" t="s">
        <v>378</v>
      </c>
      <c r="B40" s="232">
        <f>'P1'!B40</f>
        <v>65001667</v>
      </c>
      <c r="C40" s="232" t="str">
        <f>Custos!G43</f>
        <v>set/2024</v>
      </c>
      <c r="D40" s="237" t="str">
        <f>Custos!D43</f>
        <v>COPASA</v>
      </c>
      <c r="E40" s="415" t="str">
        <f>Custos!B43</f>
        <v>Equipe de topografia de campo</v>
      </c>
      <c r="F40" s="234">
        <f>Custos!J43</f>
        <v>50814.45</v>
      </c>
      <c r="G40" s="279" t="str">
        <f>Custos!H43</f>
        <v>mês</v>
      </c>
      <c r="H40" s="279">
        <v>0</v>
      </c>
      <c r="I40" s="228">
        <f t="shared" ref="I40:I41" si="5">H40*F40</f>
        <v>0</v>
      </c>
      <c r="J40" s="228">
        <f>(I40*K!$G$24)</f>
        <v>0</v>
      </c>
      <c r="K40" s="240">
        <f>J40/$J$53</f>
        <v>0</v>
      </c>
    </row>
    <row r="41" spans="1:11" s="123" customFormat="1">
      <c r="A41" s="232" t="s">
        <v>383</v>
      </c>
      <c r="B41" s="232">
        <f>'P1'!B41</f>
        <v>65001668</v>
      </c>
      <c r="C41" s="232" t="str">
        <f>Custos!G44</f>
        <v>set/2024</v>
      </c>
      <c r="D41" s="237" t="str">
        <f>Custos!D44</f>
        <v>COPASA</v>
      </c>
      <c r="E41" s="415" t="str">
        <f>Custos!B44</f>
        <v>Equipe de topografia de escritório</v>
      </c>
      <c r="F41" s="234">
        <f>Custos!J44</f>
        <v>26804.01</v>
      </c>
      <c r="G41" s="279" t="str">
        <f>Custos!H44</f>
        <v>mês</v>
      </c>
      <c r="H41" s="279">
        <v>0</v>
      </c>
      <c r="I41" s="228">
        <f t="shared" si="5"/>
        <v>0</v>
      </c>
      <c r="J41" s="228">
        <f>(I41*K!$G$24)</f>
        <v>0</v>
      </c>
      <c r="K41" s="240">
        <f>J41/$J$53</f>
        <v>0</v>
      </c>
    </row>
    <row r="42" spans="1:11" ht="5.0999999999999996" customHeight="1">
      <c r="A42" s="232"/>
      <c r="B42" s="237"/>
      <c r="C42" s="237"/>
      <c r="D42" s="232"/>
      <c r="E42" s="173"/>
      <c r="F42" s="165"/>
      <c r="G42" s="226"/>
      <c r="H42" s="166"/>
      <c r="I42" s="159"/>
      <c r="J42" s="159"/>
      <c r="K42" s="191"/>
    </row>
    <row r="43" spans="1:11" s="122" customFormat="1" ht="18" customHeight="1">
      <c r="A43" s="156" t="s">
        <v>62</v>
      </c>
      <c r="B43" s="157" t="s">
        <v>422</v>
      </c>
      <c r="C43" s="171"/>
      <c r="D43" s="171"/>
      <c r="E43" s="171"/>
      <c r="F43" s="158"/>
      <c r="G43" s="156"/>
      <c r="H43" s="157"/>
      <c r="I43" s="157"/>
      <c r="J43" s="172">
        <f>SUM(J44:J45)</f>
        <v>0</v>
      </c>
      <c r="K43" s="403">
        <f>SUM(K44:K45)</f>
        <v>0</v>
      </c>
    </row>
    <row r="44" spans="1:11" s="123" customFormat="1">
      <c r="A44" s="237" t="s">
        <v>378</v>
      </c>
      <c r="B44" s="466">
        <f>Custos!E49</f>
        <v>65001114</v>
      </c>
      <c r="C44" s="237" t="str">
        <f>Custos!G49</f>
        <v>set/2024</v>
      </c>
      <c r="D44" s="237" t="str">
        <f>Custos!D49</f>
        <v>COPASA</v>
      </c>
      <c r="E44" s="466" t="str">
        <f>Custos!B49</f>
        <v>Análise fisico-química da água</v>
      </c>
      <c r="F44" s="234">
        <f>Custos!J49</f>
        <v>371.18</v>
      </c>
      <c r="G44" s="237" t="str">
        <f>Custos!H49</f>
        <v>unidade</v>
      </c>
      <c r="H44" s="279">
        <f>Serviços!J18</f>
        <v>0</v>
      </c>
      <c r="I44" s="228">
        <f t="shared" ref="I44:I45" si="6">H44*F44</f>
        <v>0</v>
      </c>
      <c r="J44" s="228">
        <f>(I44*K!$G$24)</f>
        <v>0</v>
      </c>
      <c r="K44" s="240">
        <f>J44/$J$53</f>
        <v>0</v>
      </c>
    </row>
    <row r="45" spans="1:11" s="123" customFormat="1">
      <c r="A45" s="237" t="s">
        <v>383</v>
      </c>
      <c r="B45" s="466">
        <f>Custos!E50</f>
        <v>65001115</v>
      </c>
      <c r="C45" s="237" t="str">
        <f>Custos!G50</f>
        <v>set/2024</v>
      </c>
      <c r="D45" s="237" t="str">
        <f>Custos!D50</f>
        <v>COPASA</v>
      </c>
      <c r="E45" s="466" t="str">
        <f>Custos!B50</f>
        <v>Analise bactereologica da água</v>
      </c>
      <c r="F45" s="234">
        <f>Custos!J50</f>
        <v>120.28</v>
      </c>
      <c r="G45" s="237" t="str">
        <f>Custos!H50</f>
        <v>unidade</v>
      </c>
      <c r="H45" s="279">
        <f>Serviços!J19</f>
        <v>0</v>
      </c>
      <c r="I45" s="228">
        <f t="shared" si="6"/>
        <v>0</v>
      </c>
      <c r="J45" s="228">
        <f>(I45*K!$G$24)</f>
        <v>0</v>
      </c>
      <c r="K45" s="240">
        <f>J45/$J$53</f>
        <v>0</v>
      </c>
    </row>
    <row r="46" spans="1:11" s="122" customFormat="1" ht="18" customHeight="1">
      <c r="A46" s="393" t="s">
        <v>724</v>
      </c>
      <c r="B46" s="394" t="s">
        <v>725</v>
      </c>
      <c r="C46" s="394"/>
      <c r="D46" s="394"/>
      <c r="E46" s="182"/>
      <c r="F46" s="183"/>
      <c r="G46" s="181"/>
      <c r="H46" s="182"/>
      <c r="I46" s="182"/>
      <c r="J46" s="399">
        <f>J48</f>
        <v>0</v>
      </c>
      <c r="K46" s="388">
        <f>J46/$J$53</f>
        <v>0</v>
      </c>
    </row>
    <row r="47" spans="1:11" ht="5.0999999999999996" customHeight="1">
      <c r="A47" s="395"/>
      <c r="B47" s="168"/>
      <c r="C47" s="168"/>
      <c r="D47" s="395"/>
      <c r="E47" s="173"/>
      <c r="F47" s="165"/>
      <c r="G47" s="159"/>
      <c r="H47" s="166"/>
      <c r="I47" s="159"/>
      <c r="J47" s="159"/>
      <c r="K47" s="191"/>
    </row>
    <row r="48" spans="1:11" s="122" customFormat="1" ht="18" customHeight="1">
      <c r="A48" s="156" t="s">
        <v>72</v>
      </c>
      <c r="B48" s="157" t="s">
        <v>421</v>
      </c>
      <c r="C48" s="157"/>
      <c r="D48" s="157"/>
      <c r="E48" s="157"/>
      <c r="F48" s="158"/>
      <c r="G48" s="156"/>
      <c r="H48" s="157"/>
      <c r="I48" s="157"/>
      <c r="J48" s="177">
        <f>SUM(J49:J51)</f>
        <v>0</v>
      </c>
      <c r="K48" s="402">
        <f>SUM(K49:K51)</f>
        <v>0</v>
      </c>
    </row>
    <row r="49" spans="1:12" s="123" customFormat="1">
      <c r="A49" s="232" t="s">
        <v>378</v>
      </c>
      <c r="B49" s="237" t="str">
        <f>Custos!F52</f>
        <v>-</v>
      </c>
      <c r="C49" s="237" t="str">
        <f>Custos!G52</f>
        <v>out/2024</v>
      </c>
      <c r="D49" s="237" t="str">
        <f>Custos!D52</f>
        <v>Composição</v>
      </c>
      <c r="E49" s="233" t="str">
        <f>Custos!B52</f>
        <v>Veículo tipo pick-up 4X4</v>
      </c>
      <c r="F49" s="234">
        <f>Custos!J52</f>
        <v>2491.71</v>
      </c>
      <c r="G49" s="279" t="str">
        <f>'P1'!G49</f>
        <v>R$/dia</v>
      </c>
      <c r="H49" s="279">
        <v>0</v>
      </c>
      <c r="I49" s="228">
        <f t="shared" ref="I49:I51" si="7">H49*F49</f>
        <v>0</v>
      </c>
      <c r="J49" s="228">
        <f>(I49*K!$G$25)</f>
        <v>0</v>
      </c>
      <c r="K49" s="240">
        <f>J49/$J$53</f>
        <v>0</v>
      </c>
    </row>
    <row r="50" spans="1:12" s="123" customFormat="1" ht="16.149999999999999" customHeight="1">
      <c r="A50" s="232" t="s">
        <v>383</v>
      </c>
      <c r="B50" s="237" t="str">
        <f>Custos!F53</f>
        <v>-</v>
      </c>
      <c r="C50" s="237" t="str">
        <f>Custos!G53</f>
        <v>out/2024</v>
      </c>
      <c r="D50" s="238" t="str">
        <f>Custos!D53</f>
        <v>AGEVAP</v>
      </c>
      <c r="E50" s="233" t="str">
        <f>Custos!B53</f>
        <v>Refeições</v>
      </c>
      <c r="F50" s="234">
        <f>'P1'!F50</f>
        <v>25.61</v>
      </c>
      <c r="G50" s="279" t="str">
        <f>'P1'!G50</f>
        <v>unidade</v>
      </c>
      <c r="H50" s="279">
        <v>0</v>
      </c>
      <c r="I50" s="228">
        <f t="shared" si="7"/>
        <v>0</v>
      </c>
      <c r="J50" s="228">
        <f>(I50*K!$G$25)</f>
        <v>0</v>
      </c>
      <c r="K50" s="240">
        <f>J50/$J$53</f>
        <v>0</v>
      </c>
    </row>
    <row r="51" spans="1:12" s="123" customFormat="1" ht="16.149999999999999" customHeight="1">
      <c r="A51" s="232" t="s">
        <v>386</v>
      </c>
      <c r="B51" s="237" t="str">
        <f>Custos!F54</f>
        <v>-</v>
      </c>
      <c r="C51" s="237" t="str">
        <f>Custos!G54</f>
        <v>out/2024</v>
      </c>
      <c r="D51" s="238" t="str">
        <f>Custos!D54</f>
        <v>AGEVAP</v>
      </c>
      <c r="E51" s="233" t="str">
        <f>Custos!B54</f>
        <v>Diárias</v>
      </c>
      <c r="F51" s="234">
        <f>'P1'!F51</f>
        <v>335</v>
      </c>
      <c r="G51" s="279" t="str">
        <f>'P1'!G51</f>
        <v>unidade</v>
      </c>
      <c r="H51" s="279">
        <v>0</v>
      </c>
      <c r="I51" s="228">
        <f t="shared" si="7"/>
        <v>0</v>
      </c>
      <c r="J51" s="228">
        <f>(I51*K!$G$25)</f>
        <v>0</v>
      </c>
      <c r="K51" s="240">
        <f>J51/$J$53</f>
        <v>0</v>
      </c>
    </row>
    <row r="52" spans="1:12" ht="6" customHeight="1">
      <c r="A52" s="151"/>
      <c r="B52" s="160"/>
      <c r="C52" s="160"/>
      <c r="D52" s="160"/>
      <c r="E52" s="174"/>
      <c r="F52" s="175"/>
      <c r="G52" s="185"/>
      <c r="H52" s="163"/>
      <c r="I52" s="163"/>
      <c r="J52" s="176"/>
      <c r="K52" s="193"/>
    </row>
    <row r="53" spans="1:12" ht="18" customHeight="1">
      <c r="A53" s="746" t="s">
        <v>726</v>
      </c>
      <c r="B53" s="746"/>
      <c r="C53" s="746"/>
      <c r="D53" s="746"/>
      <c r="E53" s="746"/>
      <c r="F53" s="396"/>
      <c r="G53" s="397"/>
      <c r="H53" s="398"/>
      <c r="I53" s="396" t="s">
        <v>318</v>
      </c>
      <c r="J53" s="396">
        <f>ROUND((J7+J16+J26+J46),2)</f>
        <v>91633.279999999999</v>
      </c>
      <c r="K53" s="401">
        <f>K7+K16+K26+K46</f>
        <v>0.99999995355792692</v>
      </c>
    </row>
    <row r="54" spans="1:12" ht="6" customHeight="1">
      <c r="A54" s="126"/>
      <c r="B54" s="80"/>
      <c r="C54" s="80"/>
      <c r="D54" s="127"/>
      <c r="E54" s="128"/>
      <c r="F54" s="133"/>
      <c r="G54" s="127"/>
      <c r="H54" s="125"/>
      <c r="I54" s="129"/>
      <c r="J54" s="121"/>
      <c r="K54" s="243"/>
    </row>
    <row r="55" spans="1:12" ht="20.100000000000001" customHeight="1">
      <c r="A55" s="152" t="s">
        <v>727</v>
      </c>
      <c r="B55" s="153"/>
      <c r="C55" s="153"/>
      <c r="D55" s="153"/>
      <c r="E55" s="153"/>
      <c r="F55" s="154"/>
      <c r="G55" s="186"/>
      <c r="H55" s="153"/>
      <c r="I55" s="153"/>
      <c r="J55" s="153"/>
      <c r="K55" s="154"/>
    </row>
    <row r="56" spans="1:12" ht="24" customHeight="1">
      <c r="A56" s="155" t="s">
        <v>728</v>
      </c>
      <c r="B56" s="747" t="s">
        <v>729</v>
      </c>
      <c r="C56" s="747"/>
      <c r="D56" s="747"/>
      <c r="E56" s="747"/>
      <c r="F56" s="747"/>
      <c r="G56" s="747"/>
      <c r="H56" s="747"/>
      <c r="I56" s="747"/>
      <c r="J56" s="747"/>
      <c r="K56" s="747"/>
    </row>
    <row r="57" spans="1:12" ht="13.15" customHeight="1">
      <c r="A57" s="155" t="s">
        <v>730</v>
      </c>
      <c r="B57" s="743" t="s">
        <v>731</v>
      </c>
      <c r="C57" s="743"/>
      <c r="D57" s="743"/>
      <c r="E57" s="743"/>
      <c r="F57" s="743"/>
      <c r="G57" s="743"/>
      <c r="H57" s="743"/>
      <c r="I57" s="743"/>
      <c r="J57" s="743"/>
      <c r="K57" s="743"/>
    </row>
    <row r="58" spans="1:12" ht="13.15" customHeight="1">
      <c r="A58" s="155" t="s">
        <v>732</v>
      </c>
      <c r="B58" s="743" t="s">
        <v>733</v>
      </c>
      <c r="C58" s="743"/>
      <c r="D58" s="743"/>
      <c r="E58" s="743"/>
      <c r="F58" s="743"/>
      <c r="G58" s="743"/>
      <c r="H58" s="743"/>
      <c r="I58" s="743"/>
      <c r="J58" s="743"/>
      <c r="K58" s="743"/>
    </row>
    <row r="59" spans="1:12" ht="13.15" customHeight="1">
      <c r="A59" s="155"/>
      <c r="C59" s="314"/>
      <c r="D59" s="314"/>
      <c r="E59" s="314"/>
      <c r="F59" s="314"/>
      <c r="G59" s="314"/>
      <c r="H59" s="314"/>
      <c r="I59" s="314"/>
      <c r="J59" s="314"/>
      <c r="K59" s="314"/>
    </row>
    <row r="60" spans="1:12" ht="13.15" customHeight="1">
      <c r="A60" s="741" t="s">
        <v>734</v>
      </c>
      <c r="B60" s="741"/>
      <c r="C60" s="741"/>
      <c r="D60" s="741"/>
      <c r="E60" s="741"/>
      <c r="F60" s="741" t="s">
        <v>735</v>
      </c>
      <c r="G60" s="741"/>
      <c r="H60" s="741"/>
      <c r="I60" s="741"/>
      <c r="J60" s="314"/>
      <c r="K60" s="314"/>
    </row>
    <row r="61" spans="1:12" ht="13.15" customHeight="1">
      <c r="A61" s="742" t="s">
        <v>736</v>
      </c>
      <c r="B61" s="742"/>
      <c r="C61" s="742"/>
      <c r="D61" s="742"/>
      <c r="E61" s="742"/>
      <c r="F61" s="742" t="s">
        <v>737</v>
      </c>
      <c r="G61" s="742"/>
      <c r="H61" s="742"/>
      <c r="I61" s="742"/>
      <c r="J61" s="314"/>
      <c r="K61" s="314"/>
    </row>
    <row r="62" spans="1:12" ht="13.15" customHeight="1">
      <c r="A62" s="742" t="s">
        <v>738</v>
      </c>
      <c r="B62" s="742"/>
      <c r="C62" s="742"/>
      <c r="D62" s="742"/>
      <c r="E62" s="742"/>
      <c r="F62" s="742" t="s">
        <v>738</v>
      </c>
      <c r="G62" s="742"/>
      <c r="H62" s="742"/>
      <c r="I62" s="742"/>
      <c r="J62" s="314"/>
      <c r="K62" s="314"/>
    </row>
    <row r="63" spans="1:12">
      <c r="A63" s="551"/>
      <c r="B63" s="551"/>
      <c r="C63" s="551"/>
      <c r="D63" s="551"/>
      <c r="E63" s="131"/>
      <c r="G63" s="131"/>
      <c r="H63" s="131"/>
      <c r="L63"/>
    </row>
    <row r="64" spans="1:12" ht="15" customHeight="1">
      <c r="A64" s="741" t="s">
        <v>739</v>
      </c>
      <c r="B64" s="741"/>
      <c r="C64" s="741"/>
      <c r="D64" s="741"/>
      <c r="E64" s="741"/>
      <c r="F64" s="741"/>
      <c r="G64" s="741"/>
      <c r="H64" s="741"/>
      <c r="I64" s="741"/>
      <c r="J64" s="741"/>
      <c r="K64" s="741"/>
      <c r="L64"/>
    </row>
    <row r="65" spans="1:12" ht="15" customHeight="1">
      <c r="A65" s="742" t="s">
        <v>740</v>
      </c>
      <c r="B65" s="742"/>
      <c r="C65" s="742"/>
      <c r="D65" s="742"/>
      <c r="E65" s="742"/>
      <c r="F65" s="742"/>
      <c r="G65" s="742"/>
      <c r="H65" s="742"/>
      <c r="I65" s="742"/>
      <c r="J65" s="742"/>
      <c r="K65" s="742"/>
    </row>
    <row r="66" spans="1:12" ht="15" customHeight="1">
      <c r="A66" s="742" t="s">
        <v>738</v>
      </c>
      <c r="B66" s="742"/>
      <c r="C66" s="742"/>
      <c r="D66" s="742"/>
      <c r="E66" s="742"/>
      <c r="F66" s="742"/>
      <c r="G66" s="742"/>
      <c r="H66" s="742"/>
      <c r="I66" s="742"/>
      <c r="J66" s="742"/>
      <c r="K66" s="742"/>
      <c r="L66" s="122"/>
    </row>
  </sheetData>
  <mergeCells count="15">
    <mergeCell ref="D1:K1"/>
    <mergeCell ref="F6:G6"/>
    <mergeCell ref="A53:E53"/>
    <mergeCell ref="B56:K56"/>
    <mergeCell ref="B57:K57"/>
    <mergeCell ref="A66:K66"/>
    <mergeCell ref="B58:K58"/>
    <mergeCell ref="F60:I60"/>
    <mergeCell ref="F61:I61"/>
    <mergeCell ref="F62:I62"/>
    <mergeCell ref="A60:E60"/>
    <mergeCell ref="A61:E61"/>
    <mergeCell ref="A62:E62"/>
    <mergeCell ref="A64:K64"/>
    <mergeCell ref="A65:K65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2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8" tint="-0.249977111117893"/>
    <pageSetUpPr fitToPage="1"/>
  </sheetPr>
  <dimension ref="A1:P68"/>
  <sheetViews>
    <sheetView showGridLines="0" topLeftCell="A40" zoomScale="70" zoomScaleNormal="70" zoomScaleSheetLayoutView="100" workbookViewId="0">
      <selection activeCell="D44" sqref="D44"/>
    </sheetView>
  </sheetViews>
  <sheetFormatPr defaultColWidth="9.140625" defaultRowHeight="15.75"/>
  <cols>
    <col min="1" max="1" width="5" style="81" customWidth="1"/>
    <col min="2" max="3" width="11" style="81" customWidth="1"/>
    <col min="4" max="4" width="13.85546875" style="81" customWidth="1"/>
    <col min="5" max="5" width="43.140625" style="81" customWidth="1"/>
    <col min="6" max="6" width="9.28515625" style="131" customWidth="1"/>
    <col min="7" max="7" width="8.28515625" style="134" bestFit="1" customWidth="1"/>
    <col min="8" max="8" width="12.140625" style="512" customWidth="1"/>
    <col min="9" max="9" width="10.5703125" style="81" customWidth="1"/>
    <col min="10" max="10" width="13" style="81" customWidth="1"/>
    <col min="11" max="11" width="12.140625" style="131" customWidth="1"/>
    <col min="12" max="22" width="12.7109375" style="81" customWidth="1"/>
    <col min="23" max="16384" width="9.140625" style="81"/>
  </cols>
  <sheetData>
    <row r="1" spans="1:16" ht="35.25" customHeight="1">
      <c r="B1" s="130"/>
      <c r="C1" s="130"/>
      <c r="D1" s="744" t="str">
        <f>'P1'!D1:K1</f>
        <v xml:space="preserve">ORÇAMENTO PARA ELABORAÇÃO DE PROJETOS DE SISTEMA DE ESGOTAMENTO SANITÁRIO </v>
      </c>
      <c r="E1" s="744"/>
      <c r="F1" s="744"/>
      <c r="G1" s="744"/>
      <c r="H1" s="744"/>
      <c r="I1" s="744"/>
      <c r="J1" s="744"/>
      <c r="K1" s="744"/>
    </row>
    <row r="2" spans="1:16" s="122" customFormat="1" ht="15" customHeight="1">
      <c r="A2" s="80" t="s">
        <v>750</v>
      </c>
      <c r="D2" s="83"/>
      <c r="F2" s="132"/>
      <c r="G2" s="184"/>
      <c r="H2" s="497"/>
      <c r="J2" s="119" t="s">
        <v>134</v>
      </c>
      <c r="K2" s="63">
        <f ca="1">'Dados Básicos do município'!H4</f>
        <v>46139</v>
      </c>
    </row>
    <row r="3" spans="1:16" s="122" customFormat="1" ht="15" customHeight="1">
      <c r="A3" s="80" t="s">
        <v>135</v>
      </c>
      <c r="C3" s="83" t="str">
        <f>'Dados Básicos do município'!B5</f>
        <v>CBH-SANTO ANTÔNIO</v>
      </c>
      <c r="F3" s="132"/>
      <c r="G3" s="184"/>
      <c r="H3" s="497"/>
      <c r="K3" s="132"/>
    </row>
    <row r="4" spans="1:16" s="122" customFormat="1" ht="15" customHeight="1">
      <c r="A4" s="80" t="s">
        <v>136</v>
      </c>
      <c r="C4" s="83" t="str">
        <f>'Dados Básicos do município'!B6</f>
        <v>Açucena/MG</v>
      </c>
      <c r="F4" s="132"/>
      <c r="G4" s="184"/>
      <c r="H4" s="497"/>
      <c r="J4" s="120"/>
      <c r="K4" s="119"/>
    </row>
    <row r="5" spans="1:16" ht="6" customHeight="1">
      <c r="A5" s="160"/>
      <c r="B5" s="160"/>
      <c r="C5" s="160"/>
      <c r="D5" s="160"/>
      <c r="E5" s="161"/>
      <c r="F5" s="162"/>
      <c r="G5" s="185"/>
      <c r="H5" s="498"/>
      <c r="I5" s="163"/>
      <c r="J5" s="163"/>
      <c r="K5" s="192"/>
    </row>
    <row r="6" spans="1:16" s="134" customFormat="1" ht="47.45" customHeight="1">
      <c r="A6" s="380" t="s">
        <v>713</v>
      </c>
      <c r="B6" s="380" t="s">
        <v>10</v>
      </c>
      <c r="C6" s="380" t="s">
        <v>714</v>
      </c>
      <c r="D6" s="380" t="s">
        <v>715</v>
      </c>
      <c r="E6" s="381" t="s">
        <v>716</v>
      </c>
      <c r="F6" s="745" t="s">
        <v>717</v>
      </c>
      <c r="G6" s="745"/>
      <c r="H6" s="499" t="s">
        <v>718</v>
      </c>
      <c r="I6" s="383" t="s">
        <v>719</v>
      </c>
      <c r="J6" s="383" t="s">
        <v>720</v>
      </c>
      <c r="K6" s="383" t="s">
        <v>721</v>
      </c>
    </row>
    <row r="7" spans="1:16" s="122" customFormat="1" ht="18" customHeight="1">
      <c r="A7" s="384">
        <v>1</v>
      </c>
      <c r="B7" s="385" t="s">
        <v>722</v>
      </c>
      <c r="C7" s="385"/>
      <c r="D7" s="385"/>
      <c r="E7" s="385"/>
      <c r="F7" s="386"/>
      <c r="G7" s="384"/>
      <c r="H7" s="500"/>
      <c r="I7" s="385"/>
      <c r="J7" s="387">
        <f>J9</f>
        <v>170943.41948926408</v>
      </c>
      <c r="K7" s="388">
        <f>J7/$J$53</f>
        <v>0.46465132464366321</v>
      </c>
    </row>
    <row r="8" spans="1:16" ht="6" customHeight="1">
      <c r="A8" s="160"/>
      <c r="B8" s="160"/>
      <c r="C8" s="160"/>
      <c r="D8" s="160"/>
      <c r="E8" s="161"/>
      <c r="F8" s="162"/>
      <c r="G8" s="185"/>
      <c r="H8" s="498"/>
      <c r="I8" s="163"/>
      <c r="J8" s="163"/>
      <c r="K8" s="192"/>
    </row>
    <row r="9" spans="1:16" s="122" customFormat="1" ht="18" customHeight="1">
      <c r="A9" s="178" t="s">
        <v>29</v>
      </c>
      <c r="B9" s="179" t="s">
        <v>376</v>
      </c>
      <c r="C9" s="179"/>
      <c r="D9" s="179"/>
      <c r="E9" s="179"/>
      <c r="F9" s="180"/>
      <c r="G9" s="178"/>
      <c r="H9" s="501"/>
      <c r="I9" s="179"/>
      <c r="J9" s="400">
        <f>SUM(J10:J14)</f>
        <v>170943.41948926408</v>
      </c>
      <c r="K9" s="404">
        <f>SUM(K10:K14)</f>
        <v>0.46465132464366332</v>
      </c>
    </row>
    <row r="10" spans="1:16" s="123" customFormat="1" ht="16.149999999999999" customHeight="1">
      <c r="A10" s="232" t="s">
        <v>378</v>
      </c>
      <c r="B10" s="225" t="str">
        <f>'P1'!B10</f>
        <v>P8061</v>
      </c>
      <c r="C10" s="225" t="str">
        <f>Custos!G13</f>
        <v>abr/2024</v>
      </c>
      <c r="D10" s="226" t="str">
        <f>Custos!$D$13</f>
        <v>DNIT</v>
      </c>
      <c r="E10" s="227" t="str">
        <f>Custos!B13</f>
        <v>Engenheiro Coordenador</v>
      </c>
      <c r="F10" s="228">
        <f>Custos!J13</f>
        <v>123.19</v>
      </c>
      <c r="G10" s="226" t="s">
        <v>382</v>
      </c>
      <c r="H10" s="422">
        <f>'Horas trabalhadas'!L9</f>
        <v>208.58803278688529</v>
      </c>
      <c r="I10" s="228">
        <f>F10*H10</f>
        <v>25695.959759016398</v>
      </c>
      <c r="J10" s="228">
        <f>I10*K!$G$23</f>
        <v>44744.413384687898</v>
      </c>
      <c r="K10" s="240">
        <f>J10/$J$53</f>
        <v>0.12162241174135759</v>
      </c>
      <c r="M10" s="124"/>
    </row>
    <row r="11" spans="1:16" s="123" customFormat="1" ht="16.149999999999999" customHeight="1">
      <c r="A11" s="232" t="s">
        <v>383</v>
      </c>
      <c r="B11" s="225" t="str">
        <f>'P1'!B11</f>
        <v>P8066</v>
      </c>
      <c r="C11" s="229" t="str">
        <f>Custos!G14</f>
        <v>abr/2024</v>
      </c>
      <c r="D11" s="230" t="str">
        <f>Custos!D14</f>
        <v>DNIT</v>
      </c>
      <c r="E11" s="227" t="str">
        <f>Custos!B14</f>
        <v>Engenheiro de Projetos Pleno</v>
      </c>
      <c r="F11" s="231">
        <f>Custos!J14</f>
        <v>85.36</v>
      </c>
      <c r="G11" s="230" t="s">
        <v>382</v>
      </c>
      <c r="H11" s="422">
        <f>'Horas trabalhadas'!L10</f>
        <v>280.95530946804951</v>
      </c>
      <c r="I11" s="228">
        <f>F11*H11</f>
        <v>23982.345216192705</v>
      </c>
      <c r="J11" s="228">
        <f>I11*K!$G$23</f>
        <v>41760.493803353245</v>
      </c>
      <c r="K11" s="240">
        <f>J11/$J$53</f>
        <v>0.11351164508979666</v>
      </c>
      <c r="M11" s="124"/>
      <c r="N11" s="473"/>
      <c r="O11" s="474"/>
      <c r="P11" s="475"/>
    </row>
    <row r="12" spans="1:16" s="123" customFormat="1" ht="16.149999999999999" customHeight="1">
      <c r="A12" s="232" t="s">
        <v>386</v>
      </c>
      <c r="B12" s="225" t="str">
        <f>'P1'!B12</f>
        <v>P8065</v>
      </c>
      <c r="C12" s="229" t="str">
        <f>Custos!G15</f>
        <v>abr/2024</v>
      </c>
      <c r="D12" s="230" t="str">
        <f>Custos!D15</f>
        <v>DNIT</v>
      </c>
      <c r="E12" s="227" t="str">
        <f>Custos!B15</f>
        <v>Engenheiro de Projetos Júnior</v>
      </c>
      <c r="F12" s="231">
        <f>Custos!J15</f>
        <v>82.75</v>
      </c>
      <c r="G12" s="230" t="s">
        <v>382</v>
      </c>
      <c r="H12" s="422">
        <f>'Horas trabalhadas'!L11</f>
        <v>263.92771495483441</v>
      </c>
      <c r="I12" s="228">
        <f>F12*H12</f>
        <v>21840.018412512549</v>
      </c>
      <c r="J12" s="228">
        <f>I12*K!$G$23</f>
        <v>38030.056917246002</v>
      </c>
      <c r="K12" s="240">
        <f>J12/$J$53</f>
        <v>0.10337172601126102</v>
      </c>
      <c r="M12" s="124"/>
    </row>
    <row r="13" spans="1:16" s="123" customFormat="1" ht="16.149999999999999" customHeight="1">
      <c r="A13" s="232" t="s">
        <v>389</v>
      </c>
      <c r="B13" s="225" t="str">
        <f>'P1'!B13</f>
        <v>P8155</v>
      </c>
      <c r="C13" s="229" t="str">
        <f>Custos!G16</f>
        <v>abr/2024</v>
      </c>
      <c r="D13" s="230" t="str">
        <f>Custos!D16</f>
        <v>DNIT</v>
      </c>
      <c r="E13" s="227" t="str">
        <f>Custos!B16</f>
        <v>Técnico cadista</v>
      </c>
      <c r="F13" s="231">
        <f>Custos!J16</f>
        <v>19.32</v>
      </c>
      <c r="G13" s="230" t="s">
        <v>382</v>
      </c>
      <c r="H13" s="422">
        <f>'Horas trabalhadas'!L12</f>
        <v>595.96580796252931</v>
      </c>
      <c r="I13" s="228">
        <f>F13*H13</f>
        <v>11514.059409836067</v>
      </c>
      <c r="J13" s="228">
        <f>I13*K!$G$23</f>
        <v>20049.448971789687</v>
      </c>
      <c r="K13" s="240">
        <f>J13/$J$53</f>
        <v>5.4497582012524859E-2</v>
      </c>
      <c r="M13" s="124"/>
    </row>
    <row r="14" spans="1:16" s="123" customFormat="1" ht="16.149999999999999" customHeight="1">
      <c r="A14" s="232" t="s">
        <v>392</v>
      </c>
      <c r="B14" s="225" t="str">
        <f>'P1'!B14</f>
        <v>P8026</v>
      </c>
      <c r="C14" s="229" t="str">
        <f>Custos!G17</f>
        <v>abr/2024</v>
      </c>
      <c r="D14" s="230" t="str">
        <f>Custos!D17</f>
        <v>DNIT</v>
      </c>
      <c r="E14" s="227" t="str">
        <f>Custos!B17</f>
        <v>Auxiliar Administrativo</v>
      </c>
      <c r="F14" s="231">
        <f>Custos!J17</f>
        <v>12.7</v>
      </c>
      <c r="G14" s="230" t="s">
        <v>382</v>
      </c>
      <c r="H14" s="422">
        <f>'Horas trabalhadas'!L13</f>
        <v>1191.9316159250586</v>
      </c>
      <c r="I14" s="228">
        <f>F14*H14</f>
        <v>15137.531522248244</v>
      </c>
      <c r="J14" s="228">
        <f>I14*K!$G$23</f>
        <v>26359.006412187267</v>
      </c>
      <c r="K14" s="240">
        <f>J14/$J$53</f>
        <v>7.1647959788723153E-2</v>
      </c>
      <c r="M14" s="124"/>
    </row>
    <row r="15" spans="1:16" ht="6" customHeight="1">
      <c r="A15" s="160"/>
      <c r="B15" s="160"/>
      <c r="C15" s="160"/>
      <c r="D15" s="160"/>
      <c r="E15" s="161"/>
      <c r="F15" s="162"/>
      <c r="G15" s="185"/>
      <c r="H15" s="498"/>
      <c r="I15" s="163"/>
      <c r="J15" s="163"/>
      <c r="K15" s="192"/>
      <c r="M15" s="124"/>
    </row>
    <row r="16" spans="1:16" s="122" customFormat="1" ht="18" customHeight="1">
      <c r="A16" s="384">
        <v>2</v>
      </c>
      <c r="B16" s="385" t="s">
        <v>396</v>
      </c>
      <c r="C16" s="385"/>
      <c r="D16" s="385"/>
      <c r="E16" s="385"/>
      <c r="F16" s="386"/>
      <c r="G16" s="384"/>
      <c r="H16" s="500"/>
      <c r="I16" s="385"/>
      <c r="J16" s="387">
        <f>J18</f>
        <v>121623.53920412999</v>
      </c>
      <c r="K16" s="388">
        <f>J16/$J$53</f>
        <v>0.33059206822874349</v>
      </c>
      <c r="M16" s="124"/>
    </row>
    <row r="17" spans="1:13" ht="5.0999999999999996" customHeight="1">
      <c r="A17" s="167"/>
      <c r="B17" s="168"/>
      <c r="C17" s="168"/>
      <c r="D17" s="169"/>
      <c r="E17" s="170"/>
      <c r="F17" s="165"/>
      <c r="G17" s="159"/>
      <c r="H17" s="502"/>
      <c r="I17" s="159"/>
      <c r="J17" s="159"/>
      <c r="K17" s="191"/>
      <c r="M17" s="124"/>
    </row>
    <row r="18" spans="1:13" s="122" customFormat="1" ht="18" customHeight="1">
      <c r="A18" s="389" t="s">
        <v>47</v>
      </c>
      <c r="B18" s="390" t="s">
        <v>396</v>
      </c>
      <c r="C18" s="390"/>
      <c r="D18" s="390"/>
      <c r="E18" s="390"/>
      <c r="F18" s="391"/>
      <c r="G18" s="389"/>
      <c r="H18" s="503"/>
      <c r="I18" s="391"/>
      <c r="J18" s="392">
        <f>SUM(J19:J24)</f>
        <v>121623.53920412999</v>
      </c>
      <c r="K18" s="405">
        <f>SUM(K19:K24)</f>
        <v>0.33059206822874354</v>
      </c>
      <c r="M18" s="124"/>
    </row>
    <row r="19" spans="1:13" s="123" customFormat="1" ht="16.149999999999999" customHeight="1">
      <c r="A19" s="232" t="s">
        <v>378</v>
      </c>
      <c r="B19" s="225" t="str">
        <f>'P1'!B19</f>
        <v>P8003</v>
      </c>
      <c r="C19" s="225" t="str">
        <f>Custos!G22</f>
        <v>abr/2024</v>
      </c>
      <c r="D19" s="230" t="str">
        <f>Custos!D22</f>
        <v>DNIT</v>
      </c>
      <c r="E19" s="227" t="str">
        <f>Custos!B22</f>
        <v>Advogado sênior</v>
      </c>
      <c r="F19" s="228">
        <f>Custos!J22</f>
        <v>76.88</v>
      </c>
      <c r="G19" s="226" t="s">
        <v>382</v>
      </c>
      <c r="H19" s="422">
        <f>'Horas trabalhadas'!L14</f>
        <v>85.137972566075618</v>
      </c>
      <c r="I19" s="228">
        <f>F19*H19</f>
        <v>6545.4073308798934</v>
      </c>
      <c r="J19" s="228">
        <f>I19*K!$G$23</f>
        <v>11397.527631996385</v>
      </c>
      <c r="K19" s="239">
        <f t="shared" ref="K19:K24" si="0">J19/$J$53</f>
        <v>3.0980287674673996E-2</v>
      </c>
      <c r="M19" s="124"/>
    </row>
    <row r="20" spans="1:13" s="123" customFormat="1" ht="16.149999999999999" customHeight="1">
      <c r="A20" s="232" t="s">
        <v>383</v>
      </c>
      <c r="B20" s="225" t="str">
        <f>'P1'!B20</f>
        <v>P8067</v>
      </c>
      <c r="C20" s="225" t="str">
        <f>Custos!G23</f>
        <v>abr/2024</v>
      </c>
      <c r="D20" s="230" t="str">
        <f>Custos!D23</f>
        <v>DNIT</v>
      </c>
      <c r="E20" s="227" t="str">
        <f>Custos!B23</f>
        <v>Engenheiro de Projetos (Elétrico)</v>
      </c>
      <c r="F20" s="228">
        <f>Custos!J23</f>
        <v>107.32</v>
      </c>
      <c r="G20" s="226" t="s">
        <v>382</v>
      </c>
      <c r="H20" s="422">
        <f>'Horas trabalhadas'!L15</f>
        <v>148.99145199063233</v>
      </c>
      <c r="I20" s="228">
        <f t="shared" ref="I20:I24" si="1">F20*H20</f>
        <v>15989.76262763466</v>
      </c>
      <c r="J20" s="228">
        <f>I20*K!$G$23</f>
        <v>27842.997718070252</v>
      </c>
      <c r="K20" s="239">
        <f t="shared" si="0"/>
        <v>7.5681683509111905E-2</v>
      </c>
      <c r="M20" s="124"/>
    </row>
    <row r="21" spans="1:13" s="123" customFormat="1" ht="16.149999999999999" customHeight="1">
      <c r="A21" s="232" t="s">
        <v>386</v>
      </c>
      <c r="B21" s="225" t="str">
        <f>'P1'!B21</f>
        <v>P8067</v>
      </c>
      <c r="C21" s="225" t="str">
        <f>Custos!G24</f>
        <v>abr/2024</v>
      </c>
      <c r="D21" s="230" t="str">
        <f>Custos!D24</f>
        <v>DNIT</v>
      </c>
      <c r="E21" s="227" t="str">
        <f>Custos!B24</f>
        <v>Engenheiro de Projeto (Calculista)</v>
      </c>
      <c r="F21" s="228">
        <f>Custos!J24</f>
        <v>107.32</v>
      </c>
      <c r="G21" s="226" t="s">
        <v>382</v>
      </c>
      <c r="H21" s="422">
        <f>'Horas trabalhadas'!L16</f>
        <v>148.99145199063233</v>
      </c>
      <c r="I21" s="228">
        <f t="shared" si="1"/>
        <v>15989.76262763466</v>
      </c>
      <c r="J21" s="228">
        <f>I21*K!$G$23</f>
        <v>27842.997718070252</v>
      </c>
      <c r="K21" s="239">
        <f t="shared" si="0"/>
        <v>7.5681683509111905E-2</v>
      </c>
      <c r="M21" s="124"/>
    </row>
    <row r="22" spans="1:13" s="123" customFormat="1" ht="16.149999999999999" customHeight="1">
      <c r="A22" s="232" t="s">
        <v>389</v>
      </c>
      <c r="B22" s="225" t="str">
        <f>'P1'!B22</f>
        <v>P8067</v>
      </c>
      <c r="C22" s="225" t="str">
        <f>Custos!G25</f>
        <v>abr/2024</v>
      </c>
      <c r="D22" s="230" t="str">
        <f>Custos!D25</f>
        <v>DNIT</v>
      </c>
      <c r="E22" s="227" t="str">
        <f>Custos!B25</f>
        <v>Engenheiro de Projetos (Mecânico)</v>
      </c>
      <c r="F22" s="228">
        <f>Custos!J25</f>
        <v>107.32</v>
      </c>
      <c r="G22" s="226" t="s">
        <v>382</v>
      </c>
      <c r="H22" s="422">
        <f>'Horas trabalhadas'!L17</f>
        <v>148.99145199063233</v>
      </c>
      <c r="I22" s="228">
        <f t="shared" si="1"/>
        <v>15989.76262763466</v>
      </c>
      <c r="J22" s="228">
        <f>I22*K!$G$23</f>
        <v>27842.997718070252</v>
      </c>
      <c r="K22" s="239">
        <f t="shared" si="0"/>
        <v>7.5681683509111905E-2</v>
      </c>
      <c r="M22" s="124"/>
    </row>
    <row r="23" spans="1:13" s="123" customFormat="1" ht="16.149999999999999" customHeight="1">
      <c r="A23" s="232" t="s">
        <v>392</v>
      </c>
      <c r="B23" s="225" t="str">
        <f>'P1'!B23</f>
        <v>P8059</v>
      </c>
      <c r="C23" s="225" t="str">
        <f>Custos!G26</f>
        <v>abr/2024</v>
      </c>
      <c r="D23" s="230" t="str">
        <f>Custos!D26</f>
        <v>DNIT</v>
      </c>
      <c r="E23" s="227" t="str">
        <f>Custos!B26</f>
        <v>Engenheiro ambiental</v>
      </c>
      <c r="F23" s="228">
        <f>Custos!J26</f>
        <v>100.92</v>
      </c>
      <c r="G23" s="226" t="s">
        <v>382</v>
      </c>
      <c r="H23" s="422">
        <f>'Horas trabalhadas'!L18</f>
        <v>127.70695884911342</v>
      </c>
      <c r="I23" s="228">
        <f t="shared" si="1"/>
        <v>12888.186287052527</v>
      </c>
      <c r="J23" s="228">
        <f>I23*K!$G$23</f>
        <v>22442.218170286327</v>
      </c>
      <c r="K23" s="239">
        <f t="shared" si="0"/>
        <v>6.1001508171073748E-2</v>
      </c>
      <c r="M23" s="124"/>
    </row>
    <row r="24" spans="1:13" s="123" customFormat="1" ht="16.149999999999999" customHeight="1">
      <c r="A24" s="232" t="s">
        <v>405</v>
      </c>
      <c r="B24" s="225" t="str">
        <f>'P1'!B24</f>
        <v>P8155</v>
      </c>
      <c r="C24" s="225" t="str">
        <f>Custos!G27</f>
        <v>abr/2024</v>
      </c>
      <c r="D24" s="230" t="str">
        <f>Custos!D27</f>
        <v>DNIT</v>
      </c>
      <c r="E24" s="227" t="str">
        <f>Custos!B27</f>
        <v>Técnico em geoprocessamento</v>
      </c>
      <c r="F24" s="228">
        <f>Custos!J27</f>
        <v>14.35</v>
      </c>
      <c r="G24" s="226" t="s">
        <v>382</v>
      </c>
      <c r="H24" s="422">
        <f>'Horas trabalhadas'!L19</f>
        <v>170.27594513215124</v>
      </c>
      <c r="I24" s="228">
        <f t="shared" si="1"/>
        <v>2443.4598126463702</v>
      </c>
      <c r="J24" s="228">
        <f>I24*K!$G$23</f>
        <v>4254.8002476365282</v>
      </c>
      <c r="K24" s="239">
        <f t="shared" si="0"/>
        <v>1.1565221855660038E-2</v>
      </c>
      <c r="M24" s="124"/>
    </row>
    <row r="25" spans="1:13" ht="6" customHeight="1">
      <c r="A25" s="160"/>
      <c r="B25" s="160"/>
      <c r="C25" s="160"/>
      <c r="D25" s="160"/>
      <c r="E25" s="161"/>
      <c r="F25" s="162"/>
      <c r="G25" s="185"/>
      <c r="H25" s="498"/>
      <c r="I25" s="163"/>
      <c r="J25" s="163"/>
      <c r="K25" s="192"/>
      <c r="M25" s="124"/>
    </row>
    <row r="26" spans="1:13" s="122" customFormat="1" ht="18" customHeight="1">
      <c r="A26" s="393">
        <v>3</v>
      </c>
      <c r="B26" s="394" t="s">
        <v>129</v>
      </c>
      <c r="C26" s="394"/>
      <c r="D26" s="394"/>
      <c r="E26" s="182"/>
      <c r="F26" s="183"/>
      <c r="G26" s="181"/>
      <c r="H26" s="504"/>
      <c r="I26" s="182"/>
      <c r="J26" s="399">
        <f>J28+J33+J39+J43</f>
        <v>70339.327098811482</v>
      </c>
      <c r="K26" s="388">
        <f>J26/$J$53</f>
        <v>0.19119344639680214</v>
      </c>
      <c r="M26" s="124"/>
    </row>
    <row r="27" spans="1:13" ht="5.0999999999999996" customHeight="1">
      <c r="A27" s="167"/>
      <c r="B27" s="168"/>
      <c r="C27" s="168"/>
      <c r="D27" s="169"/>
      <c r="E27" s="170"/>
      <c r="F27" s="165"/>
      <c r="G27" s="159"/>
      <c r="H27" s="502"/>
      <c r="I27" s="159"/>
      <c r="J27" s="159"/>
      <c r="K27" s="191"/>
      <c r="M27" s="124"/>
    </row>
    <row r="28" spans="1:13" s="122" customFormat="1" ht="18" customHeight="1">
      <c r="A28" s="178" t="s">
        <v>59</v>
      </c>
      <c r="B28" s="179" t="s">
        <v>416</v>
      </c>
      <c r="C28" s="179"/>
      <c r="D28" s="179"/>
      <c r="E28" s="179"/>
      <c r="F28" s="180"/>
      <c r="G28" s="178"/>
      <c r="H28" s="501"/>
      <c r="I28" s="179"/>
      <c r="J28" s="400">
        <f>SUM(J29:J31)</f>
        <v>19272.339402425929</v>
      </c>
      <c r="K28" s="404">
        <f>SUM(K29:K31)</f>
        <v>5.2385274958664775E-2</v>
      </c>
      <c r="M28" s="124"/>
    </row>
    <row r="29" spans="1:13" s="123" customFormat="1">
      <c r="A29" s="232" t="s">
        <v>378</v>
      </c>
      <c r="B29" s="225">
        <f>'P1'!B29</f>
        <v>65003710</v>
      </c>
      <c r="C29" s="232" t="str">
        <f>Custos!G38</f>
        <v>set/2024</v>
      </c>
      <c r="D29" s="237" t="str">
        <f>Custos!D38</f>
        <v>COPASA</v>
      </c>
      <c r="E29" s="466" t="str">
        <f>Custos!B38</f>
        <v>Mobilização e desmobilização de equipe de topografia</v>
      </c>
      <c r="F29" s="234">
        <f>Custos!J38</f>
        <v>4.62</v>
      </c>
      <c r="G29" s="279" t="str">
        <f>Custos!H38</f>
        <v>km</v>
      </c>
      <c r="H29" s="422">
        <f>Serviços!E9</f>
        <v>308.19999999999993</v>
      </c>
      <c r="I29" s="228">
        <f>H29*F29</f>
        <v>1423.8839999999998</v>
      </c>
      <c r="J29" s="228">
        <f>I29*K!$G$24</f>
        <v>2118.2180594977958</v>
      </c>
      <c r="K29" s="240">
        <f>J29/$J$53</f>
        <v>5.7576526207935973E-3</v>
      </c>
      <c r="M29" s="124"/>
    </row>
    <row r="30" spans="1:13" s="123" customFormat="1">
      <c r="A30" s="232" t="s">
        <v>383</v>
      </c>
      <c r="B30" s="225">
        <f>'P1'!B30</f>
        <v>65001667</v>
      </c>
      <c r="C30" s="232" t="str">
        <f>Custos!G39</f>
        <v>set/2024</v>
      </c>
      <c r="D30" s="237" t="str">
        <f>Custos!D39</f>
        <v>COPASA</v>
      </c>
      <c r="E30" s="415" t="str">
        <f>Custos!B39</f>
        <v>Equipe de topografia de campo</v>
      </c>
      <c r="F30" s="234">
        <f>Custos!J39</f>
        <v>50814.45</v>
      </c>
      <c r="G30" s="279" t="str">
        <f>Custos!H39</f>
        <v>mês</v>
      </c>
      <c r="H30" s="422">
        <f>Serviços!E10</f>
        <v>0.17956682104329014</v>
      </c>
      <c r="I30" s="228">
        <f t="shared" ref="I30:I31" si="2">H30*F30</f>
        <v>9124.5892495632143</v>
      </c>
      <c r="J30" s="228">
        <f>I30*K!$G$24</f>
        <v>13574.047979978877</v>
      </c>
      <c r="K30" s="240">
        <f>J30/$J$53</f>
        <v>3.6896415161918203E-2</v>
      </c>
      <c r="M30" s="124"/>
    </row>
    <row r="31" spans="1:13" s="123" customFormat="1">
      <c r="A31" s="232" t="s">
        <v>386</v>
      </c>
      <c r="B31" s="225">
        <f>'P1'!B31</f>
        <v>65001668</v>
      </c>
      <c r="C31" s="232" t="str">
        <f>Custos!G40</f>
        <v>set/2024</v>
      </c>
      <c r="D31" s="237" t="str">
        <f>Custos!D40</f>
        <v>COPASA</v>
      </c>
      <c r="E31" s="415" t="str">
        <f>Custos!B40</f>
        <v>Equipe de topografia de escritório</v>
      </c>
      <c r="F31" s="234">
        <f>Custos!J40</f>
        <v>26804.01</v>
      </c>
      <c r="G31" s="279" t="str">
        <f>Custos!H40</f>
        <v>mês</v>
      </c>
      <c r="H31" s="422">
        <f>Serviços!E11</f>
        <v>8.9783410521645068E-2</v>
      </c>
      <c r="I31" s="228">
        <f t="shared" si="2"/>
        <v>2406.5554334562794</v>
      </c>
      <c r="J31" s="228">
        <f>I31*K!$G$24</f>
        <v>3580.0733629492556</v>
      </c>
      <c r="K31" s="240">
        <f>J31/$J$53</f>
        <v>9.7312071759529713E-3</v>
      </c>
      <c r="M31" s="124"/>
    </row>
    <row r="32" spans="1:13" ht="5.0999999999999996" customHeight="1">
      <c r="A32" s="167"/>
      <c r="B32" s="168"/>
      <c r="C32" s="168"/>
      <c r="D32" s="169"/>
      <c r="E32" s="170"/>
      <c r="F32" s="165"/>
      <c r="G32" s="159"/>
      <c r="H32" s="502"/>
      <c r="I32" s="159"/>
      <c r="J32" s="159"/>
      <c r="K32" s="191"/>
      <c r="M32" s="124"/>
    </row>
    <row r="33" spans="1:13" s="122" customFormat="1" ht="18" customHeight="1">
      <c r="A33" s="156" t="s">
        <v>60</v>
      </c>
      <c r="B33" s="171" t="s">
        <v>708</v>
      </c>
      <c r="C33" s="171"/>
      <c r="D33" s="171"/>
      <c r="E33" s="171"/>
      <c r="F33" s="158"/>
      <c r="G33" s="156"/>
      <c r="H33" s="505"/>
      <c r="I33" s="157"/>
      <c r="J33" s="172">
        <f>SUM(J34:J37)</f>
        <v>35041.703964839449</v>
      </c>
      <c r="K33" s="403">
        <f>SUM(K34:K37)</f>
        <v>9.5248908754023975E-2</v>
      </c>
      <c r="M33" s="124"/>
    </row>
    <row r="34" spans="1:13" s="123" customFormat="1" ht="25.5">
      <c r="A34" s="232" t="s">
        <v>378</v>
      </c>
      <c r="B34" s="225">
        <f>'P1'!B34</f>
        <v>65001207</v>
      </c>
      <c r="C34" s="232" t="str">
        <f>Custos!G32</f>
        <v>set/2024</v>
      </c>
      <c r="D34" s="237" t="str">
        <f>Custos!D32</f>
        <v>COPASA</v>
      </c>
      <c r="E34" s="467" t="str">
        <f>Custos!B32</f>
        <v>Sondagem a percussao - mobilizacao e desmobilizacao</v>
      </c>
      <c r="F34" s="234">
        <f>Custos!J32</f>
        <v>1316.83</v>
      </c>
      <c r="G34" s="279" t="str">
        <f>Custos!H32</f>
        <v>unidade</v>
      </c>
      <c r="H34" s="422">
        <f>Serviços!H14</f>
        <v>1</v>
      </c>
      <c r="I34" s="228">
        <f>H34*F34</f>
        <v>1316.83</v>
      </c>
      <c r="J34" s="228">
        <f>I34*K!$G$24</f>
        <v>1958.9609036188922</v>
      </c>
      <c r="K34" s="240">
        <f>J34/$J$53</f>
        <v>5.3247664140053776E-3</v>
      </c>
      <c r="M34" s="124"/>
    </row>
    <row r="35" spans="1:13" s="123" customFormat="1" ht="26.45" customHeight="1">
      <c r="A35" s="232" t="s">
        <v>383</v>
      </c>
      <c r="B35" s="225">
        <f>'P1'!B35</f>
        <v>65001208</v>
      </c>
      <c r="C35" s="237" t="str">
        <f>Custos!G33</f>
        <v>set/2024</v>
      </c>
      <c r="D35" s="237" t="str">
        <f>Custos!D33</f>
        <v>COPASA</v>
      </c>
      <c r="E35" s="465" t="str">
        <f>Custos!B33</f>
        <v>Sondagem a percussao - adicional de mobilizacao e desmobilizacao</v>
      </c>
      <c r="F35" s="234">
        <f>Custos!J33</f>
        <v>9.32</v>
      </c>
      <c r="G35" s="279" t="str">
        <f>Custos!H33</f>
        <v>km</v>
      </c>
      <c r="H35" s="422">
        <f>Serviços!H15</f>
        <v>308.19999999999993</v>
      </c>
      <c r="I35" s="228">
        <f t="shared" ref="I35:I37" si="3">H35*F35</f>
        <v>2872.4239999999995</v>
      </c>
      <c r="J35" s="228">
        <f>I35*K!$G$24</f>
        <v>4273.1152195929562</v>
      </c>
      <c r="K35" s="239">
        <f>J35/$J$53</f>
        <v>1.161500485406847E-2</v>
      </c>
      <c r="M35" s="124"/>
    </row>
    <row r="36" spans="1:13" s="123" customFormat="1">
      <c r="A36" s="232" t="s">
        <v>386</v>
      </c>
      <c r="B36" s="225">
        <f>'P1'!B36</f>
        <v>65001209</v>
      </c>
      <c r="C36" s="232" t="str">
        <f>Custos!G34</f>
        <v>set/2024</v>
      </c>
      <c r="D36" s="237" t="str">
        <f>Custos!D34</f>
        <v>COPASA</v>
      </c>
      <c r="E36" s="467" t="str">
        <f>Custos!B34</f>
        <v>Sondagem a percussao - instalacao por furo</v>
      </c>
      <c r="F36" s="234">
        <f>Custos!J34</f>
        <v>482.46</v>
      </c>
      <c r="G36" s="279" t="str">
        <f>Custos!H34</f>
        <v>unidade</v>
      </c>
      <c r="H36" s="422">
        <f>Serviços!H16</f>
        <v>10.011100880000001</v>
      </c>
      <c r="I36" s="228">
        <f t="shared" si="3"/>
        <v>4829.9557305648004</v>
      </c>
      <c r="J36" s="228">
        <f>I36*K!$G$24</f>
        <v>7185.2057155338716</v>
      </c>
      <c r="K36" s="240">
        <f>J36/$J$53</f>
        <v>1.9530528659921369E-2</v>
      </c>
      <c r="M36" s="124"/>
    </row>
    <row r="37" spans="1:13" s="123" customFormat="1" ht="26.45" customHeight="1">
      <c r="A37" s="232" t="s">
        <v>389</v>
      </c>
      <c r="B37" s="225">
        <f>'P1'!B37</f>
        <v>65001210</v>
      </c>
      <c r="C37" s="237" t="str">
        <f>Custos!G35</f>
        <v>set/2024</v>
      </c>
      <c r="D37" s="237" t="str">
        <f>Custos!D35</f>
        <v>COPASA</v>
      </c>
      <c r="E37" s="465" t="str">
        <f>Custos!B35</f>
        <v>Sondagem a percussao ø2.1/2" - perfuracao e retirada de amostras</v>
      </c>
      <c r="F37" s="234">
        <f>Custos!J35</f>
        <v>145.19999999999999</v>
      </c>
      <c r="G37" s="279" t="str">
        <f>Custos!H35</f>
        <v>m</v>
      </c>
      <c r="H37" s="422">
        <f>Serviços!H17</f>
        <v>100.11100880000001</v>
      </c>
      <c r="I37" s="228">
        <f t="shared" si="3"/>
        <v>14536.118477759999</v>
      </c>
      <c r="J37" s="228">
        <f>I37*K!$G$24</f>
        <v>21624.42212609373</v>
      </c>
      <c r="K37" s="239">
        <f>J37/$J$53</f>
        <v>5.8778608826028748E-2</v>
      </c>
      <c r="M37" s="124"/>
    </row>
    <row r="38" spans="1:13" s="123" customFormat="1" ht="9" customHeight="1">
      <c r="A38" s="308"/>
      <c r="B38" s="167"/>
      <c r="C38" s="167"/>
      <c r="D38" s="309"/>
      <c r="E38" s="310"/>
      <c r="F38" s="311"/>
      <c r="G38" s="159"/>
      <c r="H38" s="506"/>
      <c r="I38" s="312"/>
      <c r="J38" s="312"/>
      <c r="K38" s="313"/>
      <c r="M38" s="124"/>
    </row>
    <row r="39" spans="1:13" s="122" customFormat="1" ht="18" customHeight="1">
      <c r="A39" s="156" t="s">
        <v>61</v>
      </c>
      <c r="B39" s="171" t="s">
        <v>751</v>
      </c>
      <c r="C39" s="171"/>
      <c r="D39" s="171"/>
      <c r="E39" s="171"/>
      <c r="F39" s="158"/>
      <c r="G39" s="156"/>
      <c r="H39" s="505"/>
      <c r="I39" s="157"/>
      <c r="J39" s="172">
        <f>SUM(J40:J41)</f>
        <v>15294.171191816182</v>
      </c>
      <c r="K39" s="403">
        <f>SUM(K40:K41)</f>
        <v>4.1571982851616326E-2</v>
      </c>
      <c r="M39" s="124"/>
    </row>
    <row r="40" spans="1:13" s="123" customFormat="1">
      <c r="A40" s="232" t="s">
        <v>378</v>
      </c>
      <c r="B40" s="225">
        <f>'P1'!B40</f>
        <v>65001667</v>
      </c>
      <c r="C40" s="232" t="str">
        <f>Custos!G43</f>
        <v>set/2024</v>
      </c>
      <c r="D40" s="237" t="str">
        <f>Custos!D43</f>
        <v>COPASA</v>
      </c>
      <c r="E40" s="466" t="str">
        <f>Custos!B43</f>
        <v>Equipe de topografia de campo</v>
      </c>
      <c r="F40" s="234">
        <f>Custos!J43</f>
        <v>50814.45</v>
      </c>
      <c r="G40" s="279" t="str">
        <f>Custos!H43</f>
        <v>mês</v>
      </c>
      <c r="H40" s="422">
        <f>Serviços!D12</f>
        <v>0.19305793508063995</v>
      </c>
      <c r="I40" s="228">
        <f>H40*F40</f>
        <v>9810.132789258425</v>
      </c>
      <c r="J40" s="228">
        <f>I40*K!$G$24</f>
        <v>14593.885766171039</v>
      </c>
      <c r="K40" s="240">
        <f>J40/$J$53</f>
        <v>3.9668496004173784E-2</v>
      </c>
      <c r="M40" s="124"/>
    </row>
    <row r="41" spans="1:13" s="123" customFormat="1">
      <c r="A41" s="232" t="s">
        <v>383</v>
      </c>
      <c r="B41" s="225">
        <f>'P1'!B41</f>
        <v>65001668</v>
      </c>
      <c r="C41" s="232" t="str">
        <f>Custos!G44</f>
        <v>set/2024</v>
      </c>
      <c r="D41" s="237" t="str">
        <f>Custos!D44</f>
        <v>COPASA</v>
      </c>
      <c r="E41" s="466" t="str">
        <f>Custos!B44</f>
        <v>Equipe de topografia de escritório</v>
      </c>
      <c r="F41" s="234">
        <f>Custos!J44</f>
        <v>26804.01</v>
      </c>
      <c r="G41" s="279" t="str">
        <f>Custos!H44</f>
        <v>mês</v>
      </c>
      <c r="H41" s="422">
        <f>Serviços!D13</f>
        <v>1.7562213809279997E-2</v>
      </c>
      <c r="I41" s="228">
        <f>H41*F41</f>
        <v>470.7377545660791</v>
      </c>
      <c r="J41" s="228">
        <f>I41*K!$G$24</f>
        <v>700.28542564514373</v>
      </c>
      <c r="K41" s="240">
        <f>J41/$J$53</f>
        <v>1.9034868474425437E-3</v>
      </c>
      <c r="M41" s="124"/>
    </row>
    <row r="42" spans="1:13" ht="5.0999999999999996" customHeight="1">
      <c r="A42" s="232"/>
      <c r="B42" s="237"/>
      <c r="C42" s="237"/>
      <c r="D42" s="232"/>
      <c r="E42" s="173"/>
      <c r="F42" s="165"/>
      <c r="G42" s="226"/>
      <c r="H42" s="502"/>
      <c r="I42" s="159"/>
      <c r="J42" s="159"/>
      <c r="K42" s="191"/>
      <c r="M42" s="124"/>
    </row>
    <row r="43" spans="1:13" s="122" customFormat="1" ht="18" customHeight="1">
      <c r="A43" s="156" t="s">
        <v>62</v>
      </c>
      <c r="B43" s="157" t="s">
        <v>422</v>
      </c>
      <c r="C43" s="171"/>
      <c r="D43" s="171"/>
      <c r="E43" s="171"/>
      <c r="F43" s="158"/>
      <c r="G43" s="156"/>
      <c r="H43" s="157"/>
      <c r="I43" s="157"/>
      <c r="J43" s="172">
        <f>SUM(J44:J45)</f>
        <v>731.11253972991267</v>
      </c>
      <c r="K43" s="403">
        <f>SUM(K44:K45)</f>
        <v>1.9872798324970446E-3</v>
      </c>
    </row>
    <row r="44" spans="1:13" s="123" customFormat="1">
      <c r="A44" s="237" t="s">
        <v>378</v>
      </c>
      <c r="B44" s="466">
        <f>Custos!E49</f>
        <v>65001114</v>
      </c>
      <c r="C44" s="237" t="str">
        <f>Custos!G49</f>
        <v>set/2024</v>
      </c>
      <c r="D44" s="237" t="str">
        <f>Custos!D49</f>
        <v>COPASA</v>
      </c>
      <c r="E44" s="466" t="str">
        <f>Custos!B49</f>
        <v>Análise fisico-química da água</v>
      </c>
      <c r="F44" s="234">
        <f>Custos!J49</f>
        <v>371.18</v>
      </c>
      <c r="G44" s="237" t="str">
        <f>Custos!H49</f>
        <v>unidade</v>
      </c>
      <c r="H44" s="279">
        <f>Serviços!K18</f>
        <v>1</v>
      </c>
      <c r="I44" s="228">
        <f t="shared" ref="I44:I45" si="4">H44*F44</f>
        <v>371.18</v>
      </c>
      <c r="J44" s="228">
        <f>(I44*K!$G$24)</f>
        <v>552.1799383407581</v>
      </c>
      <c r="K44" s="240">
        <f>J44/$J$53</f>
        <v>1.5009126444191858E-3</v>
      </c>
    </row>
    <row r="45" spans="1:13" s="123" customFormat="1">
      <c r="A45" s="237" t="s">
        <v>383</v>
      </c>
      <c r="B45" s="466">
        <f>Custos!E50</f>
        <v>65001115</v>
      </c>
      <c r="C45" s="237" t="str">
        <f>Custos!G50</f>
        <v>set/2024</v>
      </c>
      <c r="D45" s="237" t="str">
        <f>Custos!D50</f>
        <v>COPASA</v>
      </c>
      <c r="E45" s="466" t="str">
        <f>Custos!B50</f>
        <v>Analise bactereologica da água</v>
      </c>
      <c r="F45" s="234">
        <f>Custos!J50</f>
        <v>120.28</v>
      </c>
      <c r="G45" s="237" t="str">
        <f>Custos!H50</f>
        <v>unidade</v>
      </c>
      <c r="H45" s="279">
        <f>Serviços!K19</f>
        <v>1</v>
      </c>
      <c r="I45" s="228">
        <f t="shared" si="4"/>
        <v>120.28</v>
      </c>
      <c r="J45" s="228">
        <f>(I45*K!$G$24)</f>
        <v>178.93260138915454</v>
      </c>
      <c r="K45" s="240">
        <f>J45/$J$53</f>
        <v>4.8636718807785887E-4</v>
      </c>
    </row>
    <row r="46" spans="1:13" s="122" customFormat="1" ht="18" customHeight="1">
      <c r="A46" s="393" t="s">
        <v>724</v>
      </c>
      <c r="B46" s="394" t="s">
        <v>725</v>
      </c>
      <c r="C46" s="394"/>
      <c r="D46" s="394"/>
      <c r="E46" s="182"/>
      <c r="F46" s="183"/>
      <c r="G46" s="181"/>
      <c r="H46" s="504"/>
      <c r="I46" s="182"/>
      <c r="J46" s="399">
        <f>J48</f>
        <v>4989.8326997084541</v>
      </c>
      <c r="K46" s="388">
        <f>J46/$J$53</f>
        <v>1.35631566315743E-2</v>
      </c>
      <c r="L46" s="120"/>
      <c r="M46" s="124"/>
    </row>
    <row r="47" spans="1:13" ht="5.0999999999999996" customHeight="1">
      <c r="A47" s="395"/>
      <c r="B47" s="168"/>
      <c r="C47" s="168"/>
      <c r="D47" s="395"/>
      <c r="E47" s="173"/>
      <c r="F47" s="165"/>
      <c r="G47" s="159"/>
      <c r="H47" s="502"/>
      <c r="I47" s="159"/>
      <c r="J47" s="159"/>
      <c r="K47" s="191"/>
      <c r="M47" s="124"/>
    </row>
    <row r="48" spans="1:13" s="122" customFormat="1" ht="18" customHeight="1">
      <c r="A48" s="156" t="s">
        <v>72</v>
      </c>
      <c r="B48" s="157" t="s">
        <v>421</v>
      </c>
      <c r="C48" s="157"/>
      <c r="D48" s="157"/>
      <c r="E48" s="157"/>
      <c r="F48" s="158"/>
      <c r="G48" s="156"/>
      <c r="H48" s="505"/>
      <c r="I48" s="157"/>
      <c r="J48" s="177">
        <f>SUM(J49:J51)</f>
        <v>4989.8326997084541</v>
      </c>
      <c r="K48" s="402">
        <f>SUM(K49:K51)</f>
        <v>1.35631566315743E-2</v>
      </c>
      <c r="L48" s="120"/>
      <c r="M48" s="124"/>
    </row>
    <row r="49" spans="1:13" s="123" customFormat="1">
      <c r="A49" s="232" t="s">
        <v>378</v>
      </c>
      <c r="B49" s="237" t="str">
        <f>Custos!F52</f>
        <v>-</v>
      </c>
      <c r="C49" s="237" t="str">
        <f>Custos!G52</f>
        <v>out/2024</v>
      </c>
      <c r="D49" s="237" t="str">
        <f>Custos!D52</f>
        <v>Composição</v>
      </c>
      <c r="E49" s="233" t="str">
        <f>Custos!B52</f>
        <v>Veículo tipo pick-up 4X4</v>
      </c>
      <c r="F49" s="234">
        <f>Custos!J52</f>
        <v>2491.71</v>
      </c>
      <c r="G49" s="279" t="str">
        <f>'P1'!G49</f>
        <v>R$/dia</v>
      </c>
      <c r="H49" s="422">
        <f>Serviços!K20</f>
        <v>1</v>
      </c>
      <c r="I49" s="464">
        <f>ROUND(('P1'!I49+'P3'!I49+'P2'!I49+'P4'!I49+'P5'!I49+'P6'!I49+'P7.1'!I49+'P8'!I49),2)</f>
        <v>2491.71</v>
      </c>
      <c r="J49" s="228">
        <f>I49*K!$G$25</f>
        <v>3160.3309574344021</v>
      </c>
      <c r="K49" s="240">
        <f>J49/$J$53</f>
        <v>8.5902807494528683E-3</v>
      </c>
      <c r="M49" s="124"/>
    </row>
    <row r="50" spans="1:13" s="123" customFormat="1" ht="16.149999999999999" customHeight="1">
      <c r="A50" s="232" t="s">
        <v>383</v>
      </c>
      <c r="B50" s="237" t="str">
        <f>Custos!F53</f>
        <v>-</v>
      </c>
      <c r="C50" s="237" t="str">
        <f>Custos!G53</f>
        <v>out/2024</v>
      </c>
      <c r="D50" s="238" t="str">
        <f>Custos!D53</f>
        <v>AGEVAP</v>
      </c>
      <c r="E50" s="233" t="str">
        <f>Custos!B53</f>
        <v>Refeições</v>
      </c>
      <c r="F50" s="234">
        <f>'P1'!F50</f>
        <v>25.61</v>
      </c>
      <c r="G50" s="279" t="str">
        <f>'P1'!G50</f>
        <v>unidade</v>
      </c>
      <c r="H50" s="422">
        <f>Serviços!K21</f>
        <v>4</v>
      </c>
      <c r="I50" s="228">
        <f t="shared" ref="I50:I51" si="5">H50*F50</f>
        <v>102.44</v>
      </c>
      <c r="J50" s="228">
        <f>I50*K!$G$25</f>
        <v>129.92856443148688</v>
      </c>
      <c r="K50" s="240">
        <f>J50/$J$53</f>
        <v>3.5316644391761152E-4</v>
      </c>
      <c r="M50" s="124"/>
    </row>
    <row r="51" spans="1:13" s="123" customFormat="1" ht="16.149999999999999" customHeight="1">
      <c r="A51" s="232" t="s">
        <v>386</v>
      </c>
      <c r="B51" s="237" t="str">
        <f>Custos!F54</f>
        <v>-</v>
      </c>
      <c r="C51" s="237" t="str">
        <f>Custos!G54</f>
        <v>out/2024</v>
      </c>
      <c r="D51" s="238" t="str">
        <f>Custos!D54</f>
        <v>AGEVAP</v>
      </c>
      <c r="E51" s="233" t="str">
        <f>Custos!B54</f>
        <v>Diárias</v>
      </c>
      <c r="F51" s="234">
        <f>'P1'!F51</f>
        <v>335</v>
      </c>
      <c r="G51" s="279" t="str">
        <f>'P1'!G51</f>
        <v>unidade</v>
      </c>
      <c r="H51" s="422">
        <f>Serviços!K22</f>
        <v>4</v>
      </c>
      <c r="I51" s="228">
        <f t="shared" si="5"/>
        <v>1340</v>
      </c>
      <c r="J51" s="228">
        <f>I51*K!$G$25</f>
        <v>1699.5731778425654</v>
      </c>
      <c r="K51" s="240">
        <f>J51/$J$53</f>
        <v>4.6197094382038209E-3</v>
      </c>
      <c r="M51" s="124"/>
    </row>
    <row r="52" spans="1:13" ht="6" customHeight="1">
      <c r="A52" s="151"/>
      <c r="B52" s="160"/>
      <c r="C52" s="160"/>
      <c r="D52" s="160"/>
      <c r="E52" s="174"/>
      <c r="F52" s="175"/>
      <c r="G52" s="185"/>
      <c r="H52" s="507"/>
      <c r="I52" s="163"/>
      <c r="J52" s="176"/>
      <c r="K52" s="193"/>
      <c r="M52" s="124"/>
    </row>
    <row r="53" spans="1:13" ht="18" customHeight="1">
      <c r="A53" s="746" t="s">
        <v>726</v>
      </c>
      <c r="B53" s="746"/>
      <c r="C53" s="746"/>
      <c r="D53" s="746"/>
      <c r="E53" s="746"/>
      <c r="F53" s="396"/>
      <c r="G53" s="397"/>
      <c r="H53" s="508"/>
      <c r="I53" s="396" t="s">
        <v>318</v>
      </c>
      <c r="J53" s="396">
        <f>ROUND(J7+J16+J26+J46,2)</f>
        <v>367896.12</v>
      </c>
      <c r="K53" s="401">
        <f>K7+K16+K26+K46</f>
        <v>0.99999999590078315</v>
      </c>
      <c r="M53" s="124"/>
    </row>
    <row r="54" spans="1:13" ht="6" customHeight="1">
      <c r="A54" s="126"/>
      <c r="B54" s="80"/>
      <c r="C54" s="80"/>
      <c r="D54" s="127"/>
      <c r="E54" s="128"/>
      <c r="F54" s="133"/>
      <c r="G54" s="127"/>
      <c r="H54" s="509"/>
      <c r="I54" s="129"/>
      <c r="J54" s="121"/>
      <c r="K54" s="243"/>
      <c r="M54" s="122"/>
    </row>
    <row r="55" spans="1:13" ht="20.100000000000001" customHeight="1">
      <c r="A55" s="152" t="s">
        <v>727</v>
      </c>
      <c r="B55" s="153"/>
      <c r="C55" s="153"/>
      <c r="D55" s="153"/>
      <c r="E55" s="153"/>
      <c r="F55" s="154"/>
      <c r="G55" s="186"/>
      <c r="H55" s="510"/>
      <c r="I55" s="153"/>
      <c r="J55" s="153"/>
      <c r="K55" s="154"/>
      <c r="M55" s="122"/>
    </row>
    <row r="56" spans="1:13" ht="24" customHeight="1">
      <c r="A56" s="155" t="s">
        <v>728</v>
      </c>
      <c r="B56" s="747" t="s">
        <v>729</v>
      </c>
      <c r="C56" s="747"/>
      <c r="D56" s="747"/>
      <c r="E56" s="747"/>
      <c r="F56" s="747"/>
      <c r="G56" s="747"/>
      <c r="H56" s="747"/>
      <c r="I56" s="747"/>
      <c r="J56" s="747"/>
      <c r="K56" s="747"/>
      <c r="M56" s="122"/>
    </row>
    <row r="57" spans="1:13" ht="13.15" customHeight="1">
      <c r="A57" s="155" t="s">
        <v>730</v>
      </c>
      <c r="B57" s="743" t="s">
        <v>731</v>
      </c>
      <c r="C57" s="743"/>
      <c r="D57" s="743"/>
      <c r="E57" s="743"/>
      <c r="F57" s="743"/>
      <c r="G57" s="743"/>
      <c r="H57" s="743"/>
      <c r="I57" s="743"/>
      <c r="J57" s="743"/>
      <c r="K57" s="743"/>
      <c r="M57" s="122"/>
    </row>
    <row r="58" spans="1:13" ht="13.15" customHeight="1">
      <c r="A58" s="155" t="s">
        <v>732</v>
      </c>
      <c r="B58" s="743" t="s">
        <v>733</v>
      </c>
      <c r="C58" s="743"/>
      <c r="D58" s="743"/>
      <c r="E58" s="743"/>
      <c r="F58" s="743"/>
      <c r="G58" s="743"/>
      <c r="H58" s="743"/>
      <c r="I58" s="743"/>
      <c r="J58" s="743"/>
      <c r="K58" s="743"/>
      <c r="M58" s="122"/>
    </row>
    <row r="59" spans="1:13" ht="13.15" customHeight="1">
      <c r="A59" s="155"/>
      <c r="B59" s="314"/>
      <c r="C59" s="314"/>
      <c r="D59" s="314"/>
      <c r="E59" s="314"/>
      <c r="F59" s="314"/>
      <c r="G59" s="314"/>
      <c r="H59" s="511"/>
      <c r="I59" s="314"/>
      <c r="J59" s="314"/>
      <c r="K59" s="314"/>
      <c r="M59" s="122"/>
    </row>
    <row r="60" spans="1:13" ht="13.15" customHeight="1">
      <c r="A60" s="741" t="s">
        <v>734</v>
      </c>
      <c r="B60" s="741"/>
      <c r="C60" s="741"/>
      <c r="D60" s="741"/>
      <c r="E60" s="741"/>
      <c r="F60" s="741" t="s">
        <v>735</v>
      </c>
      <c r="G60" s="741"/>
      <c r="H60" s="741"/>
      <c r="I60" s="741"/>
      <c r="J60" s="314"/>
      <c r="K60" s="314"/>
    </row>
    <row r="61" spans="1:13" ht="13.15" customHeight="1">
      <c r="A61" s="742" t="s">
        <v>736</v>
      </c>
      <c r="B61" s="742"/>
      <c r="C61" s="742"/>
      <c r="D61" s="742"/>
      <c r="E61" s="742"/>
      <c r="F61" s="742" t="s">
        <v>737</v>
      </c>
      <c r="G61" s="742"/>
      <c r="H61" s="742"/>
      <c r="I61" s="742"/>
      <c r="J61" s="314"/>
      <c r="K61" s="314"/>
    </row>
    <row r="62" spans="1:13" ht="13.15" customHeight="1">
      <c r="A62" s="742" t="s">
        <v>738</v>
      </c>
      <c r="B62" s="742"/>
      <c r="C62" s="742"/>
      <c r="D62" s="742"/>
      <c r="E62" s="742"/>
      <c r="F62" s="742" t="s">
        <v>738</v>
      </c>
      <c r="G62" s="742"/>
      <c r="H62" s="742"/>
      <c r="I62" s="742"/>
      <c r="J62" s="314"/>
      <c r="K62" s="314"/>
    </row>
    <row r="63" spans="1:13">
      <c r="A63" s="551"/>
      <c r="B63" s="551"/>
      <c r="C63" s="551"/>
      <c r="D63" s="551"/>
      <c r="E63" s="131"/>
      <c r="G63" s="131"/>
      <c r="H63" s="131"/>
      <c r="L63"/>
    </row>
    <row r="64" spans="1:13" ht="15" customHeight="1">
      <c r="A64" s="741" t="s">
        <v>739</v>
      </c>
      <c r="B64" s="741"/>
      <c r="C64" s="741"/>
      <c r="D64" s="741"/>
      <c r="E64" s="741"/>
      <c r="F64" s="741"/>
      <c r="G64" s="741"/>
      <c r="H64" s="741"/>
      <c r="I64" s="741"/>
      <c r="J64" s="741"/>
      <c r="K64" s="741"/>
      <c r="L64"/>
    </row>
    <row r="65" spans="1:12" ht="15" customHeight="1">
      <c r="A65" s="742" t="s">
        <v>740</v>
      </c>
      <c r="B65" s="742"/>
      <c r="C65" s="742"/>
      <c r="D65" s="742"/>
      <c r="E65" s="742"/>
      <c r="F65" s="742"/>
      <c r="G65" s="742"/>
      <c r="H65" s="742"/>
      <c r="I65" s="742"/>
      <c r="J65" s="742"/>
      <c r="K65" s="742"/>
    </row>
    <row r="66" spans="1:12" ht="15" customHeight="1">
      <c r="A66" s="742" t="s">
        <v>738</v>
      </c>
      <c r="B66" s="742"/>
      <c r="C66" s="742"/>
      <c r="D66" s="742"/>
      <c r="E66" s="742"/>
      <c r="F66" s="742"/>
      <c r="G66" s="742"/>
      <c r="H66" s="742"/>
      <c r="I66" s="742"/>
      <c r="J66" s="742"/>
      <c r="K66" s="742"/>
      <c r="L66" s="122"/>
    </row>
    <row r="67" spans="1:12">
      <c r="A67" s="742"/>
      <c r="B67" s="742"/>
      <c r="C67" s="742"/>
      <c r="D67" s="742"/>
      <c r="F67" s="742"/>
      <c r="G67" s="742"/>
      <c r="H67" s="742"/>
      <c r="I67" s="742"/>
    </row>
    <row r="68" spans="1:12">
      <c r="A68" s="742"/>
      <c r="B68" s="742"/>
      <c r="C68" s="742"/>
      <c r="D68" s="742"/>
      <c r="F68" s="742"/>
      <c r="G68" s="742"/>
      <c r="H68" s="742"/>
      <c r="I68" s="742"/>
    </row>
  </sheetData>
  <mergeCells count="19">
    <mergeCell ref="B58:K58"/>
    <mergeCell ref="F62:I62"/>
    <mergeCell ref="A60:E60"/>
    <mergeCell ref="F60:I60"/>
    <mergeCell ref="D1:K1"/>
    <mergeCell ref="F6:G6"/>
    <mergeCell ref="A53:E53"/>
    <mergeCell ref="B56:K56"/>
    <mergeCell ref="B57:K57"/>
    <mergeCell ref="A61:E61"/>
    <mergeCell ref="F61:I61"/>
    <mergeCell ref="A62:E62"/>
    <mergeCell ref="A67:D67"/>
    <mergeCell ref="A68:D68"/>
    <mergeCell ref="F67:I67"/>
    <mergeCell ref="F68:I68"/>
    <mergeCell ref="A64:K64"/>
    <mergeCell ref="A65:K65"/>
    <mergeCell ref="A66:K66"/>
  </mergeCells>
  <printOptions horizontalCentered="1"/>
  <pageMargins left="0.51181102362204722" right="0.51181102362204722" top="0.59055118110236227" bottom="0.59055118110236227" header="0.31496062992125984" footer="0.31496062992125984"/>
  <pageSetup paperSize="9" scale="6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8" tint="-0.249977111117893"/>
    <pageSetUpPr fitToPage="1"/>
  </sheetPr>
  <dimension ref="A1:L18"/>
  <sheetViews>
    <sheetView showGridLines="0" zoomScale="80" zoomScaleNormal="80" zoomScaleSheetLayoutView="80" workbookViewId="0">
      <selection activeCell="M14" sqref="M14"/>
    </sheetView>
  </sheetViews>
  <sheetFormatPr defaultColWidth="9.140625" defaultRowHeight="15.75"/>
  <cols>
    <col min="1" max="1" width="13.7109375" style="111" customWidth="1"/>
    <col min="2" max="2" width="42.140625" style="194" customWidth="1"/>
    <col min="3" max="3" width="7.7109375" style="194" bestFit="1" customWidth="1"/>
    <col min="4" max="4" width="14.140625" style="194" bestFit="1" customWidth="1"/>
    <col min="5" max="5" width="14.28515625" style="111" bestFit="1" customWidth="1"/>
    <col min="6" max="6" width="15.7109375" customWidth="1"/>
    <col min="7" max="7" width="9.140625" customWidth="1"/>
    <col min="8" max="8" width="11.140625" customWidth="1"/>
    <col min="9" max="10" width="9.140625" customWidth="1"/>
    <col min="11" max="11" width="19.7109375" customWidth="1"/>
    <col min="12" max="12" width="20.140625" customWidth="1"/>
    <col min="13" max="15" width="19" style="111" customWidth="1"/>
    <col min="16" max="16384" width="9.140625" style="111"/>
  </cols>
  <sheetData>
    <row r="1" spans="1:12" ht="32.450000000000003" customHeight="1">
      <c r="B1" s="749" t="str">
        <f>'P1'!D1</f>
        <v xml:space="preserve">ORÇAMENTO PARA ELABORAÇÃO DE PROJETOS DE SISTEMA DE ESGOTAMENTO SANITÁRIO </v>
      </c>
      <c r="C1" s="750"/>
      <c r="D1" s="750"/>
      <c r="E1" s="750"/>
    </row>
    <row r="2" spans="1:12">
      <c r="A2" s="60"/>
      <c r="B2" s="244"/>
      <c r="C2" s="244"/>
      <c r="D2" s="244"/>
      <c r="E2" s="60"/>
    </row>
    <row r="3" spans="1:12" ht="22.5" customHeight="1">
      <c r="A3" s="59" t="s">
        <v>752</v>
      </c>
      <c r="B3" s="64"/>
      <c r="D3" s="62" t="s">
        <v>134</v>
      </c>
      <c r="E3" s="110">
        <f ca="1">'Dados Básicos do município'!H4</f>
        <v>46139</v>
      </c>
    </row>
    <row r="4" spans="1:12" ht="22.5" customHeight="1">
      <c r="A4" s="59" t="s">
        <v>135</v>
      </c>
      <c r="B4" s="64" t="str">
        <f>'Dados Básicos do município'!B5</f>
        <v>CBH-SANTO ANTÔNIO</v>
      </c>
      <c r="C4" s="64"/>
      <c r="D4" s="64"/>
      <c r="E4" s="60"/>
    </row>
    <row r="5" spans="1:12" ht="22.5" customHeight="1">
      <c r="A5" s="59" t="s">
        <v>136</v>
      </c>
      <c r="B5" s="64" t="str">
        <f>'Dados Básicos do município'!B6</f>
        <v>Açucena/MG</v>
      </c>
      <c r="C5" s="64"/>
      <c r="D5" s="64"/>
      <c r="E5" s="60"/>
    </row>
    <row r="7" spans="1:12" s="187" customFormat="1" ht="33.6" customHeight="1">
      <c r="A7" s="751" t="s">
        <v>449</v>
      </c>
      <c r="B7" s="751"/>
      <c r="C7" s="751"/>
      <c r="D7" s="468" t="s">
        <v>753</v>
      </c>
      <c r="E7" s="469" t="s">
        <v>371</v>
      </c>
      <c r="F7"/>
      <c r="G7"/>
      <c r="H7"/>
      <c r="I7"/>
      <c r="J7"/>
      <c r="K7"/>
      <c r="L7"/>
    </row>
    <row r="8" spans="1:12" ht="22.5" customHeight="1">
      <c r="A8" s="634" t="s">
        <v>712</v>
      </c>
      <c r="B8" s="245" t="str">
        <f>Cronograma!B12</f>
        <v>Plano de Trabalho</v>
      </c>
      <c r="C8" s="247"/>
      <c r="D8" s="420">
        <f>E8/$E$17</f>
        <v>2.4330890587562885E-2</v>
      </c>
      <c r="E8" s="413">
        <f>'P1'!J53</f>
        <v>8951.24</v>
      </c>
    </row>
    <row r="9" spans="1:12" ht="22.5" customHeight="1">
      <c r="A9" s="634" t="s">
        <v>741</v>
      </c>
      <c r="B9" s="245" t="str">
        <f>Cronograma!B13</f>
        <v xml:space="preserve">Cadastro Técnico </v>
      </c>
      <c r="C9" s="247"/>
      <c r="D9" s="420">
        <f>E9/$E$17</f>
        <v>8.4541013494271525E-2</v>
      </c>
      <c r="E9" s="413">
        <f>'P2'!J53</f>
        <v>31102.31</v>
      </c>
    </row>
    <row r="10" spans="1:12" ht="22.5" customHeight="1">
      <c r="A10" s="634" t="s">
        <v>742</v>
      </c>
      <c r="B10" s="245" t="str">
        <f>Cronograma!B14</f>
        <v>Estudos Topográficos</v>
      </c>
      <c r="C10" s="247"/>
      <c r="D10" s="420">
        <f>E10/$E$17</f>
        <v>8.857272233729245E-2</v>
      </c>
      <c r="E10" s="413">
        <f>'P3'!J53</f>
        <v>32585.56</v>
      </c>
    </row>
    <row r="11" spans="1:12" ht="22.5" customHeight="1">
      <c r="A11" s="634" t="s">
        <v>743</v>
      </c>
      <c r="B11" s="245" t="str">
        <f>Cronograma!B15</f>
        <v>Estudo de Concepção</v>
      </c>
      <c r="C11" s="247"/>
      <c r="D11" s="420">
        <f t="shared" ref="D11" si="0">E11/$E$17</f>
        <v>0.12041557058050981</v>
      </c>
      <c r="E11" s="413">
        <f>'P4'!J53</f>
        <v>44300.42</v>
      </c>
    </row>
    <row r="12" spans="1:12" ht="22.5" customHeight="1">
      <c r="A12" s="634" t="s">
        <v>744</v>
      </c>
      <c r="B12" s="245" t="str">
        <f>Cronograma!B17</f>
        <v>Projeto Básico</v>
      </c>
      <c r="C12" s="247"/>
      <c r="D12" s="420">
        <f t="shared" ref="D12:D16" si="1">E12/$E$17</f>
        <v>0.2516108691662981</v>
      </c>
      <c r="E12" s="413">
        <f>'P5'!J53</f>
        <v>92566.66</v>
      </c>
    </row>
    <row r="13" spans="1:12" ht="22.5" customHeight="1">
      <c r="A13" s="634" t="s">
        <v>746</v>
      </c>
      <c r="B13" s="245" t="str">
        <f>Cronograma!B18</f>
        <v>Estudos Geotécnicos</v>
      </c>
      <c r="C13" s="247"/>
      <c r="D13" s="420">
        <f t="shared" si="1"/>
        <v>0.10533079569664382</v>
      </c>
      <c r="E13" s="413">
        <f>'P6'!J53</f>
        <v>38750.79</v>
      </c>
    </row>
    <row r="14" spans="1:12" ht="22.5" customHeight="1">
      <c r="A14" s="634" t="s">
        <v>747</v>
      </c>
      <c r="B14" s="245" t="str">
        <f>Cronograma!B16</f>
        <v>Estudos Ambientais Preliminares</v>
      </c>
      <c r="C14" s="247"/>
      <c r="D14" s="420">
        <f t="shared" si="1"/>
        <v>2.5374772242087586E-2</v>
      </c>
      <c r="E14" s="413">
        <f>'P7.1'!J53</f>
        <v>9335.2800000000007</v>
      </c>
    </row>
    <row r="15" spans="1:12" ht="22.5" customHeight="1">
      <c r="A15" s="634" t="s">
        <v>767</v>
      </c>
      <c r="B15" s="245" t="str">
        <f>Cronograma!B19</f>
        <v>Estudos Ambientais Consolidados</v>
      </c>
      <c r="C15" s="247"/>
      <c r="D15" s="420">
        <f t="shared" si="1"/>
        <v>5.0749571665761835E-2</v>
      </c>
      <c r="E15" s="413">
        <f>'P.7.2'!J53</f>
        <v>18670.57</v>
      </c>
    </row>
    <row r="16" spans="1:12" ht="22.5" customHeight="1">
      <c r="A16" s="634" t="s">
        <v>749</v>
      </c>
      <c r="B16" s="245" t="str">
        <f>Cronograma!B20</f>
        <v>Projeto Executivo</v>
      </c>
      <c r="C16" s="248"/>
      <c r="D16" s="421">
        <f t="shared" si="1"/>
        <v>0.24907379422957204</v>
      </c>
      <c r="E16" s="413">
        <f>'P8'!J53</f>
        <v>91633.279999999999</v>
      </c>
    </row>
    <row r="17" spans="1:5" ht="22.5" customHeight="1">
      <c r="A17" s="752"/>
      <c r="B17" s="752"/>
      <c r="C17" s="470" t="s">
        <v>705</v>
      </c>
      <c r="D17" s="471">
        <f>SUM(D8:D16)</f>
        <v>1.0000000000000002</v>
      </c>
      <c r="E17" s="472">
        <f>SUM(E8:E16)</f>
        <v>367896.11</v>
      </c>
    </row>
    <row r="18" spans="1:5" ht="8.25" customHeight="1"/>
  </sheetData>
  <mergeCells count="3">
    <mergeCell ref="B1:E1"/>
    <mergeCell ref="A7:C7"/>
    <mergeCell ref="A17:B17"/>
  </mergeCells>
  <printOptions horizontalCentered="1"/>
  <pageMargins left="0.51181102362204722" right="0.51181102362204722" top="0.78740157480314965" bottom="0.78740157480314965" header="0.31496062992125984" footer="0.31496062992125984"/>
  <pageSetup paperSize="9" fitToHeight="0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8" tint="-0.249977111117893"/>
    <pageSetUpPr fitToPage="1"/>
  </sheetPr>
  <dimension ref="A1:BB38"/>
  <sheetViews>
    <sheetView showGridLines="0" topLeftCell="A7" zoomScale="60" zoomScaleNormal="60" zoomScaleSheetLayoutView="100" workbookViewId="0">
      <selection activeCell="C12" sqref="B12:C20"/>
    </sheetView>
  </sheetViews>
  <sheetFormatPr defaultColWidth="9.140625" defaultRowHeight="15.75"/>
  <cols>
    <col min="1" max="1" width="12.7109375" style="195" customWidth="1"/>
    <col min="2" max="2" width="4.28515625" style="195" customWidth="1"/>
    <col min="3" max="3" width="26.7109375" style="195" customWidth="1"/>
    <col min="4" max="4" width="15.140625" style="195" customWidth="1"/>
    <col min="5" max="5" width="12.7109375" style="195" customWidth="1"/>
    <col min="6" max="18" width="2.7109375" style="195" customWidth="1"/>
    <col min="19" max="54" width="2.7109375" customWidth="1"/>
  </cols>
  <sheetData>
    <row r="1" spans="1:54" ht="18" customHeight="1">
      <c r="A1" s="744" t="str">
        <f>'P1'!D1</f>
        <v xml:space="preserve">ORÇAMENTO PARA ELABORAÇÃO DE PROJETOS DE SISTEMA DE ESGOTAMENTO SANITÁRIO </v>
      </c>
      <c r="B1" s="744"/>
      <c r="C1" s="744"/>
      <c r="D1" s="744"/>
      <c r="E1" s="744"/>
      <c r="F1" s="744"/>
      <c r="G1" s="744"/>
      <c r="H1" s="744"/>
      <c r="I1" s="744"/>
      <c r="J1" s="744"/>
      <c r="K1" s="744"/>
      <c r="L1" s="744"/>
      <c r="M1" s="744"/>
      <c r="N1" s="744"/>
      <c r="O1" s="744"/>
      <c r="P1" s="744"/>
      <c r="Q1" s="744"/>
      <c r="R1" s="744"/>
      <c r="S1" s="744"/>
      <c r="T1" s="744"/>
      <c r="U1" s="744"/>
      <c r="V1" s="744"/>
      <c r="W1" s="744"/>
      <c r="X1" s="744"/>
      <c r="Y1" s="744"/>
      <c r="Z1" s="744"/>
      <c r="AA1" s="744"/>
      <c r="AB1" s="744"/>
      <c r="AC1" s="744"/>
      <c r="AD1" s="744"/>
      <c r="AE1" s="744"/>
      <c r="AF1" s="744"/>
      <c r="AG1" s="744"/>
      <c r="AH1" s="744"/>
      <c r="AI1" s="744"/>
      <c r="AJ1" s="744"/>
      <c r="AK1" s="744"/>
      <c r="AL1" s="744"/>
      <c r="AM1" s="744"/>
      <c r="AN1" s="744"/>
      <c r="AO1" s="744"/>
      <c r="AP1" s="744"/>
      <c r="AQ1" s="744"/>
      <c r="AR1" s="744"/>
      <c r="AS1" s="744"/>
      <c r="AT1" s="744"/>
      <c r="AU1" s="744"/>
      <c r="AV1" s="744"/>
      <c r="AW1" s="744"/>
      <c r="AX1" s="744"/>
      <c r="AY1" s="744"/>
      <c r="AZ1" s="744"/>
      <c r="BA1" s="744"/>
      <c r="BB1" s="744"/>
    </row>
    <row r="2" spans="1:54" ht="18" customHeight="1">
      <c r="A2" s="744"/>
      <c r="B2" s="744"/>
      <c r="C2" s="744"/>
      <c r="D2" s="744"/>
      <c r="E2" s="744"/>
      <c r="F2" s="744"/>
      <c r="G2" s="744"/>
      <c r="H2" s="744"/>
      <c r="I2" s="744"/>
      <c r="J2" s="744"/>
      <c r="K2" s="744"/>
      <c r="L2" s="744"/>
      <c r="M2" s="744"/>
      <c r="N2" s="744"/>
      <c r="O2" s="744"/>
      <c r="P2" s="744"/>
      <c r="Q2" s="744"/>
      <c r="R2" s="744"/>
      <c r="S2" s="744"/>
      <c r="T2" s="744"/>
      <c r="U2" s="744"/>
      <c r="V2" s="744"/>
      <c r="W2" s="744"/>
      <c r="X2" s="744"/>
      <c r="Y2" s="744"/>
      <c r="Z2" s="744"/>
      <c r="AA2" s="744"/>
      <c r="AB2" s="744"/>
      <c r="AC2" s="744"/>
      <c r="AD2" s="744"/>
      <c r="AE2" s="744"/>
      <c r="AF2" s="744"/>
      <c r="AG2" s="744"/>
      <c r="AH2" s="744"/>
      <c r="AI2" s="744"/>
      <c r="AJ2" s="744"/>
      <c r="AK2" s="744"/>
      <c r="AL2" s="744"/>
      <c r="AM2" s="744"/>
      <c r="AN2" s="744"/>
      <c r="AO2" s="744"/>
      <c r="AP2" s="744"/>
      <c r="AQ2" s="744"/>
      <c r="AR2" s="744"/>
      <c r="AS2" s="744"/>
      <c r="AT2" s="744"/>
      <c r="AU2" s="744"/>
      <c r="AV2" s="744"/>
      <c r="AW2" s="744"/>
      <c r="AX2" s="744"/>
      <c r="AY2" s="744"/>
      <c r="AZ2" s="744"/>
      <c r="BA2" s="744"/>
      <c r="BB2" s="744"/>
    </row>
    <row r="3" spans="1:54" ht="15" customHeight="1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72"/>
      <c r="N3" s="72"/>
      <c r="O3" s="72"/>
      <c r="P3" s="72"/>
      <c r="Q3" s="72"/>
      <c r="R3" s="72"/>
    </row>
    <row r="4" spans="1:54" ht="18" customHeight="1">
      <c r="A4" s="80" t="s">
        <v>754</v>
      </c>
      <c r="B4" s="80"/>
      <c r="C4" s="83"/>
      <c r="D4" s="53"/>
      <c r="E4" s="81"/>
      <c r="F4" s="81"/>
      <c r="G4" s="81"/>
      <c r="H4" s="81"/>
      <c r="I4" s="81"/>
      <c r="J4" s="81"/>
      <c r="AY4" s="753" t="s">
        <v>134</v>
      </c>
      <c r="AZ4" s="753"/>
      <c r="BA4" s="753"/>
      <c r="BB4" s="753"/>
    </row>
    <row r="5" spans="1:54" ht="18" customHeight="1">
      <c r="A5" s="80" t="s">
        <v>135</v>
      </c>
      <c r="B5" s="80"/>
      <c r="C5" s="83" t="str">
        <f>'Dados Básicos do município'!B5</f>
        <v>CBH-SANTO ANTÔNIO</v>
      </c>
      <c r="D5" s="53"/>
      <c r="E5" s="81"/>
      <c r="F5" s="81"/>
      <c r="G5" s="81"/>
      <c r="H5" s="81"/>
      <c r="I5" s="81"/>
      <c r="J5" s="81"/>
      <c r="K5" s="53"/>
      <c r="L5" s="53"/>
      <c r="M5" s="72"/>
      <c r="N5" s="72"/>
      <c r="O5" s="72"/>
      <c r="P5" s="53"/>
      <c r="Q5" s="53"/>
      <c r="R5" s="53"/>
    </row>
    <row r="6" spans="1:54" ht="18" customHeight="1">
      <c r="A6" s="80" t="s">
        <v>136</v>
      </c>
      <c r="B6" s="80"/>
      <c r="C6" s="83" t="str">
        <f>'Dados Básicos do município'!B6</f>
        <v>Açucena/MG</v>
      </c>
      <c r="D6" s="53"/>
      <c r="E6" s="81"/>
      <c r="F6" s="81"/>
      <c r="G6" s="81"/>
      <c r="H6" s="81"/>
      <c r="I6" s="81"/>
      <c r="J6" s="81"/>
      <c r="K6" s="120"/>
      <c r="L6" s="121"/>
      <c r="M6" s="72"/>
      <c r="N6" s="72"/>
      <c r="O6" s="72"/>
      <c r="P6" s="72"/>
      <c r="Q6" s="53"/>
      <c r="R6" s="53"/>
    </row>
    <row r="7" spans="1:54" ht="15" customHeight="1">
      <c r="A7" s="53"/>
      <c r="B7" s="53"/>
      <c r="C7" s="671"/>
      <c r="D7" s="671"/>
      <c r="E7" s="671"/>
      <c r="F7" s="671"/>
      <c r="G7" s="671"/>
      <c r="H7" s="671"/>
      <c r="I7" s="671"/>
      <c r="J7" s="671"/>
      <c r="K7" s="671"/>
      <c r="L7" s="671"/>
      <c r="M7" s="671"/>
      <c r="N7" s="671"/>
      <c r="O7" s="671"/>
      <c r="P7" s="671"/>
      <c r="Q7" s="671"/>
      <c r="R7" s="671"/>
    </row>
    <row r="8" spans="1:54" ht="19.5" customHeight="1">
      <c r="A8" s="756" t="s">
        <v>755</v>
      </c>
      <c r="B8" s="756"/>
      <c r="C8" s="756"/>
      <c r="D8" s="756"/>
      <c r="E8" s="756"/>
      <c r="F8" s="756"/>
      <c r="G8" s="756"/>
      <c r="H8" s="756"/>
      <c r="I8" s="756"/>
      <c r="J8" s="756"/>
      <c r="K8" s="756"/>
      <c r="L8" s="756"/>
      <c r="M8" s="756"/>
      <c r="N8" s="756"/>
      <c r="O8" s="756"/>
      <c r="P8" s="756"/>
      <c r="Q8" s="756"/>
      <c r="R8" s="756"/>
      <c r="S8" s="756"/>
      <c r="T8" s="756"/>
      <c r="U8" s="756"/>
      <c r="V8" s="756"/>
      <c r="W8" s="756"/>
      <c r="X8" s="756"/>
      <c r="Y8" s="756"/>
      <c r="Z8" s="756"/>
      <c r="AA8" s="756"/>
      <c r="AB8" s="756"/>
      <c r="AC8" s="756"/>
      <c r="AD8" s="756"/>
      <c r="AE8" s="756"/>
      <c r="AF8" s="756"/>
      <c r="AG8" s="756"/>
      <c r="AH8" s="756"/>
      <c r="AI8" s="756"/>
      <c r="AJ8" s="756"/>
      <c r="AK8" s="756"/>
      <c r="AL8" s="756"/>
      <c r="AM8" s="756"/>
      <c r="AN8" s="756"/>
      <c r="AO8" s="756"/>
      <c r="AP8" s="756"/>
      <c r="AQ8" s="756"/>
      <c r="AR8" s="756"/>
      <c r="AS8" s="756"/>
      <c r="AT8" s="756"/>
      <c r="AU8" s="756"/>
      <c r="AV8" s="756"/>
      <c r="AW8" s="756"/>
      <c r="AX8" s="756"/>
      <c r="AY8" s="756"/>
      <c r="AZ8" s="756"/>
      <c r="BA8" s="756"/>
      <c r="BB8" s="756"/>
    </row>
    <row r="9" spans="1:54" ht="19.5" customHeight="1">
      <c r="A9" s="757" t="s">
        <v>756</v>
      </c>
      <c r="B9" s="759" t="s">
        <v>182</v>
      </c>
      <c r="C9" s="760"/>
      <c r="D9" s="763" t="s">
        <v>757</v>
      </c>
      <c r="E9" s="761" t="s">
        <v>758</v>
      </c>
      <c r="F9" s="754" t="s">
        <v>372</v>
      </c>
      <c r="G9" s="755"/>
      <c r="H9" s="755"/>
      <c r="I9" s="755"/>
      <c r="J9" s="755"/>
      <c r="K9" s="755"/>
      <c r="L9" s="755"/>
      <c r="M9" s="755"/>
      <c r="N9" s="755"/>
      <c r="O9" s="755"/>
      <c r="P9" s="755"/>
      <c r="Q9" s="755"/>
      <c r="R9" s="755"/>
      <c r="S9" s="755"/>
      <c r="T9" s="755"/>
      <c r="U9" s="755"/>
      <c r="V9" s="755"/>
      <c r="W9" s="755"/>
      <c r="X9" s="755"/>
      <c r="Y9" s="755"/>
      <c r="Z9" s="755"/>
      <c r="AA9" s="755"/>
      <c r="AB9" s="755"/>
      <c r="AC9" s="755"/>
      <c r="AD9" s="755"/>
      <c r="AE9" s="755"/>
      <c r="AF9" s="755"/>
      <c r="AG9" s="755"/>
      <c r="AH9" s="755"/>
      <c r="AI9" s="755"/>
      <c r="AJ9" s="755"/>
      <c r="AK9" s="755"/>
      <c r="AL9" s="755"/>
      <c r="AM9" s="755"/>
      <c r="AN9" s="755"/>
      <c r="AO9" s="755"/>
      <c r="AP9" s="755"/>
      <c r="AQ9" s="755"/>
      <c r="AR9" s="755"/>
      <c r="AS9" s="755"/>
      <c r="AT9" s="755"/>
      <c r="AU9" s="755"/>
      <c r="AV9" s="755"/>
      <c r="AW9" s="755"/>
      <c r="AX9" s="755"/>
      <c r="AY9" s="755"/>
      <c r="AZ9" s="755"/>
      <c r="BA9" s="755"/>
      <c r="BB9" s="755"/>
    </row>
    <row r="10" spans="1:54" ht="19.5" customHeight="1">
      <c r="A10" s="757"/>
      <c r="B10" s="759"/>
      <c r="C10" s="760"/>
      <c r="D10" s="763"/>
      <c r="E10" s="754"/>
      <c r="F10" s="412" t="s">
        <v>412</v>
      </c>
      <c r="G10" s="759">
        <v>1</v>
      </c>
      <c r="H10" s="757"/>
      <c r="I10" s="757"/>
      <c r="J10" s="757"/>
      <c r="K10" s="757"/>
      <c r="L10" s="760"/>
      <c r="M10" s="759">
        <v>2</v>
      </c>
      <c r="N10" s="757"/>
      <c r="O10" s="757"/>
      <c r="P10" s="757"/>
      <c r="Q10" s="757"/>
      <c r="R10" s="760"/>
      <c r="S10" s="759">
        <v>3</v>
      </c>
      <c r="T10" s="757"/>
      <c r="U10" s="757"/>
      <c r="V10" s="757"/>
      <c r="W10" s="757"/>
      <c r="X10" s="760"/>
      <c r="Y10" s="759">
        <v>4</v>
      </c>
      <c r="Z10" s="757"/>
      <c r="AA10" s="757"/>
      <c r="AB10" s="757"/>
      <c r="AC10" s="757"/>
      <c r="AD10" s="760"/>
      <c r="AE10" s="759">
        <v>5</v>
      </c>
      <c r="AF10" s="757"/>
      <c r="AG10" s="757"/>
      <c r="AH10" s="757"/>
      <c r="AI10" s="757"/>
      <c r="AJ10" s="760"/>
      <c r="AK10" s="759">
        <v>6</v>
      </c>
      <c r="AL10" s="757"/>
      <c r="AM10" s="757"/>
      <c r="AN10" s="757"/>
      <c r="AO10" s="757"/>
      <c r="AP10" s="760"/>
      <c r="AQ10" s="759">
        <v>7</v>
      </c>
      <c r="AR10" s="757"/>
      <c r="AS10" s="757"/>
      <c r="AT10" s="757"/>
      <c r="AU10" s="757"/>
      <c r="AV10" s="760"/>
      <c r="AW10" s="759">
        <v>8</v>
      </c>
      <c r="AX10" s="757"/>
      <c r="AY10" s="757"/>
      <c r="AZ10" s="757"/>
      <c r="BA10" s="757"/>
      <c r="BB10" s="760"/>
    </row>
    <row r="11" spans="1:54" ht="27" customHeight="1">
      <c r="A11" s="758"/>
      <c r="B11" s="761"/>
      <c r="C11" s="762"/>
      <c r="D11" s="427" t="s">
        <v>318</v>
      </c>
      <c r="E11" s="427" t="s">
        <v>166</v>
      </c>
      <c r="F11" s="249" t="s">
        <v>412</v>
      </c>
      <c r="G11" s="544">
        <v>5</v>
      </c>
      <c r="H11" s="544">
        <v>10</v>
      </c>
      <c r="I11" s="544">
        <v>15</v>
      </c>
      <c r="J11" s="544">
        <v>20</v>
      </c>
      <c r="K11" s="544">
        <v>25</v>
      </c>
      <c r="L11" s="544">
        <v>30</v>
      </c>
      <c r="M11" s="544">
        <v>35</v>
      </c>
      <c r="N11" s="544">
        <v>40</v>
      </c>
      <c r="O11" s="544">
        <v>45</v>
      </c>
      <c r="P11" s="544">
        <v>50</v>
      </c>
      <c r="Q11" s="544">
        <v>55</v>
      </c>
      <c r="R11" s="544">
        <v>60</v>
      </c>
      <c r="S11" s="544">
        <v>65</v>
      </c>
      <c r="T11" s="544">
        <v>70</v>
      </c>
      <c r="U11" s="544">
        <v>75</v>
      </c>
      <c r="V11" s="544">
        <v>80</v>
      </c>
      <c r="W11" s="544">
        <v>85</v>
      </c>
      <c r="X11" s="544">
        <v>90</v>
      </c>
      <c r="Y11" s="544">
        <v>95</v>
      </c>
      <c r="Z11" s="544">
        <v>100</v>
      </c>
      <c r="AA11" s="544">
        <v>105</v>
      </c>
      <c r="AB11" s="544">
        <v>110</v>
      </c>
      <c r="AC11" s="544">
        <v>115</v>
      </c>
      <c r="AD11" s="544">
        <v>120</v>
      </c>
      <c r="AE11" s="544">
        <v>125</v>
      </c>
      <c r="AF11" s="544">
        <v>130</v>
      </c>
      <c r="AG11" s="544">
        <v>135</v>
      </c>
      <c r="AH11" s="544">
        <v>140</v>
      </c>
      <c r="AI11" s="544">
        <v>145</v>
      </c>
      <c r="AJ11" s="544">
        <v>150</v>
      </c>
      <c r="AK11" s="544">
        <v>155</v>
      </c>
      <c r="AL11" s="544">
        <v>160</v>
      </c>
      <c r="AM11" s="544">
        <v>165</v>
      </c>
      <c r="AN11" s="544">
        <v>170</v>
      </c>
      <c r="AO11" s="544">
        <v>175</v>
      </c>
      <c r="AP11" s="544">
        <v>180</v>
      </c>
      <c r="AQ11" s="544">
        <v>185</v>
      </c>
      <c r="AR11" s="544">
        <v>190</v>
      </c>
      <c r="AS11" s="544">
        <v>195</v>
      </c>
      <c r="AT11" s="544">
        <v>200</v>
      </c>
      <c r="AU11" s="544">
        <v>205</v>
      </c>
      <c r="AV11" s="544">
        <v>210</v>
      </c>
      <c r="AW11" s="544">
        <v>215</v>
      </c>
      <c r="AX11" s="544">
        <v>220</v>
      </c>
      <c r="AY11" s="544">
        <v>225</v>
      </c>
      <c r="AZ11" s="544">
        <v>230</v>
      </c>
      <c r="BA11" s="544">
        <v>235</v>
      </c>
      <c r="BB11" s="544">
        <v>240</v>
      </c>
    </row>
    <row r="12" spans="1:54" ht="22.5" customHeight="1">
      <c r="A12" s="250">
        <v>1</v>
      </c>
      <c r="B12" s="251" t="str">
        <f>'P1'!C2</f>
        <v>Plano de Trabalho</v>
      </c>
      <c r="C12" s="246"/>
      <c r="D12" s="252">
        <f>ROUND('P1'!J53,2)</f>
        <v>8951.24</v>
      </c>
      <c r="E12" s="253">
        <f t="shared" ref="E12:E20" si="0">D12/$D$22</f>
        <v>2.4330890587562885E-2</v>
      </c>
      <c r="F12" s="254"/>
      <c r="G12" s="257"/>
      <c r="H12" s="257"/>
      <c r="I12" s="242"/>
      <c r="J12" s="429"/>
      <c r="K12" s="261"/>
      <c r="L12" s="263"/>
      <c r="M12" s="263"/>
      <c r="N12" s="263"/>
      <c r="O12" s="255"/>
      <c r="P12" s="255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  <c r="AI12" s="255"/>
      <c r="AJ12" s="255"/>
      <c r="AK12" s="255"/>
      <c r="AL12" s="255"/>
      <c r="AM12" s="255"/>
      <c r="AN12" s="255"/>
      <c r="AO12" s="255"/>
      <c r="AP12" s="255"/>
      <c r="AQ12" s="255"/>
      <c r="AR12" s="255"/>
      <c r="AS12" s="255"/>
      <c r="AT12" s="255"/>
      <c r="AU12" s="255"/>
      <c r="AV12" s="255"/>
      <c r="AW12" s="255"/>
      <c r="AX12" s="255"/>
      <c r="AY12" s="255"/>
      <c r="AZ12" s="255"/>
      <c r="BA12" s="255"/>
      <c r="BB12" s="255"/>
    </row>
    <row r="13" spans="1:54" ht="22.5" customHeight="1">
      <c r="A13" s="250">
        <v>2</v>
      </c>
      <c r="B13" s="251" t="str">
        <f>'P2'!C2</f>
        <v xml:space="preserve">Cadastro Técnico </v>
      </c>
      <c r="C13" s="246"/>
      <c r="D13" s="252">
        <f>ROUND('P2'!J53,2)</f>
        <v>31102.31</v>
      </c>
      <c r="E13" s="253">
        <f t="shared" si="0"/>
        <v>8.4541013494271525E-2</v>
      </c>
      <c r="F13" s="255"/>
      <c r="G13" s="241"/>
      <c r="H13" s="241"/>
      <c r="I13" s="241"/>
      <c r="J13" s="241"/>
      <c r="K13" s="241"/>
      <c r="L13" s="241"/>
      <c r="M13" s="241"/>
      <c r="N13" s="241"/>
      <c r="O13" s="241"/>
      <c r="P13" s="242"/>
      <c r="Q13" s="242"/>
      <c r="R13" s="242"/>
      <c r="S13" s="429"/>
      <c r="T13" s="429"/>
      <c r="U13" s="429"/>
      <c r="V13" s="261"/>
      <c r="W13" s="261"/>
      <c r="X13" s="261"/>
      <c r="Y13" s="261"/>
      <c r="Z13" s="258"/>
      <c r="AA13" s="258"/>
      <c r="AB13" s="258"/>
      <c r="AC13" s="255"/>
      <c r="AD13" s="255"/>
      <c r="AE13" s="255"/>
      <c r="AF13" s="255"/>
      <c r="AG13" s="255"/>
      <c r="AH13" s="255"/>
      <c r="AI13" s="255"/>
      <c r="AJ13" s="255"/>
      <c r="AK13" s="255"/>
      <c r="AL13" s="255"/>
      <c r="AM13" s="255"/>
      <c r="AN13" s="255"/>
      <c r="AO13" s="255"/>
      <c r="AP13" s="255"/>
      <c r="AQ13" s="255"/>
      <c r="AR13" s="255"/>
      <c r="AS13" s="255"/>
      <c r="AT13" s="255"/>
      <c r="AU13" s="255"/>
      <c r="AV13" s="255"/>
      <c r="AW13" s="255"/>
      <c r="AX13" s="255"/>
      <c r="AY13" s="255"/>
      <c r="AZ13" s="255"/>
      <c r="BA13" s="255"/>
      <c r="BB13" s="255"/>
    </row>
    <row r="14" spans="1:54" ht="22.5" customHeight="1">
      <c r="A14" s="250">
        <v>3</v>
      </c>
      <c r="B14" s="251" t="str">
        <f>'P3'!C2</f>
        <v>Estudos Topográficos</v>
      </c>
      <c r="C14" s="246"/>
      <c r="D14" s="256">
        <f>ROUND('P3'!J53,2)</f>
        <v>32585.56</v>
      </c>
      <c r="E14" s="253">
        <f t="shared" si="0"/>
        <v>8.857272233729245E-2</v>
      </c>
      <c r="F14" s="255"/>
      <c r="G14" s="241"/>
      <c r="H14" s="241"/>
      <c r="I14" s="241"/>
      <c r="J14" s="241"/>
      <c r="K14" s="241"/>
      <c r="L14" s="241"/>
      <c r="M14" s="241"/>
      <c r="N14" s="241"/>
      <c r="O14" s="241"/>
      <c r="P14" s="241"/>
      <c r="Q14" s="241"/>
      <c r="R14" s="241"/>
      <c r="S14" s="242"/>
      <c r="T14" s="242"/>
      <c r="U14" s="242"/>
      <c r="V14" s="429"/>
      <c r="W14" s="429"/>
      <c r="X14" s="429"/>
      <c r="Y14" s="261"/>
      <c r="Z14" s="261"/>
      <c r="AA14" s="261"/>
      <c r="AB14" s="263"/>
      <c r="AC14" s="263"/>
      <c r="AD14" s="263"/>
      <c r="AE14" s="255"/>
      <c r="AF14" s="255"/>
      <c r="AG14" s="255"/>
      <c r="AH14" s="255"/>
      <c r="AI14" s="255"/>
      <c r="AJ14" s="255"/>
      <c r="AK14" s="255"/>
      <c r="AL14" s="255"/>
      <c r="AM14" s="255"/>
      <c r="AN14" s="255"/>
      <c r="AO14" s="255"/>
      <c r="AP14" s="255"/>
      <c r="AQ14" s="255"/>
      <c r="AR14" s="255"/>
      <c r="AS14" s="255"/>
      <c r="AT14" s="255"/>
      <c r="AU14" s="255"/>
      <c r="AV14" s="255"/>
      <c r="AW14" s="255"/>
      <c r="AX14" s="255"/>
      <c r="AY14" s="255"/>
      <c r="AZ14" s="255"/>
      <c r="BA14" s="255"/>
      <c r="BB14" s="255"/>
    </row>
    <row r="15" spans="1:54" ht="22.5" customHeight="1">
      <c r="A15" s="250">
        <v>4</v>
      </c>
      <c r="B15" s="251" t="str">
        <f>'P4'!C2</f>
        <v>Estudo de Concepção</v>
      </c>
      <c r="C15" s="246"/>
      <c r="D15" s="252">
        <f>ROUND('P4'!J53,2)</f>
        <v>44300.42</v>
      </c>
      <c r="E15" s="253">
        <f t="shared" si="0"/>
        <v>0.12041557058050981</v>
      </c>
      <c r="F15" s="255"/>
      <c r="G15" s="255"/>
      <c r="H15" s="255"/>
      <c r="I15" s="255"/>
      <c r="J15" s="255"/>
      <c r="K15" s="255"/>
      <c r="L15" s="241"/>
      <c r="M15" s="241"/>
      <c r="N15" s="241"/>
      <c r="O15" s="241"/>
      <c r="P15" s="241"/>
      <c r="Q15" s="241"/>
      <c r="R15" s="241"/>
      <c r="S15" s="241"/>
      <c r="T15" s="241"/>
      <c r="U15" s="241"/>
      <c r="V15" s="242"/>
      <c r="W15" s="242"/>
      <c r="X15" s="242"/>
      <c r="Y15" s="429"/>
      <c r="Z15" s="429"/>
      <c r="AA15" s="429"/>
      <c r="AB15" s="261"/>
      <c r="AC15" s="261"/>
      <c r="AD15" s="261"/>
      <c r="AE15" s="258"/>
      <c r="AF15" s="258"/>
      <c r="AG15" s="258"/>
      <c r="AH15" s="255"/>
      <c r="AI15" s="255"/>
      <c r="AJ15" s="255"/>
      <c r="AK15" s="255"/>
      <c r="AL15" s="255"/>
      <c r="AM15" s="255"/>
      <c r="AN15" s="255"/>
      <c r="AO15" s="255"/>
      <c r="AP15" s="255"/>
      <c r="AQ15" s="255"/>
      <c r="AR15" s="255"/>
      <c r="AS15" s="255"/>
      <c r="AT15" s="255"/>
      <c r="AU15" s="255"/>
      <c r="AV15" s="255"/>
      <c r="AW15" s="255"/>
      <c r="AX15" s="255"/>
      <c r="AY15" s="255"/>
      <c r="AZ15" s="255"/>
      <c r="BA15" s="255"/>
      <c r="BB15" s="255"/>
    </row>
    <row r="16" spans="1:54" ht="22.5" customHeight="1">
      <c r="A16" s="250" t="s">
        <v>445</v>
      </c>
      <c r="B16" s="764" t="str">
        <f>'P7.1'!C2</f>
        <v>Estudos Ambientais Preliminares</v>
      </c>
      <c r="C16" s="764"/>
      <c r="D16" s="256">
        <f>ROUND('P7.1'!J53,2)</f>
        <v>9335.2800000000007</v>
      </c>
      <c r="E16" s="253">
        <f t="shared" si="0"/>
        <v>2.5374772242087586E-2</v>
      </c>
      <c r="F16" s="255"/>
      <c r="G16" s="241"/>
      <c r="H16" s="241"/>
      <c r="I16" s="241"/>
      <c r="J16" s="241"/>
      <c r="K16" s="241"/>
      <c r="L16" s="241"/>
      <c r="M16" s="241"/>
      <c r="N16" s="241"/>
      <c r="O16" s="241"/>
      <c r="P16" s="241"/>
      <c r="Q16" s="241"/>
      <c r="R16" s="241"/>
      <c r="S16" s="241"/>
      <c r="T16" s="241"/>
      <c r="U16" s="241"/>
      <c r="V16" s="241"/>
      <c r="W16" s="241"/>
      <c r="X16" s="241"/>
      <c r="Y16" s="241"/>
      <c r="Z16" s="242"/>
      <c r="AA16" s="242"/>
      <c r="AB16" s="242"/>
      <c r="AC16" s="429"/>
      <c r="AD16" s="429"/>
      <c r="AE16" s="429"/>
      <c r="AF16" s="261"/>
      <c r="AG16" s="261"/>
      <c r="AH16" s="261"/>
      <c r="AI16" s="258"/>
      <c r="AJ16" s="258"/>
      <c r="AK16" s="258"/>
      <c r="AL16" s="255"/>
      <c r="AM16" s="255"/>
      <c r="AN16" s="255"/>
      <c r="AO16" s="255"/>
      <c r="AP16" s="255"/>
      <c r="AQ16" s="255"/>
      <c r="AR16" s="255"/>
      <c r="AS16" s="255"/>
      <c r="AT16" s="255"/>
      <c r="AU16" s="255"/>
      <c r="AV16" s="255"/>
      <c r="AW16" s="255"/>
      <c r="AX16" s="255"/>
      <c r="AY16" s="255"/>
      <c r="AZ16" s="255"/>
      <c r="BA16" s="255"/>
      <c r="BB16" s="255"/>
    </row>
    <row r="17" spans="1:54" ht="22.5" customHeight="1">
      <c r="A17" s="250">
        <v>5</v>
      </c>
      <c r="B17" s="251" t="str">
        <f>'P5'!C2</f>
        <v>Projeto Básico</v>
      </c>
      <c r="C17" s="246"/>
      <c r="D17" s="256">
        <f>ROUND('P5'!J53,2)</f>
        <v>92566.66</v>
      </c>
      <c r="E17" s="253">
        <f t="shared" si="0"/>
        <v>0.2516108691662981</v>
      </c>
      <c r="F17" s="255"/>
      <c r="G17" s="255"/>
      <c r="H17" s="255"/>
      <c r="I17" s="255"/>
      <c r="J17" s="255"/>
      <c r="K17" s="255"/>
      <c r="L17" s="255"/>
      <c r="M17" s="255"/>
      <c r="N17" s="255"/>
      <c r="O17" s="255"/>
      <c r="P17" s="255"/>
      <c r="Q17" s="255"/>
      <c r="R17" s="241"/>
      <c r="S17" s="241"/>
      <c r="T17" s="241"/>
      <c r="U17" s="241"/>
      <c r="V17" s="241"/>
      <c r="W17" s="241"/>
      <c r="X17" s="241"/>
      <c r="Y17" s="241"/>
      <c r="Z17" s="241"/>
      <c r="AA17" s="241"/>
      <c r="AB17" s="241"/>
      <c r="AC17" s="241"/>
      <c r="AD17" s="242"/>
      <c r="AE17" s="242"/>
      <c r="AF17" s="242"/>
      <c r="AG17" s="429"/>
      <c r="AH17" s="429"/>
      <c r="AI17" s="429"/>
      <c r="AJ17" s="261"/>
      <c r="AK17" s="261"/>
      <c r="AL17" s="261"/>
      <c r="AM17" s="258"/>
      <c r="AN17" s="258"/>
      <c r="AO17" s="258"/>
      <c r="AP17" s="255"/>
      <c r="AQ17" s="255"/>
      <c r="AR17" s="255"/>
      <c r="AS17" s="255"/>
      <c r="AT17" s="255"/>
      <c r="AU17" s="255"/>
      <c r="AV17" s="255"/>
      <c r="AW17" s="255"/>
      <c r="AX17" s="255"/>
      <c r="AY17" s="255"/>
      <c r="AZ17" s="255"/>
      <c r="BA17" s="255"/>
      <c r="BB17" s="255"/>
    </row>
    <row r="18" spans="1:54" ht="22.5" customHeight="1">
      <c r="A18" s="250">
        <v>6</v>
      </c>
      <c r="B18" s="251" t="str">
        <f>'P6'!C2</f>
        <v>Estudos Geotécnicos</v>
      </c>
      <c r="C18" s="246"/>
      <c r="D18" s="256">
        <f>ROUND('P6'!J53,2)</f>
        <v>38750.79</v>
      </c>
      <c r="E18" s="253">
        <f t="shared" si="0"/>
        <v>0.10533079569664382</v>
      </c>
      <c r="F18" s="255"/>
      <c r="G18" s="255"/>
      <c r="H18" s="255"/>
      <c r="I18" s="255"/>
      <c r="J18" s="255"/>
      <c r="K18" s="255"/>
      <c r="L18" s="255"/>
      <c r="M18" s="255"/>
      <c r="N18" s="255"/>
      <c r="O18" s="255"/>
      <c r="P18" s="255"/>
      <c r="Q18" s="255"/>
      <c r="R18" s="255"/>
      <c r="S18" s="255"/>
      <c r="T18" s="255"/>
      <c r="U18" s="241"/>
      <c r="V18" s="241"/>
      <c r="W18" s="241"/>
      <c r="X18" s="241"/>
      <c r="Y18" s="241"/>
      <c r="Z18" s="241"/>
      <c r="AA18" s="241"/>
      <c r="AB18" s="241"/>
      <c r="AC18" s="241"/>
      <c r="AD18" s="242"/>
      <c r="AE18" s="242"/>
      <c r="AF18" s="242"/>
      <c r="AG18" s="429"/>
      <c r="AH18" s="429"/>
      <c r="AI18" s="429"/>
      <c r="AJ18" s="261"/>
      <c r="AK18" s="261"/>
      <c r="AL18" s="261"/>
      <c r="AM18" s="258"/>
      <c r="AN18" s="258"/>
      <c r="AO18" s="258"/>
      <c r="AP18" s="255"/>
      <c r="AQ18" s="255"/>
      <c r="AR18" s="255"/>
      <c r="AS18" s="255"/>
      <c r="AT18" s="255"/>
      <c r="AU18" s="255"/>
      <c r="AV18" s="255"/>
      <c r="AW18" s="255"/>
      <c r="AX18" s="255"/>
      <c r="AY18" s="255"/>
      <c r="AZ18" s="255"/>
      <c r="BA18" s="255"/>
      <c r="BB18" s="255"/>
    </row>
    <row r="19" spans="1:54" ht="22.5" customHeight="1">
      <c r="A19" s="250" t="s">
        <v>446</v>
      </c>
      <c r="B19" s="764" t="str">
        <f>'P.7.2'!C2</f>
        <v>Estudos Ambientais Consolidados</v>
      </c>
      <c r="C19" s="764"/>
      <c r="D19" s="256">
        <f>ROUND('P.7.2'!J53,2)</f>
        <v>18670.57</v>
      </c>
      <c r="E19" s="253">
        <f t="shared" si="0"/>
        <v>5.0749571665761835E-2</v>
      </c>
      <c r="F19" s="255"/>
      <c r="G19" s="241"/>
      <c r="H19" s="241"/>
      <c r="I19" s="241"/>
      <c r="J19" s="241"/>
      <c r="K19" s="241"/>
      <c r="L19" s="241"/>
      <c r="M19" s="241"/>
      <c r="N19" s="241"/>
      <c r="O19" s="241"/>
      <c r="P19" s="241"/>
      <c r="Q19" s="241"/>
      <c r="R19" s="241"/>
      <c r="S19" s="241"/>
      <c r="T19" s="241"/>
      <c r="U19" s="241"/>
      <c r="V19" s="241"/>
      <c r="W19" s="241"/>
      <c r="X19" s="241"/>
      <c r="Y19" s="241"/>
      <c r="Z19" s="241"/>
      <c r="AA19" s="241"/>
      <c r="AB19" s="241"/>
      <c r="AC19" s="241"/>
      <c r="AD19" s="241"/>
      <c r="AE19" s="241"/>
      <c r="AF19" s="242"/>
      <c r="AG19" s="242"/>
      <c r="AH19" s="242"/>
      <c r="AI19" s="429"/>
      <c r="AJ19" s="429"/>
      <c r="AK19" s="429"/>
      <c r="AL19" s="261"/>
      <c r="AM19" s="261"/>
      <c r="AN19" s="261"/>
      <c r="AO19" s="258"/>
      <c r="AP19" s="258"/>
      <c r="AQ19" s="258"/>
      <c r="AR19" s="255"/>
      <c r="AS19" s="255"/>
      <c r="AT19" s="255"/>
      <c r="AU19" s="255"/>
      <c r="AV19" s="255"/>
      <c r="AW19" s="255"/>
      <c r="AX19" s="255"/>
      <c r="AY19" s="255"/>
      <c r="AZ19" s="255"/>
      <c r="BA19" s="255"/>
      <c r="BB19" s="255"/>
    </row>
    <row r="20" spans="1:54" ht="22.5" customHeight="1">
      <c r="A20" s="250">
        <v>8</v>
      </c>
      <c r="B20" s="251" t="str">
        <f>'P8'!C2</f>
        <v>Projeto Executivo</v>
      </c>
      <c r="C20" s="246"/>
      <c r="D20" s="252">
        <f>ROUND('P8'!J53,2)</f>
        <v>91633.279999999999</v>
      </c>
      <c r="E20" s="253">
        <f t="shared" si="0"/>
        <v>0.24907379422957204</v>
      </c>
      <c r="F20" s="255"/>
      <c r="G20" s="255"/>
      <c r="H20" s="255"/>
      <c r="I20" s="255"/>
      <c r="J20" s="255"/>
      <c r="K20" s="255"/>
      <c r="L20" s="255"/>
      <c r="M20" s="255"/>
      <c r="N20" s="255"/>
      <c r="O20" s="255"/>
      <c r="P20" s="255"/>
      <c r="Q20" s="255"/>
      <c r="R20" s="255"/>
      <c r="S20" s="255"/>
      <c r="T20" s="255"/>
      <c r="U20" s="255"/>
      <c r="V20" s="255"/>
      <c r="W20" s="255"/>
      <c r="X20" s="255"/>
      <c r="Y20" s="255"/>
      <c r="Z20" s="255"/>
      <c r="AA20" s="241"/>
      <c r="AB20" s="241"/>
      <c r="AC20" s="241"/>
      <c r="AD20" s="241"/>
      <c r="AE20" s="241"/>
      <c r="AF20" s="241"/>
      <c r="AG20" s="241"/>
      <c r="AH20" s="241"/>
      <c r="AI20" s="241"/>
      <c r="AJ20" s="241"/>
      <c r="AK20" s="241"/>
      <c r="AL20" s="241"/>
      <c r="AM20" s="241"/>
      <c r="AN20" s="241"/>
      <c r="AO20" s="242"/>
      <c r="AP20" s="242"/>
      <c r="AQ20" s="242"/>
      <c r="AR20" s="429"/>
      <c r="AS20" s="429"/>
      <c r="AT20" s="429"/>
      <c r="AU20" s="261"/>
      <c r="AV20" s="261"/>
      <c r="AW20" s="261"/>
      <c r="AX20" s="258"/>
      <c r="AY20" s="258"/>
      <c r="AZ20" s="258"/>
      <c r="BA20" s="255"/>
      <c r="BB20" s="255"/>
    </row>
    <row r="21" spans="1:54" ht="22.5" customHeight="1">
      <c r="A21" s="250" t="s">
        <v>412</v>
      </c>
      <c r="B21" s="251" t="s">
        <v>759</v>
      </c>
      <c r="C21" s="246"/>
      <c r="D21" s="252" t="s">
        <v>412</v>
      </c>
      <c r="E21" s="253" t="s">
        <v>412</v>
      </c>
      <c r="F21" s="255"/>
      <c r="G21" s="255"/>
      <c r="H21" s="255"/>
      <c r="I21" s="255"/>
      <c r="J21" s="255"/>
      <c r="K21" s="255"/>
      <c r="L21" s="255"/>
      <c r="M21" s="255"/>
      <c r="N21" s="255"/>
      <c r="O21" s="255"/>
      <c r="P21" s="255"/>
      <c r="Q21" s="255"/>
      <c r="R21" s="255"/>
      <c r="S21" s="255"/>
      <c r="T21" s="255"/>
      <c r="U21" s="255"/>
      <c r="V21" s="255"/>
      <c r="W21" s="255"/>
      <c r="X21" s="255"/>
      <c r="Y21" s="255"/>
      <c r="Z21" s="255"/>
      <c r="AA21" s="255"/>
      <c r="AB21" s="255"/>
      <c r="AC21" s="255"/>
      <c r="AD21" s="255"/>
      <c r="AE21" s="255"/>
      <c r="AF21" s="255"/>
      <c r="AG21" s="255"/>
      <c r="AH21" s="255"/>
      <c r="AI21" s="255"/>
      <c r="AJ21" s="255"/>
      <c r="AK21" s="255"/>
      <c r="AL21" s="255"/>
      <c r="AM21" s="255"/>
      <c r="AN21" s="255"/>
      <c r="AO21" s="255"/>
      <c r="AP21" s="255"/>
      <c r="AQ21" s="255"/>
      <c r="AR21" s="255"/>
      <c r="AS21" s="255"/>
      <c r="AT21" s="255"/>
      <c r="AU21" s="255"/>
      <c r="AV21" s="255"/>
      <c r="AW21" s="255"/>
      <c r="AX21" s="255"/>
      <c r="AY21" s="255"/>
      <c r="AZ21" s="255"/>
      <c r="BA21" s="552"/>
      <c r="BB21" s="552"/>
    </row>
    <row r="22" spans="1:54" ht="22.15" customHeight="1">
      <c r="A22" s="756" t="s">
        <v>106</v>
      </c>
      <c r="B22" s="756"/>
      <c r="C22" s="756"/>
      <c r="D22" s="410">
        <f>SUM(D12:D21)</f>
        <v>367896.11</v>
      </c>
      <c r="E22" s="411">
        <f>ROUND(SUM(E12:E21),2)</f>
        <v>1</v>
      </c>
      <c r="F22" s="411"/>
      <c r="G22" s="756"/>
      <c r="H22" s="756"/>
      <c r="I22" s="756"/>
      <c r="J22" s="756"/>
      <c r="K22" s="756"/>
      <c r="L22" s="756"/>
      <c r="M22" s="756"/>
      <c r="N22" s="756"/>
      <c r="O22" s="756"/>
      <c r="P22" s="756"/>
      <c r="Q22" s="756"/>
      <c r="R22" s="756"/>
      <c r="S22" s="756"/>
      <c r="T22" s="756"/>
      <c r="U22" s="756"/>
      <c r="V22" s="756"/>
      <c r="W22" s="756"/>
      <c r="X22" s="756"/>
      <c r="Y22" s="756"/>
      <c r="Z22" s="756"/>
      <c r="AA22" s="756"/>
      <c r="AB22" s="756"/>
      <c r="AC22" s="756"/>
      <c r="AD22" s="756"/>
      <c r="AE22" s="756"/>
      <c r="AF22" s="756"/>
      <c r="AG22" s="756"/>
      <c r="AH22" s="756"/>
      <c r="AI22" s="756"/>
      <c r="AJ22" s="756"/>
      <c r="AK22" s="756"/>
      <c r="AL22" s="756"/>
      <c r="AM22" s="756"/>
      <c r="AN22" s="756"/>
      <c r="AO22" s="756"/>
      <c r="AP22" s="756"/>
      <c r="AQ22" s="756"/>
      <c r="AR22" s="756"/>
      <c r="AS22" s="756"/>
      <c r="AT22" s="756"/>
      <c r="AU22" s="756"/>
      <c r="AV22" s="756"/>
      <c r="AW22" s="756"/>
      <c r="AX22" s="756"/>
      <c r="AY22" s="756"/>
      <c r="AZ22" s="756"/>
      <c r="BA22" s="756"/>
      <c r="BB22" s="756"/>
    </row>
    <row r="23" spans="1:54" ht="7.15" customHeight="1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</row>
    <row r="24" spans="1:54" s="42" customFormat="1" ht="22.15" customHeight="1">
      <c r="A24" s="56" t="s">
        <v>141</v>
      </c>
      <c r="B24" s="79"/>
      <c r="C24" s="79"/>
      <c r="D24" s="198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X24"/>
    </row>
    <row r="25" spans="1:54" ht="22.5" customHeight="1">
      <c r="A25" s="196"/>
      <c r="B25" s="259"/>
      <c r="C25" s="79" t="s">
        <v>760</v>
      </c>
      <c r="D25" s="198"/>
      <c r="E25" s="79"/>
      <c r="G25" s="261"/>
      <c r="H25" s="261"/>
      <c r="I25" s="79" t="s">
        <v>761</v>
      </c>
    </row>
    <row r="26" spans="1:54" ht="22.5" customHeight="1">
      <c r="A26" s="79"/>
      <c r="B26" s="260"/>
      <c r="C26" s="79" t="s">
        <v>762</v>
      </c>
      <c r="D26" s="198"/>
      <c r="E26" s="79"/>
      <c r="G26" s="263"/>
      <c r="H26" s="263"/>
      <c r="I26" s="79" t="s">
        <v>763</v>
      </c>
    </row>
    <row r="27" spans="1:54" ht="22.5" customHeight="1">
      <c r="A27" s="79"/>
      <c r="B27" s="262"/>
      <c r="C27" s="79" t="s">
        <v>764</v>
      </c>
      <c r="D27" s="198"/>
      <c r="E27" s="79"/>
      <c r="G27" s="552"/>
      <c r="H27" s="552"/>
      <c r="I27" s="79" t="s">
        <v>765</v>
      </c>
    </row>
    <row r="28" spans="1:54" ht="22.5" customHeight="1">
      <c r="B28" s="429"/>
      <c r="C28" s="198" t="s">
        <v>766</v>
      </c>
      <c r="D28" s="198"/>
      <c r="E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</row>
    <row r="29" spans="1:54" ht="22.15" customHeight="1">
      <c r="A29" s="79"/>
      <c r="B29" s="79"/>
      <c r="C29" s="79"/>
      <c r="D29" s="198"/>
      <c r="E29" s="79"/>
      <c r="F29" s="196"/>
      <c r="G29" s="196"/>
      <c r="H29" s="79"/>
      <c r="I29" s="79"/>
      <c r="J29" s="79"/>
      <c r="K29" s="79"/>
      <c r="L29" s="79"/>
      <c r="M29" s="53"/>
      <c r="N29" s="53"/>
      <c r="O29" s="53"/>
      <c r="P29" s="53"/>
      <c r="Q29" s="53"/>
      <c r="R29" s="53"/>
    </row>
    <row r="30" spans="1:54">
      <c r="A30" s="545"/>
      <c r="B30" s="545"/>
      <c r="C30" s="546"/>
      <c r="D30" s="546"/>
      <c r="E30" s="545"/>
      <c r="F30" s="546"/>
      <c r="G30" s="546"/>
      <c r="H30" s="546"/>
      <c r="K30" s="546"/>
      <c r="L30" s="546"/>
      <c r="P30" s="546"/>
      <c r="S30" s="516"/>
      <c r="T30" s="516"/>
      <c r="U30" s="516"/>
      <c r="V30" s="516"/>
      <c r="W30" s="516"/>
      <c r="X30" s="516"/>
      <c r="Y30" s="516"/>
      <c r="Z30" s="516"/>
      <c r="AA30" s="516"/>
      <c r="AB30" s="516"/>
      <c r="AC30" s="516"/>
    </row>
    <row r="31" spans="1:54">
      <c r="C31" s="741" t="s">
        <v>734</v>
      </c>
      <c r="D31" s="741"/>
      <c r="E31" s="741"/>
      <c r="F31" s="741"/>
      <c r="G31" s="131"/>
      <c r="H31" s="741" t="s">
        <v>735</v>
      </c>
      <c r="I31" s="741"/>
      <c r="J31" s="741"/>
      <c r="K31" s="741"/>
      <c r="L31" s="741"/>
      <c r="M31" s="741"/>
      <c r="N31" s="741"/>
      <c r="O31" s="741"/>
      <c r="P31" s="741"/>
      <c r="Q31" s="741"/>
      <c r="R31" s="741"/>
      <c r="S31" s="741"/>
      <c r="T31" s="741"/>
      <c r="U31" s="741"/>
      <c r="V31" s="741"/>
      <c r="W31" s="741"/>
      <c r="X31" s="741"/>
      <c r="Y31" s="741"/>
      <c r="Z31" s="741"/>
      <c r="AA31" s="741"/>
      <c r="AB31" s="741"/>
      <c r="AC31" s="741"/>
      <c r="AD31" s="741"/>
      <c r="AE31" s="741"/>
      <c r="AF31" s="741"/>
      <c r="AG31" s="741"/>
      <c r="AH31" s="741"/>
      <c r="AI31" s="741"/>
      <c r="AJ31" s="741"/>
      <c r="AK31" s="741"/>
      <c r="AR31" s="741" t="s">
        <v>739</v>
      </c>
      <c r="AS31" s="741"/>
      <c r="AT31" s="741"/>
      <c r="AU31" s="741"/>
      <c r="AV31" s="741"/>
      <c r="AW31" s="741"/>
      <c r="AX31" s="741"/>
      <c r="AY31" s="741"/>
      <c r="AZ31" s="741"/>
      <c r="BA31" s="741"/>
      <c r="BB31" s="741"/>
    </row>
    <row r="32" spans="1:54">
      <c r="C32" s="742" t="s">
        <v>736</v>
      </c>
      <c r="D32" s="742"/>
      <c r="E32" s="742"/>
      <c r="F32" s="742"/>
      <c r="G32" s="131"/>
      <c r="H32" s="742" t="s">
        <v>737</v>
      </c>
      <c r="I32" s="742"/>
      <c r="J32" s="742"/>
      <c r="K32" s="742"/>
      <c r="L32" s="742"/>
      <c r="M32" s="742"/>
      <c r="N32" s="742"/>
      <c r="O32" s="742"/>
      <c r="P32" s="742"/>
      <c r="Q32" s="742"/>
      <c r="R32" s="742"/>
      <c r="S32" s="742"/>
      <c r="T32" s="742"/>
      <c r="U32" s="742"/>
      <c r="V32" s="742"/>
      <c r="W32" s="742"/>
      <c r="X32" s="742"/>
      <c r="Y32" s="742"/>
      <c r="Z32" s="742"/>
      <c r="AA32" s="742"/>
      <c r="AB32" s="742"/>
      <c r="AC32" s="742"/>
      <c r="AD32" s="742"/>
      <c r="AE32" s="742"/>
      <c r="AF32" s="742"/>
      <c r="AG32" s="742"/>
      <c r="AH32" s="742"/>
      <c r="AI32" s="742"/>
      <c r="AJ32" s="742"/>
      <c r="AK32" s="742"/>
      <c r="AR32" s="742" t="s">
        <v>740</v>
      </c>
      <c r="AS32" s="742"/>
      <c r="AT32" s="742"/>
      <c r="AU32" s="742"/>
      <c r="AV32" s="742"/>
      <c r="AW32" s="742"/>
      <c r="AX32" s="742"/>
      <c r="AY32" s="742"/>
      <c r="AZ32" s="742"/>
      <c r="BA32" s="742"/>
      <c r="BB32" s="742"/>
    </row>
    <row r="33" spans="1:54">
      <c r="C33" s="742" t="s">
        <v>738</v>
      </c>
      <c r="D33" s="742"/>
      <c r="E33" s="742"/>
      <c r="F33" s="742"/>
      <c r="G33" s="131"/>
      <c r="H33" s="742" t="s">
        <v>738</v>
      </c>
      <c r="I33" s="742"/>
      <c r="J33" s="742"/>
      <c r="K33" s="742"/>
      <c r="L33" s="742"/>
      <c r="M33" s="742"/>
      <c r="N33" s="742"/>
      <c r="O33" s="742"/>
      <c r="P33" s="742"/>
      <c r="Q33" s="742"/>
      <c r="R33" s="742"/>
      <c r="S33" s="742"/>
      <c r="T33" s="742"/>
      <c r="U33" s="742"/>
      <c r="V33" s="742"/>
      <c r="W33" s="742"/>
      <c r="X33" s="742"/>
      <c r="Y33" s="742"/>
      <c r="Z33" s="742"/>
      <c r="AA33" s="742"/>
      <c r="AB33" s="742"/>
      <c r="AC33" s="742"/>
      <c r="AD33" s="742"/>
      <c r="AE33" s="742"/>
      <c r="AF33" s="742"/>
      <c r="AG33" s="742"/>
      <c r="AH33" s="742"/>
      <c r="AI33" s="742"/>
      <c r="AJ33" s="742"/>
      <c r="AK33" s="742"/>
      <c r="AR33" s="742" t="s">
        <v>738</v>
      </c>
      <c r="AS33" s="742"/>
      <c r="AT33" s="742"/>
      <c r="AU33" s="742"/>
      <c r="AV33" s="742"/>
      <c r="AW33" s="742"/>
      <c r="AX33" s="742"/>
      <c r="AY33" s="742"/>
      <c r="AZ33" s="742"/>
      <c r="BA33" s="742"/>
      <c r="BB33" s="742"/>
    </row>
    <row r="34" spans="1:54">
      <c r="C34" s="551"/>
      <c r="D34" s="551"/>
      <c r="E34" s="551"/>
      <c r="F34" s="551"/>
      <c r="G34" s="131"/>
      <c r="H34" s="131"/>
      <c r="I34" s="131"/>
      <c r="J34" s="131"/>
      <c r="K34" s="81"/>
      <c r="L34" s="406"/>
    </row>
    <row r="35" spans="1:54">
      <c r="G35" s="81"/>
      <c r="H35" s="741"/>
      <c r="I35" s="741"/>
      <c r="J35" s="741"/>
      <c r="K35" s="741"/>
      <c r="L35" s="741"/>
      <c r="M35" s="741"/>
      <c r="N35" s="741"/>
      <c r="O35" s="741"/>
      <c r="P35" s="741"/>
      <c r="Q35" s="741"/>
      <c r="R35" s="741"/>
      <c r="S35" s="741"/>
      <c r="T35" s="741"/>
    </row>
    <row r="36" spans="1:54">
      <c r="G36" s="81"/>
      <c r="H36" s="742"/>
      <c r="I36" s="742"/>
      <c r="J36" s="742"/>
      <c r="K36" s="742"/>
      <c r="L36" s="742"/>
      <c r="M36" s="742"/>
      <c r="N36" s="742"/>
      <c r="O36" s="742"/>
      <c r="P36" s="742"/>
      <c r="Q36" s="742"/>
      <c r="R36" s="742"/>
      <c r="S36" s="742"/>
      <c r="T36" s="742"/>
    </row>
    <row r="37" spans="1:54">
      <c r="G37" s="81"/>
      <c r="H37" s="742"/>
      <c r="I37" s="742"/>
      <c r="J37" s="742"/>
      <c r="K37" s="742"/>
      <c r="L37" s="742"/>
      <c r="M37" s="742"/>
      <c r="N37" s="742"/>
      <c r="O37" s="742"/>
      <c r="P37" s="742"/>
      <c r="Q37" s="742"/>
      <c r="R37" s="742"/>
      <c r="S37" s="742"/>
      <c r="T37" s="742"/>
    </row>
    <row r="38" spans="1:54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</row>
  </sheetData>
  <mergeCells count="33">
    <mergeCell ref="S10:X10"/>
    <mergeCell ref="Y10:AD10"/>
    <mergeCell ref="A22:C22"/>
    <mergeCell ref="G22:BB22"/>
    <mergeCell ref="AE10:AJ10"/>
    <mergeCell ref="AK10:AP10"/>
    <mergeCell ref="AQ10:AV10"/>
    <mergeCell ref="AW10:BB10"/>
    <mergeCell ref="B16:C16"/>
    <mergeCell ref="B19:C19"/>
    <mergeCell ref="C7:R7"/>
    <mergeCell ref="A9:A11"/>
    <mergeCell ref="B9:C11"/>
    <mergeCell ref="D9:D10"/>
    <mergeCell ref="E9:E10"/>
    <mergeCell ref="G10:L10"/>
    <mergeCell ref="M10:R10"/>
    <mergeCell ref="H31:AK31"/>
    <mergeCell ref="H32:AK32"/>
    <mergeCell ref="H33:AK33"/>
    <mergeCell ref="A1:BB2"/>
    <mergeCell ref="H37:T37"/>
    <mergeCell ref="H35:T35"/>
    <mergeCell ref="H36:T36"/>
    <mergeCell ref="C33:F33"/>
    <mergeCell ref="C32:F32"/>
    <mergeCell ref="AR32:BB32"/>
    <mergeCell ref="AR33:BB33"/>
    <mergeCell ref="C31:F31"/>
    <mergeCell ref="AR31:BB31"/>
    <mergeCell ref="AY4:BB4"/>
    <mergeCell ref="F9:BB9"/>
    <mergeCell ref="A8:BB8"/>
  </mergeCells>
  <printOptions horizontalCentered="1"/>
  <pageMargins left="0.51181102362204722" right="0.51181102362204722" top="0.43307086614173229" bottom="0.78740157480314965" header="0.31496062992125984" footer="0.31496062992125984"/>
  <pageSetup paperSize="9" scale="67" orientation="landscape" verticalDpi="4294967294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13A0AECF16DCE43814DAC9BA31E4679" ma:contentTypeVersion="24" ma:contentTypeDescription="Crie um novo documento." ma:contentTypeScope="" ma:versionID="8cc70de98fa3f25d4758272056b383fd">
  <xsd:schema xmlns:xsd="http://www.w3.org/2001/XMLSchema" xmlns:xs="http://www.w3.org/2001/XMLSchema" xmlns:p="http://schemas.microsoft.com/office/2006/metadata/properties" xmlns:ns2="f713f894-8e5f-49bb-aba3-bc5acb6c15a1" xmlns:ns3="2654f1fe-3808-4788-a1c9-5f0b422ba0d6" targetNamespace="http://schemas.microsoft.com/office/2006/metadata/properties" ma:root="true" ma:fieldsID="6764d48c3f9a71d88db86b8f9a7c62d8" ns2:_="" ns3:_="">
    <xsd:import namespace="f713f894-8e5f-49bb-aba3-bc5acb6c15a1"/>
    <xsd:import namespace="2654f1fe-3808-4788-a1c9-5f0b422ba0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GPS20_x002d_04" minOccurs="0"/>
                <xsd:element ref="ns2:_x0020__x0020__x0020__x0020_" minOccurs="0"/>
                <xsd:element ref="ns2:MediaServiceObjectDetectorVersions" minOccurs="0"/>
                <xsd:element ref="ns2:_Flow_SignoffStatus" minOccurs="0"/>
                <xsd:element ref="ns2:MediaServiceSearchProperties" minOccurs="0"/>
                <xsd:element ref="ns2:Data_x002f_hora" minOccurs="0"/>
                <xsd:element ref="ns2:Edils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13f894-8e5f-49bb-aba3-bc5acb6c15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37a9c149-240b-4054-b6f2-0d1c435622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GPS20_x002d_04" ma:index="24" nillable="true" ma:displayName="GPS 20-04" ma:format="Dropdown" ma:internalName="GPS20_x002d_04">
      <xsd:simpleType>
        <xsd:restriction base="dms:Text">
          <xsd:maxLength value="255"/>
        </xsd:restriction>
      </xsd:simpleType>
    </xsd:element>
    <xsd:element name="_x0020__x0020__x0020__x0020_" ma:index="25" nillable="true" ma:displayName="    " ma:format="Dropdown" ma:internalName="_x0020__x0020__x0020__x0020_">
      <xsd:simpleType>
        <xsd:restriction base="dms:Text">
          <xsd:maxLength value="255"/>
        </xsd:restriction>
      </xsd:simple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7" nillable="true" ma:displayName="Status de liberação" ma:internalName="Status_x0020_de_x0020_libera_x00e7__x00e3_o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ata_x002f_hora" ma:index="29" nillable="true" ma:displayName="Data/hora" ma:format="DateTime" ma:internalName="Data_x002f_hora">
      <xsd:simpleType>
        <xsd:restriction base="dms:DateTime"/>
      </xsd:simpleType>
    </xsd:element>
    <xsd:element name="Edilson" ma:index="30" nillable="true" ma:displayName="Edilson" ma:format="Dropdown" ma:list="UserInfo" ma:SharePointGroup="0" ma:internalName="Edilson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54f1fe-3808-4788-a1c9-5f0b422ba0d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401889a-5795-441c-8727-ad37507fe82d}" ma:internalName="TaxCatchAll" ma:showField="CatchAllData" ma:web="2654f1fe-3808-4788-a1c9-5f0b422ba0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713f894-8e5f-49bb-aba3-bc5acb6c15a1">
      <Terms xmlns="http://schemas.microsoft.com/office/infopath/2007/PartnerControls"/>
    </lcf76f155ced4ddcb4097134ff3c332f>
    <TaxCatchAll xmlns="2654f1fe-3808-4788-a1c9-5f0b422ba0d6" xsi:nil="true"/>
    <GPS20_x002d_04 xmlns="f713f894-8e5f-49bb-aba3-bc5acb6c15a1" xsi:nil="true"/>
    <_x0020__x0020__x0020__x0020_ xmlns="f713f894-8e5f-49bb-aba3-bc5acb6c15a1" xsi:nil="true"/>
    <_Flow_SignoffStatus xmlns="f713f894-8e5f-49bb-aba3-bc5acb6c15a1" xsi:nil="true"/>
    <Data_x002f_hora xmlns="f713f894-8e5f-49bb-aba3-bc5acb6c15a1" xsi:nil="true"/>
    <Edilson xmlns="f713f894-8e5f-49bb-aba3-bc5acb6c15a1">
      <UserInfo>
        <DisplayName/>
        <AccountId xsi:nil="true"/>
        <AccountType/>
      </UserInfo>
    </Edilson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F5A38A-BF58-4B5F-8E6F-30ED8671A3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13f894-8e5f-49bb-aba3-bc5acb6c15a1"/>
    <ds:schemaRef ds:uri="2654f1fe-3808-4788-a1c9-5f0b422ba0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0FA088B-4D10-4E29-911A-9BA755FD0F16}">
  <ds:schemaRefs>
    <ds:schemaRef ds:uri="http://schemas.microsoft.com/office/2006/metadata/properties"/>
    <ds:schemaRef ds:uri="http://schemas.microsoft.com/office/infopath/2007/PartnerControls"/>
    <ds:schemaRef ds:uri="f713f894-8e5f-49bb-aba3-bc5acb6c15a1"/>
    <ds:schemaRef ds:uri="2654f1fe-3808-4788-a1c9-5f0b422ba0d6"/>
  </ds:schemaRefs>
</ds:datastoreItem>
</file>

<file path=customXml/itemProps3.xml><?xml version="1.0" encoding="utf-8"?>
<ds:datastoreItem xmlns:ds="http://schemas.openxmlformats.org/officeDocument/2006/customXml" ds:itemID="{9E8399D0-9FF4-4B08-A740-5781573A5F30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27</vt:i4>
      </vt:variant>
      <vt:variant>
        <vt:lpstr>Intervalos Nomeados</vt:lpstr>
      </vt:variant>
      <vt:variant>
        <vt:i4>34</vt:i4>
      </vt:variant>
    </vt:vector>
  </HeadingPairs>
  <TitlesOfParts>
    <vt:vector size="61" baseType="lpstr">
      <vt:lpstr>Capa</vt:lpstr>
      <vt:lpstr>Orç_20-30</vt:lpstr>
      <vt:lpstr>Crono_20-30</vt:lpstr>
      <vt:lpstr>Definições</vt:lpstr>
      <vt:lpstr>Dados Básicos do município</vt:lpstr>
      <vt:lpstr>Dias trabalhados</vt:lpstr>
      <vt:lpstr>Reajuste</vt:lpstr>
      <vt:lpstr>Deslocamento</vt:lpstr>
      <vt:lpstr>Veículo</vt:lpstr>
      <vt:lpstr>Topografia e Cadastro</vt:lpstr>
      <vt:lpstr>Custos</vt:lpstr>
      <vt:lpstr>Horas trabalhadas</vt:lpstr>
      <vt:lpstr>DNIT04.23</vt:lpstr>
      <vt:lpstr>K</vt:lpstr>
      <vt:lpstr>Serviços</vt:lpstr>
      <vt:lpstr>P1</vt:lpstr>
      <vt:lpstr>P2</vt:lpstr>
      <vt:lpstr>P3</vt:lpstr>
      <vt:lpstr>P4</vt:lpstr>
      <vt:lpstr>P5</vt:lpstr>
      <vt:lpstr>P6</vt:lpstr>
      <vt:lpstr>P7.1</vt:lpstr>
      <vt:lpstr>P.7.2</vt:lpstr>
      <vt:lpstr>P8</vt:lpstr>
      <vt:lpstr>Produto Consolidado</vt:lpstr>
      <vt:lpstr>CPP</vt:lpstr>
      <vt:lpstr>Cronograma</vt:lpstr>
      <vt:lpstr>Capa!Area_de_impressao</vt:lpstr>
      <vt:lpstr>CPP!Area_de_impressao</vt:lpstr>
      <vt:lpstr>'Crono_20-30'!Area_de_impressao</vt:lpstr>
      <vt:lpstr>Cronograma!Area_de_impressao</vt:lpstr>
      <vt:lpstr>Custos!Area_de_impressao</vt:lpstr>
      <vt:lpstr>'Dados Básicos do município'!Area_de_impressao</vt:lpstr>
      <vt:lpstr>Definições!Area_de_impressao</vt:lpstr>
      <vt:lpstr>Deslocamento!Area_de_impressao</vt:lpstr>
      <vt:lpstr>'Dias trabalhados'!Area_de_impressao</vt:lpstr>
      <vt:lpstr>'Horas trabalhadas'!Area_de_impressao</vt:lpstr>
      <vt:lpstr>K!Area_de_impressao</vt:lpstr>
      <vt:lpstr>'Orç_20-30'!Area_de_impressao</vt:lpstr>
      <vt:lpstr>'P1'!Area_de_impressao</vt:lpstr>
      <vt:lpstr>'P2'!Area_de_impressao</vt:lpstr>
      <vt:lpstr>'P3'!Area_de_impressao</vt:lpstr>
      <vt:lpstr>'P4'!Area_de_impressao</vt:lpstr>
      <vt:lpstr>'P5'!Area_de_impressao</vt:lpstr>
      <vt:lpstr>'P6'!Area_de_impressao</vt:lpstr>
      <vt:lpstr>P7.1!Area_de_impressao</vt:lpstr>
      <vt:lpstr>'P8'!Area_de_impressao</vt:lpstr>
      <vt:lpstr>'Produto Consolidado'!Area_de_impressao</vt:lpstr>
      <vt:lpstr>Reajuste!Area_de_impressao</vt:lpstr>
      <vt:lpstr>Serviços!Area_de_impressao</vt:lpstr>
      <vt:lpstr>'Topografia e Cadastro'!Area_de_impressao</vt:lpstr>
      <vt:lpstr>Veículo!Area_de_impressao</vt:lpstr>
      <vt:lpstr>'P1'!Titulos_de_impressao</vt:lpstr>
      <vt:lpstr>'P2'!Titulos_de_impressao</vt:lpstr>
      <vt:lpstr>'P3'!Titulos_de_impressao</vt:lpstr>
      <vt:lpstr>'P4'!Titulos_de_impressao</vt:lpstr>
      <vt:lpstr>'P5'!Titulos_de_impressao</vt:lpstr>
      <vt:lpstr>'P6'!Titulos_de_impressao</vt:lpstr>
      <vt:lpstr>P7.1!Titulos_de_impressao</vt:lpstr>
      <vt:lpstr>'P8'!Titulos_de_impressao</vt:lpstr>
      <vt:lpstr>'Produto Consolidado'!Titulos_de_impressao</vt:lpstr>
    </vt:vector>
  </TitlesOfParts>
  <Manager/>
  <Company>Serenco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Caroline</dc:creator>
  <cp:keywords/>
  <dc:description/>
  <cp:lastModifiedBy>Usuario01</cp:lastModifiedBy>
  <cp:revision/>
  <cp:lastPrinted>2026-04-27T16:59:29Z</cp:lastPrinted>
  <dcterms:created xsi:type="dcterms:W3CDTF">2009-02-03T12:18:48Z</dcterms:created>
  <dcterms:modified xsi:type="dcterms:W3CDTF">2026-04-27T17:09:49Z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0x010100E13A0AECF16DCE43814DAC9BA31E4679</vt:lpwstr>
  </property>
  <property fmtid="{D5CDD505-2E9C-101B-9397-08002B2CF9AE}" pid="3" name="MediaServiceImageTags">
    <vt:lpwstr/>
  </property>
</Properties>
</file>