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 activeTab="3"/>
  </bookViews>
  <sheets>
    <sheet name="Planilha Orcamentária" sheetId="5" r:id="rId1"/>
    <sheet name="Memória - SEINFRA" sheetId="15" r:id="rId2"/>
    <sheet name="Cronograma" sheetId="10" r:id="rId3"/>
    <sheet name="Plan1" sheetId="16" r:id="rId4"/>
  </sheets>
  <externalReferences>
    <externalReference r:id="rId5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Cronograma!$A$1:$H$25</definedName>
    <definedName name="_xlnm.Print_Area" localSheetId="1">'Memória - SEINFRA'!$A$2:$I$108</definedName>
    <definedName name="_xlnm.Print_Area" localSheetId="0">'Planilha Orcamentária'!$A$1:$I$40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Cronograma!$A$1:$H$28</definedName>
    <definedName name="Z_46B44D95_2370_4419_BD85_88291A251F92_.wvu.PrintArea" localSheetId="0" hidden="1">'Planilha Orcamentária'!$A$1:$I$43</definedName>
    <definedName name="Z_46B44D95_2370_4419_BD85_88291A251F92_.wvu.PrintTitles" localSheetId="0" hidden="1">'Planilha Orcamentária'!$1:$9</definedName>
  </definedNames>
  <calcPr calcId="145621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6" l="1"/>
  <c r="D8" i="16"/>
  <c r="H11" i="5" l="1"/>
  <c r="I11" i="5" s="1"/>
  <c r="F13" i="5"/>
  <c r="F17" i="5"/>
  <c r="F18" i="5"/>
  <c r="F20" i="5"/>
  <c r="F22" i="5"/>
  <c r="F23" i="5"/>
  <c r="F25" i="5"/>
  <c r="F26" i="5"/>
  <c r="H4" i="5"/>
  <c r="H10" i="5"/>
  <c r="H12" i="5"/>
  <c r="I12" i="5" s="1"/>
  <c r="H13" i="5"/>
  <c r="H16" i="5"/>
  <c r="H17" i="5"/>
  <c r="I17" i="5" s="1"/>
  <c r="H18" i="5"/>
  <c r="I18" i="5" s="1"/>
  <c r="H20" i="5"/>
  <c r="H22" i="5"/>
  <c r="I22" i="5" s="1"/>
  <c r="H23" i="5"/>
  <c r="I23" i="5" s="1"/>
  <c r="H25" i="5"/>
  <c r="I25" i="5" s="1"/>
  <c r="H26" i="5"/>
  <c r="I26" i="5" s="1"/>
  <c r="I19" i="5"/>
  <c r="I13" i="5" l="1"/>
  <c r="J10" i="5" s="1"/>
  <c r="I16" i="5"/>
  <c r="I24" i="5"/>
  <c r="I21" i="5"/>
  <c r="I20" i="5"/>
  <c r="A62" i="15"/>
  <c r="I10" i="5" l="1"/>
  <c r="I29" i="5"/>
  <c r="G14" i="5" s="1"/>
  <c r="H14" i="5" s="1"/>
  <c r="I14" i="5" s="1"/>
  <c r="I30" i="5" s="1"/>
  <c r="B9" i="15"/>
  <c r="H95" i="15" l="1"/>
  <c r="H94" i="15"/>
  <c r="H84" i="15"/>
  <c r="C22" i="15"/>
  <c r="C34" i="15"/>
  <c r="H83" i="15" l="1"/>
  <c r="C67" i="15" l="1"/>
  <c r="E67" i="15" s="1"/>
  <c r="C75" i="15" s="1"/>
  <c r="C65" i="15"/>
  <c r="E65" i="15" s="1"/>
  <c r="C73" i="15" s="1"/>
  <c r="A70" i="15"/>
  <c r="B69" i="15"/>
  <c r="B61" i="15"/>
  <c r="A54" i="15"/>
  <c r="B53" i="15"/>
  <c r="A48" i="15"/>
  <c r="B47" i="15"/>
  <c r="A39" i="15"/>
  <c r="B38" i="15"/>
  <c r="A30" i="15"/>
  <c r="B29" i="15"/>
  <c r="A26" i="15"/>
  <c r="A18" i="15"/>
  <c r="B25" i="15"/>
  <c r="E23" i="15"/>
  <c r="E22" i="15"/>
  <c r="E21" i="15"/>
  <c r="B17" i="15"/>
  <c r="H85" i="15"/>
  <c r="C66" i="15"/>
  <c r="E66" i="15" s="1"/>
  <c r="C74" i="15" s="1"/>
  <c r="E68" i="15" l="1"/>
  <c r="C24" i="15"/>
  <c r="E24" i="15" s="1"/>
  <c r="B101" i="15" l="1"/>
  <c r="H93" i="15" l="1"/>
  <c r="E35" i="15" l="1"/>
  <c r="E34" i="15"/>
  <c r="C43" i="15" s="1"/>
  <c r="E33" i="15"/>
  <c r="A84" i="15" l="1"/>
  <c r="A85" i="15"/>
  <c r="A83" i="15"/>
  <c r="H86" i="15" l="1"/>
  <c r="B13" i="10" l="1"/>
  <c r="B11" i="10"/>
  <c r="A13" i="10"/>
  <c r="A11" i="10"/>
  <c r="B25" i="10" l="1"/>
  <c r="B24" i="10"/>
  <c r="B20" i="10"/>
  <c r="B21" i="10"/>
  <c r="B19" i="10"/>
  <c r="B102" i="15"/>
  <c r="B103" i="15"/>
  <c r="B107" i="15"/>
  <c r="B108" i="15"/>
  <c r="J31" i="5"/>
  <c r="A94" i="15" l="1"/>
  <c r="A95" i="15"/>
  <c r="A93" i="15"/>
  <c r="E43" i="15"/>
  <c r="C44" i="15"/>
  <c r="E44" i="15" s="1"/>
  <c r="C42" i="15"/>
  <c r="F73" i="15" l="1"/>
  <c r="E42" i="15"/>
  <c r="C59" i="15"/>
  <c r="E59" i="15" s="1"/>
  <c r="H59" i="15" s="1"/>
  <c r="F75" i="15"/>
  <c r="C58" i="15"/>
  <c r="E58" i="15" s="1"/>
  <c r="H58" i="15" s="1"/>
  <c r="F74" i="15"/>
  <c r="F76" i="15" s="1"/>
  <c r="C57" i="15"/>
  <c r="H96" i="15"/>
  <c r="A90" i="15"/>
  <c r="B89" i="15"/>
  <c r="A81" i="15"/>
  <c r="B80" i="15"/>
  <c r="E36" i="15"/>
  <c r="D27" i="15"/>
  <c r="C27" i="15"/>
  <c r="A14" i="15"/>
  <c r="B13" i="15"/>
  <c r="E57" i="15" l="1"/>
  <c r="H57" i="15" s="1"/>
  <c r="H60" i="15" s="1"/>
  <c r="E45" i="15"/>
  <c r="A6" i="15"/>
  <c r="A5" i="15"/>
  <c r="A4" i="15"/>
  <c r="B7" i="15"/>
  <c r="B51" i="15" l="1"/>
  <c r="D51" i="15" s="1"/>
  <c r="E60" i="15" l="1"/>
  <c r="B9" i="10" l="1"/>
  <c r="D10" i="10" l="1"/>
  <c r="A4" i="10"/>
  <c r="A9" i="10"/>
  <c r="D14" i="10" l="1"/>
  <c r="G14" i="10" s="1"/>
  <c r="A3" i="10"/>
  <c r="G3" i="10"/>
  <c r="A5" i="10"/>
  <c r="E14" i="10" l="1"/>
  <c r="D12" i="10" l="1"/>
  <c r="E12" i="10" l="1"/>
  <c r="G12" i="10"/>
  <c r="A7" i="10"/>
  <c r="B7" i="10"/>
  <c r="G10" i="10" l="1"/>
  <c r="E10" i="10"/>
  <c r="J14" i="5" l="1"/>
  <c r="J11" i="5"/>
  <c r="E8" i="10"/>
  <c r="G8" i="10"/>
  <c r="D8" i="10"/>
  <c r="D16" i="10" s="1"/>
  <c r="G7" i="10" l="1"/>
  <c r="G16" i="10"/>
  <c r="E7" i="10"/>
  <c r="E16" i="10"/>
  <c r="I21" i="10" l="1"/>
  <c r="I17" i="10"/>
  <c r="E15" i="10"/>
  <c r="I18" i="10"/>
  <c r="G15" i="10"/>
  <c r="D9" i="10"/>
  <c r="D11" i="10"/>
  <c r="D3" i="10"/>
  <c r="D13" i="10"/>
  <c r="D7" i="10"/>
  <c r="D15" i="10" l="1"/>
  <c r="I16" i="10"/>
</calcChain>
</file>

<file path=xl/sharedStrings.xml><?xml version="1.0" encoding="utf-8"?>
<sst xmlns="http://schemas.openxmlformats.org/spreadsheetml/2006/main" count="279" uniqueCount="174">
  <si>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</si>
  <si>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</si>
  <si>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</si>
  <si>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</si>
  <si>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</si>
  <si>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</si>
  <si>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</si>
  <si>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</si>
  <si>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</si>
  <si>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2.2</t>
  </si>
  <si>
    <t>2.3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</si>
  <si>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</si>
  <si>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</si>
  <si>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</si>
  <si>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</si>
  <si>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</si>
  <si>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</si>
  <si>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</si>
  <si>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</si>
  <si>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(    )</t>
  </si>
  <si>
    <t>DATA:</t>
  </si>
  <si>
    <t>VALOR DO CONVÊNIO:</t>
  </si>
  <si>
    <t>1.0</t>
  </si>
  <si>
    <t>2.0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</si>
  <si>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</si>
  <si>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</si>
  <si>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</si>
  <si>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</si>
  <si>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</si>
  <si>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</si>
  <si>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</si>
  <si>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</si>
  <si>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</si>
  <si>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</si>
  <si>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t>COMPOSIÇÃO/DEMONSTRATIVO DE BDI - EM ANEXO</t>
  </si>
  <si>
    <t>ITENS</t>
  </si>
  <si>
    <t>1.2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</si>
  <si>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</si>
  <si>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%</t>
  </si>
  <si>
    <t>2.4</t>
  </si>
  <si>
    <t>MÊS 1</t>
  </si>
  <si>
    <t>MÊS 2</t>
  </si>
  <si>
    <t>PREVISÃO DE EXECUÇÃO DAS OBRAS: 2 MESES</t>
  </si>
  <si>
    <t>FONTE</t>
  </si>
  <si>
    <t>MEMÓRIA DE CÁCULO DE QUANTITATIVOS</t>
  </si>
  <si>
    <t>CALÇAMENTO</t>
  </si>
  <si>
    <t>ITEM:</t>
  </si>
  <si>
    <t>Quantidade</t>
  </si>
  <si>
    <t>Unidade</t>
  </si>
  <si>
    <t>LOCAL</t>
  </si>
  <si>
    <t>Comprimento</t>
  </si>
  <si>
    <t>Largura</t>
  </si>
  <si>
    <t>Área</t>
  </si>
  <si>
    <t>(m)</t>
  </si>
  <si>
    <t>(m²)</t>
  </si>
  <si>
    <t>Volume</t>
  </si>
  <si>
    <t>DMT</t>
  </si>
  <si>
    <t>(m3)</t>
  </si>
  <si>
    <t>Espessura</t>
  </si>
  <si>
    <t>(km)</t>
  </si>
  <si>
    <t>Transporte</t>
  </si>
  <si>
    <t>(m³xKm)</t>
  </si>
  <si>
    <t>SOMATÓRIO DO COMPRIMENTO</t>
  </si>
  <si>
    <t xml:space="preserve">TOTAL </t>
  </si>
  <si>
    <t>km</t>
  </si>
  <si>
    <t/>
  </si>
  <si>
    <t>Prefeito Municipal</t>
  </si>
  <si>
    <t>SICOR/
SEINFRA</t>
  </si>
  <si>
    <t>4011219</t>
  </si>
  <si>
    <t>TERRAPLENAGEM</t>
  </si>
  <si>
    <t>3.0</t>
  </si>
  <si>
    <t>DRENAGEM PLUVIAL</t>
  </si>
  <si>
    <t>4.0</t>
  </si>
  <si>
    <t>4.1</t>
  </si>
  <si>
    <t>4.2</t>
  </si>
  <si>
    <t>3.1</t>
  </si>
  <si>
    <t xml:space="preserve">FOLHA N º: </t>
  </si>
  <si>
    <t>VALOR TOTAL GERAL DA OBRA</t>
  </si>
  <si>
    <t>FOLHA Nº: 01/01</t>
  </si>
  <si>
    <t>ED-50392</t>
  </si>
  <si>
    <t>A CARGO DO MUNICÍPIO</t>
  </si>
  <si>
    <t>ED-8914</t>
  </si>
  <si>
    <t>M</t>
  </si>
  <si>
    <t>M²</t>
  </si>
  <si>
    <t>M³</t>
  </si>
  <si>
    <t>TxKM</t>
  </si>
  <si>
    <t>Peso Específico</t>
  </si>
  <si>
    <t>(m³)</t>
  </si>
  <si>
    <t>(t/m³)</t>
  </si>
  <si>
    <t>PREFEITURA MUNICIPAL DE MONTALVÂNIA-MG</t>
  </si>
  <si>
    <t>ED-50275</t>
  </si>
  <si>
    <t>LOCAÇÃO TOPOGRÁFICA PARA ATÉ VINTE (20) PONTOS REFERENCIAIS, INCLUSIVE ESTACA (PIQUETE) DE MARCAÇÃO</t>
  </si>
  <si>
    <t>PT</t>
  </si>
  <si>
    <t>M3XKM</t>
  </si>
  <si>
    <t>GUIA (MEIO-FIO) E SARJETA CONJUGADOS DE CONCRETO, MOLDADA IN LOCO COM EXTRUSORA, 45 CM BASE (15 CM BASE DA GUIA + 30 CM BASE DA SARJETA) X 22 CM ALTURA. AF_06/2016</t>
  </si>
  <si>
    <t>GUIA DE CORDÃO BOLEADO, EM CONCRETO COM FCK 20MPA, PRÉ-MOLDADA, 10X10CM (ALTURA X LARGURA), INCLUSIVE UMA (
1) FIADA DE BLOCO DE CONCRETO, ESP. 9CM, ESCAVAÇÃO, APILOAMENTO E TRANSPORTE COM RETIRADA DO MATERIAL
ESCAVADO (EM CAÇAMBA)</t>
  </si>
  <si>
    <t>Engenhera Civil - Responsável Técnico</t>
  </si>
  <si>
    <t>CREA/MG Nº: MG 378514</t>
  </si>
  <si>
    <t xml:space="preserve">ANYK DA SILVA REIS </t>
  </si>
  <si>
    <t xml:space="preserve">FREDSON LOPES FRANÇA </t>
  </si>
  <si>
    <t>ED-51135</t>
  </si>
  <si>
    <t xml:space="preserve">Rua Góias </t>
  </si>
  <si>
    <t>Rua Maranhão</t>
  </si>
  <si>
    <t>Rua Praça dos Esportes</t>
  </si>
  <si>
    <t>Rua Góias</t>
  </si>
  <si>
    <t xml:space="preserve">Rua Praça dos Esportes </t>
  </si>
  <si>
    <t>SINAPI</t>
  </si>
  <si>
    <t>ED-28427</t>
  </si>
  <si>
    <t>1.3</t>
  </si>
  <si>
    <t>Distancia</t>
  </si>
  <si>
    <t>TRANSPORTE</t>
  </si>
  <si>
    <t xml:space="preserve">MOBILIZAÇÃO E DESMOBILIZAÇÃO DE OBRA EM CENTRO URBANO OU REGIÃO LIMÍTROFE COM VALOR ATÉ O VALOR DE 1.000.000,00 </t>
  </si>
  <si>
    <t>LOCAL: RUA GÓIAS , RUA MARANHÃO , RUA PRAÇA DOS ESPORTES</t>
  </si>
  <si>
    <t>Lado direito =5,60
Lado Esquerdo =5,60</t>
  </si>
  <si>
    <t>Lado Direito =46,00
Lado Esquerdo =46,00</t>
  </si>
  <si>
    <t>REGIÃO/MÊS DE REFERÊNCIA: SICOR/SEINFRA -  REGIÃO NORTE - JULHO/2025- SEM DESONERAÇÃO - SINAPI 09/2025 NÃO DESONERADO; SICRO 07/2025 SEM DESONERAÇÃO;</t>
  </si>
  <si>
    <t>SICRO/
DNIT</t>
  </si>
  <si>
    <t>5915321</t>
  </si>
  <si>
    <t>TRANSPORTE EM CAMINHÃO BASCULANTE COM CAPACIDADE DE 14 M3 – RODOVIA PAVIMENTADA</t>
  </si>
  <si>
    <t>TXKM</t>
  </si>
  <si>
    <t>3.2</t>
  </si>
  <si>
    <t>4011209</t>
  </si>
  <si>
    <t>BASE DE SOLO ESTABILIZADO GRANULOMETRICAMENTE SEM MISTURA COM MATERIAL DE JAZIDA - 100% PROCTOR MODIFICADO</t>
  </si>
  <si>
    <t>-</t>
  </si>
  <si>
    <t>AQUISIÇÃO DE MATERIAL DE JAZIDA PARA BASE - CASCALHO</t>
  </si>
  <si>
    <t>TRANSPORTE COM CAMINHÃO BASCULANTE DE 14 M³ - RODOVIA PAVIMENTADA</t>
  </si>
  <si>
    <t>Lado Esquerdo = 210,00
Lado Direito = 210,00</t>
  </si>
  <si>
    <t xml:space="preserve">REGULARIZAÇÃO DO SUBLEITO - 100% PROCTOR INTERMEDIÁRIO </t>
  </si>
  <si>
    <t>Lado Direito =120,00
Lado Esquerdo =120,00</t>
  </si>
  <si>
    <t>Lado direito =5,10+5,10
Lado Esquerdo =5,10+5,10</t>
  </si>
  <si>
    <t>Lado direito =5,10
Lado Esquerdo =5,10</t>
  </si>
  <si>
    <t>ED-50155</t>
  </si>
  <si>
    <t>LOCAÇÃO DE BANHEIRO QUÍMICO, DIMENSÃO (110X120X230)CM,
LINHA PADRÃO, CONTENDO UMA (1) PIA/HIGIENIZADOR DE MÃOS,
INCLUSIVE MANUTENÇÃO E MOBILIZAÇÃO/DESMOBILIZAÇÃO</t>
  </si>
  <si>
    <t>UM</t>
  </si>
  <si>
    <t>1.4</t>
  </si>
  <si>
    <t>LOCAÇÃO DE BANHEIRO QUÍMICO, DIMENSÃO (110X120X230)CM,LINHA PADRÃO, CONTENDO UMA (1) PIA/HIGIENIZADOR DE MÃOS,
INCLUSIVE MANUTENÇÃO E MOBILIZAÇÃO/DESMOBILIZAÇÃO</t>
  </si>
  <si>
    <t>MÊS</t>
  </si>
  <si>
    <r>
      <t xml:space="preserve">OBRA: </t>
    </r>
    <r>
      <rPr>
        <sz val="8"/>
        <rFont val="Calibri"/>
        <family val="2"/>
        <scheme val="minor"/>
      </rPr>
      <t xml:space="preserve">CALÇAMENTO EM BLOQUETE SEXTAVADO- DIVERSOS LOGRADOUROS DISTRITO DE POÇÕES </t>
    </r>
  </si>
  <si>
    <t>EXECUÇÃO DE PAVIMENTO COM PISO INTERTRAVADO, TIPO SEXTAVADO, ESP. 8CM, COM FCK DE 35MPA, INCLUSIVE COLCHÃO DE AREIA, ESP. 6CM, PARA ASSENTAMENTO, COMPACTAÇÃO MECANIZADA, CARGA E DESCARGA MECÂNICA EM CAMINHÃO, EXCLUSIVE TRANSPORTE DE PISO INTERTRAVADO</t>
  </si>
  <si>
    <t>ASFALTAMENTO EM PMF</t>
  </si>
  <si>
    <t>COMPOSIÇÃO DA TAXA DE BENEFÍCIOS E DESPESAS INDIRETAS</t>
  </si>
  <si>
    <t>Grupo</t>
  </si>
  <si>
    <t>A</t>
  </si>
  <si>
    <t>Despesas indiretas</t>
  </si>
  <si>
    <t>A.1</t>
  </si>
  <si>
    <t>Administração central</t>
  </si>
  <si>
    <t>A.2</t>
  </si>
  <si>
    <t>Garantia</t>
  </si>
  <si>
    <t>A.3</t>
  </si>
  <si>
    <t>Risco</t>
  </si>
  <si>
    <t>Total do grupo A</t>
  </si>
  <si>
    <t>B</t>
  </si>
  <si>
    <t>Bonificação</t>
  </si>
  <si>
    <t>B.1</t>
  </si>
  <si>
    <t>Lucro</t>
  </si>
  <si>
    <t>Total do grupo B</t>
  </si>
  <si>
    <t>C</t>
  </si>
  <si>
    <t>Impostos</t>
  </si>
  <si>
    <t>C.1</t>
  </si>
  <si>
    <t>PIS</t>
  </si>
  <si>
    <t>C.2</t>
  </si>
  <si>
    <t>COFINS</t>
  </si>
  <si>
    <t>C.3</t>
  </si>
  <si>
    <t>ISSQN (Prefeitura de Montalvânia)*</t>
  </si>
  <si>
    <t>C.4</t>
  </si>
  <si>
    <t>INSS</t>
  </si>
  <si>
    <t>Total do grupo C</t>
  </si>
  <si>
    <t>D</t>
  </si>
  <si>
    <t>Despesas Financeiras (F)</t>
  </si>
  <si>
    <t>Total do grupo D</t>
  </si>
  <si>
    <t>Fórmula para o cálculo do B.D.I. ( benefícios e despesas indiretas )</t>
  </si>
  <si>
    <r>
      <t xml:space="preserve">BDI = BDI (%) = </t>
    </r>
    <r>
      <rPr>
        <u/>
        <sz val="12"/>
        <rFont val="Arial"/>
        <family val="2"/>
      </rPr>
      <t>(1+AC+G+R) x (1+DF) x (1+L) - 1  x 100</t>
    </r>
  </si>
  <si>
    <t xml:space="preserve">                               (1- (I+INSS))</t>
  </si>
  <si>
    <t xml:space="preserve">ENGENHEIRA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</si>
</sst>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u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15" applyNumberFormat="0" applyAlignment="0" applyProtection="0"/>
    <xf numFmtId="0" fontId="8" fillId="0" borderId="0">
      <protection locked="0"/>
    </xf>
    <xf numFmtId="166" fontId="5" fillId="0" borderId="0" applyFont="0" applyFill="0" applyBorder="0" applyAlignment="0" applyProtection="0"/>
    <xf numFmtId="0" fontId="9" fillId="0" borderId="0"/>
    <xf numFmtId="0" fontId="9" fillId="0" borderId="0"/>
    <xf numFmtId="165" fontId="10" fillId="0" borderId="0" applyBorder="0" applyProtection="0"/>
    <xf numFmtId="167" fontId="8" fillId="0" borderId="0">
      <protection locked="0"/>
    </xf>
    <xf numFmtId="0" fontId="11" fillId="7" borderId="0" applyNumberFormat="0" applyBorder="0" applyAlignment="0" applyProtection="0"/>
    <xf numFmtId="0" fontId="12" fillId="0" borderId="0">
      <alignment horizontal="left"/>
    </xf>
    <xf numFmtId="0" fontId="13" fillId="8" borderId="16" applyNumberFormat="0" applyAlignment="0" applyProtection="0"/>
    <xf numFmtId="0" fontId="14" fillId="0" borderId="17" applyNumberFormat="0" applyFill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7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9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10" borderId="18" applyNumberFormat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1" fontId="8" fillId="0" borderId="0">
      <protection locked="0"/>
    </xf>
    <xf numFmtId="172" fontId="8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19" fillId="0" borderId="0">
      <protection locked="0"/>
    </xf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1" fillId="3" borderId="4">
      <alignment wrapText="1"/>
    </xf>
    <xf numFmtId="0" fontId="21" fillId="3" borderId="4">
      <alignment wrapText="1"/>
    </xf>
    <xf numFmtId="0" fontId="22" fillId="0" borderId="19" applyNumberFormat="0" applyFill="0" applyAlignment="0" applyProtection="0"/>
    <xf numFmtId="173" fontId="23" fillId="0" borderId="0">
      <protection locked="0"/>
    </xf>
    <xf numFmtId="173" fontId="23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25" fillId="0" borderId="0" applyFont="0" applyFill="0" applyBorder="0" applyAlignment="0" applyProtection="0"/>
    <xf numFmtId="176" fontId="9" fillId="0" borderId="0" applyFont="0" applyFill="0" applyBorder="0" applyAlignment="0" applyProtection="0"/>
  </cellStyleXfs>
  <cellXfs count="273">
    <xf numFmtId="0" fontId="0" fillId="0" borderId="0" xfId="0"/>
    <xf numFmtId="0" fontId="28" fillId="0" borderId="0" xfId="0" applyFont="1" applyAlignment="1">
      <alignment horizontal="center" vertical="center" wrapText="1"/>
    </xf>
    <xf numFmtId="0" fontId="28" fillId="0" borderId="0" xfId="0" applyFont="1"/>
    <xf numFmtId="0" fontId="34" fillId="0" borderId="0" xfId="0" applyFont="1"/>
    <xf numFmtId="174" fontId="34" fillId="0" borderId="0" xfId="0" applyNumberFormat="1" applyFont="1"/>
    <xf numFmtId="4" fontId="26" fillId="0" borderId="4" xfId="0" applyNumberFormat="1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4" fontId="26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left" vertical="center" wrapText="1"/>
    </xf>
    <xf numFmtId="174" fontId="36" fillId="0" borderId="4" xfId="0" applyNumberFormat="1" applyFont="1" applyBorder="1" applyAlignment="1">
      <alignment horizontal="center" vertical="center" wrapText="1"/>
    </xf>
    <xf numFmtId="4" fontId="34" fillId="0" borderId="0" xfId="0" applyNumberFormat="1" applyFont="1"/>
    <xf numFmtId="0" fontId="36" fillId="0" borderId="4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9" xfId="0" applyFont="1" applyBorder="1"/>
    <xf numFmtId="4" fontId="29" fillId="0" borderId="0" xfId="0" applyNumberFormat="1" applyFont="1" applyAlignment="1">
      <alignment horizontal="center" vertical="center" wrapText="1"/>
    </xf>
    <xf numFmtId="0" fontId="29" fillId="0" borderId="8" xfId="0" applyFont="1" applyBorder="1" applyAlignment="1">
      <alignment vertical="center" wrapText="1"/>
    </xf>
    <xf numFmtId="0" fontId="29" fillId="0" borderId="2" xfId="0" applyFont="1" applyBorder="1" applyAlignment="1">
      <alignment vertical="center" wrapText="1"/>
    </xf>
    <xf numFmtId="0" fontId="28" fillId="11" borderId="0" xfId="3" applyFont="1" applyFill="1"/>
    <xf numFmtId="0" fontId="27" fillId="11" borderId="4" xfId="3" applyFont="1" applyFill="1" applyBorder="1" applyAlignment="1">
      <alignment horizontal="center" vertical="center"/>
    </xf>
    <xf numFmtId="49" fontId="27" fillId="11" borderId="4" xfId="3" applyNumberFormat="1" applyFont="1" applyFill="1" applyBorder="1" applyAlignment="1">
      <alignment horizontal="center" vertical="center" wrapText="1"/>
    </xf>
    <xf numFmtId="0" fontId="28" fillId="11" borderId="0" xfId="3" applyFont="1" applyFill="1" applyAlignment="1">
      <alignment vertical="center"/>
    </xf>
    <xf numFmtId="49" fontId="31" fillId="11" borderId="4" xfId="3" applyNumberFormat="1" applyFont="1" applyFill="1" applyBorder="1" applyAlignment="1">
      <alignment horizontal="center" vertical="center" wrapText="1"/>
    </xf>
    <xf numFmtId="174" fontId="28" fillId="11" borderId="0" xfId="3" applyNumberFormat="1" applyFont="1" applyFill="1" applyAlignment="1">
      <alignment vertical="center"/>
    </xf>
    <xf numFmtId="10" fontId="28" fillId="11" borderId="0" xfId="3" applyNumberFormat="1" applyFont="1" applyFill="1" applyAlignment="1">
      <alignment vertical="center"/>
    </xf>
    <xf numFmtId="0" fontId="29" fillId="11" borderId="11" xfId="3" applyFont="1" applyFill="1" applyBorder="1" applyAlignment="1">
      <alignment wrapText="1"/>
    </xf>
    <xf numFmtId="0" fontId="29" fillId="11" borderId="0" xfId="3" applyFont="1" applyFill="1" applyAlignment="1">
      <alignment wrapText="1"/>
    </xf>
    <xf numFmtId="0" fontId="27" fillId="0" borderId="3" xfId="3" applyFont="1" applyBorder="1" applyAlignment="1">
      <alignment vertical="center"/>
    </xf>
    <xf numFmtId="0" fontId="28" fillId="11" borderId="10" xfId="3" applyFont="1" applyFill="1" applyBorder="1"/>
    <xf numFmtId="175" fontId="28" fillId="11" borderId="0" xfId="3" applyNumberFormat="1" applyFont="1" applyFill="1"/>
    <xf numFmtId="0" fontId="28" fillId="0" borderId="9" xfId="3" applyFont="1" applyBorder="1" applyAlignment="1">
      <alignment vertical="center"/>
    </xf>
    <xf numFmtId="0" fontId="28" fillId="11" borderId="0" xfId="3" applyFont="1" applyFill="1" applyAlignment="1">
      <alignment wrapText="1"/>
    </xf>
    <xf numFmtId="0" fontId="28" fillId="11" borderId="11" xfId="3" applyFont="1" applyFill="1" applyBorder="1"/>
    <xf numFmtId="0" fontId="27" fillId="11" borderId="11" xfId="3" applyFont="1" applyFill="1" applyBorder="1"/>
    <xf numFmtId="0" fontId="31" fillId="0" borderId="0" xfId="3" applyFont="1" applyAlignment="1">
      <alignment horizontal="center" vertical="center"/>
    </xf>
    <xf numFmtId="0" fontId="31" fillId="11" borderId="0" xfId="3" applyFont="1" applyFill="1" applyAlignment="1">
      <alignment wrapText="1"/>
    </xf>
    <xf numFmtId="0" fontId="27" fillId="0" borderId="0" xfId="3" applyFont="1" applyAlignment="1">
      <alignment vertical="center"/>
    </xf>
    <xf numFmtId="0" fontId="27" fillId="0" borderId="11" xfId="3" applyFont="1" applyBorder="1" applyAlignment="1">
      <alignment vertical="center"/>
    </xf>
    <xf numFmtId="0" fontId="31" fillId="0" borderId="10" xfId="3" applyFont="1" applyBorder="1" applyAlignment="1">
      <alignment vertical="center"/>
    </xf>
    <xf numFmtId="0" fontId="31" fillId="11" borderId="0" xfId="3" applyFont="1" applyFill="1"/>
    <xf numFmtId="0" fontId="31" fillId="11" borderId="11" xfId="3" applyFont="1" applyFill="1" applyBorder="1"/>
    <xf numFmtId="0" fontId="31" fillId="11" borderId="10" xfId="3" applyFont="1" applyFill="1" applyBorder="1"/>
    <xf numFmtId="0" fontId="28" fillId="0" borderId="0" xfId="3" applyFont="1" applyAlignment="1">
      <alignment horizontal="center" vertical="center"/>
    </xf>
    <xf numFmtId="0" fontId="28" fillId="0" borderId="9" xfId="3" applyFont="1" applyBorder="1" applyAlignment="1">
      <alignment horizontal="center" vertical="center"/>
    </xf>
    <xf numFmtId="0" fontId="27" fillId="11" borderId="0" xfId="3" applyFont="1" applyFill="1" applyAlignment="1">
      <alignment wrapText="1"/>
    </xf>
    <xf numFmtId="0" fontId="29" fillId="11" borderId="0" xfId="3" applyFont="1" applyFill="1" applyAlignment="1">
      <alignment horizontal="right"/>
    </xf>
    <xf numFmtId="0" fontId="29" fillId="11" borderId="11" xfId="3" applyFont="1" applyFill="1" applyBorder="1" applyAlignment="1">
      <alignment horizontal="right"/>
    </xf>
    <xf numFmtId="0" fontId="28" fillId="11" borderId="0" xfId="3" applyFont="1" applyFill="1" applyAlignment="1">
      <alignment horizontal="center" vertical="center"/>
    </xf>
    <xf numFmtId="0" fontId="28" fillId="11" borderId="13" xfId="3" applyFont="1" applyFill="1" applyBorder="1"/>
    <xf numFmtId="0" fontId="28" fillId="11" borderId="9" xfId="3" applyFont="1" applyFill="1" applyBorder="1"/>
    <xf numFmtId="0" fontId="28" fillId="11" borderId="9" xfId="3" applyFont="1" applyFill="1" applyBorder="1" applyAlignment="1">
      <alignment wrapText="1"/>
    </xf>
    <xf numFmtId="0" fontId="28" fillId="11" borderId="14" xfId="3" applyFont="1" applyFill="1" applyBorder="1"/>
    <xf numFmtId="4" fontId="29" fillId="0" borderId="0" xfId="0" applyNumberFormat="1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4" fontId="29" fillId="0" borderId="11" xfId="0" applyNumberFormat="1" applyFont="1" applyBorder="1" applyAlignment="1">
      <alignment horizontal="center" vertical="center" wrapText="1"/>
    </xf>
    <xf numFmtId="4" fontId="29" fillId="0" borderId="20" xfId="0" applyNumberFormat="1" applyFont="1" applyBorder="1" applyAlignment="1">
      <alignment horizontal="center" vertical="center" wrapText="1"/>
    </xf>
    <xf numFmtId="4" fontId="29" fillId="0" borderId="20" xfId="0" applyNumberFormat="1" applyFont="1" applyBorder="1" applyAlignment="1">
      <alignment horizontal="center" vertical="center"/>
    </xf>
    <xf numFmtId="4" fontId="28" fillId="0" borderId="4" xfId="0" applyNumberFormat="1" applyFont="1" applyBorder="1" applyAlignment="1">
      <alignment vertical="center" wrapText="1"/>
    </xf>
    <xf numFmtId="4" fontId="28" fillId="0" borderId="4" xfId="0" applyNumberFormat="1" applyFont="1" applyBorder="1" applyAlignment="1">
      <alignment vertical="center"/>
    </xf>
    <xf numFmtId="4" fontId="28" fillId="0" borderId="4" xfId="0" applyNumberFormat="1" applyFont="1" applyBorder="1" applyAlignment="1">
      <alignment horizontal="right" vertical="center" wrapText="1"/>
    </xf>
    <xf numFmtId="4" fontId="28" fillId="0" borderId="0" xfId="0" applyNumberFormat="1" applyFont="1" applyAlignment="1">
      <alignment horizontal="left" vertical="center"/>
    </xf>
    <xf numFmtId="4" fontId="29" fillId="0" borderId="8" xfId="0" applyNumberFormat="1" applyFont="1" applyBorder="1" applyAlignment="1">
      <alignment horizontal="right" vertical="center"/>
    </xf>
    <xf numFmtId="4" fontId="29" fillId="0" borderId="4" xfId="0" applyNumberFormat="1" applyFont="1" applyBorder="1" applyAlignment="1">
      <alignment vertical="center"/>
    </xf>
    <xf numFmtId="4" fontId="29" fillId="0" borderId="0" xfId="0" applyNumberFormat="1" applyFont="1" applyAlignment="1">
      <alignment horizontal="center" vertical="center"/>
    </xf>
    <xf numFmtId="4" fontId="29" fillId="0" borderId="0" xfId="0" quotePrefix="1" applyNumberFormat="1" applyFont="1" applyAlignment="1">
      <alignment horizontal="right" vertical="center"/>
    </xf>
    <xf numFmtId="4" fontId="28" fillId="0" borderId="0" xfId="0" applyNumberFormat="1" applyFont="1" applyAlignment="1">
      <alignment vertical="center" wrapText="1"/>
    </xf>
    <xf numFmtId="4" fontId="28" fillId="0" borderId="4" xfId="0" applyNumberFormat="1" applyFont="1" applyBorder="1" applyAlignment="1">
      <alignment horizontal="center" vertical="center" wrapText="1"/>
    </xf>
    <xf numFmtId="4" fontId="29" fillId="0" borderId="0" xfId="0" applyNumberFormat="1" applyFont="1" applyAlignment="1">
      <alignment horizontal="left" vertical="center" wrapText="1"/>
    </xf>
    <xf numFmtId="4" fontId="29" fillId="0" borderId="0" xfId="0" applyNumberFormat="1" applyFont="1" applyAlignment="1">
      <alignment horizontal="right" vertical="center" wrapText="1"/>
    </xf>
    <xf numFmtId="0" fontId="28" fillId="0" borderId="4" xfId="0" applyFont="1" applyBorder="1" applyAlignment="1">
      <alignment vertical="center"/>
    </xf>
    <xf numFmtId="0" fontId="28" fillId="0" borderId="4" xfId="0" applyFont="1" applyBorder="1" applyAlignment="1">
      <alignment vertical="center" wrapText="1"/>
    </xf>
    <xf numFmtId="0" fontId="29" fillId="0" borderId="12" xfId="0" applyFont="1" applyBorder="1"/>
    <xf numFmtId="0" fontId="28" fillId="0" borderId="0" xfId="0" applyFont="1" applyAlignment="1">
      <alignment horizontal="center" vertical="center"/>
    </xf>
    <xf numFmtId="4" fontId="29" fillId="0" borderId="4" xfId="0" applyNumberFormat="1" applyFont="1" applyBorder="1" applyAlignment="1">
      <alignment horizontal="center" vertical="center" wrapText="1"/>
    </xf>
    <xf numFmtId="4" fontId="29" fillId="0" borderId="0" xfId="0" applyNumberFormat="1" applyFont="1" applyAlignment="1">
      <alignment horizontal="left" vertical="center"/>
    </xf>
    <xf numFmtId="0" fontId="29" fillId="0" borderId="4" xfId="0" applyFont="1" applyBorder="1" applyAlignment="1">
      <alignment horizontal="center" vertical="center"/>
    </xf>
    <xf numFmtId="4" fontId="29" fillId="0" borderId="4" xfId="0" applyNumberFormat="1" applyFont="1" applyBorder="1" applyAlignment="1">
      <alignment horizontal="center" vertical="center"/>
    </xf>
    <xf numFmtId="4" fontId="28" fillId="0" borderId="0" xfId="0" applyNumberFormat="1" applyFont="1" applyAlignment="1">
      <alignment horizontal="left" vertical="center" wrapText="1"/>
    </xf>
    <xf numFmtId="14" fontId="29" fillId="0" borderId="0" xfId="0" applyNumberFormat="1" applyFont="1" applyAlignment="1">
      <alignment horizontal="left" vertical="center"/>
    </xf>
    <xf numFmtId="10" fontId="32" fillId="0" borderId="4" xfId="1" applyNumberFormat="1" applyFont="1" applyFill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174" fontId="33" fillId="13" borderId="4" xfId="0" applyNumberFormat="1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4" fontId="34" fillId="0" borderId="0" xfId="0" applyNumberFormat="1" applyFont="1" applyAlignment="1">
      <alignment vertical="center"/>
    </xf>
    <xf numFmtId="0" fontId="34" fillId="0" borderId="10" xfId="0" applyFont="1" applyBorder="1" applyAlignment="1">
      <alignment vertical="center"/>
    </xf>
    <xf numFmtId="0" fontId="34" fillId="0" borderId="9" xfId="0" applyFont="1" applyBorder="1" applyAlignment="1">
      <alignment horizontal="left" vertical="center"/>
    </xf>
    <xf numFmtId="0" fontId="26" fillId="0" borderId="0" xfId="0" applyFont="1" applyAlignment="1">
      <alignment vertical="center"/>
    </xf>
    <xf numFmtId="0" fontId="36" fillId="0" borderId="0" xfId="0" applyFont="1" applyAlignment="1">
      <alignment horizontal="left"/>
    </xf>
    <xf numFmtId="0" fontId="34" fillId="0" borderId="11" xfId="0" applyFont="1" applyBorder="1"/>
    <xf numFmtId="0" fontId="34" fillId="0" borderId="10" xfId="0" applyFont="1" applyBorder="1"/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 vertical="center"/>
    </xf>
    <xf numFmtId="0" fontId="34" fillId="0" borderId="13" xfId="0" applyFont="1" applyBorder="1"/>
    <xf numFmtId="0" fontId="34" fillId="0" borderId="9" xfId="0" applyFont="1" applyBorder="1"/>
    <xf numFmtId="0" fontId="34" fillId="0" borderId="9" xfId="0" applyFont="1" applyBorder="1" applyAlignment="1">
      <alignment horizontal="left"/>
    </xf>
    <xf numFmtId="4" fontId="34" fillId="0" borderId="9" xfId="0" applyNumberFormat="1" applyFont="1" applyBorder="1"/>
    <xf numFmtId="0" fontId="34" fillId="0" borderId="14" xfId="0" applyFont="1" applyBorder="1"/>
    <xf numFmtId="10" fontId="26" fillId="12" borderId="4" xfId="0" applyNumberFormat="1" applyFont="1" applyFill="1" applyBorder="1" applyAlignment="1">
      <alignment horizontal="center" vertical="center"/>
    </xf>
    <xf numFmtId="4" fontId="28" fillId="0" borderId="11" xfId="0" applyNumberFormat="1" applyFont="1" applyBorder="1" applyAlignment="1">
      <alignment vertical="center"/>
    </xf>
    <xf numFmtId="0" fontId="31" fillId="11" borderId="0" xfId="3" quotePrefix="1" applyFont="1" applyFill="1"/>
    <xf numFmtId="0" fontId="27" fillId="11" borderId="4" xfId="3" applyFont="1" applyFill="1" applyBorder="1" applyAlignment="1">
      <alignment horizontal="right" vertical="center"/>
    </xf>
    <xf numFmtId="14" fontId="27" fillId="11" borderId="4" xfId="3" applyNumberFormat="1" applyFont="1" applyFill="1" applyBorder="1" applyAlignment="1">
      <alignment horizontal="left" vertical="center"/>
    </xf>
    <xf numFmtId="0" fontId="31" fillId="11" borderId="4" xfId="3" applyFont="1" applyFill="1" applyBorder="1" applyAlignment="1">
      <alignment vertical="center"/>
    </xf>
    <xf numFmtId="0" fontId="26" fillId="0" borderId="0" xfId="0" applyFont="1"/>
    <xf numFmtId="0" fontId="26" fillId="0" borderId="9" xfId="0" applyFont="1" applyBorder="1"/>
    <xf numFmtId="2" fontId="34" fillId="0" borderId="4" xfId="2" applyNumberFormat="1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4" fontId="33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vertical="center" wrapText="1"/>
    </xf>
    <xf numFmtId="49" fontId="34" fillId="0" borderId="4" xfId="0" applyNumberFormat="1" applyFont="1" applyBorder="1" applyAlignment="1">
      <alignment horizontal="center" vertical="center" wrapText="1"/>
    </xf>
    <xf numFmtId="174" fontId="39" fillId="0" borderId="4" xfId="0" applyNumberFormat="1" applyFont="1" applyBorder="1" applyAlignment="1">
      <alignment horizontal="left" vertical="center"/>
    </xf>
    <xf numFmtId="10" fontId="26" fillId="0" borderId="4" xfId="1" applyNumberFormat="1" applyFont="1" applyFill="1" applyBorder="1" applyAlignment="1">
      <alignment horizontal="center" vertical="center"/>
    </xf>
    <xf numFmtId="175" fontId="34" fillId="0" borderId="4" xfId="0" applyNumberFormat="1" applyFont="1" applyBorder="1" applyAlignment="1">
      <alignment horizontal="center" vertical="center"/>
    </xf>
    <xf numFmtId="174" fontId="34" fillId="0" borderId="4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4" fontId="29" fillId="0" borderId="0" xfId="0" applyNumberFormat="1" applyFont="1" applyAlignment="1">
      <alignment horizontal="center" vertical="center"/>
    </xf>
    <xf numFmtId="14" fontId="29" fillId="0" borderId="0" xfId="0" applyNumberFormat="1" applyFont="1" applyAlignment="1">
      <alignment horizontal="left" vertical="center"/>
    </xf>
    <xf numFmtId="4" fontId="29" fillId="0" borderId="4" xfId="0" applyNumberFormat="1" applyFont="1" applyBorder="1" applyAlignment="1">
      <alignment horizontal="center" vertical="center" wrapText="1"/>
    </xf>
    <xf numFmtId="4" fontId="29" fillId="0" borderId="0" xfId="0" applyNumberFormat="1" applyFont="1" applyAlignment="1">
      <alignment horizontal="left" vertical="center"/>
    </xf>
    <xf numFmtId="0" fontId="27" fillId="11" borderId="4" xfId="3" applyFont="1" applyFill="1" applyBorder="1" applyAlignment="1">
      <alignment horizontal="center" vertical="center" wrapText="1"/>
    </xf>
    <xf numFmtId="174" fontId="27" fillId="11" borderId="4" xfId="3" applyNumberFormat="1" applyFont="1" applyFill="1" applyBorder="1" applyAlignment="1">
      <alignment horizontal="center" vertical="center" wrapText="1"/>
    </xf>
    <xf numFmtId="10" fontId="27" fillId="11" borderId="4" xfId="3" applyNumberFormat="1" applyFont="1" applyFill="1" applyBorder="1" applyAlignment="1">
      <alignment horizontal="center" vertical="center" wrapText="1"/>
    </xf>
    <xf numFmtId="174" fontId="31" fillId="11" borderId="4" xfId="64" applyNumberFormat="1" applyFont="1" applyFill="1" applyBorder="1" applyAlignment="1">
      <alignment horizontal="center" vertical="center" wrapText="1"/>
    </xf>
    <xf numFmtId="10" fontId="40" fillId="0" borderId="4" xfId="0" applyNumberFormat="1" applyFont="1" applyBorder="1" applyAlignment="1">
      <alignment horizontal="center" vertical="center"/>
    </xf>
    <xf numFmtId="10" fontId="40" fillId="0" borderId="4" xfId="1" applyNumberFormat="1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center" wrapText="1"/>
    </xf>
    <xf numFmtId="2" fontId="34" fillId="2" borderId="4" xfId="2" applyNumberFormat="1" applyFont="1" applyFill="1" applyBorder="1" applyAlignment="1">
      <alignment horizontal="center" vertical="center" wrapText="1"/>
    </xf>
    <xf numFmtId="4" fontId="26" fillId="2" borderId="4" xfId="0" applyNumberFormat="1" applyFont="1" applyFill="1" applyBorder="1" applyAlignment="1">
      <alignment horizontal="center" vertical="center" wrapText="1"/>
    </xf>
    <xf numFmtId="4" fontId="34" fillId="2" borderId="4" xfId="0" applyNumberFormat="1" applyFont="1" applyFill="1" applyBorder="1" applyAlignment="1">
      <alignment horizontal="center" vertical="center" wrapText="1"/>
    </xf>
    <xf numFmtId="174" fontId="33" fillId="2" borderId="4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left" vertical="center" wrapText="1"/>
    </xf>
    <xf numFmtId="174" fontId="33" fillId="0" borderId="4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left" vertical="center" wrapText="1"/>
    </xf>
    <xf numFmtId="1" fontId="34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 wrapText="1"/>
    </xf>
    <xf numFmtId="0" fontId="28" fillId="0" borderId="0" xfId="0" quotePrefix="1" applyFont="1"/>
    <xf numFmtId="175" fontId="28" fillId="11" borderId="0" xfId="3" applyNumberFormat="1" applyFont="1" applyFill="1" applyAlignment="1">
      <alignment wrapText="1"/>
    </xf>
    <xf numFmtId="49" fontId="34" fillId="2" borderId="4" xfId="0" applyNumberFormat="1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left" vertical="center" wrapText="1"/>
    </xf>
    <xf numFmtId="175" fontId="34" fillId="0" borderId="0" xfId="0" applyNumberFormat="1" applyFont="1"/>
    <xf numFmtId="0" fontId="28" fillId="0" borderId="0" xfId="0" applyFont="1" applyBorder="1" applyAlignment="1">
      <alignment horizontal="left" vertical="center" wrapText="1"/>
    </xf>
    <xf numFmtId="175" fontId="31" fillId="11" borderId="0" xfId="3" applyNumberFormat="1" applyFont="1" applyFill="1"/>
    <xf numFmtId="0" fontId="26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/>
    </xf>
    <xf numFmtId="0" fontId="26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6" fillId="0" borderId="4" xfId="0" applyFont="1" applyBorder="1" applyAlignment="1">
      <alignment horizontal="left" vertical="center" wrapText="1"/>
    </xf>
    <xf numFmtId="0" fontId="26" fillId="13" borderId="4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34" fillId="12" borderId="4" xfId="0" applyFont="1" applyFill="1" applyBorder="1" applyAlignment="1">
      <alignment horizontal="left" vertical="center" wrapText="1"/>
    </xf>
    <xf numFmtId="0" fontId="41" fillId="0" borderId="4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4" fontId="34" fillId="0" borderId="4" xfId="0" applyNumberFormat="1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4" fontId="28" fillId="0" borderId="5" xfId="0" applyNumberFormat="1" applyFont="1" applyBorder="1" applyAlignment="1">
      <alignment horizontal="left" vertical="center"/>
    </xf>
    <xf numFmtId="4" fontId="28" fillId="0" borderId="6" xfId="0" applyNumberFormat="1" applyFont="1" applyBorder="1" applyAlignment="1">
      <alignment horizontal="left" vertical="center"/>
    </xf>
    <xf numFmtId="4" fontId="29" fillId="0" borderId="11" xfId="0" applyNumberFormat="1" applyFont="1" applyBorder="1" applyAlignment="1">
      <alignment horizontal="center" vertical="center"/>
    </xf>
    <xf numFmtId="4" fontId="29" fillId="0" borderId="10" xfId="0" applyNumberFormat="1" applyFont="1" applyBorder="1" applyAlignment="1">
      <alignment horizontal="center" vertical="center"/>
    </xf>
    <xf numFmtId="4" fontId="29" fillId="0" borderId="13" xfId="0" applyNumberFormat="1" applyFont="1" applyBorder="1" applyAlignment="1">
      <alignment horizontal="center" vertical="center"/>
    </xf>
    <xf numFmtId="4" fontId="29" fillId="0" borderId="14" xfId="0" applyNumberFormat="1" applyFont="1" applyBorder="1" applyAlignment="1">
      <alignment horizontal="center" vertical="center"/>
    </xf>
    <xf numFmtId="4" fontId="42" fillId="0" borderId="6" xfId="0" applyNumberFormat="1" applyFont="1" applyBorder="1" applyAlignment="1">
      <alignment horizontal="left" vertical="center"/>
    </xf>
    <xf numFmtId="4" fontId="29" fillId="0" borderId="4" xfId="0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/>
    </xf>
    <xf numFmtId="4" fontId="29" fillId="0" borderId="0" xfId="0" applyNumberFormat="1" applyFont="1" applyAlignment="1">
      <alignment horizontal="left" vertical="center"/>
    </xf>
    <xf numFmtId="0" fontId="29" fillId="0" borderId="4" xfId="0" applyFont="1" applyBorder="1" applyAlignment="1">
      <alignment horizontal="center" vertical="center"/>
    </xf>
    <xf numFmtId="4" fontId="28" fillId="0" borderId="4" xfId="0" applyNumberFormat="1" applyFont="1" applyBorder="1" applyAlignment="1">
      <alignment horizontal="left" vertical="center" wrapText="1"/>
    </xf>
    <xf numFmtId="4" fontId="28" fillId="0" borderId="5" xfId="0" applyNumberFormat="1" applyFont="1" applyBorder="1" applyAlignment="1">
      <alignment horizontal="left" vertical="center" wrapText="1"/>
    </xf>
    <xf numFmtId="4" fontId="28" fillId="0" borderId="1" xfId="0" applyNumberFormat="1" applyFont="1" applyBorder="1" applyAlignment="1">
      <alignment horizontal="left" vertical="center" wrapText="1"/>
    </xf>
    <xf numFmtId="4" fontId="28" fillId="0" borderId="6" xfId="0" applyNumberFormat="1" applyFont="1" applyBorder="1" applyAlignment="1">
      <alignment horizontal="left" vertical="center" wrapText="1"/>
    </xf>
    <xf numFmtId="4" fontId="29" fillId="0" borderId="0" xfId="0" applyNumberFormat="1" applyFont="1" applyAlignment="1">
      <alignment horizontal="center" vertical="center" wrapText="1"/>
    </xf>
    <xf numFmtId="4" fontId="29" fillId="0" borderId="0" xfId="0" applyNumberFormat="1" applyFont="1" applyAlignment="1">
      <alignment horizontal="center" vertical="center"/>
    </xf>
    <xf numFmtId="14" fontId="29" fillId="0" borderId="0" xfId="0" applyNumberFormat="1" applyFont="1" applyAlignment="1">
      <alignment horizontal="left" vertical="center"/>
    </xf>
    <xf numFmtId="4" fontId="28" fillId="0" borderId="11" xfId="0" applyNumberFormat="1" applyFont="1" applyBorder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4" fontId="28" fillId="0" borderId="11" xfId="0" applyNumberFormat="1" applyFont="1" applyBorder="1" applyAlignment="1">
      <alignment horizontal="left" vertical="center" wrapText="1"/>
    </xf>
    <xf numFmtId="4" fontId="28" fillId="0" borderId="0" xfId="0" applyNumberFormat="1" applyFont="1" applyAlignment="1">
      <alignment horizontal="left" vertical="center" wrapText="1"/>
    </xf>
    <xf numFmtId="0" fontId="27" fillId="11" borderId="4" xfId="3" applyFont="1" applyFill="1" applyBorder="1" applyAlignment="1">
      <alignment horizontal="center" vertical="center" wrapText="1"/>
    </xf>
    <xf numFmtId="0" fontId="37" fillId="11" borderId="4" xfId="3" applyFont="1" applyFill="1" applyBorder="1" applyAlignment="1">
      <alignment vertical="center" wrapText="1"/>
    </xf>
    <xf numFmtId="10" fontId="27" fillId="11" borderId="4" xfId="3" applyNumberFormat="1" applyFont="1" applyFill="1" applyBorder="1" applyAlignment="1">
      <alignment horizontal="center" vertical="center" wrapText="1"/>
    </xf>
    <xf numFmtId="174" fontId="31" fillId="11" borderId="4" xfId="64" applyNumberFormat="1" applyFont="1" applyFill="1" applyBorder="1" applyAlignment="1">
      <alignment horizontal="center" vertical="center" wrapText="1"/>
    </xf>
    <xf numFmtId="0" fontId="26" fillId="11" borderId="4" xfId="3" applyFont="1" applyFill="1" applyBorder="1" applyAlignment="1">
      <alignment horizontal="center" vertical="center" wrapText="1"/>
    </xf>
    <xf numFmtId="10" fontId="27" fillId="0" borderId="4" xfId="3" applyNumberFormat="1" applyFont="1" applyBorder="1" applyAlignment="1">
      <alignment horizontal="center" vertical="center" wrapText="1"/>
    </xf>
    <xf numFmtId="0" fontId="26" fillId="11" borderId="4" xfId="3" applyFont="1" applyFill="1" applyBorder="1" applyAlignment="1">
      <alignment horizontal="center" vertical="center"/>
    </xf>
    <xf numFmtId="174" fontId="27" fillId="11" borderId="4" xfId="3" applyNumberFormat="1" applyFont="1" applyFill="1" applyBorder="1" applyAlignment="1">
      <alignment horizontal="center" vertical="center" wrapText="1"/>
    </xf>
    <xf numFmtId="0" fontId="27" fillId="11" borderId="4" xfId="3" applyFont="1" applyFill="1" applyBorder="1" applyAlignment="1">
      <alignment horizontal="left" vertical="center"/>
    </xf>
    <xf numFmtId="0" fontId="31" fillId="11" borderId="4" xfId="3" applyFont="1" applyFill="1" applyBorder="1" applyAlignment="1">
      <alignment horizontal="left" vertical="center" wrapText="1"/>
    </xf>
    <xf numFmtId="0" fontId="28" fillId="0" borderId="3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30" fillId="11" borderId="4" xfId="3" applyFont="1" applyFill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14" fontId="26" fillId="0" borderId="5" xfId="0" applyNumberFormat="1" applyFont="1" applyBorder="1" applyAlignment="1">
      <alignment horizontal="center" vertical="center"/>
    </xf>
    <xf numFmtId="14" fontId="26" fillId="0" borderId="6" xfId="0" applyNumberFormat="1" applyFont="1" applyBorder="1" applyAlignment="1">
      <alignment horizontal="center" vertical="center"/>
    </xf>
    <xf numFmtId="2" fontId="33" fillId="0" borderId="5" xfId="0" applyNumberFormat="1" applyFont="1" applyBorder="1" applyAlignment="1">
      <alignment horizontal="center" vertical="center"/>
    </xf>
    <xf numFmtId="2" fontId="33" fillId="0" borderId="6" xfId="0" applyNumberFormat="1" applyFont="1" applyBorder="1" applyAlignment="1">
      <alignment horizontal="center" vertical="center"/>
    </xf>
    <xf numFmtId="0" fontId="43" fillId="0" borderId="21" xfId="31" applyFont="1" applyBorder="1" applyAlignment="1" applyProtection="1">
      <alignment horizontal="center" vertical="center"/>
      <protection locked="0"/>
    </xf>
    <xf numFmtId="0" fontId="43" fillId="0" borderId="22" xfId="31" applyFont="1" applyBorder="1" applyAlignment="1" applyProtection="1">
      <alignment horizontal="center" vertical="center"/>
      <protection locked="0"/>
    </xf>
    <xf numFmtId="0" fontId="43" fillId="0" borderId="23" xfId="31" applyFont="1" applyBorder="1" applyAlignment="1" applyProtection="1">
      <alignment horizontal="center" vertical="center"/>
      <protection locked="0"/>
    </xf>
    <xf numFmtId="0" fontId="44" fillId="0" borderId="24" xfId="31" applyFont="1" applyBorder="1" applyAlignment="1" applyProtection="1">
      <alignment horizontal="center" vertical="center"/>
      <protection locked="0"/>
    </xf>
    <xf numFmtId="0" fontId="44" fillId="0" borderId="0" xfId="31" applyFont="1" applyAlignment="1" applyProtection="1">
      <alignment horizontal="center" vertical="center"/>
      <protection locked="0"/>
    </xf>
    <xf numFmtId="0" fontId="44" fillId="0" borderId="25" xfId="31" applyFont="1" applyBorder="1" applyAlignment="1" applyProtection="1">
      <alignment horizontal="center" vertical="center"/>
      <protection locked="0"/>
    </xf>
    <xf numFmtId="0" fontId="45" fillId="0" borderId="26" xfId="31" applyFont="1" applyBorder="1" applyAlignment="1" applyProtection="1">
      <alignment vertical="center"/>
      <protection locked="0"/>
    </xf>
    <xf numFmtId="0" fontId="45" fillId="0" borderId="27" xfId="31" applyFont="1" applyBorder="1" applyAlignment="1" applyProtection="1">
      <alignment horizontal="center" vertical="center"/>
      <protection locked="0"/>
    </xf>
    <xf numFmtId="0" fontId="45" fillId="12" borderId="27" xfId="31" applyFont="1" applyFill="1" applyBorder="1" applyAlignment="1" applyProtection="1">
      <alignment vertical="center"/>
      <protection locked="0"/>
    </xf>
    <xf numFmtId="0" fontId="45" fillId="12" borderId="28" xfId="31" applyFont="1" applyFill="1" applyBorder="1" applyAlignment="1" applyProtection="1">
      <alignment vertical="center"/>
      <protection locked="0"/>
    </xf>
    <xf numFmtId="0" fontId="46" fillId="12" borderId="29" xfId="31" applyFont="1" applyFill="1" applyBorder="1" applyAlignment="1" applyProtection="1">
      <alignment vertical="center"/>
      <protection locked="0"/>
    </xf>
    <xf numFmtId="0" fontId="45" fillId="0" borderId="20" xfId="31" applyFont="1" applyBorder="1" applyAlignment="1" applyProtection="1">
      <alignment horizontal="center" vertical="center"/>
      <protection locked="0"/>
    </xf>
    <xf numFmtId="0" fontId="46" fillId="12" borderId="20" xfId="31" applyFont="1" applyFill="1" applyBorder="1" applyAlignment="1" applyProtection="1">
      <alignment vertical="center"/>
      <protection locked="0"/>
    </xf>
    <xf numFmtId="10" fontId="46" fillId="12" borderId="30" xfId="37" applyNumberFormat="1" applyFont="1" applyFill="1" applyBorder="1" applyAlignment="1" applyProtection="1">
      <alignment vertical="center"/>
      <protection locked="0"/>
    </xf>
    <xf numFmtId="0" fontId="46" fillId="0" borderId="31" xfId="31" applyFont="1" applyBorder="1" applyAlignment="1" applyProtection="1">
      <alignment vertical="center"/>
      <protection locked="0"/>
    </xf>
    <xf numFmtId="0" fontId="45" fillId="12" borderId="1" xfId="31" applyFont="1" applyFill="1" applyBorder="1" applyAlignment="1" applyProtection="1">
      <alignment horizontal="center" vertical="center"/>
      <protection locked="0"/>
    </xf>
    <xf numFmtId="0" fontId="45" fillId="12" borderId="6" xfId="31" applyFont="1" applyFill="1" applyBorder="1" applyAlignment="1" applyProtection="1">
      <alignment horizontal="center" vertical="center"/>
      <protection locked="0"/>
    </xf>
    <xf numFmtId="10" fontId="45" fillId="0" borderId="32" xfId="37" applyNumberFormat="1" applyFont="1" applyBorder="1" applyAlignment="1" applyProtection="1">
      <alignment horizontal="right" vertical="center"/>
    </xf>
    <xf numFmtId="0" fontId="46" fillId="0" borderId="24" xfId="31" applyFont="1" applyBorder="1" applyAlignment="1" applyProtection="1">
      <alignment vertical="center"/>
      <protection locked="0"/>
    </xf>
    <xf numFmtId="0" fontId="45" fillId="0" borderId="0" xfId="31" applyFont="1" applyAlignment="1" applyProtection="1">
      <alignment horizontal="center" vertical="center"/>
      <protection locked="0"/>
    </xf>
    <xf numFmtId="0" fontId="46" fillId="0" borderId="0" xfId="31" applyFont="1" applyAlignment="1" applyProtection="1">
      <alignment vertical="center"/>
      <protection locked="0"/>
    </xf>
    <xf numFmtId="0" fontId="46" fillId="0" borderId="25" xfId="31" applyFont="1" applyBorder="1" applyAlignment="1" applyProtection="1">
      <alignment vertical="center"/>
      <protection locked="0"/>
    </xf>
    <xf numFmtId="0" fontId="45" fillId="0" borderId="33" xfId="31" applyFont="1" applyBorder="1" applyAlignment="1" applyProtection="1">
      <alignment vertical="center"/>
      <protection locked="0"/>
    </xf>
    <xf numFmtId="0" fontId="45" fillId="12" borderId="34" xfId="31" applyFont="1" applyFill="1" applyBorder="1" applyAlignment="1" applyProtection="1">
      <alignment horizontal="center" vertical="center"/>
      <protection locked="0"/>
    </xf>
    <xf numFmtId="0" fontId="45" fillId="12" borderId="34" xfId="31" applyFont="1" applyFill="1" applyBorder="1" applyAlignment="1" applyProtection="1">
      <alignment vertical="center"/>
      <protection locked="0"/>
    </xf>
    <xf numFmtId="0" fontId="45" fillId="12" borderId="35" xfId="31" applyFont="1" applyFill="1" applyBorder="1" applyAlignment="1" applyProtection="1">
      <alignment vertical="center"/>
      <protection locked="0"/>
    </xf>
    <xf numFmtId="0" fontId="46" fillId="0" borderId="29" xfId="31" applyFont="1" applyBorder="1" applyAlignment="1" applyProtection="1">
      <alignment vertical="center"/>
      <protection locked="0"/>
    </xf>
    <xf numFmtId="0" fontId="45" fillId="12" borderId="20" xfId="31" applyFont="1" applyFill="1" applyBorder="1" applyAlignment="1" applyProtection="1">
      <alignment horizontal="center" vertical="center"/>
      <protection locked="0"/>
    </xf>
    <xf numFmtId="0" fontId="45" fillId="0" borderId="1" xfId="31" applyFont="1" applyBorder="1" applyAlignment="1" applyProtection="1">
      <alignment horizontal="center" vertical="center"/>
      <protection locked="0"/>
    </xf>
    <xf numFmtId="0" fontId="45" fillId="0" borderId="6" xfId="31" applyFont="1" applyBorder="1" applyAlignment="1" applyProtection="1">
      <alignment horizontal="center" vertical="center"/>
      <protection locked="0"/>
    </xf>
    <xf numFmtId="0" fontId="45" fillId="0" borderId="34" xfId="31" applyFont="1" applyBorder="1" applyAlignment="1" applyProtection="1">
      <alignment horizontal="center" vertical="center"/>
      <protection locked="0"/>
    </xf>
    <xf numFmtId="0" fontId="45" fillId="0" borderId="34" xfId="31" applyFont="1" applyBorder="1" applyAlignment="1" applyProtection="1">
      <alignment vertical="center"/>
      <protection locked="0"/>
    </xf>
    <xf numFmtId="0" fontId="45" fillId="0" borderId="35" xfId="31" applyFont="1" applyBorder="1" applyAlignment="1" applyProtection="1">
      <alignment vertical="center"/>
      <protection locked="0"/>
    </xf>
    <xf numFmtId="0" fontId="46" fillId="0" borderId="20" xfId="31" applyFont="1" applyBorder="1" applyAlignment="1" applyProtection="1">
      <alignment vertical="center"/>
      <protection locked="0"/>
    </xf>
    <xf numFmtId="10" fontId="46" fillId="0" borderId="30" xfId="37" applyNumberFormat="1" applyFont="1" applyBorder="1" applyAlignment="1" applyProtection="1">
      <alignment vertical="center"/>
    </xf>
    <xf numFmtId="0" fontId="46" fillId="0" borderId="36" xfId="31" applyFont="1" applyBorder="1" applyAlignment="1" applyProtection="1">
      <alignment vertical="center"/>
      <protection locked="0"/>
    </xf>
    <xf numFmtId="0" fontId="45" fillId="0" borderId="12" xfId="31" applyFont="1" applyBorder="1" applyAlignment="1" applyProtection="1">
      <alignment horizontal="center" vertical="center"/>
      <protection locked="0"/>
    </xf>
    <xf numFmtId="0" fontId="46" fillId="0" borderId="12" xfId="31" applyFont="1" applyBorder="1" applyAlignment="1" applyProtection="1">
      <alignment vertical="center"/>
      <protection locked="0"/>
    </xf>
    <xf numFmtId="10" fontId="46" fillId="0" borderId="37" xfId="37" applyNumberFormat="1" applyFont="1" applyBorder="1" applyAlignment="1" applyProtection="1">
      <alignment vertical="center"/>
    </xf>
    <xf numFmtId="0" fontId="45" fillId="0" borderId="1" xfId="31" applyFont="1" applyBorder="1" applyAlignment="1" applyProtection="1">
      <alignment vertical="center"/>
      <protection locked="0"/>
    </xf>
    <xf numFmtId="0" fontId="45" fillId="0" borderId="0" xfId="31" applyFont="1" applyAlignment="1" applyProtection="1">
      <alignment vertical="center"/>
      <protection locked="0"/>
    </xf>
    <xf numFmtId="10" fontId="45" fillId="0" borderId="25" xfId="37" applyNumberFormat="1" applyFont="1" applyBorder="1" applyAlignment="1" applyProtection="1">
      <alignment horizontal="right" vertical="center"/>
    </xf>
    <xf numFmtId="0" fontId="46" fillId="12" borderId="38" xfId="31" applyFont="1" applyFill="1" applyBorder="1" applyAlignment="1" applyProtection="1">
      <alignment vertical="center"/>
      <protection locked="0"/>
    </xf>
    <xf numFmtId="0" fontId="45" fillId="12" borderId="2" xfId="31" applyFont="1" applyFill="1" applyBorder="1" applyAlignment="1" applyProtection="1">
      <alignment horizontal="center" vertical="center"/>
      <protection locked="0"/>
    </xf>
    <xf numFmtId="0" fontId="46" fillId="0" borderId="10" xfId="31" applyFont="1" applyBorder="1" applyAlignment="1" applyProtection="1">
      <alignment vertical="center"/>
      <protection locked="0"/>
    </xf>
    <xf numFmtId="10" fontId="46" fillId="0" borderId="30" xfId="37" applyNumberFormat="1" applyFont="1" applyBorder="1" applyAlignment="1" applyProtection="1">
      <alignment vertical="center"/>
      <protection locked="0"/>
    </xf>
    <xf numFmtId="0" fontId="46" fillId="12" borderId="31" xfId="31" applyFont="1" applyFill="1" applyBorder="1" applyAlignment="1" applyProtection="1">
      <alignment vertical="center"/>
      <protection locked="0"/>
    </xf>
    <xf numFmtId="10" fontId="45" fillId="0" borderId="39" xfId="37" applyNumberFormat="1" applyFont="1" applyBorder="1" applyAlignment="1" applyProtection="1">
      <alignment vertical="center"/>
    </xf>
    <xf numFmtId="0" fontId="46" fillId="12" borderId="24" xfId="31" applyFont="1" applyFill="1" applyBorder="1" applyAlignment="1" applyProtection="1">
      <alignment vertical="center"/>
      <protection locked="0"/>
    </xf>
    <xf numFmtId="0" fontId="45" fillId="12" borderId="0" xfId="31" applyFont="1" applyFill="1" applyAlignment="1" applyProtection="1">
      <alignment horizontal="center" vertical="center"/>
      <protection locked="0"/>
    </xf>
    <xf numFmtId="0" fontId="46" fillId="12" borderId="0" xfId="31" applyFont="1" applyFill="1" applyAlignment="1" applyProtection="1">
      <alignment vertical="center"/>
      <protection locked="0"/>
    </xf>
    <xf numFmtId="0" fontId="46" fillId="12" borderId="25" xfId="31" applyFont="1" applyFill="1" applyBorder="1" applyAlignment="1" applyProtection="1">
      <alignment vertical="center"/>
      <protection locked="0"/>
    </xf>
    <xf numFmtId="0" fontId="46" fillId="12" borderId="40" xfId="31" applyFont="1" applyFill="1" applyBorder="1" applyAlignment="1" applyProtection="1">
      <alignment horizontal="center" vertical="center"/>
      <protection locked="0"/>
    </xf>
    <xf numFmtId="0" fontId="46" fillId="12" borderId="4" xfId="31" applyFont="1" applyFill="1" applyBorder="1" applyAlignment="1" applyProtection="1">
      <alignment horizontal="center" vertical="center"/>
      <protection locked="0"/>
    </xf>
    <xf numFmtId="0" fontId="46" fillId="12" borderId="39" xfId="31" applyFont="1" applyFill="1" applyBorder="1" applyAlignment="1" applyProtection="1">
      <alignment horizontal="center" vertical="center"/>
      <protection locked="0"/>
    </xf>
    <xf numFmtId="0" fontId="46" fillId="0" borderId="24" xfId="31" applyFont="1" applyBorder="1" applyAlignment="1" applyProtection="1">
      <alignment horizontal="left" vertical="center"/>
      <protection locked="0"/>
    </xf>
    <xf numFmtId="0" fontId="46" fillId="0" borderId="0" xfId="31" applyFont="1" applyAlignment="1" applyProtection="1">
      <alignment horizontal="left" vertical="center"/>
      <protection locked="0"/>
    </xf>
    <xf numFmtId="10" fontId="45" fillId="12" borderId="25" xfId="37" applyNumberFormat="1" applyFont="1" applyFill="1" applyBorder="1" applyAlignment="1" applyProtection="1">
      <alignment vertical="center"/>
    </xf>
    <xf numFmtId="0" fontId="45" fillId="12" borderId="24" xfId="31" applyFont="1" applyFill="1" applyBorder="1" applyAlignment="1" applyProtection="1">
      <alignment vertical="center"/>
      <protection locked="0"/>
    </xf>
    <xf numFmtId="0" fontId="46" fillId="12" borderId="0" xfId="31" applyFont="1" applyFill="1" applyAlignment="1" applyProtection="1">
      <alignment horizontal="left" vertical="center"/>
      <protection locked="0"/>
    </xf>
    <xf numFmtId="0" fontId="45" fillId="12" borderId="25" xfId="31" applyFont="1" applyFill="1" applyBorder="1" applyAlignment="1" applyProtection="1">
      <alignment vertical="center"/>
      <protection locked="0"/>
    </xf>
  </cellXfs>
  <cellStyles count="66">
    <cellStyle name="60% - Accent1" xfId="8"/>
    <cellStyle name="Accent1" xfId="9"/>
    <cellStyle name="Check Cell" xfId="10"/>
    <cellStyle name="Data" xfId="11"/>
    <cellStyle name="Euro" xfId="12"/>
    <cellStyle name="Excel Built-in Normal" xfId="13"/>
    <cellStyle name="Excel Built-in Normal 1" xfId="14"/>
    <cellStyle name="Excel_BuiltIn_Comma" xfId="15"/>
    <cellStyle name="Fixo" xfId="16"/>
    <cellStyle name="Good" xfId="17"/>
    <cellStyle name="HEADER" xfId="18"/>
    <cellStyle name="Input" xfId="19"/>
    <cellStyle name="Linked Cell" xfId="20"/>
    <cellStyle name="Milliers [0]_after_discount" xfId="21"/>
    <cellStyle name="Milliers_after_discount" xfId="22"/>
    <cellStyle name="Model" xfId="23"/>
    <cellStyle name="Moeda" xfId="64" builtinId="4"/>
    <cellStyle name="Moeda 2" xfId="24"/>
    <cellStyle name="Moeda 3" xfId="25"/>
    <cellStyle name="Monétaire [0]_after_discount" xfId="26"/>
    <cellStyle name="Monétaire_after_discount" xfId="27"/>
    <cellStyle name="Neutral" xfId="28"/>
    <cellStyle name="Normal" xfId="0" builtinId="0"/>
    <cellStyle name="Normal 2" xfId="3"/>
    <cellStyle name="Normal 2 2" xfId="29"/>
    <cellStyle name="Normal 2 2 2" xfId="62"/>
    <cellStyle name="Normal 2 3" xfId="61"/>
    <cellStyle name="Normal 3" xfId="30"/>
    <cellStyle name="Normal 4" xfId="31"/>
    <cellStyle name="Note" xfId="32"/>
    <cellStyle name="Œ…‹æØ‚è [0.00]_COST_SUM" xfId="33"/>
    <cellStyle name="Œ…‹æØ‚è_COST_SUM" xfId="34"/>
    <cellStyle name="Percentual" xfId="35"/>
    <cellStyle name="Ponto" xfId="36"/>
    <cellStyle name="Porcentagem" xfId="1" builtinId="5"/>
    <cellStyle name="Porcentagem 2" xfId="37"/>
    <cellStyle name="Porcentagem 2 2" xfId="5"/>
    <cellStyle name="Porcentagem 3" xfId="38"/>
    <cellStyle name="Porcentagem 3 2" xfId="39"/>
    <cellStyle name="Porcentagem 4" xfId="40"/>
    <cellStyle name="Porcentagem 5" xfId="41"/>
    <cellStyle name="Separador de m" xfId="42"/>
    <cellStyle name="Separador de milhares 2" xfId="4"/>
    <cellStyle name="Separador de milhares 2 2" xfId="7"/>
    <cellStyle name="Separador de milhares 3" xfId="6"/>
    <cellStyle name="Separador de milhares 3 2" xfId="43"/>
    <cellStyle name="Separador de milhares 4" xfId="44"/>
    <cellStyle name="Separador de milhares 5" xfId="45"/>
    <cellStyle name="Separador de milhares 6" xfId="46"/>
    <cellStyle name="Separador de milhares 6 2" xfId="47"/>
    <cellStyle name="Separador de milhares 7" xfId="48"/>
    <cellStyle name="subhead" xfId="49"/>
    <cellStyle name="SUBTIT" xfId="50"/>
    <cellStyle name="SUBTIT 2" xfId="51"/>
    <cellStyle name="Título 1 1" xfId="52"/>
    <cellStyle name="Titulo1" xfId="53"/>
    <cellStyle name="Titulo2" xfId="54"/>
    <cellStyle name="Vírgula" xfId="2" builtinId="3"/>
    <cellStyle name="Vírgula 2" xfId="55"/>
    <cellStyle name="Vírgula 2 2" xfId="56"/>
    <cellStyle name="Vírgula 3" xfId="57"/>
    <cellStyle name="Vírgula 3 2" xfId="65"/>
    <cellStyle name="Vírgula 4" xfId="58"/>
    <cellStyle name="Vírgula 5" xfId="59"/>
    <cellStyle name="Vírgula 6" xfId="63"/>
    <cellStyle name="Warning Text" xfId="6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133350</xdr:rowOff>
        </xdr:from>
        <xdr:to>
          <xdr:col>1</xdr:col>
          <xdr:colOff>600075</xdr:colOff>
          <xdr:row>0</xdr:row>
          <xdr:rowOff>704850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303213</xdr:colOff>
      <xdr:row>0</xdr:row>
      <xdr:rowOff>6350</xdr:rowOff>
    </xdr:from>
    <xdr:ext cx="3143250" cy="796693"/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1295401" y="6350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>
              <a:solidFill>
                <a:sysClr val="windowText" lastClr="000000"/>
              </a:solidFill>
            </a:rPr>
            <a:t>GOVERNO DO ESTADO DE MINAS GERAIS</a:t>
          </a:r>
        </a:p>
        <a:p>
          <a:r>
            <a:rPr lang="pt-BR" sz="900">
              <a:solidFill>
                <a:sysClr val="windowText" lastClr="000000"/>
              </a:solidFill>
            </a:rPr>
            <a:t>Secretaria de Estado de Infraestrutura, Mobilidade e Parcerias</a:t>
          </a:r>
        </a:p>
        <a:p>
          <a:r>
            <a:rPr lang="pt-BR" sz="900">
              <a:solidFill>
                <a:sysClr val="windowText" lastClr="000000"/>
              </a:solidFill>
            </a:rPr>
            <a:t>Subsecretaria de Obras e Infraestrutura</a:t>
          </a:r>
        </a:p>
        <a:p>
          <a:r>
            <a:rPr lang="pt-BR" sz="900">
              <a:solidFill>
                <a:sysClr val="windowText" lastClr="000000"/>
              </a:solidFill>
            </a:rPr>
            <a:t>Superintendência de Apoio Técnico e Cooperação</a:t>
          </a:r>
        </a:p>
        <a:p>
          <a:r>
            <a:rPr lang="pt-BR" sz="900">
              <a:solidFill>
                <a:sysClr val="windowText" lastClr="000000"/>
              </a:solidFill>
            </a:rPr>
            <a:t>Diretoria de Projetos e  Custos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6724</xdr:rowOff>
    </xdr:from>
    <xdr:to>
      <xdr:col>2</xdr:col>
      <xdr:colOff>219075</xdr:colOff>
      <xdr:row>1</xdr:row>
      <xdr:rowOff>28575</xdr:rowOff>
    </xdr:to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857250" y="6724"/>
          <a:ext cx="4124325" cy="9076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r>
            <a:rPr lang="pt-BR" sz="1000" b="1">
              <a:effectLst/>
              <a:latin typeface="+mn-lt"/>
              <a:ea typeface="+mn-ea"/>
              <a:cs typeface="+mn-cs"/>
            </a:rPr>
            <a:t>GOVERNO DO ESTADO DE MINAS GERAIS</a:t>
          </a:r>
          <a:endParaRPr lang="pt-BR" sz="1000">
            <a:effectLst/>
          </a:endParaRPr>
        </a:p>
        <a:p>
          <a:r>
            <a:rPr lang="pt-BR" sz="1000">
              <a:effectLst/>
              <a:latin typeface="+mn-lt"/>
              <a:ea typeface="+mn-ea"/>
              <a:cs typeface="+mn-cs"/>
            </a:rPr>
            <a:t>Secretaria de Estado de Infraestrutura, Mobilidade e Parcerias</a:t>
          </a:r>
          <a:endParaRPr lang="pt-BR" sz="1000">
            <a:effectLst/>
          </a:endParaRPr>
        </a:p>
        <a:p>
          <a:r>
            <a:rPr lang="pt-BR" sz="1000">
              <a:effectLst/>
              <a:latin typeface="+mn-lt"/>
              <a:ea typeface="+mn-ea"/>
              <a:cs typeface="+mn-cs"/>
            </a:rPr>
            <a:t>Subsecretaria de Obras e Infraestrutura</a:t>
          </a:r>
          <a:endParaRPr lang="pt-BR" sz="1000">
            <a:effectLst/>
          </a:endParaRPr>
        </a:p>
        <a:p>
          <a:r>
            <a:rPr lang="pt-BR" sz="1000">
              <a:effectLst/>
              <a:latin typeface="+mn-lt"/>
              <a:ea typeface="+mn-ea"/>
              <a:cs typeface="+mn-cs"/>
            </a:rPr>
            <a:t>Superintendência de Apoio Técnico e Cooperação</a:t>
          </a:r>
          <a:endParaRPr lang="pt-BR" sz="1000">
            <a:effectLst/>
          </a:endParaRPr>
        </a:p>
        <a:p>
          <a:r>
            <a:rPr lang="pt-BR" sz="1000">
              <a:effectLst/>
              <a:latin typeface="+mn-lt"/>
              <a:ea typeface="+mn-ea"/>
              <a:cs typeface="+mn-cs"/>
            </a:rPr>
            <a:t>Diretoria de Projetos e  Custos</a:t>
          </a:r>
          <a:endParaRPr lang="pt-BR" sz="10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161925</xdr:rowOff>
        </xdr:from>
        <xdr:to>
          <xdr:col>1</xdr:col>
          <xdr:colOff>104775</xdr:colOff>
          <xdr:row>0</xdr:row>
          <xdr:rowOff>733425</xdr:rowOff>
        </xdr:to>
        <xdr:sp macro="" textlink="">
          <xdr:nvSpPr>
            <xdr:cNvPr id="8196" name="Object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showGridLines="0" showZeros="0" view="pageBreakPreview" zoomScaleNormal="100" zoomScaleSheetLayoutView="100" workbookViewId="0">
      <selection activeCell="D35" sqref="D35"/>
    </sheetView>
  </sheetViews>
  <sheetFormatPr defaultColWidth="9.140625" defaultRowHeight="11.25"/>
  <cols>
    <col min="1" max="1" width="4.28515625" style="3" bestFit="1" customWidth="1"/>
    <col min="2" max="2" width="9.85546875" style="3" bestFit="1" customWidth="1"/>
    <col min="3" max="3" width="7.85546875" style="3" bestFit="1" customWidth="1"/>
    <col min="4" max="4" width="60.7109375" style="94" customWidth="1"/>
    <col min="5" max="5" width="10.140625" style="3" customWidth="1"/>
    <col min="6" max="6" width="11.7109375" style="107" customWidth="1"/>
    <col min="7" max="7" width="11.7109375" style="12" customWidth="1"/>
    <col min="8" max="8" width="11.7109375" style="3" customWidth="1"/>
    <col min="9" max="9" width="13.5703125" style="3" customWidth="1"/>
    <col min="10" max="10" width="11.85546875" style="3" bestFit="1" customWidth="1"/>
    <col min="11" max="16384" width="9.140625" style="3"/>
  </cols>
  <sheetData>
    <row r="1" spans="1:10" ht="65.099999999999994" customHeight="1">
      <c r="A1" s="150"/>
      <c r="B1" s="150"/>
      <c r="C1" s="150"/>
      <c r="D1" s="149"/>
      <c r="E1" s="149"/>
      <c r="F1" s="149"/>
      <c r="G1" s="149"/>
      <c r="H1" s="149"/>
      <c r="I1" s="149"/>
    </row>
    <row r="2" spans="1:10" ht="20.100000000000001" customHeight="1">
      <c r="A2" s="158" t="s">
        <v>27</v>
      </c>
      <c r="B2" s="158"/>
      <c r="C2" s="159"/>
      <c r="D2" s="159"/>
      <c r="E2" s="159"/>
      <c r="F2" s="159"/>
      <c r="G2" s="159"/>
      <c r="H2" s="159"/>
      <c r="I2" s="159"/>
    </row>
    <row r="3" spans="1:10" ht="20.100000000000001" customHeight="1">
      <c r="A3" s="160" t="s">
        <v>89</v>
      </c>
      <c r="B3" s="160"/>
      <c r="C3" s="160"/>
      <c r="D3" s="160"/>
      <c r="E3" s="160"/>
      <c r="F3" s="206" t="s">
        <v>76</v>
      </c>
      <c r="G3" s="207"/>
      <c r="H3" s="210" t="s">
        <v>31</v>
      </c>
      <c r="I3" s="211"/>
    </row>
    <row r="4" spans="1:10" ht="20.100000000000001" customHeight="1">
      <c r="A4" s="151" t="s">
        <v>137</v>
      </c>
      <c r="B4" s="152"/>
      <c r="C4" s="152"/>
      <c r="D4" s="152"/>
      <c r="E4" s="152"/>
      <c r="F4" s="206" t="s">
        <v>20</v>
      </c>
      <c r="G4" s="207"/>
      <c r="H4" s="208">
        <f ca="1">TODAY()</f>
        <v>46042</v>
      </c>
      <c r="I4" s="209"/>
    </row>
    <row r="5" spans="1:10" ht="20.100000000000001" customHeight="1">
      <c r="A5" s="151" t="s">
        <v>112</v>
      </c>
      <c r="B5" s="152"/>
      <c r="C5" s="152"/>
      <c r="D5" s="152"/>
      <c r="E5" s="152"/>
      <c r="F5" s="156" t="s">
        <v>6</v>
      </c>
      <c r="G5" s="206"/>
      <c r="H5" s="206"/>
      <c r="I5" s="207"/>
      <c r="J5" s="4"/>
    </row>
    <row r="6" spans="1:10" ht="24.95" customHeight="1">
      <c r="A6" s="153" t="s">
        <v>115</v>
      </c>
      <c r="B6" s="154"/>
      <c r="C6" s="154"/>
      <c r="D6" s="154"/>
      <c r="E6" s="154"/>
      <c r="F6" s="118" t="s">
        <v>19</v>
      </c>
      <c r="G6" s="5" t="s">
        <v>3</v>
      </c>
      <c r="H6" s="118" t="s">
        <v>32</v>
      </c>
      <c r="I6" s="118" t="s">
        <v>4</v>
      </c>
    </row>
    <row r="7" spans="1:10" ht="24.95" customHeight="1">
      <c r="A7" s="157" t="s">
        <v>34</v>
      </c>
      <c r="B7" s="157"/>
      <c r="C7" s="157"/>
      <c r="D7" s="157"/>
      <c r="E7" s="157"/>
      <c r="F7" s="6" t="s">
        <v>24</v>
      </c>
      <c r="G7" s="101">
        <v>0.03</v>
      </c>
      <c r="H7" s="118" t="s">
        <v>30</v>
      </c>
      <c r="I7" s="115">
        <v>0.22639999999999999</v>
      </c>
    </row>
    <row r="8" spans="1:10" ht="12" customHeight="1">
      <c r="A8" s="127"/>
      <c r="B8" s="118"/>
      <c r="C8" s="128"/>
      <c r="D8" s="127"/>
      <c r="E8" s="118"/>
      <c r="F8" s="128"/>
      <c r="G8" s="118"/>
      <c r="H8" s="118"/>
      <c r="I8" s="81"/>
    </row>
    <row r="9" spans="1:10" ht="35.1" customHeight="1">
      <c r="A9" s="118" t="s">
        <v>0</v>
      </c>
      <c r="B9" s="118" t="s">
        <v>43</v>
      </c>
      <c r="C9" s="118" t="s">
        <v>25</v>
      </c>
      <c r="D9" s="7" t="s">
        <v>26</v>
      </c>
      <c r="E9" s="118" t="s">
        <v>2</v>
      </c>
      <c r="F9" s="118" t="s">
        <v>1</v>
      </c>
      <c r="G9" s="8" t="s">
        <v>28</v>
      </c>
      <c r="H9" s="6" t="s">
        <v>29</v>
      </c>
      <c r="I9" s="6" t="s">
        <v>5</v>
      </c>
    </row>
    <row r="10" spans="1:10" ht="20.100000000000001" customHeight="1">
      <c r="A10" s="129" t="s">
        <v>22</v>
      </c>
      <c r="B10" s="129"/>
      <c r="C10" s="130"/>
      <c r="D10" s="131" t="s">
        <v>11</v>
      </c>
      <c r="E10" s="132"/>
      <c r="F10" s="133"/>
      <c r="G10" s="134"/>
      <c r="H10" s="134">
        <f>ROUND(G10+(G10*$I$7),2)</f>
        <v>0</v>
      </c>
      <c r="I10" s="135">
        <f>SUM(I11+I12+I13)</f>
        <v>5433.5362047999997</v>
      </c>
      <c r="J10" s="146">
        <f>I11+I12+I13</f>
        <v>5433.5362047999997</v>
      </c>
    </row>
    <row r="11" spans="1:10" ht="35.25" customHeight="1">
      <c r="A11" s="129" t="s">
        <v>7</v>
      </c>
      <c r="B11" s="110" t="s">
        <v>67</v>
      </c>
      <c r="C11" s="144" t="s">
        <v>131</v>
      </c>
      <c r="D11" s="145" t="s">
        <v>132</v>
      </c>
      <c r="E11" s="132" t="s">
        <v>136</v>
      </c>
      <c r="F11" s="133">
        <v>2</v>
      </c>
      <c r="G11" s="116">
        <v>980</v>
      </c>
      <c r="H11" s="11">
        <f>G11*(1+I7)</f>
        <v>1201.8719999999998</v>
      </c>
      <c r="I11" s="11">
        <f>ROUND((F11*H11),2)</f>
        <v>2403.7399999999998</v>
      </c>
      <c r="J11" s="146">
        <f>I11+I12+I13+I14</f>
        <v>6947.0662047999995</v>
      </c>
    </row>
    <row r="12" spans="1:10" ht="45">
      <c r="A12" s="9" t="s">
        <v>36</v>
      </c>
      <c r="B12" s="110" t="s">
        <v>67</v>
      </c>
      <c r="C12" s="110" t="s">
        <v>107</v>
      </c>
      <c r="D12" s="10" t="s">
        <v>37</v>
      </c>
      <c r="E12" s="110" t="s">
        <v>133</v>
      </c>
      <c r="F12" s="111">
        <v>1</v>
      </c>
      <c r="G12" s="116">
        <v>1156.55</v>
      </c>
      <c r="H12" s="11">
        <f>G12*(1+I7)</f>
        <v>1418.3929199999998</v>
      </c>
      <c r="I12" s="11">
        <f>ROUND((F12*H12),2)</f>
        <v>1418.39</v>
      </c>
      <c r="J12" s="146"/>
    </row>
    <row r="13" spans="1:10" ht="22.5">
      <c r="A13" s="9" t="s">
        <v>108</v>
      </c>
      <c r="B13" s="110" t="s">
        <v>67</v>
      </c>
      <c r="C13" s="110" t="s">
        <v>90</v>
      </c>
      <c r="D13" s="10" t="s">
        <v>91</v>
      </c>
      <c r="E13" s="110" t="s">
        <v>92</v>
      </c>
      <c r="F13" s="111">
        <f>'Memória - SEINFRA'!E24</f>
        <v>18.8</v>
      </c>
      <c r="G13" s="116">
        <v>69.89</v>
      </c>
      <c r="H13" s="11">
        <f>G13*(1+I7)</f>
        <v>85.713095999999993</v>
      </c>
      <c r="I13" s="11">
        <f>F13*H13</f>
        <v>1611.4062047999998</v>
      </c>
    </row>
    <row r="14" spans="1:10" ht="22.5">
      <c r="A14" s="9" t="s">
        <v>134</v>
      </c>
      <c r="B14" s="9" t="s">
        <v>67</v>
      </c>
      <c r="C14" s="9" t="s">
        <v>79</v>
      </c>
      <c r="D14" s="112" t="s">
        <v>111</v>
      </c>
      <c r="E14" s="110" t="s">
        <v>38</v>
      </c>
      <c r="F14" s="111">
        <v>0.5</v>
      </c>
      <c r="G14" s="117">
        <f>I29</f>
        <v>302706.53168479999</v>
      </c>
      <c r="H14" s="11">
        <f>G14*(F14/100)</f>
        <v>1513.5326584239999</v>
      </c>
      <c r="I14" s="11">
        <f>ROUND((1*H14),2)</f>
        <v>1513.53</v>
      </c>
      <c r="J14" s="3">
        <f>I14/2</f>
        <v>756.76499999999999</v>
      </c>
    </row>
    <row r="15" spans="1:10">
      <c r="A15" s="162"/>
      <c r="B15" s="162"/>
      <c r="C15" s="162"/>
      <c r="D15" s="162"/>
      <c r="E15" s="162"/>
      <c r="F15" s="162"/>
      <c r="G15" s="162"/>
      <c r="H15" s="162"/>
      <c r="I15" s="162"/>
    </row>
    <row r="16" spans="1:10">
      <c r="A16" s="6" t="s">
        <v>23</v>
      </c>
      <c r="B16" s="6"/>
      <c r="C16" s="6"/>
      <c r="D16" s="136" t="s">
        <v>69</v>
      </c>
      <c r="E16" s="6"/>
      <c r="F16" s="8"/>
      <c r="G16" s="8"/>
      <c r="H16" s="8">
        <f>ROUND(G16+(G16*$I$7),2)</f>
        <v>0</v>
      </c>
      <c r="I16" s="137">
        <f>SUM(I17:I20)</f>
        <v>18452.009999999998</v>
      </c>
      <c r="J16" s="12"/>
    </row>
    <row r="17" spans="1:11" ht="22.5">
      <c r="A17" s="9" t="s">
        <v>8</v>
      </c>
      <c r="B17" s="9" t="s">
        <v>116</v>
      </c>
      <c r="C17" s="113" t="s">
        <v>121</v>
      </c>
      <c r="D17" s="112" t="s">
        <v>127</v>
      </c>
      <c r="E17" s="109" t="s">
        <v>83</v>
      </c>
      <c r="F17" s="111">
        <f>'Memória - SEINFRA'!E36</f>
        <v>2022.6</v>
      </c>
      <c r="G17" s="116">
        <v>1.81</v>
      </c>
      <c r="H17" s="110">
        <f>G17*(1+I7)</f>
        <v>2.2197839999999998</v>
      </c>
      <c r="I17" s="11">
        <f>ROUND((F17*H17),2)</f>
        <v>4489.74</v>
      </c>
      <c r="J17" s="12"/>
    </row>
    <row r="18" spans="1:11" ht="22.5">
      <c r="A18" s="9" t="s">
        <v>9</v>
      </c>
      <c r="B18" s="9" t="s">
        <v>116</v>
      </c>
      <c r="C18" s="113" t="s">
        <v>68</v>
      </c>
      <c r="D18" s="112" t="s">
        <v>122</v>
      </c>
      <c r="E18" s="109" t="s">
        <v>84</v>
      </c>
      <c r="F18" s="8">
        <f>'Memória - SEINFRA'!E45</f>
        <v>303.39</v>
      </c>
      <c r="G18" s="116">
        <v>16.66</v>
      </c>
      <c r="H18" s="11">
        <f>G18*(1+I7)</f>
        <v>20.431823999999999</v>
      </c>
      <c r="I18" s="11">
        <f>ROUND((F18*H18),2)</f>
        <v>6198.81</v>
      </c>
      <c r="J18" s="12"/>
    </row>
    <row r="19" spans="1:11">
      <c r="A19" s="9" t="s">
        <v>10</v>
      </c>
      <c r="B19" s="9"/>
      <c r="C19" s="113" t="s">
        <v>123</v>
      </c>
      <c r="D19" s="112" t="s">
        <v>124</v>
      </c>
      <c r="E19" s="109" t="s">
        <v>84</v>
      </c>
      <c r="F19" s="111"/>
      <c r="G19" s="114" t="s">
        <v>80</v>
      </c>
      <c r="H19" s="11"/>
      <c r="I19" s="11">
        <f>ROUND((F19*H19),2)</f>
        <v>0</v>
      </c>
      <c r="J19" s="12"/>
    </row>
    <row r="20" spans="1:11" ht="22.5">
      <c r="A20" s="9" t="s">
        <v>39</v>
      </c>
      <c r="B20" s="9" t="s">
        <v>116</v>
      </c>
      <c r="C20" s="113" t="s">
        <v>117</v>
      </c>
      <c r="D20" s="112" t="s">
        <v>125</v>
      </c>
      <c r="E20" s="109" t="s">
        <v>119</v>
      </c>
      <c r="F20" s="111">
        <f>'Memória - SEINFRA'!H60</f>
        <v>9353.5721999999987</v>
      </c>
      <c r="G20" s="116">
        <v>0.68</v>
      </c>
      <c r="H20" s="11">
        <f>ROUND(G20+(G20*$I$7),2)</f>
        <v>0.83</v>
      </c>
      <c r="I20" s="11">
        <f>ROUND((F20*H20),2)</f>
        <v>7763.46</v>
      </c>
      <c r="J20" s="12"/>
    </row>
    <row r="21" spans="1:11">
      <c r="A21" s="6" t="s">
        <v>70</v>
      </c>
      <c r="B21" s="6"/>
      <c r="C21" s="6"/>
      <c r="D21" s="138" t="s">
        <v>45</v>
      </c>
      <c r="E21" s="136"/>
      <c r="F21" s="136"/>
      <c r="G21" s="139"/>
      <c r="H21" s="136"/>
      <c r="I21" s="137">
        <f>SUM(I22:I23)</f>
        <v>219724.44547999999</v>
      </c>
      <c r="J21" s="12"/>
    </row>
    <row r="22" spans="1:11" ht="45">
      <c r="A22" s="9" t="s">
        <v>75</v>
      </c>
      <c r="B22" s="9" t="s">
        <v>67</v>
      </c>
      <c r="C22" s="9" t="s">
        <v>81</v>
      </c>
      <c r="D22" s="112" t="s">
        <v>138</v>
      </c>
      <c r="E22" s="9" t="s">
        <v>83</v>
      </c>
      <c r="F22" s="111">
        <f>'Memória - SEINFRA'!E68</f>
        <v>1684.2</v>
      </c>
      <c r="G22" s="116">
        <v>96.93</v>
      </c>
      <c r="H22" s="11">
        <f>G22*(1+I7)</f>
        <v>118.87495200000001</v>
      </c>
      <c r="I22" s="11">
        <f>ROUND((F22*H22),2)</f>
        <v>200209.19</v>
      </c>
      <c r="J22" s="12"/>
    </row>
    <row r="23" spans="1:11" ht="22.5">
      <c r="A23" s="9" t="s">
        <v>120</v>
      </c>
      <c r="B23" s="9" t="s">
        <v>116</v>
      </c>
      <c r="C23" s="9" t="s">
        <v>117</v>
      </c>
      <c r="D23" s="112" t="s">
        <v>118</v>
      </c>
      <c r="E23" s="9" t="s">
        <v>119</v>
      </c>
      <c r="F23" s="111">
        <f>'Memória - SEINFRA'!F76</f>
        <v>23512.356</v>
      </c>
      <c r="G23" s="116">
        <v>0.68</v>
      </c>
      <c r="H23" s="11">
        <f>ROUND(G23+(G23*$I$7),2)</f>
        <v>0.83</v>
      </c>
      <c r="I23" s="11">
        <f>H23*F23</f>
        <v>19515.25548</v>
      </c>
      <c r="J23" s="12"/>
    </row>
    <row r="24" spans="1:11">
      <c r="A24" s="6" t="s">
        <v>72</v>
      </c>
      <c r="B24" s="6"/>
      <c r="C24" s="6"/>
      <c r="D24" s="136" t="s">
        <v>71</v>
      </c>
      <c r="E24" s="136"/>
      <c r="F24" s="136"/>
      <c r="G24" s="139"/>
      <c r="H24" s="136"/>
      <c r="I24" s="137">
        <f>SUM(I25:I26)</f>
        <v>59096.539999999994</v>
      </c>
      <c r="J24" s="12"/>
    </row>
    <row r="25" spans="1:11" ht="33.75">
      <c r="A25" s="9" t="s">
        <v>73</v>
      </c>
      <c r="B25" s="9" t="s">
        <v>106</v>
      </c>
      <c r="C25" s="140">
        <v>94267</v>
      </c>
      <c r="D25" s="141" t="s">
        <v>94</v>
      </c>
      <c r="E25" s="110" t="s">
        <v>82</v>
      </c>
      <c r="F25" s="111">
        <f>'Memória - SEINFRA'!H86</f>
        <v>752</v>
      </c>
      <c r="G25" s="116">
        <v>60.69</v>
      </c>
      <c r="H25" s="11">
        <f>G25*(1+I7)</f>
        <v>74.430215999999987</v>
      </c>
      <c r="I25" s="11">
        <f>ROUND((F25*H25),2)</f>
        <v>55971.519999999997</v>
      </c>
    </row>
    <row r="26" spans="1:11" ht="56.25">
      <c r="A26" s="9" t="s">
        <v>74</v>
      </c>
      <c r="B26" s="9" t="s">
        <v>67</v>
      </c>
      <c r="C26" s="140" t="s">
        <v>100</v>
      </c>
      <c r="D26" s="141" t="s">
        <v>95</v>
      </c>
      <c r="E26" s="110" t="s">
        <v>82</v>
      </c>
      <c r="F26" s="8">
        <f>'Memória - SEINFRA'!H96</f>
        <v>41.8</v>
      </c>
      <c r="G26" s="116">
        <v>60.96</v>
      </c>
      <c r="H26" s="11">
        <f>G26*(1+I7)</f>
        <v>74.761343999999994</v>
      </c>
      <c r="I26" s="11">
        <f>ROUND((F26*H26),2)</f>
        <v>3125.02</v>
      </c>
    </row>
    <row r="27" spans="1:11">
      <c r="A27" s="9"/>
      <c r="B27" s="9"/>
      <c r="C27" s="13"/>
      <c r="D27" s="10"/>
      <c r="E27" s="13"/>
      <c r="F27" s="8"/>
      <c r="G27" s="11"/>
      <c r="H27" s="11"/>
      <c r="I27" s="11"/>
    </row>
    <row r="28" spans="1:11" ht="18" customHeight="1">
      <c r="A28" s="163"/>
      <c r="B28" s="164"/>
      <c r="C28" s="164"/>
      <c r="D28" s="164"/>
      <c r="E28" s="164"/>
      <c r="F28" s="164"/>
      <c r="G28" s="164"/>
      <c r="H28" s="164"/>
      <c r="I28" s="165"/>
    </row>
    <row r="29" spans="1:11" ht="20.100000000000001" customHeight="1">
      <c r="A29" s="155" t="s">
        <v>33</v>
      </c>
      <c r="B29" s="155"/>
      <c r="C29" s="155"/>
      <c r="D29" s="155"/>
      <c r="E29" s="155"/>
      <c r="F29" s="155"/>
      <c r="G29" s="155"/>
      <c r="H29" s="155"/>
      <c r="I29" s="83">
        <f>I24+I21+I16+I10</f>
        <v>302706.53168479999</v>
      </c>
      <c r="K29" s="12"/>
    </row>
    <row r="30" spans="1:11" ht="20.100000000000001" customHeight="1">
      <c r="A30" s="155" t="s">
        <v>77</v>
      </c>
      <c r="B30" s="155"/>
      <c r="C30" s="155"/>
      <c r="D30" s="155"/>
      <c r="E30" s="155"/>
      <c r="F30" s="155"/>
      <c r="G30" s="155"/>
      <c r="H30" s="155"/>
      <c r="I30" s="83">
        <f>I29+I14</f>
        <v>304220.06168480002</v>
      </c>
      <c r="K30" s="12"/>
    </row>
    <row r="31" spans="1:11" ht="11.25" customHeight="1">
      <c r="A31" s="84"/>
      <c r="B31" s="85"/>
      <c r="C31" s="85"/>
      <c r="D31" s="86"/>
      <c r="E31" s="85"/>
      <c r="F31" s="90"/>
      <c r="G31" s="87"/>
      <c r="H31" s="85"/>
      <c r="I31" s="88"/>
      <c r="J31" s="3">
        <f>J30-J29</f>
        <v>0</v>
      </c>
    </row>
    <row r="32" spans="1:11" ht="45.75" customHeight="1">
      <c r="A32" s="84"/>
      <c r="B32" s="85"/>
      <c r="D32" s="89"/>
      <c r="E32" s="90"/>
      <c r="F32" s="90"/>
      <c r="G32" s="85"/>
      <c r="H32" s="85"/>
      <c r="I32" s="88"/>
    </row>
    <row r="33" spans="1:9">
      <c r="A33" s="84"/>
      <c r="B33" s="85"/>
      <c r="D33" s="91" t="s">
        <v>98</v>
      </c>
      <c r="E33" s="90"/>
      <c r="F33" s="161"/>
      <c r="G33" s="161"/>
      <c r="H33" s="161"/>
      <c r="I33" s="88"/>
    </row>
    <row r="34" spans="1:9">
      <c r="A34" s="92"/>
      <c r="D34" s="3" t="s">
        <v>96</v>
      </c>
      <c r="I34" s="93"/>
    </row>
    <row r="35" spans="1:9">
      <c r="A35" s="92"/>
      <c r="D35" s="91" t="s">
        <v>97</v>
      </c>
      <c r="I35" s="93"/>
    </row>
    <row r="36" spans="1:9">
      <c r="A36" s="92"/>
      <c r="I36" s="93"/>
    </row>
    <row r="37" spans="1:9">
      <c r="A37" s="92"/>
      <c r="I37" s="93"/>
    </row>
    <row r="38" spans="1:9" ht="11.25" customHeight="1">
      <c r="A38" s="84"/>
      <c r="B38" s="85"/>
      <c r="D38" s="89"/>
      <c r="E38" s="85"/>
      <c r="F38" s="161"/>
      <c r="G38" s="161"/>
      <c r="H38" s="95"/>
      <c r="I38" s="88"/>
    </row>
    <row r="39" spans="1:9">
      <c r="A39" s="84"/>
      <c r="B39" s="85"/>
      <c r="D39" s="91" t="s">
        <v>99</v>
      </c>
      <c r="E39" s="90"/>
      <c r="F39" s="161"/>
      <c r="G39" s="161"/>
      <c r="H39" s="95"/>
      <c r="I39" s="88"/>
    </row>
    <row r="40" spans="1:9" ht="12" customHeight="1">
      <c r="A40" s="92"/>
      <c r="D40" s="3" t="s">
        <v>66</v>
      </c>
      <c r="I40" s="93"/>
    </row>
    <row r="41" spans="1:9" ht="12" customHeight="1">
      <c r="A41" s="92"/>
      <c r="I41" s="93"/>
    </row>
    <row r="42" spans="1:9" ht="12" customHeight="1">
      <c r="A42" s="92"/>
      <c r="I42" s="93"/>
    </row>
    <row r="43" spans="1:9">
      <c r="A43" s="96"/>
      <c r="B43" s="97"/>
      <c r="C43" s="97"/>
      <c r="D43" s="98"/>
      <c r="E43" s="97"/>
      <c r="F43" s="108"/>
      <c r="G43" s="99"/>
      <c r="H43" s="97"/>
      <c r="I43" s="100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0">
    <mergeCell ref="F39:G39"/>
    <mergeCell ref="A15:I15"/>
    <mergeCell ref="F33:H33"/>
    <mergeCell ref="F38:G38"/>
    <mergeCell ref="A28:I28"/>
    <mergeCell ref="A30:H30"/>
    <mergeCell ref="D1:I1"/>
    <mergeCell ref="A1:C1"/>
    <mergeCell ref="A5:E5"/>
    <mergeCell ref="A6:E6"/>
    <mergeCell ref="A29:H29"/>
    <mergeCell ref="F5:I5"/>
    <mergeCell ref="A7:E7"/>
    <mergeCell ref="A2:I2"/>
    <mergeCell ref="H4:I4"/>
    <mergeCell ref="A4:E4"/>
    <mergeCell ref="A3:E3"/>
    <mergeCell ref="F3:G3"/>
    <mergeCell ref="F4:G4"/>
    <mergeCell ref="F3:G3"/>
  </mergeCells>
  <phoneticPr fontId="4" type="noConversion"/>
  <printOptions horizontalCentered="1"/>
  <pageMargins left="0.47244094488188981" right="0.19685039370078741" top="0.98425196850393704" bottom="0.6692913385826772" header="0" footer="0"/>
  <pageSetup paperSize="9" scale="69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6147" r:id="rId5">
          <objectPr defaultSize="0" autoPict="0" r:id="rId6">
            <anchor moveWithCells="1">
              <from>
                <xdr:col>0</xdr:col>
                <xdr:colOff>104775</xdr:colOff>
                <xdr:row>0</xdr:row>
                <xdr:rowOff>133350</xdr:rowOff>
              </from>
              <to>
                <xdr:col>1</xdr:col>
                <xdr:colOff>600075</xdr:colOff>
                <xdr:row>0</xdr:row>
                <xdr:rowOff>704850</xdr:rowOff>
              </to>
            </anchor>
          </objectPr>
        </oleObject>
      </mc:Choice>
      <mc:Fallback>
        <oleObject progId="Word.Picture.8" shapeId="6147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view="pageBreakPreview" topLeftCell="A89" zoomScale="115" zoomScaleNormal="140" zoomScaleSheetLayoutView="115" workbookViewId="0">
      <selection activeCell="B102" sqref="B102"/>
    </sheetView>
  </sheetViews>
  <sheetFormatPr defaultColWidth="9.140625" defaultRowHeight="12.75"/>
  <cols>
    <col min="1" max="1" width="9.140625" style="2"/>
    <col min="2" max="2" width="10.85546875" style="2" customWidth="1"/>
    <col min="3" max="3" width="14.28515625" style="2" bestFit="1" customWidth="1"/>
    <col min="4" max="4" width="12.7109375" style="2" customWidth="1"/>
    <col min="5" max="5" width="12.85546875" style="2" customWidth="1"/>
    <col min="6" max="6" width="14.85546875" style="2" customWidth="1"/>
    <col min="7" max="7" width="12.42578125" style="2" customWidth="1"/>
    <col min="8" max="8" width="14.7109375" style="2" customWidth="1"/>
    <col min="9" max="9" width="7.7109375" style="2" hidden="1" customWidth="1"/>
    <col min="10" max="16384" width="9.140625" style="2"/>
  </cols>
  <sheetData>
    <row r="1" spans="1:9">
      <c r="A1" s="183" t="s">
        <v>44</v>
      </c>
      <c r="B1" s="183"/>
      <c r="C1" s="183"/>
      <c r="D1" s="183"/>
      <c r="E1" s="183"/>
      <c r="F1" s="183"/>
      <c r="G1" s="183"/>
      <c r="H1" s="183"/>
      <c r="I1" s="183"/>
    </row>
    <row r="2" spans="1:9">
      <c r="A2" s="15"/>
      <c r="B2" s="15"/>
      <c r="C2" s="15"/>
      <c r="D2" s="15"/>
      <c r="E2" s="15"/>
      <c r="F2" s="15"/>
      <c r="G2" s="15"/>
      <c r="H2" s="15"/>
    </row>
    <row r="3" spans="1:9">
      <c r="A3" s="184" t="s">
        <v>45</v>
      </c>
      <c r="B3" s="184"/>
      <c r="C3" s="184"/>
      <c r="D3" s="184"/>
      <c r="E3" s="184"/>
      <c r="F3" s="184"/>
      <c r="G3" s="184"/>
      <c r="H3" s="184"/>
      <c r="I3" s="184"/>
    </row>
    <row r="4" spans="1:9">
      <c r="A4" s="54" t="str">
        <f>'Planilha Orcamentária'!A3:E3</f>
        <v>PREFEITURA MUNICIPAL DE MONTALVÂNIA-MG</v>
      </c>
      <c r="B4" s="54"/>
      <c r="C4" s="54"/>
      <c r="D4" s="54"/>
      <c r="E4" s="54"/>
      <c r="F4" s="54"/>
      <c r="G4" s="54"/>
      <c r="H4" s="76"/>
    </row>
    <row r="5" spans="1:9">
      <c r="A5" s="54" t="str">
        <f>'Planilha Orcamentária'!A4:E4</f>
        <v xml:space="preserve">OBRA: CALÇAMENTO EM BLOQUETE SEXTAVADO- DIVERSOS LOGRADOUROS DISTRITO DE POÇÕES </v>
      </c>
      <c r="B5" s="54"/>
      <c r="C5" s="54"/>
      <c r="D5" s="54"/>
      <c r="E5" s="54"/>
      <c r="F5" s="54"/>
      <c r="G5" s="54"/>
      <c r="H5" s="76"/>
    </row>
    <row r="6" spans="1:9">
      <c r="A6" s="177" t="str">
        <f>'Planilha Orcamentária'!A5:E5</f>
        <v>LOCAL: RUA GÓIAS , RUA MARANHÃO , RUA PRAÇA DOS ESPORTES</v>
      </c>
      <c r="B6" s="177"/>
      <c r="C6" s="177"/>
      <c r="D6" s="177"/>
      <c r="E6" s="177"/>
      <c r="F6" s="177"/>
      <c r="G6" s="177"/>
      <c r="H6" s="177"/>
      <c r="I6" s="177"/>
    </row>
    <row r="7" spans="1:9">
      <c r="A7" s="76" t="s">
        <v>20</v>
      </c>
      <c r="B7" s="185">
        <f ca="1">TODAY()</f>
        <v>46042</v>
      </c>
      <c r="C7" s="185"/>
      <c r="D7" s="65"/>
      <c r="E7" s="65"/>
      <c r="F7" s="65"/>
      <c r="G7" s="65"/>
      <c r="H7" s="65"/>
    </row>
    <row r="8" spans="1:9">
      <c r="A8" s="122"/>
      <c r="B8" s="120"/>
      <c r="C8" s="120"/>
      <c r="D8" s="119"/>
      <c r="E8" s="119"/>
      <c r="F8" s="119"/>
      <c r="G8" s="119"/>
      <c r="H8" s="119"/>
    </row>
    <row r="9" spans="1:9">
      <c r="A9" s="122" t="s">
        <v>46</v>
      </c>
      <c r="B9" s="120" t="str">
        <f>'Planilha Orcamentária'!A11</f>
        <v>1.1</v>
      </c>
      <c r="C9" s="120"/>
      <c r="D9" s="119"/>
      <c r="E9" s="119"/>
      <c r="F9" s="119"/>
      <c r="G9" s="119"/>
      <c r="H9" s="119"/>
    </row>
    <row r="10" spans="1:9" ht="33" customHeight="1">
      <c r="A10" s="188" t="s">
        <v>135</v>
      </c>
      <c r="B10" s="189"/>
      <c r="C10" s="189"/>
      <c r="D10" s="189"/>
      <c r="E10" s="189"/>
      <c r="F10" s="189"/>
      <c r="G10" s="189"/>
      <c r="H10" s="190"/>
    </row>
    <row r="11" spans="1:9" ht="14.25" customHeight="1">
      <c r="A11" s="170" t="s">
        <v>47</v>
      </c>
      <c r="B11" s="171"/>
      <c r="C11" s="121">
        <v>2</v>
      </c>
      <c r="D11" s="78" t="s">
        <v>48</v>
      </c>
      <c r="E11" s="1"/>
      <c r="F11" s="15"/>
      <c r="G11" s="147"/>
      <c r="H11" s="147"/>
    </row>
    <row r="12" spans="1:9">
      <c r="A12" s="122"/>
      <c r="B12" s="120"/>
      <c r="C12" s="80"/>
      <c r="D12" s="65"/>
      <c r="E12" s="65"/>
      <c r="F12" s="65"/>
      <c r="G12" s="65"/>
      <c r="H12" s="65"/>
    </row>
    <row r="13" spans="1:9">
      <c r="A13" s="76" t="s">
        <v>46</v>
      </c>
      <c r="B13" s="76" t="str">
        <f>'Planilha Orcamentária'!A12</f>
        <v>1.2</v>
      </c>
      <c r="C13" s="65"/>
      <c r="D13" s="65"/>
      <c r="E13" s="65"/>
      <c r="F13" s="65"/>
      <c r="G13" s="65"/>
      <c r="H13" s="65"/>
    </row>
    <row r="14" spans="1:9" ht="54.75" customHeight="1">
      <c r="A14" s="179" t="str">
        <f>'Planilha Orcamentária'!D12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B14" s="179"/>
      <c r="C14" s="179"/>
      <c r="D14" s="179"/>
      <c r="E14" s="179"/>
      <c r="F14" s="179"/>
      <c r="G14" s="179"/>
      <c r="H14" s="179"/>
      <c r="I14" s="179"/>
    </row>
    <row r="15" spans="1:9">
      <c r="A15" s="170" t="s">
        <v>47</v>
      </c>
      <c r="B15" s="171"/>
      <c r="C15" s="75">
        <v>1</v>
      </c>
      <c r="D15" s="78" t="s">
        <v>48</v>
      </c>
      <c r="E15" s="1"/>
      <c r="F15" s="15"/>
      <c r="G15" s="15"/>
      <c r="H15" s="15"/>
    </row>
    <row r="16" spans="1:9">
      <c r="A16" s="55"/>
      <c r="B16" s="55"/>
      <c r="C16" s="55"/>
      <c r="D16" s="55"/>
      <c r="E16" s="54"/>
      <c r="F16" s="15"/>
      <c r="G16" s="15"/>
      <c r="H16" s="15"/>
    </row>
    <row r="17" spans="1:9">
      <c r="A17" s="76" t="s">
        <v>46</v>
      </c>
      <c r="B17" s="76" t="str">
        <f>'Planilha Orcamentária'!A13</f>
        <v>1.3</v>
      </c>
      <c r="C17" s="55"/>
      <c r="D17" s="55"/>
      <c r="E17" s="54"/>
      <c r="F17" s="15"/>
      <c r="G17" s="15"/>
      <c r="H17" s="15"/>
    </row>
    <row r="18" spans="1:9" ht="24.75" customHeight="1">
      <c r="A18" s="179" t="str">
        <f>'Planilha Orcamentária'!D13</f>
        <v>LOCAÇÃO TOPOGRÁFICA PARA ATÉ VINTE (20) PONTOS REFERENCIAIS, INCLUSIVE ESTACA (PIQUETE) DE MARCAÇÃO</v>
      </c>
      <c r="B18" s="179"/>
      <c r="C18" s="179"/>
      <c r="D18" s="179"/>
      <c r="E18" s="179"/>
      <c r="F18" s="179"/>
      <c r="G18" s="179"/>
      <c r="H18" s="179"/>
      <c r="I18" s="179"/>
    </row>
    <row r="19" spans="1:9">
      <c r="A19" s="168" t="s">
        <v>49</v>
      </c>
      <c r="B19" s="169"/>
      <c r="C19" s="56" t="s">
        <v>50</v>
      </c>
      <c r="D19" s="57" t="s">
        <v>51</v>
      </c>
      <c r="E19" s="58" t="s">
        <v>52</v>
      </c>
      <c r="F19" s="79"/>
      <c r="G19" s="79"/>
      <c r="H19" s="79"/>
      <c r="I19" s="79"/>
    </row>
    <row r="20" spans="1:9">
      <c r="A20" s="170"/>
      <c r="B20" s="171"/>
      <c r="C20" s="75" t="s">
        <v>53</v>
      </c>
      <c r="D20" s="75" t="s">
        <v>53</v>
      </c>
      <c r="E20" s="75" t="s">
        <v>54</v>
      </c>
      <c r="F20" s="79"/>
      <c r="G20" s="79"/>
      <c r="H20" s="79"/>
      <c r="I20" s="79"/>
    </row>
    <row r="21" spans="1:9">
      <c r="A21" s="166" t="s">
        <v>101</v>
      </c>
      <c r="B21" s="167"/>
      <c r="C21" s="59">
        <v>210</v>
      </c>
      <c r="D21" s="68">
        <v>5.6</v>
      </c>
      <c r="E21" s="60">
        <f>D21*C21</f>
        <v>1176</v>
      </c>
      <c r="F21" s="186"/>
      <c r="G21" s="187"/>
      <c r="H21" s="79"/>
      <c r="I21" s="79"/>
    </row>
    <row r="22" spans="1:9">
      <c r="A22" s="166" t="s">
        <v>102</v>
      </c>
      <c r="B22" s="172"/>
      <c r="C22" s="59">
        <f>60+60</f>
        <v>120</v>
      </c>
      <c r="D22" s="68">
        <v>5.0999999999999996</v>
      </c>
      <c r="E22" s="60">
        <f>D22*C22</f>
        <v>612</v>
      </c>
      <c r="F22" s="186"/>
      <c r="G22" s="187"/>
      <c r="H22" s="79"/>
      <c r="I22" s="79"/>
    </row>
    <row r="23" spans="1:9">
      <c r="A23" s="166" t="s">
        <v>103</v>
      </c>
      <c r="B23" s="167"/>
      <c r="C23" s="59">
        <v>46</v>
      </c>
      <c r="D23" s="68">
        <v>5.0999999999999996</v>
      </c>
      <c r="E23" s="60">
        <f>D23*C23</f>
        <v>234.6</v>
      </c>
      <c r="F23" s="186"/>
      <c r="G23" s="187"/>
      <c r="H23" s="79"/>
      <c r="I23" s="79"/>
    </row>
    <row r="24" spans="1:9">
      <c r="C24" s="59">
        <f>SUM(C21:C23)</f>
        <v>376</v>
      </c>
      <c r="D24" s="63" t="s">
        <v>18</v>
      </c>
      <c r="E24" s="64">
        <f>C24/20</f>
        <v>18.8</v>
      </c>
      <c r="F24" s="79"/>
      <c r="G24" s="79"/>
      <c r="H24" s="79"/>
      <c r="I24" s="79"/>
    </row>
    <row r="25" spans="1:9">
      <c r="A25" s="76" t="s">
        <v>46</v>
      </c>
      <c r="B25" s="76" t="str">
        <f>'Planilha Orcamentária'!A14</f>
        <v>1.4</v>
      </c>
      <c r="C25" s="55"/>
      <c r="D25" s="55"/>
      <c r="E25" s="54"/>
      <c r="F25" s="15"/>
      <c r="G25" s="15"/>
      <c r="H25" s="15"/>
    </row>
    <row r="26" spans="1:9" ht="22.5" customHeight="1">
      <c r="A26" s="179" t="str">
        <f>'Planilha Orcamentária'!D14</f>
        <v xml:space="preserve">MOBILIZAÇÃO E DESMOBILIZAÇÃO DE OBRA EM CENTRO URBANO OU REGIÃO LIMÍTROFE COM VALOR ATÉ O VALOR DE 1.000.000,00 </v>
      </c>
      <c r="B26" s="179"/>
      <c r="C26" s="179"/>
      <c r="D26" s="179"/>
      <c r="E26" s="179"/>
      <c r="F26" s="179"/>
      <c r="G26" s="179"/>
      <c r="H26" s="179"/>
      <c r="I26" s="179"/>
    </row>
    <row r="27" spans="1:9">
      <c r="A27" s="170" t="s">
        <v>47</v>
      </c>
      <c r="B27" s="171"/>
      <c r="C27" s="75">
        <f>'Planilha Orcamentária'!F14</f>
        <v>0.5</v>
      </c>
      <c r="D27" s="78" t="str">
        <f>'Planilha Orcamentária'!E14</f>
        <v>%</v>
      </c>
      <c r="E27" s="15"/>
      <c r="F27" s="15"/>
      <c r="G27" s="15"/>
      <c r="H27" s="15"/>
    </row>
    <row r="28" spans="1:9">
      <c r="A28" s="55"/>
      <c r="B28" s="55"/>
      <c r="C28" s="55"/>
      <c r="D28" s="54"/>
      <c r="E28" s="15"/>
      <c r="F28" s="15"/>
      <c r="G28" s="15"/>
      <c r="H28" s="15"/>
    </row>
    <row r="29" spans="1:9">
      <c r="A29" s="76" t="s">
        <v>46</v>
      </c>
      <c r="B29" s="76" t="str">
        <f>'Planilha Orcamentária'!A17</f>
        <v>2.1</v>
      </c>
      <c r="C29" s="55"/>
      <c r="D29" s="55"/>
      <c r="E29" s="54"/>
      <c r="F29" s="15"/>
      <c r="G29" s="15"/>
      <c r="H29" s="15"/>
    </row>
    <row r="30" spans="1:9" ht="35.25" customHeight="1">
      <c r="A30" s="179" t="str">
        <f>'Planilha Orcamentária'!D17</f>
        <v xml:space="preserve">REGULARIZAÇÃO DO SUBLEITO - 100% PROCTOR INTERMEDIÁRIO </v>
      </c>
      <c r="B30" s="179"/>
      <c r="C30" s="179"/>
      <c r="D30" s="179"/>
      <c r="E30" s="179"/>
      <c r="F30" s="179"/>
      <c r="G30" s="179"/>
      <c r="H30" s="179"/>
      <c r="I30" s="179"/>
    </row>
    <row r="31" spans="1:9">
      <c r="A31" s="168" t="s">
        <v>49</v>
      </c>
      <c r="B31" s="169"/>
      <c r="C31" s="56" t="s">
        <v>50</v>
      </c>
      <c r="D31" s="57" t="s">
        <v>51</v>
      </c>
      <c r="E31" s="58" t="s">
        <v>52</v>
      </c>
      <c r="F31" s="79"/>
      <c r="G31" s="79"/>
      <c r="H31" s="79"/>
      <c r="I31" s="79"/>
    </row>
    <row r="32" spans="1:9">
      <c r="A32" s="170"/>
      <c r="B32" s="171"/>
      <c r="C32" s="75" t="s">
        <v>53</v>
      </c>
      <c r="D32" s="75" t="s">
        <v>53</v>
      </c>
      <c r="E32" s="75" t="s">
        <v>54</v>
      </c>
      <c r="F32" s="79"/>
      <c r="G32" s="79"/>
      <c r="H32" s="79"/>
      <c r="I32" s="79"/>
    </row>
    <row r="33" spans="1:9">
      <c r="A33" s="166" t="s">
        <v>101</v>
      </c>
      <c r="B33" s="167"/>
      <c r="C33" s="59">
        <v>210</v>
      </c>
      <c r="D33" s="68">
        <v>5.6</v>
      </c>
      <c r="E33" s="60">
        <f>D33*C33</f>
        <v>1176</v>
      </c>
      <c r="F33" s="186"/>
      <c r="G33" s="187"/>
      <c r="H33" s="79"/>
      <c r="I33" s="79"/>
    </row>
    <row r="34" spans="1:9">
      <c r="A34" s="166" t="s">
        <v>102</v>
      </c>
      <c r="B34" s="172"/>
      <c r="C34" s="59">
        <f>60+60</f>
        <v>120</v>
      </c>
      <c r="D34" s="68">
        <v>5.0999999999999996</v>
      </c>
      <c r="E34" s="60">
        <f>D34*C34</f>
        <v>612</v>
      </c>
      <c r="F34" s="186"/>
      <c r="G34" s="187"/>
      <c r="H34" s="79"/>
      <c r="I34" s="79"/>
    </row>
    <row r="35" spans="1:9">
      <c r="A35" s="166" t="s">
        <v>103</v>
      </c>
      <c r="B35" s="167"/>
      <c r="C35" s="59">
        <v>46</v>
      </c>
      <c r="D35" s="68">
        <v>5.0999999999999996</v>
      </c>
      <c r="E35" s="60">
        <f>D35*C35</f>
        <v>234.6</v>
      </c>
      <c r="F35" s="186"/>
      <c r="G35" s="187"/>
      <c r="H35" s="79"/>
      <c r="I35" s="79"/>
    </row>
    <row r="36" spans="1:9">
      <c r="C36" s="62"/>
      <c r="D36" s="63" t="s">
        <v>18</v>
      </c>
      <c r="E36" s="64">
        <f>SUM(E33:E35)</f>
        <v>2022.6</v>
      </c>
      <c r="F36" s="79"/>
      <c r="G36" s="79"/>
      <c r="H36" s="79"/>
      <c r="I36" s="79"/>
    </row>
    <row r="37" spans="1:9">
      <c r="A37" s="55"/>
      <c r="B37" s="65"/>
      <c r="C37" s="15"/>
      <c r="D37" s="15"/>
      <c r="E37" s="15"/>
      <c r="F37" s="15"/>
      <c r="G37" s="15"/>
      <c r="H37" s="15"/>
    </row>
    <row r="38" spans="1:9">
      <c r="A38" s="76" t="s">
        <v>46</v>
      </c>
      <c r="B38" s="76" t="str">
        <f>'Planilha Orcamentária'!A18</f>
        <v>2.2</v>
      </c>
      <c r="C38" s="66" t="s">
        <v>65</v>
      </c>
      <c r="D38" s="55"/>
      <c r="E38" s="54"/>
      <c r="F38" s="15"/>
      <c r="G38" s="15"/>
      <c r="H38" s="15"/>
    </row>
    <row r="39" spans="1:9" s="102" customFormat="1" ht="27.75" customHeight="1">
      <c r="A39" s="191" t="str">
        <f>'Planilha Orcamentária'!D18</f>
        <v>BASE DE SOLO ESTABILIZADO GRANULOMETRICAMENTE SEM MISTURA COM MATERIAL DE JAZIDA - 100% PROCTOR MODIFICADO</v>
      </c>
      <c r="B39" s="192"/>
      <c r="C39" s="192"/>
      <c r="D39" s="192"/>
      <c r="E39" s="192"/>
      <c r="F39" s="192"/>
      <c r="G39" s="192"/>
      <c r="H39" s="192"/>
      <c r="I39" s="15"/>
    </row>
    <row r="40" spans="1:9">
      <c r="A40" s="168" t="s">
        <v>49</v>
      </c>
      <c r="B40" s="169"/>
      <c r="C40" s="58" t="s">
        <v>52</v>
      </c>
      <c r="D40" s="56" t="s">
        <v>58</v>
      </c>
      <c r="E40" s="78" t="s">
        <v>55</v>
      </c>
      <c r="F40" s="54"/>
      <c r="G40" s="54"/>
      <c r="H40" s="15"/>
    </row>
    <row r="41" spans="1:9">
      <c r="A41" s="170"/>
      <c r="B41" s="171"/>
      <c r="C41" s="75" t="s">
        <v>54</v>
      </c>
      <c r="D41" s="75" t="s">
        <v>53</v>
      </c>
      <c r="E41" s="75" t="s">
        <v>57</v>
      </c>
      <c r="F41" s="54"/>
      <c r="G41" s="54"/>
      <c r="H41" s="15"/>
    </row>
    <row r="42" spans="1:9">
      <c r="A42" s="166" t="s">
        <v>104</v>
      </c>
      <c r="B42" s="167"/>
      <c r="C42" s="60">
        <f>E33</f>
        <v>1176</v>
      </c>
      <c r="D42" s="59">
        <v>0.15</v>
      </c>
      <c r="E42" s="59">
        <f>ROUND(D42*C42,2)</f>
        <v>176.4</v>
      </c>
      <c r="F42" s="15"/>
      <c r="G42" s="15"/>
      <c r="H42" s="15"/>
    </row>
    <row r="43" spans="1:9">
      <c r="A43" s="166" t="s">
        <v>102</v>
      </c>
      <c r="B43" s="167"/>
      <c r="C43" s="60">
        <f>E34</f>
        <v>612</v>
      </c>
      <c r="D43" s="59">
        <v>0.15</v>
      </c>
      <c r="E43" s="59">
        <f>ROUND(D43*C43,2)</f>
        <v>91.8</v>
      </c>
      <c r="F43" s="15"/>
      <c r="G43" s="15"/>
      <c r="H43" s="15"/>
    </row>
    <row r="44" spans="1:9">
      <c r="A44" s="166" t="s">
        <v>105</v>
      </c>
      <c r="B44" s="167"/>
      <c r="C44" s="60">
        <f>E35</f>
        <v>234.6</v>
      </c>
      <c r="D44" s="59">
        <v>0.15</v>
      </c>
      <c r="E44" s="59">
        <f>ROUND(D44*C44,2)</f>
        <v>35.19</v>
      </c>
      <c r="F44" s="15"/>
      <c r="G44" s="15"/>
      <c r="H44" s="15"/>
    </row>
    <row r="45" spans="1:9">
      <c r="A45" s="65"/>
      <c r="B45" s="65"/>
      <c r="C45" s="17"/>
      <c r="D45" s="63" t="s">
        <v>18</v>
      </c>
      <c r="E45" s="64">
        <f>SUM(E42:E44)</f>
        <v>303.39</v>
      </c>
      <c r="F45" s="15"/>
      <c r="G45" s="15"/>
      <c r="H45" s="15"/>
    </row>
    <row r="46" spans="1:9">
      <c r="A46" s="55"/>
      <c r="B46" s="65"/>
      <c r="C46" s="15"/>
      <c r="D46" s="15"/>
      <c r="E46" s="15"/>
      <c r="F46" s="15"/>
      <c r="G46" s="15"/>
      <c r="H46" s="15"/>
    </row>
    <row r="47" spans="1:9">
      <c r="A47" s="76" t="s">
        <v>46</v>
      </c>
      <c r="B47" s="76" t="str">
        <f>'Planilha Orcamentária'!A19</f>
        <v>2.3</v>
      </c>
      <c r="C47" s="15"/>
      <c r="D47" s="15"/>
      <c r="E47" s="15"/>
      <c r="F47" s="15"/>
      <c r="G47" s="15"/>
      <c r="H47" s="15"/>
    </row>
    <row r="48" spans="1:9" ht="31.5" customHeight="1">
      <c r="A48" s="179" t="str">
        <f>'Planilha Orcamentária'!D19</f>
        <v>AQUISIÇÃO DE MATERIAL DE JAZIDA PARA BASE - CASCALHO</v>
      </c>
      <c r="B48" s="179"/>
      <c r="C48" s="179"/>
      <c r="D48" s="179"/>
      <c r="E48" s="179"/>
      <c r="F48" s="179"/>
      <c r="G48" s="179"/>
      <c r="H48" s="179"/>
      <c r="I48" s="179"/>
    </row>
    <row r="49" spans="1:9">
      <c r="A49" s="79"/>
      <c r="B49" s="58" t="s">
        <v>55</v>
      </c>
      <c r="C49" s="58" t="s">
        <v>56</v>
      </c>
      <c r="D49" s="58" t="s">
        <v>60</v>
      </c>
      <c r="H49" s="79"/>
      <c r="I49" s="79"/>
    </row>
    <row r="50" spans="1:9">
      <c r="A50" s="79"/>
      <c r="B50" s="75" t="s">
        <v>57</v>
      </c>
      <c r="C50" s="75" t="s">
        <v>59</v>
      </c>
      <c r="D50" s="75" t="s">
        <v>61</v>
      </c>
      <c r="H50" s="79"/>
      <c r="I50" s="79"/>
    </row>
    <row r="51" spans="1:9">
      <c r="A51" s="79"/>
      <c r="B51" s="59">
        <f>E45</f>
        <v>303.39</v>
      </c>
      <c r="C51" s="59">
        <v>2</v>
      </c>
      <c r="D51" s="59">
        <f>ROUND(C51*B51,2)</f>
        <v>606.78</v>
      </c>
      <c r="H51" s="79"/>
    </row>
    <row r="52" spans="1:9">
      <c r="A52" s="79"/>
      <c r="B52" s="67"/>
      <c r="C52" s="67"/>
      <c r="D52" s="67"/>
      <c r="H52" s="79"/>
    </row>
    <row r="53" spans="1:9">
      <c r="A53" s="76" t="s">
        <v>46</v>
      </c>
      <c r="B53" s="76" t="str">
        <f>'Planilha Orcamentária'!A20</f>
        <v>2.4</v>
      </c>
      <c r="C53" s="15"/>
      <c r="D53" s="15"/>
      <c r="E53" s="15"/>
      <c r="F53" s="15"/>
      <c r="G53" s="15"/>
      <c r="H53" s="15"/>
    </row>
    <row r="54" spans="1:9" ht="45" customHeight="1">
      <c r="A54" s="179" t="str">
        <f>'Planilha Orcamentária'!D20</f>
        <v>TRANSPORTE COM CAMINHÃO BASCULANTE DE 14 M³ - RODOVIA PAVIMENTADA</v>
      </c>
      <c r="B54" s="179"/>
      <c r="C54" s="179"/>
      <c r="D54" s="179"/>
      <c r="E54" s="179"/>
      <c r="F54" s="179"/>
      <c r="G54" s="179"/>
      <c r="H54" s="179"/>
      <c r="I54" s="179"/>
    </row>
    <row r="55" spans="1:9" ht="15.75" customHeight="1">
      <c r="A55" s="168" t="s">
        <v>49</v>
      </c>
      <c r="B55" s="169"/>
      <c r="C55" s="58" t="s">
        <v>52</v>
      </c>
      <c r="D55" s="56" t="s">
        <v>58</v>
      </c>
      <c r="E55" s="58" t="s">
        <v>55</v>
      </c>
      <c r="F55" s="58" t="s">
        <v>86</v>
      </c>
      <c r="G55" s="64" t="s">
        <v>109</v>
      </c>
      <c r="H55" s="64" t="s">
        <v>110</v>
      </c>
      <c r="I55" s="79"/>
    </row>
    <row r="56" spans="1:9" ht="15" customHeight="1">
      <c r="A56" s="170"/>
      <c r="B56" s="171"/>
      <c r="C56" s="75" t="s">
        <v>54</v>
      </c>
      <c r="D56" s="75" t="s">
        <v>53</v>
      </c>
      <c r="E56" s="75" t="s">
        <v>87</v>
      </c>
      <c r="F56" s="75" t="s">
        <v>88</v>
      </c>
      <c r="G56" s="64" t="s">
        <v>64</v>
      </c>
      <c r="H56" s="64" t="s">
        <v>93</v>
      </c>
      <c r="I56" s="79"/>
    </row>
    <row r="57" spans="1:9" ht="13.5" customHeight="1">
      <c r="A57" s="166" t="s">
        <v>104</v>
      </c>
      <c r="B57" s="172"/>
      <c r="C57" s="60">
        <f>C42</f>
        <v>1176</v>
      </c>
      <c r="D57" s="59">
        <v>0.15</v>
      </c>
      <c r="E57" s="59">
        <f>ROUND(D57*C57,2)</f>
        <v>176.4</v>
      </c>
      <c r="F57" s="59">
        <v>1.8</v>
      </c>
      <c r="G57" s="60">
        <v>17.2</v>
      </c>
      <c r="H57" s="60">
        <f>E57*F57*G57</f>
        <v>5461.3440000000001</v>
      </c>
      <c r="I57" s="79"/>
    </row>
    <row r="58" spans="1:9">
      <c r="A58" s="166" t="s">
        <v>102</v>
      </c>
      <c r="B58" s="172"/>
      <c r="C58" s="60">
        <f>C43</f>
        <v>612</v>
      </c>
      <c r="D58" s="59">
        <v>0.15</v>
      </c>
      <c r="E58" s="59">
        <f>ROUND(D58*C58,2)</f>
        <v>91.8</v>
      </c>
      <c r="F58" s="59">
        <v>1.8</v>
      </c>
      <c r="G58" s="60">
        <v>17</v>
      </c>
      <c r="H58" s="60">
        <f t="shared" ref="H58:H59" si="0">E58*F58*G58</f>
        <v>2809.08</v>
      </c>
      <c r="I58" s="79"/>
    </row>
    <row r="59" spans="1:9">
      <c r="A59" s="166" t="s">
        <v>105</v>
      </c>
      <c r="B59" s="172"/>
      <c r="C59" s="60">
        <f>C44</f>
        <v>234.6</v>
      </c>
      <c r="D59" s="59">
        <v>0.15</v>
      </c>
      <c r="E59" s="59">
        <f>ROUND(D59*C59,2)</f>
        <v>35.19</v>
      </c>
      <c r="F59" s="59">
        <v>1.8</v>
      </c>
      <c r="G59" s="60">
        <v>17.100000000000001</v>
      </c>
      <c r="H59" s="60">
        <f t="shared" si="0"/>
        <v>1083.1482000000001</v>
      </c>
      <c r="I59" s="79"/>
    </row>
    <row r="60" spans="1:9">
      <c r="A60" s="65"/>
      <c r="B60" s="65"/>
      <c r="C60" s="17"/>
      <c r="D60" s="63" t="s">
        <v>18</v>
      </c>
      <c r="E60" s="60">
        <f>SUM(E57:E59)</f>
        <v>303.39</v>
      </c>
      <c r="F60" s="64"/>
      <c r="G60" s="60"/>
      <c r="H60" s="64">
        <f>SUM(H57:H59)</f>
        <v>9353.5721999999987</v>
      </c>
    </row>
    <row r="61" spans="1:9">
      <c r="A61" s="76" t="s">
        <v>46</v>
      </c>
      <c r="B61" s="76" t="str">
        <f>'Planilha Orcamentária'!A22</f>
        <v>3.1</v>
      </c>
      <c r="C61" s="17"/>
      <c r="D61" s="55"/>
      <c r="E61" s="54"/>
      <c r="F61" s="54"/>
      <c r="G61" s="54"/>
      <c r="H61" s="54"/>
    </row>
    <row r="62" spans="1:9" ht="25.5" customHeight="1">
      <c r="A62" s="180" t="str">
        <f>'Planilha Orcamentária'!D22</f>
        <v>EXECUÇÃO DE PAVIMENTO COM PISO INTERTRAVADO, TIPO SEXTAVADO, ESP. 8CM, COM FCK DE 35MPA, INCLUSIVE COLCHÃO DE AREIA, ESP. 6CM, PARA ASSENTAMENTO, COMPACTAÇÃO MECANIZADA, CARGA E DESCARGA MECÂNICA EM CAMINHÃO, EXCLUSIVE TRANSPORTE DE PISO INTERTRAVADO</v>
      </c>
      <c r="B62" s="181"/>
      <c r="C62" s="181"/>
      <c r="D62" s="181"/>
      <c r="E62" s="181"/>
      <c r="F62" s="181"/>
      <c r="G62" s="181"/>
      <c r="H62" s="181"/>
      <c r="I62" s="182"/>
    </row>
    <row r="63" spans="1:9">
      <c r="A63" s="168" t="s">
        <v>49</v>
      </c>
      <c r="B63" s="169"/>
      <c r="C63" s="56" t="s">
        <v>50</v>
      </c>
      <c r="D63" s="57" t="s">
        <v>51</v>
      </c>
      <c r="E63" s="58" t="s">
        <v>52</v>
      </c>
      <c r="F63" s="79"/>
    </row>
    <row r="64" spans="1:9">
      <c r="A64" s="170"/>
      <c r="B64" s="171"/>
      <c r="C64" s="75" t="s">
        <v>53</v>
      </c>
      <c r="D64" s="75" t="s">
        <v>53</v>
      </c>
      <c r="E64" s="75" t="s">
        <v>54</v>
      </c>
      <c r="F64" s="79"/>
    </row>
    <row r="65" spans="1:9">
      <c r="A65" s="166" t="s">
        <v>104</v>
      </c>
      <c r="B65" s="167"/>
      <c r="C65" s="59">
        <f>C33</f>
        <v>210</v>
      </c>
      <c r="D65" s="68">
        <v>4.7</v>
      </c>
      <c r="E65" s="61">
        <f>D65*C65</f>
        <v>987</v>
      </c>
      <c r="F65" s="79"/>
    </row>
    <row r="66" spans="1:9">
      <c r="A66" s="166" t="s">
        <v>102</v>
      </c>
      <c r="B66" s="167"/>
      <c r="C66" s="59">
        <f t="shared" ref="C66:C67" si="1">C34</f>
        <v>120</v>
      </c>
      <c r="D66" s="68">
        <v>4.2</v>
      </c>
      <c r="E66" s="61">
        <f>D66*C66</f>
        <v>504</v>
      </c>
      <c r="F66" s="79"/>
    </row>
    <row r="67" spans="1:9">
      <c r="A67" s="166" t="s">
        <v>105</v>
      </c>
      <c r="B67" s="167"/>
      <c r="C67" s="59">
        <f t="shared" si="1"/>
        <v>46</v>
      </c>
      <c r="D67" s="68">
        <v>4.2</v>
      </c>
      <c r="E67" s="61">
        <f>D67*C67</f>
        <v>193.20000000000002</v>
      </c>
      <c r="F67" s="79"/>
    </row>
    <row r="68" spans="1:9">
      <c r="C68" s="62"/>
      <c r="D68" s="63"/>
      <c r="E68" s="64">
        <f>SUM(E65:E67)</f>
        <v>1684.2</v>
      </c>
    </row>
    <row r="69" spans="1:9">
      <c r="A69" s="76" t="s">
        <v>46</v>
      </c>
      <c r="B69" s="76" t="str">
        <f>'Planilha Orcamentária'!A23</f>
        <v>3.2</v>
      </c>
      <c r="C69" s="17"/>
      <c r="D69" s="55"/>
      <c r="E69" s="54"/>
      <c r="F69" s="54"/>
      <c r="G69" s="54"/>
      <c r="H69" s="54"/>
    </row>
    <row r="70" spans="1:9" ht="22.5" customHeight="1">
      <c r="A70" s="179" t="str">
        <f>'Planilha Orcamentária'!D23</f>
        <v>TRANSPORTE EM CAMINHÃO BASCULANTE COM CAPACIDADE DE 14 M3 – RODOVIA PAVIMENTADA</v>
      </c>
      <c r="B70" s="179"/>
      <c r="C70" s="179"/>
      <c r="D70" s="179"/>
      <c r="E70" s="179"/>
      <c r="F70" s="179"/>
      <c r="G70" s="179"/>
      <c r="H70" s="179"/>
      <c r="I70" s="179"/>
    </row>
    <row r="71" spans="1:9">
      <c r="A71" s="168" t="s">
        <v>49</v>
      </c>
      <c r="B71" s="169"/>
      <c r="C71" s="56" t="s">
        <v>50</v>
      </c>
      <c r="D71" s="58" t="s">
        <v>86</v>
      </c>
      <c r="E71" s="58" t="s">
        <v>56</v>
      </c>
      <c r="F71" s="58" t="s">
        <v>60</v>
      </c>
      <c r="G71" s="79"/>
      <c r="H71" s="79"/>
    </row>
    <row r="72" spans="1:9">
      <c r="A72" s="170"/>
      <c r="B72" s="171"/>
      <c r="C72" s="75" t="s">
        <v>53</v>
      </c>
      <c r="D72" s="75" t="s">
        <v>88</v>
      </c>
      <c r="E72" s="75" t="s">
        <v>64</v>
      </c>
      <c r="F72" s="75" t="s">
        <v>85</v>
      </c>
      <c r="G72" s="15"/>
      <c r="H72" s="15"/>
    </row>
    <row r="73" spans="1:9">
      <c r="A73" s="166" t="s">
        <v>104</v>
      </c>
      <c r="B73" s="167"/>
      <c r="C73" s="59">
        <f>E65</f>
        <v>987</v>
      </c>
      <c r="D73" s="68">
        <v>0.18</v>
      </c>
      <c r="E73" s="61">
        <v>77.599999999999994</v>
      </c>
      <c r="F73" s="59">
        <f>C73*D73*E73</f>
        <v>13786.415999999999</v>
      </c>
      <c r="G73" s="67"/>
      <c r="H73" s="67"/>
      <c r="I73" s="67"/>
    </row>
    <row r="74" spans="1:9">
      <c r="A74" s="166" t="s">
        <v>102</v>
      </c>
      <c r="B74" s="167"/>
      <c r="C74" s="59">
        <f t="shared" ref="C74:C75" si="2">E66</f>
        <v>504</v>
      </c>
      <c r="D74" s="68">
        <v>0.18</v>
      </c>
      <c r="E74" s="61">
        <v>77.5</v>
      </c>
      <c r="F74" s="59">
        <f>C74*D74*E74</f>
        <v>7030.8</v>
      </c>
      <c r="G74" s="67"/>
      <c r="H74" s="67"/>
      <c r="I74" s="67"/>
    </row>
    <row r="75" spans="1:9">
      <c r="A75" s="166" t="s">
        <v>105</v>
      </c>
      <c r="B75" s="167"/>
      <c r="C75" s="59">
        <f t="shared" si="2"/>
        <v>193.20000000000002</v>
      </c>
      <c r="D75" s="68">
        <v>0.18</v>
      </c>
      <c r="E75" s="61">
        <v>77.5</v>
      </c>
      <c r="F75" s="59">
        <f>C75*D75*E75</f>
        <v>2695.1400000000003</v>
      </c>
      <c r="G75" s="67"/>
      <c r="H75" s="67"/>
      <c r="I75" s="67"/>
    </row>
    <row r="76" spans="1:9">
      <c r="C76" s="62"/>
      <c r="E76" s="63" t="s">
        <v>18</v>
      </c>
      <c r="F76" s="64">
        <f>SUM(F73:F75)</f>
        <v>23512.356</v>
      </c>
      <c r="G76" s="79"/>
      <c r="H76" s="79"/>
      <c r="I76" s="79"/>
    </row>
    <row r="77" spans="1:9">
      <c r="A77" s="55"/>
      <c r="B77" s="65"/>
      <c r="C77" s="15"/>
      <c r="D77" s="15"/>
      <c r="E77" s="15"/>
      <c r="F77" s="15"/>
      <c r="G77" s="15"/>
      <c r="H77" s="15"/>
    </row>
    <row r="78" spans="1:9">
      <c r="A78" s="55"/>
      <c r="B78" s="65"/>
      <c r="C78" s="15"/>
      <c r="D78" s="15"/>
      <c r="E78" s="15"/>
      <c r="F78" s="15"/>
      <c r="G78" s="15"/>
      <c r="H78" s="15"/>
    </row>
    <row r="79" spans="1:9">
      <c r="A79" s="55"/>
      <c r="B79" s="65"/>
      <c r="C79" s="15"/>
      <c r="D79" s="15"/>
      <c r="E79" s="15"/>
      <c r="F79" s="15"/>
      <c r="G79" s="15"/>
      <c r="H79" s="15"/>
    </row>
    <row r="80" spans="1:9">
      <c r="A80" s="76" t="s">
        <v>46</v>
      </c>
      <c r="B80" s="69" t="str">
        <f>'Planilha Orcamentária'!A25</f>
        <v>4.1</v>
      </c>
      <c r="C80" s="70"/>
      <c r="D80" s="54"/>
      <c r="E80" s="54"/>
      <c r="F80" s="79"/>
      <c r="G80" s="15"/>
      <c r="H80" s="15"/>
    </row>
    <row r="81" spans="1:9" ht="27" customHeight="1">
      <c r="A81" s="179" t="str">
        <f>'Planilha Orcamentária'!D25</f>
        <v>GUIA (MEIO-FIO) E SARJETA CONJUGADOS DE CONCRETO, MOLDADA IN LOCO COM EXTRUSORA, 45 CM BASE (15 CM BASE DA GUIA + 30 CM BASE DA SARJETA) X 22 CM ALTURA. AF_06/2016</v>
      </c>
      <c r="B81" s="179"/>
      <c r="C81" s="179"/>
      <c r="D81" s="179"/>
      <c r="E81" s="179"/>
      <c r="F81" s="179"/>
      <c r="G81" s="179"/>
      <c r="H81" s="179"/>
      <c r="I81" s="179"/>
    </row>
    <row r="82" spans="1:9" ht="25.5" customHeight="1">
      <c r="A82" s="178" t="s">
        <v>49</v>
      </c>
      <c r="B82" s="178"/>
      <c r="C82" s="178" t="s">
        <v>62</v>
      </c>
      <c r="D82" s="178"/>
      <c r="E82" s="178"/>
      <c r="F82" s="178"/>
      <c r="G82" s="178"/>
      <c r="H82" s="77" t="s">
        <v>18</v>
      </c>
      <c r="I82" s="14"/>
    </row>
    <row r="83" spans="1:9" ht="36.75" customHeight="1">
      <c r="A83" s="173" t="str">
        <f>A33</f>
        <v xml:space="preserve">Rua Góias </v>
      </c>
      <c r="B83" s="174"/>
      <c r="C83" s="175" t="s">
        <v>126</v>
      </c>
      <c r="D83" s="175"/>
      <c r="E83" s="175"/>
      <c r="F83" s="175"/>
      <c r="G83" s="175"/>
      <c r="H83" s="71">
        <f>210*2</f>
        <v>420</v>
      </c>
      <c r="I83" s="14"/>
    </row>
    <row r="84" spans="1:9" ht="36" customHeight="1">
      <c r="A84" s="173" t="str">
        <f>A34</f>
        <v>Rua Maranhão</v>
      </c>
      <c r="B84" s="174"/>
      <c r="C84" s="175" t="s">
        <v>128</v>
      </c>
      <c r="D84" s="175"/>
      <c r="E84" s="175"/>
      <c r="F84" s="175"/>
      <c r="G84" s="175"/>
      <c r="H84" s="72">
        <f>2*120</f>
        <v>240</v>
      </c>
      <c r="I84" s="67"/>
    </row>
    <row r="85" spans="1:9" ht="43.5" customHeight="1">
      <c r="A85" s="173" t="str">
        <f>A35</f>
        <v>Rua Praça dos Esportes</v>
      </c>
      <c r="B85" s="174"/>
      <c r="C85" s="175" t="s">
        <v>114</v>
      </c>
      <c r="D85" s="176"/>
      <c r="E85" s="176"/>
      <c r="F85" s="176"/>
      <c r="G85" s="176"/>
      <c r="H85" s="71">
        <f>46*2</f>
        <v>92</v>
      </c>
      <c r="I85" s="79"/>
    </row>
    <row r="86" spans="1:9">
      <c r="A86" s="14"/>
      <c r="B86" s="14"/>
      <c r="C86" s="14"/>
      <c r="D86" s="14"/>
      <c r="E86" s="14"/>
      <c r="F86" s="14"/>
      <c r="G86" s="82" t="s">
        <v>63</v>
      </c>
      <c r="H86" s="82">
        <f>SUM(H83:H85)</f>
        <v>752</v>
      </c>
      <c r="I86" s="79"/>
    </row>
    <row r="87" spans="1:9" ht="15.75" customHeight="1">
      <c r="A87" s="62"/>
      <c r="B87" s="62"/>
      <c r="C87" s="15"/>
      <c r="D87" s="15"/>
      <c r="E87" s="55"/>
      <c r="F87" s="65"/>
      <c r="G87" s="79"/>
      <c r="H87" s="79"/>
      <c r="I87" s="79"/>
    </row>
    <row r="88" spans="1:9" hidden="1">
      <c r="A88" s="70"/>
      <c r="B88" s="70"/>
      <c r="C88" s="70"/>
      <c r="D88" s="54"/>
      <c r="E88" s="54"/>
      <c r="F88" s="79"/>
      <c r="G88" s="15"/>
      <c r="H88" s="15"/>
      <c r="I88" s="14"/>
    </row>
    <row r="89" spans="1:9">
      <c r="A89" s="76" t="s">
        <v>46</v>
      </c>
      <c r="B89" s="69" t="str">
        <f>'Planilha Orcamentária'!A26</f>
        <v>4.2</v>
      </c>
      <c r="C89" s="70"/>
      <c r="D89" s="54"/>
      <c r="E89" s="54"/>
      <c r="F89" s="79"/>
      <c r="G89" s="15"/>
      <c r="H89" s="15"/>
      <c r="I89" s="14"/>
    </row>
    <row r="90" spans="1:9" ht="44.25" customHeight="1">
      <c r="A90" s="179" t="str">
        <f>'Planilha Orcamentária'!D26</f>
        <v>GUIA DE CORDÃO BOLEADO, EM CONCRETO COM FCK 20MPA, PRÉ-MOLDADA, 10X10CM (ALTURA X LARGURA), INCLUSIVE UMA (
1) FIADA DE BLOCO DE CONCRETO, ESP. 9CM, ESCAVAÇÃO, APILOAMENTO E TRANSPORTE COM RETIRADA DO MATERIAL
ESCAVADO (EM CAÇAMBA)</v>
      </c>
      <c r="B90" s="179"/>
      <c r="C90" s="179"/>
      <c r="D90" s="179"/>
      <c r="E90" s="179"/>
      <c r="F90" s="179"/>
      <c r="G90" s="179"/>
      <c r="H90" s="179"/>
      <c r="I90" s="179"/>
    </row>
    <row r="91" spans="1:9">
      <c r="A91" s="14"/>
      <c r="B91" s="14"/>
      <c r="C91" s="14"/>
      <c r="D91" s="14"/>
      <c r="E91" s="14"/>
      <c r="F91" s="14"/>
      <c r="G91" s="14"/>
      <c r="H91" s="14"/>
      <c r="I91" s="14"/>
    </row>
    <row r="92" spans="1:9">
      <c r="A92" s="178" t="s">
        <v>49</v>
      </c>
      <c r="B92" s="178"/>
      <c r="C92" s="178" t="s">
        <v>62</v>
      </c>
      <c r="D92" s="178"/>
      <c r="E92" s="178"/>
      <c r="F92" s="178"/>
      <c r="G92" s="178"/>
      <c r="H92" s="77" t="s">
        <v>18</v>
      </c>
      <c r="I92" s="14"/>
    </row>
    <row r="93" spans="1:9" ht="30.75" customHeight="1">
      <c r="A93" s="173" t="str">
        <f>A42</f>
        <v>Rua Góias</v>
      </c>
      <c r="B93" s="174"/>
      <c r="C93" s="175" t="s">
        <v>113</v>
      </c>
      <c r="D93" s="175"/>
      <c r="E93" s="175"/>
      <c r="F93" s="175"/>
      <c r="G93" s="175"/>
      <c r="H93" s="71">
        <f>5.6*2</f>
        <v>11.2</v>
      </c>
      <c r="I93" s="14"/>
    </row>
    <row r="94" spans="1:9" ht="23.25" customHeight="1">
      <c r="A94" s="173" t="str">
        <f>A43</f>
        <v>Rua Maranhão</v>
      </c>
      <c r="B94" s="174"/>
      <c r="C94" s="175" t="s">
        <v>129</v>
      </c>
      <c r="D94" s="175"/>
      <c r="E94" s="175"/>
      <c r="F94" s="175"/>
      <c r="G94" s="175"/>
      <c r="H94" s="72">
        <f>5.1*4</f>
        <v>20.399999999999999</v>
      </c>
      <c r="I94" s="14"/>
    </row>
    <row r="95" spans="1:9" ht="24.75" customHeight="1">
      <c r="A95" s="173" t="str">
        <f>A44</f>
        <v xml:space="preserve">Rua Praça dos Esportes </v>
      </c>
      <c r="B95" s="174"/>
      <c r="C95" s="175" t="s">
        <v>130</v>
      </c>
      <c r="D95" s="176"/>
      <c r="E95" s="176"/>
      <c r="F95" s="176"/>
      <c r="G95" s="176"/>
      <c r="H95" s="71">
        <f>5.1*2</f>
        <v>10.199999999999999</v>
      </c>
      <c r="I95" s="14"/>
    </row>
    <row r="96" spans="1:9">
      <c r="G96" s="73" t="s">
        <v>63</v>
      </c>
      <c r="H96" s="73">
        <f>SUM(H93:H95)</f>
        <v>41.8</v>
      </c>
    </row>
    <row r="99" spans="2:13" ht="1.5" customHeight="1">
      <c r="M99" s="74"/>
    </row>
    <row r="100" spans="2:13" ht="10.5" customHeight="1">
      <c r="B100" s="16"/>
      <c r="C100" s="16"/>
      <c r="D100" s="16"/>
      <c r="M100" s="74"/>
    </row>
    <row r="101" spans="2:13">
      <c r="B101" s="2" t="str">
        <f>'Planilha Orcamentária'!D33</f>
        <v xml:space="preserve">ANYK DA SILVA REIS </v>
      </c>
    </row>
    <row r="102" spans="2:13">
      <c r="B102" s="2" t="str">
        <f>'Planilha Orcamentária'!D34</f>
        <v>Engenhera Civil - Responsável Técnico</v>
      </c>
    </row>
    <row r="103" spans="2:13">
      <c r="B103" s="2" t="str">
        <f>'Planilha Orcamentária'!D35</f>
        <v>CREA/MG Nº: MG 378514</v>
      </c>
    </row>
    <row r="106" spans="2:13">
      <c r="B106" s="16"/>
      <c r="C106" s="16"/>
      <c r="D106" s="16"/>
    </row>
    <row r="107" spans="2:13">
      <c r="B107" s="2" t="str">
        <f>'Planilha Orcamentária'!D39</f>
        <v xml:space="preserve">FREDSON LOPES FRANÇA </v>
      </c>
    </row>
    <row r="108" spans="2:13">
      <c r="B108" s="2" t="str">
        <f>'Planilha Orcamentária'!D40</f>
        <v>Prefeito Municipal</v>
      </c>
      <c r="I108" s="142" t="s">
        <v>65</v>
      </c>
    </row>
  </sheetData>
  <mergeCells count="61">
    <mergeCell ref="A10:H10"/>
    <mergeCell ref="A11:B11"/>
    <mergeCell ref="A75:B75"/>
    <mergeCell ref="A48:I48"/>
    <mergeCell ref="A39:H39"/>
    <mergeCell ref="A34:B34"/>
    <mergeCell ref="A35:B35"/>
    <mergeCell ref="A43:B43"/>
    <mergeCell ref="A40:B41"/>
    <mergeCell ref="A65:B65"/>
    <mergeCell ref="A66:B66"/>
    <mergeCell ref="A67:B67"/>
    <mergeCell ref="A58:B58"/>
    <mergeCell ref="A59:B59"/>
    <mergeCell ref="A26:I26"/>
    <mergeCell ref="A42:B42"/>
    <mergeCell ref="A1:I1"/>
    <mergeCell ref="A3:I3"/>
    <mergeCell ref="B7:C7"/>
    <mergeCell ref="A31:B32"/>
    <mergeCell ref="A33:B33"/>
    <mergeCell ref="A14:I14"/>
    <mergeCell ref="A15:B15"/>
    <mergeCell ref="A18:I18"/>
    <mergeCell ref="A27:B27"/>
    <mergeCell ref="A30:I30"/>
    <mergeCell ref="F33:G35"/>
    <mergeCell ref="A19:B20"/>
    <mergeCell ref="A21:B21"/>
    <mergeCell ref="F21:G23"/>
    <mergeCell ref="A22:B22"/>
    <mergeCell ref="A23:B23"/>
    <mergeCell ref="A6:I6"/>
    <mergeCell ref="A93:B93"/>
    <mergeCell ref="C93:G93"/>
    <mergeCell ref="C94:G94"/>
    <mergeCell ref="A94:B94"/>
    <mergeCell ref="C92:G92"/>
    <mergeCell ref="A92:B92"/>
    <mergeCell ref="A54:I54"/>
    <mergeCell ref="A70:I70"/>
    <mergeCell ref="A71:B72"/>
    <mergeCell ref="A73:B73"/>
    <mergeCell ref="A74:B74"/>
    <mergeCell ref="A62:I62"/>
    <mergeCell ref="A63:B64"/>
    <mergeCell ref="A81:I81"/>
    <mergeCell ref="A84:B84"/>
    <mergeCell ref="A44:B44"/>
    <mergeCell ref="A55:B56"/>
    <mergeCell ref="A57:B57"/>
    <mergeCell ref="A95:B95"/>
    <mergeCell ref="C95:G95"/>
    <mergeCell ref="A90:I90"/>
    <mergeCell ref="A83:B83"/>
    <mergeCell ref="A85:B85"/>
    <mergeCell ref="A82:B82"/>
    <mergeCell ref="C82:G82"/>
    <mergeCell ref="C83:G83"/>
    <mergeCell ref="C84:G84"/>
    <mergeCell ref="C85:G85"/>
  </mergeCells>
  <pageMargins left="0.511811024" right="0.511811024" top="0.78740157499999996" bottom="0.78740157499999996" header="0.31496062000000002" footer="0.31496062000000002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8"/>
  <sheetViews>
    <sheetView showGridLines="0" showZeros="0" view="pageBreakPreview" zoomScaleNormal="75" zoomScaleSheetLayoutView="100" workbookViewId="0">
      <selection activeCell="J3" sqref="J3"/>
    </sheetView>
  </sheetViews>
  <sheetFormatPr defaultColWidth="9.140625" defaultRowHeight="12.75"/>
  <cols>
    <col min="1" max="1" width="10.7109375" style="20" customWidth="1"/>
    <col min="2" max="2" width="63.85546875" style="20" customWidth="1"/>
    <col min="3" max="4" width="20.7109375" style="33" customWidth="1"/>
    <col min="5" max="5" width="8.28515625" style="20" customWidth="1"/>
    <col min="6" max="6" width="13" style="20" customWidth="1"/>
    <col min="7" max="8" width="10.7109375" style="20" customWidth="1"/>
    <col min="9" max="9" width="14.140625" style="20" bestFit="1" customWidth="1"/>
    <col min="10" max="16384" width="9.140625" style="20"/>
  </cols>
  <sheetData>
    <row r="1" spans="1:9" s="2" customFormat="1" ht="69.95" customHeight="1">
      <c r="A1" s="203"/>
      <c r="B1" s="204"/>
      <c r="C1" s="18"/>
      <c r="D1" s="18"/>
      <c r="E1" s="18"/>
      <c r="F1" s="18"/>
      <c r="G1" s="18"/>
      <c r="H1" s="19"/>
    </row>
    <row r="2" spans="1:9" ht="30" customHeight="1">
      <c r="A2" s="205" t="s">
        <v>12</v>
      </c>
      <c r="B2" s="205"/>
      <c r="C2" s="205"/>
      <c r="D2" s="205"/>
      <c r="E2" s="205"/>
      <c r="F2" s="205"/>
      <c r="G2" s="205"/>
      <c r="H2" s="205"/>
    </row>
    <row r="3" spans="1:9" ht="30" customHeight="1">
      <c r="A3" s="201" t="str">
        <f>'Planilha Orcamentária'!A3</f>
        <v>PREFEITURA MUNICIPAL DE MONTALVÂNIA-MG</v>
      </c>
      <c r="B3" s="201"/>
      <c r="C3" s="193" t="s">
        <v>21</v>
      </c>
      <c r="D3" s="200">
        <f>D16</f>
        <v>304220.06168479996</v>
      </c>
      <c r="E3" s="104" t="s">
        <v>20</v>
      </c>
      <c r="F3" s="104"/>
      <c r="G3" s="105">
        <f ca="1">TODAY()</f>
        <v>46042</v>
      </c>
      <c r="H3" s="123" t="s">
        <v>78</v>
      </c>
    </row>
    <row r="4" spans="1:9" ht="20.100000000000001" customHeight="1">
      <c r="A4" s="106" t="str">
        <f>'Planilha Orcamentária'!A4</f>
        <v xml:space="preserve">OBRA: CALÇAMENTO EM BLOQUETE SEXTAVADO- DIVERSOS LOGRADOUROS DISTRITO DE POÇÕES </v>
      </c>
      <c r="B4" s="106"/>
      <c r="C4" s="193"/>
      <c r="D4" s="193"/>
      <c r="E4" s="193" t="s">
        <v>42</v>
      </c>
      <c r="F4" s="193"/>
      <c r="G4" s="193"/>
      <c r="H4" s="193"/>
    </row>
    <row r="5" spans="1:9" ht="24" customHeight="1">
      <c r="A5" s="202" t="str">
        <f>'Planilha Orcamentária'!A5</f>
        <v>LOCAL: RUA GÓIAS , RUA MARANHÃO , RUA PRAÇA DOS ESPORTES</v>
      </c>
      <c r="B5" s="202"/>
      <c r="C5" s="193"/>
      <c r="D5" s="193"/>
      <c r="E5" s="193"/>
      <c r="F5" s="193"/>
      <c r="G5" s="193"/>
      <c r="H5" s="193"/>
    </row>
    <row r="6" spans="1:9">
      <c r="A6" s="21" t="s">
        <v>35</v>
      </c>
      <c r="B6" s="21" t="s">
        <v>13</v>
      </c>
      <c r="C6" s="123" t="s">
        <v>14</v>
      </c>
      <c r="D6" s="123" t="s">
        <v>15</v>
      </c>
      <c r="E6" s="197" t="s">
        <v>40</v>
      </c>
      <c r="F6" s="197"/>
      <c r="G6" s="199" t="s">
        <v>41</v>
      </c>
      <c r="H6" s="199"/>
    </row>
    <row r="7" spans="1:9" s="23" customFormat="1" ht="15" customHeight="1">
      <c r="A7" s="193" t="str">
        <f>'Planilha Orcamentária'!A10</f>
        <v>1.0</v>
      </c>
      <c r="B7" s="194" t="str">
        <f>'Planilha Orcamentária'!D10</f>
        <v>SERVIÇOS PRELIMINARES</v>
      </c>
      <c r="C7" s="22" t="s">
        <v>16</v>
      </c>
      <c r="D7" s="125">
        <f>D8/$D$16</f>
        <v>2.2835661022243169E-2</v>
      </c>
      <c r="E7" s="198">
        <f>E8/D8</f>
        <v>0.71806370887228543</v>
      </c>
      <c r="F7" s="198"/>
      <c r="G7" s="198">
        <f>G8/D8</f>
        <v>0.28193728723165196</v>
      </c>
      <c r="H7" s="198"/>
      <c r="I7" s="26"/>
    </row>
    <row r="8" spans="1:9" s="23" customFormat="1" ht="15" customHeight="1">
      <c r="A8" s="193"/>
      <c r="B8" s="194"/>
      <c r="C8" s="24" t="s">
        <v>17</v>
      </c>
      <c r="D8" s="126">
        <f>'Planilha Orcamentária'!I11+'Planilha Orcamentária'!I12+'Planilha Orcamentária'!I13+'Planilha Orcamentária'!I14</f>
        <v>6947.0662047999995</v>
      </c>
      <c r="E8" s="196">
        <f>'Planilha Orcamentária'!H11+'Planilha Orcamentária'!H12+'Planilha Orcamentária'!I13+'Planilha Orcamentária'!J14</f>
        <v>4988.4361247999996</v>
      </c>
      <c r="F8" s="196"/>
      <c r="G8" s="196">
        <f>'Planilha Orcamentária'!H11+'Planilha Orcamentária'!J14</f>
        <v>1958.6369999999997</v>
      </c>
      <c r="H8" s="196"/>
    </row>
    <row r="9" spans="1:9" s="23" customFormat="1" ht="15" customHeight="1">
      <c r="A9" s="193" t="str">
        <f>'Planilha Orcamentária'!A16</f>
        <v>2.0</v>
      </c>
      <c r="B9" s="194" t="str">
        <f>'Planilha Orcamentária'!D16</f>
        <v>TERRAPLENAGEM</v>
      </c>
      <c r="C9" s="22" t="s">
        <v>16</v>
      </c>
      <c r="D9" s="125">
        <f>D10/$D$16</f>
        <v>6.0653495031889063E-2</v>
      </c>
      <c r="E9" s="195">
        <v>0.3</v>
      </c>
      <c r="F9" s="195"/>
      <c r="G9" s="195">
        <v>0.7</v>
      </c>
      <c r="H9" s="195"/>
    </row>
    <row r="10" spans="1:9" s="23" customFormat="1" ht="15" customHeight="1">
      <c r="A10" s="193"/>
      <c r="B10" s="194"/>
      <c r="C10" s="24" t="s">
        <v>17</v>
      </c>
      <c r="D10" s="126">
        <f>'Planilha Orcamentária'!I17+'Planilha Orcamentária'!I18+'Planilha Orcamentária'!I20</f>
        <v>18452.009999999998</v>
      </c>
      <c r="E10" s="196">
        <f>E9*$D$10</f>
        <v>5535.6029999999992</v>
      </c>
      <c r="F10" s="196"/>
      <c r="G10" s="196">
        <f>G9*$D$10</f>
        <v>12916.406999999997</v>
      </c>
      <c r="H10" s="196"/>
      <c r="I10" s="25"/>
    </row>
    <row r="11" spans="1:9" s="23" customFormat="1" ht="15" customHeight="1">
      <c r="A11" s="193" t="str">
        <f>'Planilha Orcamentária'!A21</f>
        <v>3.0</v>
      </c>
      <c r="B11" s="194" t="str">
        <f>'Planilha Orcamentária'!D21</f>
        <v>CALÇAMENTO</v>
      </c>
      <c r="C11" s="22" t="s">
        <v>16</v>
      </c>
      <c r="D11" s="125">
        <f>D12/$D$16</f>
        <v>0.72225495012769669</v>
      </c>
      <c r="E11" s="195">
        <v>0.7</v>
      </c>
      <c r="F11" s="195"/>
      <c r="G11" s="195">
        <v>0.3</v>
      </c>
      <c r="H11" s="195"/>
    </row>
    <row r="12" spans="1:9" s="23" customFormat="1" ht="15" customHeight="1">
      <c r="A12" s="193"/>
      <c r="B12" s="194"/>
      <c r="C12" s="24" t="s">
        <v>17</v>
      </c>
      <c r="D12" s="126">
        <f>'Planilha Orcamentária'!I21</f>
        <v>219724.44547999999</v>
      </c>
      <c r="E12" s="196">
        <f>E11*$D$12</f>
        <v>153807.111836</v>
      </c>
      <c r="F12" s="196"/>
      <c r="G12" s="196">
        <f>G11*D12</f>
        <v>65917.333643999998</v>
      </c>
      <c r="H12" s="196"/>
    </row>
    <row r="13" spans="1:9" s="23" customFormat="1" ht="15" customHeight="1">
      <c r="A13" s="193" t="str">
        <f>'Planilha Orcamentária'!A24</f>
        <v>4.0</v>
      </c>
      <c r="B13" s="194" t="str">
        <f>'Planilha Orcamentária'!D24</f>
        <v>DRENAGEM PLUVIAL</v>
      </c>
      <c r="C13" s="22" t="s">
        <v>16</v>
      </c>
      <c r="D13" s="125">
        <f>D14/$D$16</f>
        <v>0.19425589381817121</v>
      </c>
      <c r="E13" s="195">
        <v>0.5</v>
      </c>
      <c r="F13" s="195"/>
      <c r="G13" s="195">
        <v>0.5</v>
      </c>
      <c r="H13" s="195"/>
    </row>
    <row r="14" spans="1:9" s="23" customFormat="1" ht="15" customHeight="1">
      <c r="A14" s="193"/>
      <c r="B14" s="194"/>
      <c r="C14" s="24" t="s">
        <v>17</v>
      </c>
      <c r="D14" s="126">
        <f>'Planilha Orcamentária'!I24</f>
        <v>59096.539999999994</v>
      </c>
      <c r="E14" s="196">
        <f>E13*$D$14</f>
        <v>29548.269999999997</v>
      </c>
      <c r="F14" s="196"/>
      <c r="G14" s="196">
        <f>G13*$D$14</f>
        <v>29548.269999999997</v>
      </c>
      <c r="H14" s="196"/>
      <c r="I14" s="25"/>
    </row>
    <row r="15" spans="1:9" s="23" customFormat="1" ht="15" customHeight="1">
      <c r="A15" s="193" t="s">
        <v>18</v>
      </c>
      <c r="B15" s="193"/>
      <c r="C15" s="22" t="s">
        <v>16</v>
      </c>
      <c r="D15" s="125">
        <f>D7++D11+D9+D13+0.5%</f>
        <v>1.0050000000000001</v>
      </c>
      <c r="E15" s="195">
        <f>E16/$D$16</f>
        <v>0.63729991995622215</v>
      </c>
      <c r="F15" s="195"/>
      <c r="G15" s="195">
        <f>G16/$D$16</f>
        <v>0.36270010279046971</v>
      </c>
      <c r="H15" s="195"/>
    </row>
    <row r="16" spans="1:9" s="23" customFormat="1" ht="15" customHeight="1">
      <c r="A16" s="193"/>
      <c r="B16" s="193"/>
      <c r="C16" s="22" t="s">
        <v>17</v>
      </c>
      <c r="D16" s="124">
        <f>D8+D10+D12+D14</f>
        <v>304220.06168479996</v>
      </c>
      <c r="E16" s="200">
        <f>E8+E10+E12+E14</f>
        <v>193879.42096079999</v>
      </c>
      <c r="F16" s="200"/>
      <c r="G16" s="200">
        <f>G8+G10+G12+G14</f>
        <v>110340.64764399998</v>
      </c>
      <c r="H16" s="200"/>
      <c r="I16" s="26">
        <f>E15+F15+G15+H15+0.5%</f>
        <v>1.0050000227466918</v>
      </c>
    </row>
    <row r="17" spans="1:9" ht="14.25" customHeight="1">
      <c r="A17" s="27"/>
      <c r="B17" s="28"/>
      <c r="C17" s="28"/>
      <c r="D17" s="28"/>
      <c r="E17" s="28"/>
      <c r="F17" s="28"/>
      <c r="G17" s="29"/>
      <c r="H17" s="30"/>
      <c r="I17" s="31">
        <f>E16+F16+G16+H16</f>
        <v>304220.06860479998</v>
      </c>
    </row>
    <row r="18" spans="1:9" ht="60" customHeight="1">
      <c r="A18" s="27"/>
      <c r="B18" s="32"/>
      <c r="C18" s="28"/>
      <c r="D18" s="143"/>
      <c r="E18" s="31"/>
      <c r="F18" s="31"/>
      <c r="G18" s="34"/>
      <c r="H18" s="30"/>
      <c r="I18" s="31">
        <f>G16+E16</f>
        <v>304220.06860479998</v>
      </c>
    </row>
    <row r="19" spans="1:9" s="41" customFormat="1" ht="12">
      <c r="A19" s="35"/>
      <c r="B19" s="36" t="str">
        <f>'Planilha Orcamentária'!D33</f>
        <v xml:space="preserve">ANYK DA SILVA REIS </v>
      </c>
      <c r="C19" s="37"/>
      <c r="D19" s="38"/>
      <c r="E19" s="38"/>
      <c r="F19" s="38"/>
      <c r="G19" s="39"/>
      <c r="H19" s="40"/>
    </row>
    <row r="20" spans="1:9" s="41" customFormat="1" ht="12.75" customHeight="1">
      <c r="A20" s="42"/>
      <c r="B20" s="36" t="str">
        <f>'Planilha Orcamentária'!D34</f>
        <v>Engenhera Civil - Responsável Técnico</v>
      </c>
      <c r="C20" s="37"/>
      <c r="D20" s="37"/>
      <c r="G20" s="42"/>
      <c r="H20" s="43"/>
    </row>
    <row r="21" spans="1:9" s="41" customFormat="1" ht="13.5" customHeight="1">
      <c r="A21" s="42"/>
      <c r="B21" s="36" t="str">
        <f>'Planilha Orcamentária'!D35</f>
        <v>CREA/MG Nº: MG 378514</v>
      </c>
      <c r="C21" s="37"/>
      <c r="D21" s="37"/>
      <c r="G21" s="42"/>
      <c r="H21" s="43"/>
      <c r="I21" s="148">
        <f>G16+E16</f>
        <v>304220.06860479998</v>
      </c>
    </row>
    <row r="22" spans="1:9" ht="19.5" customHeight="1">
      <c r="A22" s="34"/>
      <c r="B22" s="44"/>
      <c r="G22" s="34"/>
      <c r="H22" s="30"/>
    </row>
    <row r="23" spans="1:9" ht="7.5" customHeight="1">
      <c r="A23" s="35"/>
      <c r="B23" s="45"/>
      <c r="C23" s="46"/>
      <c r="D23" s="46"/>
      <c r="E23" s="47"/>
      <c r="F23" s="47"/>
      <c r="G23" s="48"/>
      <c r="H23" s="30"/>
    </row>
    <row r="24" spans="1:9" s="41" customFormat="1" ht="14.25" customHeight="1">
      <c r="A24" s="42"/>
      <c r="B24" s="36" t="str">
        <f>'Planilha Orcamentária'!D39</f>
        <v xml:space="preserve">FREDSON LOPES FRANÇA </v>
      </c>
      <c r="C24" s="37"/>
      <c r="D24" s="37"/>
      <c r="G24" s="42"/>
      <c r="H24" s="43"/>
    </row>
    <row r="25" spans="1:9" s="41" customFormat="1" ht="14.1" customHeight="1">
      <c r="A25" s="42"/>
      <c r="B25" s="36" t="str">
        <f>'Planilha Orcamentária'!D40</f>
        <v>Prefeito Municipal</v>
      </c>
      <c r="C25" s="37"/>
      <c r="D25" s="37"/>
      <c r="G25" s="42"/>
      <c r="H25" s="103" t="s">
        <v>65</v>
      </c>
    </row>
    <row r="26" spans="1:9" ht="14.1" customHeight="1">
      <c r="A26" s="34"/>
      <c r="B26" s="49"/>
      <c r="G26" s="34"/>
      <c r="H26" s="30"/>
    </row>
    <row r="27" spans="1:9" ht="14.1" customHeight="1">
      <c r="A27" s="34"/>
      <c r="B27" s="49"/>
      <c r="G27" s="34"/>
      <c r="H27" s="30"/>
    </row>
    <row r="28" spans="1:9">
      <c r="A28" s="50"/>
      <c r="B28" s="51"/>
      <c r="C28" s="52"/>
      <c r="D28" s="52"/>
      <c r="E28" s="51"/>
      <c r="F28" s="51"/>
      <c r="G28" s="50"/>
      <c r="H28" s="53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8">
    <mergeCell ref="C3:C5"/>
    <mergeCell ref="A1:B1"/>
    <mergeCell ref="E4:H5"/>
    <mergeCell ref="D3:D5"/>
    <mergeCell ref="A2:H2"/>
    <mergeCell ref="A7:A8"/>
    <mergeCell ref="B7:B8"/>
    <mergeCell ref="A9:A10"/>
    <mergeCell ref="B9:B10"/>
    <mergeCell ref="A3:B3"/>
    <mergeCell ref="A5:B5"/>
    <mergeCell ref="A15:B16"/>
    <mergeCell ref="E15:F15"/>
    <mergeCell ref="E16:F16"/>
    <mergeCell ref="G15:H15"/>
    <mergeCell ref="G16:H16"/>
    <mergeCell ref="G9:H9"/>
    <mergeCell ref="G10:H10"/>
    <mergeCell ref="E9:F9"/>
    <mergeCell ref="E10:F10"/>
    <mergeCell ref="E6:F6"/>
    <mergeCell ref="E7:F7"/>
    <mergeCell ref="E8:F8"/>
    <mergeCell ref="G6:H6"/>
    <mergeCell ref="G7:H7"/>
    <mergeCell ref="G8:H8"/>
    <mergeCell ref="A11:A12"/>
    <mergeCell ref="B11:B12"/>
    <mergeCell ref="E11:F11"/>
    <mergeCell ref="G11:H11"/>
    <mergeCell ref="E12:F12"/>
    <mergeCell ref="G12:H12"/>
    <mergeCell ref="A13:A14"/>
    <mergeCell ref="B13:B14"/>
    <mergeCell ref="E13:F13"/>
    <mergeCell ref="G13:H13"/>
    <mergeCell ref="E14:F14"/>
    <mergeCell ref="G14:H14"/>
  </mergeCells>
  <phoneticPr fontId="4" type="noConversion"/>
  <printOptions horizontalCentered="1"/>
  <pageMargins left="0.39370078740157483" right="0.19685039370078741" top="0.59055118110236227" bottom="0.19685039370078741" header="0.19685039370078741" footer="0"/>
  <pageSetup paperSize="9" scale="80" orientation="landscape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8196" r:id="rId5">
          <objectPr defaultSize="0" autoPict="0" r:id="rId6">
            <anchor moveWithCells="1">
              <from>
                <xdr:col>0</xdr:col>
                <xdr:colOff>38100</xdr:colOff>
                <xdr:row>0</xdr:row>
                <xdr:rowOff>161925</xdr:rowOff>
              </from>
              <to>
                <xdr:col>1</xdr:col>
                <xdr:colOff>104775</xdr:colOff>
                <xdr:row>0</xdr:row>
                <xdr:rowOff>733425</xdr:rowOff>
              </to>
            </anchor>
          </objectPr>
        </oleObject>
      </mc:Choice>
      <mc:Fallback>
        <oleObject progId="Word.Picture.8" shapeId="8196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zoomScale="85" zoomScaleNormal="85" workbookViewId="0">
      <selection activeCell="F15" sqref="F15"/>
    </sheetView>
  </sheetViews>
  <sheetFormatPr defaultRowHeight="12.75"/>
  <cols>
    <col min="3" max="3" width="37.85546875" customWidth="1"/>
    <col min="4" max="4" width="27.7109375" customWidth="1"/>
  </cols>
  <sheetData>
    <row r="1" spans="1:4" ht="18">
      <c r="A1" s="212" t="s">
        <v>139</v>
      </c>
      <c r="B1" s="213"/>
      <c r="C1" s="213"/>
      <c r="D1" s="214"/>
    </row>
    <row r="2" spans="1:4" ht="13.5" thickBot="1">
      <c r="A2" s="215" t="s">
        <v>140</v>
      </c>
      <c r="B2" s="216"/>
      <c r="C2" s="216"/>
      <c r="D2" s="217"/>
    </row>
    <row r="3" spans="1:4" ht="15.75">
      <c r="A3" s="218" t="s">
        <v>141</v>
      </c>
      <c r="B3" s="219" t="s">
        <v>142</v>
      </c>
      <c r="C3" s="220" t="s">
        <v>143</v>
      </c>
      <c r="D3" s="221"/>
    </row>
    <row r="4" spans="1:4" ht="15.75">
      <c r="A4" s="222"/>
      <c r="B4" s="223" t="s">
        <v>144</v>
      </c>
      <c r="C4" s="224" t="s">
        <v>145</v>
      </c>
      <c r="D4" s="225">
        <v>4.6730000000000001E-2</v>
      </c>
    </row>
    <row r="5" spans="1:4" ht="15.75">
      <c r="A5" s="222"/>
      <c r="B5" s="223" t="s">
        <v>146</v>
      </c>
      <c r="C5" s="224" t="s">
        <v>147</v>
      </c>
      <c r="D5" s="225">
        <v>7.4000000000000003E-3</v>
      </c>
    </row>
    <row r="6" spans="1:4" ht="15.75">
      <c r="A6" s="222"/>
      <c r="B6" s="223" t="s">
        <v>148</v>
      </c>
      <c r="C6" s="224" t="s">
        <v>149</v>
      </c>
      <c r="D6" s="225">
        <v>9.7000000000000003E-3</v>
      </c>
    </row>
    <row r="7" spans="1:4" ht="15.75">
      <c r="A7" s="222"/>
      <c r="B7" s="223"/>
      <c r="C7" s="224"/>
      <c r="D7" s="225"/>
    </row>
    <row r="8" spans="1:4" ht="15.75">
      <c r="A8" s="226"/>
      <c r="B8" s="227"/>
      <c r="C8" s="228" t="s">
        <v>150</v>
      </c>
      <c r="D8" s="229">
        <f>SUM(D4:D7)</f>
        <v>6.3829999999999998E-2</v>
      </c>
    </row>
    <row r="9" spans="1:4" ht="15.75">
      <c r="A9" s="230"/>
      <c r="B9" s="231"/>
      <c r="C9" s="232"/>
      <c r="D9" s="233"/>
    </row>
    <row r="10" spans="1:4" ht="15.75">
      <c r="A10" s="234" t="s">
        <v>141</v>
      </c>
      <c r="B10" s="235" t="s">
        <v>151</v>
      </c>
      <c r="C10" s="236" t="s">
        <v>152</v>
      </c>
      <c r="D10" s="237"/>
    </row>
    <row r="11" spans="1:4" ht="15.75">
      <c r="A11" s="238"/>
      <c r="B11" s="239" t="s">
        <v>153</v>
      </c>
      <c r="C11" s="224" t="s">
        <v>154</v>
      </c>
      <c r="D11" s="225">
        <v>7.5300000000000006E-2</v>
      </c>
    </row>
    <row r="12" spans="1:4" ht="15.75">
      <c r="A12" s="226"/>
      <c r="B12" s="240"/>
      <c r="C12" s="241" t="s">
        <v>155</v>
      </c>
      <c r="D12" s="229">
        <v>7.5300000000000006E-2</v>
      </c>
    </row>
    <row r="13" spans="1:4" ht="15.75">
      <c r="A13" s="230"/>
      <c r="B13" s="231"/>
      <c r="C13" s="232"/>
      <c r="D13" s="233"/>
    </row>
    <row r="14" spans="1:4" ht="15.75">
      <c r="A14" s="234" t="s">
        <v>141</v>
      </c>
      <c r="B14" s="242" t="s">
        <v>156</v>
      </c>
      <c r="C14" s="243" t="s">
        <v>157</v>
      </c>
      <c r="D14" s="244"/>
    </row>
    <row r="15" spans="1:4" ht="15.75">
      <c r="A15" s="238"/>
      <c r="B15" s="223" t="s">
        <v>158</v>
      </c>
      <c r="C15" s="245" t="s">
        <v>159</v>
      </c>
      <c r="D15" s="246">
        <v>6.4999999999999997E-3</v>
      </c>
    </row>
    <row r="16" spans="1:4" ht="15.75">
      <c r="A16" s="238"/>
      <c r="B16" s="223" t="s">
        <v>160</v>
      </c>
      <c r="C16" s="245" t="s">
        <v>161</v>
      </c>
      <c r="D16" s="246">
        <v>0.03</v>
      </c>
    </row>
    <row r="17" spans="1:4" ht="15.75">
      <c r="A17" s="238"/>
      <c r="B17" s="223" t="s">
        <v>162</v>
      </c>
      <c r="C17" s="245" t="s">
        <v>163</v>
      </c>
      <c r="D17" s="246">
        <v>2.1000000000000001E-2</v>
      </c>
    </row>
    <row r="18" spans="1:4" ht="15.75">
      <c r="A18" s="247"/>
      <c r="B18" s="248" t="s">
        <v>164</v>
      </c>
      <c r="C18" s="249" t="s">
        <v>165</v>
      </c>
      <c r="D18" s="250">
        <v>0</v>
      </c>
    </row>
    <row r="19" spans="1:4" ht="15.75">
      <c r="A19" s="226"/>
      <c r="B19" s="251"/>
      <c r="C19" s="241" t="s">
        <v>166</v>
      </c>
      <c r="D19" s="229">
        <f>SUM(D15:D17)</f>
        <v>5.7499999999999996E-2</v>
      </c>
    </row>
    <row r="20" spans="1:4" ht="15.75">
      <c r="A20" s="230"/>
      <c r="B20" s="252"/>
      <c r="C20" s="231"/>
      <c r="D20" s="253"/>
    </row>
    <row r="21" spans="1:4" ht="15.75">
      <c r="A21" s="234" t="s">
        <v>141</v>
      </c>
      <c r="B21" s="242" t="s">
        <v>167</v>
      </c>
      <c r="C21" s="243" t="s">
        <v>168</v>
      </c>
      <c r="D21" s="244"/>
    </row>
    <row r="22" spans="1:4" ht="15.75">
      <c r="A22" s="254"/>
      <c r="B22" s="255"/>
      <c r="C22" s="256" t="s">
        <v>168</v>
      </c>
      <c r="D22" s="257">
        <v>1.0500000000000001E-2</v>
      </c>
    </row>
    <row r="23" spans="1:4" ht="15.75">
      <c r="A23" s="258"/>
      <c r="B23" s="228"/>
      <c r="C23" s="241" t="s">
        <v>169</v>
      </c>
      <c r="D23" s="259">
        <v>1.0500000000000001E-2</v>
      </c>
    </row>
    <row r="24" spans="1:4" ht="15.75">
      <c r="A24" s="260"/>
      <c r="B24" s="261"/>
      <c r="C24" s="262"/>
      <c r="D24" s="263"/>
    </row>
    <row r="25" spans="1:4" ht="15">
      <c r="A25" s="264" t="s">
        <v>170</v>
      </c>
      <c r="B25" s="265"/>
      <c r="C25" s="265"/>
      <c r="D25" s="266"/>
    </row>
    <row r="26" spans="1:4" ht="15.75">
      <c r="A26" s="267" t="s">
        <v>171</v>
      </c>
      <c r="B26" s="268"/>
      <c r="C26" s="268"/>
      <c r="D26" s="269">
        <v>0.22639999999999999</v>
      </c>
    </row>
    <row r="27" spans="1:4" ht="15.75">
      <c r="A27" s="270"/>
      <c r="B27" s="261"/>
      <c r="C27" s="271" t="s">
        <v>172</v>
      </c>
      <c r="D27" s="272"/>
    </row>
    <row r="28" spans="1:4" ht="15.75">
      <c r="A28" s="270"/>
      <c r="B28" s="261"/>
      <c r="C28" s="271"/>
      <c r="D28" s="272"/>
    </row>
    <row r="29" spans="1:4" ht="15.75">
      <c r="A29" s="270"/>
      <c r="B29" s="261"/>
      <c r="C29" s="271"/>
      <c r="D29" s="272"/>
    </row>
    <row r="30" spans="1:4" ht="15.75">
      <c r="A30" s="270"/>
      <c r="B30" s="261"/>
      <c r="C30" s="271"/>
      <c r="D30" s="272"/>
    </row>
    <row r="32" spans="1:4">
      <c r="C32" t="s">
        <v>98</v>
      </c>
    </row>
    <row r="33" spans="3:3">
      <c r="C33" t="s">
        <v>173</v>
      </c>
    </row>
    <row r="34" spans="3:3">
      <c r="C34" t="s">
        <v>97</v>
      </c>
    </row>
  </sheetData>
  <mergeCells count="4">
    <mergeCell ref="A1:D1"/>
    <mergeCell ref="A2:D2"/>
    <mergeCell ref="A25:D25"/>
    <mergeCell ref="A26:C2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Orcamentária</vt:lpstr>
      <vt:lpstr>Memória - SEINFRA</vt:lpstr>
      <vt:lpstr>Cronograma</vt:lpstr>
      <vt:lpstr>Plan1</vt:lpstr>
      <vt:lpstr>Cronograma!Area_de_impressao</vt:lpstr>
      <vt:lpstr>'Memória - SEINFRA'!Area_de_impressao</vt:lpstr>
      <vt:lpstr>'Planilha Orcamentária'!Area_de_impressao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SECOBRAS</cp:lastModifiedBy>
  <cp:lastPrinted>2025-12-17T11:10:30Z</cp:lastPrinted>
  <dcterms:created xsi:type="dcterms:W3CDTF">2006-09-22T13:55:22Z</dcterms:created>
  <dcterms:modified xsi:type="dcterms:W3CDTF">2026-01-20T18:40:03Z</dcterms:modified>
</cp:coreProperties>
</file>