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sigs" ContentType="application/vnd.openxmlformats-package.digital-signature-origin"/>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xternalLinks/externalLink1.xml" ContentType="application/vnd.openxmlformats-officedocument.spreadsheetml.externalLink+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_xmlsignatures/sig1.xml" ContentType="application/vnd.openxmlformats-package.digital-signature-xmlsignature+xml"/>
  <Override PartName="/_xmlsignatures/sig2.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24226"/>
  <mc:AlternateContent xmlns:mc="http://schemas.openxmlformats.org/markup-compatibility/2006">
    <mc:Choice Requires="x15">
      <x15ac:absPath xmlns:x15ac="http://schemas.microsoft.com/office/spreadsheetml/2010/11/ac" url="C:\Users\felip\Desktop\ARQUIVOS MATHEUS PREFEITURA\PROJETO CENTRO DE EVENTOS\ARQUIVOS LICITAÇÃO\"/>
    </mc:Choice>
  </mc:AlternateContent>
  <xr:revisionPtr revIDLastSave="0" documentId="13_ncr:1_{85D3194C-E9B7-4848-B4FD-E02499B23F74}" xr6:coauthVersionLast="47" xr6:coauthVersionMax="47" xr10:uidLastSave="{00000000-0000-0000-0000-000000000000}"/>
  <bookViews>
    <workbookView xWindow="-108" yWindow="-108" windowWidth="23256" windowHeight="12456" tabRatio="663" firstSheet="2" activeTab="2" xr2:uid="{00000000-000D-0000-FFFF-FFFF00000000}"/>
  </bookViews>
  <sheets>
    <sheet name="Relatório de Compatibilidade" sheetId="17" state="hidden" r:id="rId1"/>
    <sheet name="PLANILHA DE LICITAÇÃO" sheetId="33" r:id="rId2"/>
    <sheet name="PLANILHA OFICIAL " sheetId="14" r:id="rId3"/>
    <sheet name="COTAÇÃO GRADIL TIPO BELGO" sheetId="32" r:id="rId4"/>
    <sheet name="MEMÓRIA DE CÁLCULO" sheetId="31" r:id="rId5"/>
    <sheet name="CRONOGRAMA FÍSICO -  FINANCEIRO" sheetId="26" r:id="rId6"/>
    <sheet name="BDI" sheetId="27" r:id="rId7"/>
    <sheet name="CRONOGRAMA - JANUÁRIA" sheetId="18" state="hidden" r:id="rId8"/>
  </sheets>
  <externalReferences>
    <externalReference r:id="rId9"/>
  </externalReferences>
  <definedNames>
    <definedName name="_xlnm.Print_Area" localSheetId="6">BDI!$A$1:$D$34</definedName>
    <definedName name="_xlnm.Print_Area" localSheetId="3">'COTAÇÃO GRADIL TIPO BELGO'!$A$1:$G$27</definedName>
    <definedName name="_xlnm.Print_Area" localSheetId="5">'CRONOGRAMA FÍSICO -  FINANCEIRO'!$A$1:$H$25</definedName>
    <definedName name="_xlnm.Print_Area" localSheetId="4">'MEMÓRIA DE CÁLCULO'!$A$1:$I$68</definedName>
    <definedName name="_xlnm.Print_Area" localSheetId="1">'PLANILHA DE LICITAÇÃO'!$B$28:$K$41</definedName>
    <definedName name="_xlnm.Print_Area" localSheetId="2">'PLANILHA OFICIAL '!$A$1:$H$69</definedName>
    <definedName name="_xlnm.Print_Titles" localSheetId="7">'CRONOGRAMA - JANUÁRIA'!$A:$C</definedName>
    <definedName name="_xlnm.Print_Titles" localSheetId="4">'MEMÓRIA DE CÁLCULO'!$1:$5</definedName>
    <definedName name="_xlnm.Print_Titles" localSheetId="1">'PLANILHA DE LICITAÇÃO'!#REF!</definedName>
    <definedName name="_xlnm.Print_Titles" localSheetId="2">'PLANILHA OFICIAL '!$1:$11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1" i="14" l="1"/>
  <c r="H64" i="33"/>
  <c r="G64" i="33"/>
  <c r="J64" i="33" s="1"/>
  <c r="K64" i="33" s="1"/>
  <c r="F64" i="33"/>
  <c r="E64" i="33"/>
  <c r="D64" i="33"/>
  <c r="B64" i="33"/>
  <c r="H63" i="33"/>
  <c r="G63" i="33"/>
  <c r="J63" i="33" s="1"/>
  <c r="K63" i="33" s="1"/>
  <c r="F63" i="33"/>
  <c r="E63" i="33"/>
  <c r="D63" i="33"/>
  <c r="B63" i="33"/>
  <c r="H62" i="33"/>
  <c r="G62" i="33"/>
  <c r="J62" i="33" s="1"/>
  <c r="F62" i="33"/>
  <c r="E62" i="33"/>
  <c r="D62" i="33"/>
  <c r="B62" i="33"/>
  <c r="H61" i="33"/>
  <c r="G61" i="33"/>
  <c r="F61" i="33"/>
  <c r="E61" i="33"/>
  <c r="D61" i="33"/>
  <c r="B61" i="33"/>
  <c r="H60" i="33"/>
  <c r="G60" i="33"/>
  <c r="J60" i="33" s="1"/>
  <c r="K60" i="33" s="1"/>
  <c r="F60" i="33"/>
  <c r="E60" i="33"/>
  <c r="D60" i="33"/>
  <c r="B60" i="33"/>
  <c r="I59" i="33"/>
  <c r="H59" i="33"/>
  <c r="G59" i="33"/>
  <c r="F59" i="33"/>
  <c r="E59" i="33"/>
  <c r="D59" i="33"/>
  <c r="B59" i="33"/>
  <c r="I58" i="33"/>
  <c r="H58" i="33"/>
  <c r="J58" i="33" s="1"/>
  <c r="K58" i="33" s="1"/>
  <c r="G58" i="33"/>
  <c r="F58" i="33"/>
  <c r="E58" i="33"/>
  <c r="D58" i="33"/>
  <c r="B58" i="33"/>
  <c r="J57" i="33"/>
  <c r="K57" i="33" s="1"/>
  <c r="I57" i="33"/>
  <c r="H57" i="33"/>
  <c r="G57" i="33"/>
  <c r="F57" i="33"/>
  <c r="E57" i="33"/>
  <c r="D57" i="33"/>
  <c r="B57" i="33"/>
  <c r="H56" i="33"/>
  <c r="G56" i="33"/>
  <c r="J56" i="33" s="1"/>
  <c r="K56" i="33" s="1"/>
  <c r="F56" i="33"/>
  <c r="E56" i="33"/>
  <c r="D56" i="33"/>
  <c r="B56" i="33"/>
  <c r="H55" i="33"/>
  <c r="G55" i="33"/>
  <c r="I55" i="33" s="1"/>
  <c r="F55" i="33"/>
  <c r="E55" i="33"/>
  <c r="D55" i="33"/>
  <c r="B55" i="33"/>
  <c r="H54" i="33"/>
  <c r="J54" i="33" s="1"/>
  <c r="K54" i="33" s="1"/>
  <c r="G54" i="33"/>
  <c r="I54" i="33" s="1"/>
  <c r="F54" i="33"/>
  <c r="E54" i="33"/>
  <c r="D54" i="33"/>
  <c r="B54" i="33"/>
  <c r="H53" i="33"/>
  <c r="G53" i="33"/>
  <c r="J53" i="33" s="1"/>
  <c r="F53" i="33"/>
  <c r="E53" i="33"/>
  <c r="D53" i="33"/>
  <c r="B53" i="33"/>
  <c r="H52" i="33"/>
  <c r="G52" i="33"/>
  <c r="F52" i="33"/>
  <c r="E52" i="33"/>
  <c r="D52" i="33"/>
  <c r="B52" i="33"/>
  <c r="H51" i="33"/>
  <c r="G51" i="33"/>
  <c r="J51" i="33" s="1"/>
  <c r="K51" i="33" s="1"/>
  <c r="F51" i="33"/>
  <c r="E51" i="33"/>
  <c r="D51" i="33"/>
  <c r="B51" i="33"/>
  <c r="H50" i="33"/>
  <c r="G50" i="33"/>
  <c r="J50" i="33" s="1"/>
  <c r="K50" i="33" s="1"/>
  <c r="F50" i="33"/>
  <c r="E50" i="33"/>
  <c r="D50" i="33"/>
  <c r="B50" i="33"/>
  <c r="I49" i="33"/>
  <c r="H49" i="33"/>
  <c r="J49" i="33" s="1"/>
  <c r="K49" i="33" s="1"/>
  <c r="G49" i="33"/>
  <c r="F49" i="33"/>
  <c r="E49" i="33"/>
  <c r="D49" i="33"/>
  <c r="B49" i="33"/>
  <c r="H48" i="33"/>
  <c r="G48" i="33"/>
  <c r="J48" i="33" s="1"/>
  <c r="F48" i="33"/>
  <c r="E48" i="33"/>
  <c r="D48" i="33"/>
  <c r="B48" i="33"/>
  <c r="H47" i="33"/>
  <c r="J47" i="33" s="1"/>
  <c r="K47" i="33" s="1"/>
  <c r="G47" i="33"/>
  <c r="I47" i="33" s="1"/>
  <c r="F47" i="33"/>
  <c r="E47" i="33"/>
  <c r="D47" i="33"/>
  <c r="B47" i="33"/>
  <c r="H46" i="33"/>
  <c r="G46" i="33"/>
  <c r="J46" i="33" s="1"/>
  <c r="K46" i="33" s="1"/>
  <c r="F46" i="33"/>
  <c r="E46" i="33"/>
  <c r="D46" i="33"/>
  <c r="B46" i="33"/>
  <c r="H45" i="33"/>
  <c r="G45" i="33"/>
  <c r="J45" i="33" s="1"/>
  <c r="K45" i="33" s="1"/>
  <c r="F45" i="33"/>
  <c r="E45" i="33"/>
  <c r="D45" i="33"/>
  <c r="B45" i="33"/>
  <c r="H44" i="33"/>
  <c r="G44" i="33"/>
  <c r="J44" i="33" s="1"/>
  <c r="K44" i="33" s="1"/>
  <c r="F44" i="33"/>
  <c r="E44" i="33"/>
  <c r="D44" i="33"/>
  <c r="B44" i="33"/>
  <c r="H43" i="33"/>
  <c r="G43" i="33"/>
  <c r="J43" i="33" s="1"/>
  <c r="K43" i="33" s="1"/>
  <c r="F43" i="33"/>
  <c r="E43" i="33"/>
  <c r="D43" i="33"/>
  <c r="B43" i="33"/>
  <c r="D42" i="33"/>
  <c r="H41" i="33"/>
  <c r="G41" i="33"/>
  <c r="J41" i="33" s="1"/>
  <c r="F41" i="33"/>
  <c r="E41" i="33"/>
  <c r="D41" i="33"/>
  <c r="B41" i="33"/>
  <c r="H40" i="33"/>
  <c r="G40" i="33"/>
  <c r="F40" i="33"/>
  <c r="E40" i="33"/>
  <c r="D40" i="33"/>
  <c r="B40" i="33"/>
  <c r="H39" i="33"/>
  <c r="G39" i="33"/>
  <c r="J39" i="33" s="1"/>
  <c r="F39" i="33"/>
  <c r="E39" i="33"/>
  <c r="D39" i="33"/>
  <c r="B39" i="33"/>
  <c r="I38" i="33"/>
  <c r="H38" i="33"/>
  <c r="G38" i="33"/>
  <c r="F38" i="33"/>
  <c r="E38" i="33"/>
  <c r="D38" i="33"/>
  <c r="B38" i="33"/>
  <c r="J37" i="33"/>
  <c r="K37" i="33" s="1"/>
  <c r="I37" i="33"/>
  <c r="H37" i="33"/>
  <c r="G37" i="33"/>
  <c r="F37" i="33"/>
  <c r="E37" i="33"/>
  <c r="D37" i="33"/>
  <c r="B37" i="33"/>
  <c r="J36" i="33"/>
  <c r="K36" i="33" s="1"/>
  <c r="I36" i="33"/>
  <c r="H36" i="33"/>
  <c r="G36" i="33"/>
  <c r="F36" i="33"/>
  <c r="E36" i="33"/>
  <c r="D36" i="33"/>
  <c r="B36" i="33"/>
  <c r="J35" i="33"/>
  <c r="K35" i="33" s="1"/>
  <c r="I35" i="33"/>
  <c r="H35" i="33"/>
  <c r="G35" i="33"/>
  <c r="F35" i="33"/>
  <c r="E35" i="33"/>
  <c r="D35" i="33"/>
  <c r="B35" i="33"/>
  <c r="H34" i="33"/>
  <c r="G34" i="33"/>
  <c r="F34" i="33"/>
  <c r="E34" i="33"/>
  <c r="D34" i="33"/>
  <c r="B34" i="33"/>
  <c r="H33" i="33"/>
  <c r="G33" i="33"/>
  <c r="F33" i="33"/>
  <c r="E33" i="33"/>
  <c r="D33" i="33"/>
  <c r="B33" i="33"/>
  <c r="H32" i="33"/>
  <c r="G32" i="33"/>
  <c r="F32" i="33"/>
  <c r="E32" i="33"/>
  <c r="D32" i="33"/>
  <c r="B32" i="33"/>
  <c r="H31" i="33"/>
  <c r="G31" i="33"/>
  <c r="F31" i="33"/>
  <c r="E31" i="33"/>
  <c r="D31" i="33"/>
  <c r="B31" i="33"/>
  <c r="I30" i="33"/>
  <c r="H30" i="33"/>
  <c r="G30" i="33"/>
  <c r="F30" i="33"/>
  <c r="E30" i="33"/>
  <c r="D30" i="33"/>
  <c r="B30" i="33"/>
  <c r="H29" i="33"/>
  <c r="G29" i="33"/>
  <c r="I29" i="33" s="1"/>
  <c r="F29" i="33"/>
  <c r="E29" i="33"/>
  <c r="D29" i="33"/>
  <c r="B29" i="33"/>
  <c r="H26" i="33"/>
  <c r="G26" i="33"/>
  <c r="F26" i="33"/>
  <c r="E26" i="33"/>
  <c r="D26" i="33"/>
  <c r="B26" i="33"/>
  <c r="H25" i="33"/>
  <c r="G25" i="33"/>
  <c r="F25" i="33"/>
  <c r="E25" i="33"/>
  <c r="D25" i="33"/>
  <c r="B25" i="33"/>
  <c r="H24" i="33"/>
  <c r="G24" i="33"/>
  <c r="F24" i="33"/>
  <c r="E24" i="33"/>
  <c r="D24" i="33"/>
  <c r="B24" i="33"/>
  <c r="H21" i="33"/>
  <c r="G21" i="33"/>
  <c r="F21" i="33"/>
  <c r="E21" i="33"/>
  <c r="D21" i="33"/>
  <c r="B21" i="33"/>
  <c r="H20" i="33"/>
  <c r="G20" i="33"/>
  <c r="F20" i="33"/>
  <c r="E20" i="33"/>
  <c r="D20" i="33"/>
  <c r="B20" i="33"/>
  <c r="H19" i="33"/>
  <c r="G19" i="33"/>
  <c r="I19" i="33" s="1"/>
  <c r="F19" i="33"/>
  <c r="E19" i="33"/>
  <c r="D19" i="33"/>
  <c r="B19" i="33"/>
  <c r="H16" i="33"/>
  <c r="H15" i="33"/>
  <c r="G16" i="33"/>
  <c r="F16" i="33"/>
  <c r="E16" i="33"/>
  <c r="D16" i="33"/>
  <c r="B16" i="33"/>
  <c r="G15" i="33"/>
  <c r="I15" i="33" s="1"/>
  <c r="F15" i="33"/>
  <c r="E15" i="33"/>
  <c r="D15" i="33"/>
  <c r="B15" i="33"/>
  <c r="G5" i="33"/>
  <c r="B5" i="33"/>
  <c r="E54" i="14"/>
  <c r="E38" i="14"/>
  <c r="E30" i="14"/>
  <c r="E29" i="14"/>
  <c r="E49" i="14"/>
  <c r="E53" i="14"/>
  <c r="E44" i="14"/>
  <c r="E47" i="14" s="1"/>
  <c r="E48" i="14" s="1"/>
  <c r="E45" i="14"/>
  <c r="E46" i="14"/>
  <c r="G14" i="32"/>
  <c r="F43" i="14"/>
  <c r="D16" i="32"/>
  <c r="D15" i="32"/>
  <c r="D6" i="32"/>
  <c r="D26" i="32"/>
  <c r="D25" i="32"/>
  <c r="D24" i="32"/>
  <c r="D23" i="32"/>
  <c r="D22" i="32"/>
  <c r="D27" i="32" s="1"/>
  <c r="D21" i="32"/>
  <c r="K48" i="33" l="1"/>
  <c r="I43" i="33"/>
  <c r="I50" i="33"/>
  <c r="I51" i="33"/>
  <c r="K62" i="33"/>
  <c r="J55" i="33"/>
  <c r="K55" i="33" s="1"/>
  <c r="J61" i="33"/>
  <c r="K61" i="33" s="1"/>
  <c r="K53" i="33"/>
  <c r="I46" i="33"/>
  <c r="J52" i="33"/>
  <c r="K52" i="33" s="1"/>
  <c r="J59" i="33"/>
  <c r="K59" i="33" s="1"/>
  <c r="I64" i="33"/>
  <c r="I52" i="33"/>
  <c r="I60" i="33"/>
  <c r="I45" i="33"/>
  <c r="I53" i="33"/>
  <c r="I61" i="33"/>
  <c r="I62" i="33"/>
  <c r="I63" i="33"/>
  <c r="I48" i="33"/>
  <c r="I56" i="33"/>
  <c r="I44" i="33"/>
  <c r="J29" i="33"/>
  <c r="K29" i="33" s="1"/>
  <c r="J24" i="33"/>
  <c r="K24" i="33" s="1"/>
  <c r="J31" i="33"/>
  <c r="J33" i="33"/>
  <c r="K33" i="33" s="1"/>
  <c r="K31" i="33"/>
  <c r="J30" i="33"/>
  <c r="K30" i="33" s="1"/>
  <c r="K41" i="33"/>
  <c r="J32" i="33"/>
  <c r="K32" i="33" s="1"/>
  <c r="I33" i="33"/>
  <c r="J40" i="33"/>
  <c r="K40" i="33" s="1"/>
  <c r="K39" i="33"/>
  <c r="J21" i="33"/>
  <c r="K21" i="33" s="1"/>
  <c r="J38" i="33"/>
  <c r="K38" i="33" s="1"/>
  <c r="J34" i="33"/>
  <c r="K34" i="33" s="1"/>
  <c r="I31" i="33"/>
  <c r="I39" i="33"/>
  <c r="I32" i="33"/>
  <c r="I40" i="33"/>
  <c r="I41" i="33"/>
  <c r="I34" i="33"/>
  <c r="J26" i="33"/>
  <c r="K26" i="33" s="1"/>
  <c r="I24" i="33"/>
  <c r="J20" i="33"/>
  <c r="K20" i="33" s="1"/>
  <c r="J25" i="33"/>
  <c r="K25" i="33" s="1"/>
  <c r="I20" i="33"/>
  <c r="J19" i="33"/>
  <c r="K19" i="33" s="1"/>
  <c r="I26" i="33"/>
  <c r="I25" i="33"/>
  <c r="I21" i="33"/>
  <c r="J16" i="33"/>
  <c r="K16" i="33" s="1"/>
  <c r="I16" i="33"/>
  <c r="J15" i="33"/>
  <c r="K15" i="33" s="1"/>
  <c r="D14" i="32"/>
  <c r="D13" i="32"/>
  <c r="D12" i="32"/>
  <c r="D5" i="32"/>
  <c r="D4" i="32"/>
  <c r="D3" i="32"/>
  <c r="D7" i="32" s="1"/>
  <c r="E51" i="14"/>
  <c r="E61" i="14"/>
  <c r="E59" i="14"/>
  <c r="E60" i="14" s="1"/>
  <c r="E58" i="14"/>
  <c r="E55" i="14"/>
  <c r="K12" i="33" l="1"/>
  <c r="G12" i="32"/>
  <c r="E39" i="14"/>
  <c r="C60" i="31"/>
  <c r="G60" i="31" s="1"/>
  <c r="H4" i="26"/>
  <c r="E36" i="14"/>
  <c r="E34" i="14"/>
  <c r="J43" i="14"/>
  <c r="E32" i="14"/>
  <c r="E35" i="14" l="1"/>
  <c r="C15" i="26" l="1"/>
  <c r="B15" i="31" l="1"/>
  <c r="D14" i="31"/>
  <c r="B7" i="31"/>
  <c r="D6" i="31"/>
  <c r="B23" i="31"/>
  <c r="D22" i="31"/>
  <c r="D47" i="31"/>
  <c r="D39" i="31"/>
  <c r="D31" i="31"/>
  <c r="C61" i="31" l="1"/>
  <c r="B56" i="31" l="1"/>
  <c r="D55" i="31"/>
  <c r="G61" i="31" l="1"/>
  <c r="B32" i="31" l="1"/>
  <c r="B40" i="31"/>
  <c r="B48" i="31"/>
  <c r="D28" i="31" l="1"/>
  <c r="D19" i="27" l="1"/>
  <c r="C53" i="31" l="1"/>
  <c r="E15" i="14" s="1"/>
  <c r="F52" i="31"/>
  <c r="G52" i="31" s="1"/>
  <c r="E25" i="14" s="1"/>
  <c r="C45" i="31"/>
  <c r="F44" i="31"/>
  <c r="G44" i="31" s="1"/>
  <c r="H44" i="31" s="1"/>
  <c r="C37" i="31"/>
  <c r="F36" i="31"/>
  <c r="C28" i="31"/>
  <c r="F27" i="31"/>
  <c r="G27" i="31" s="1"/>
  <c r="H27" i="31" s="1"/>
  <c r="C20" i="31"/>
  <c r="F19" i="31"/>
  <c r="G19" i="31" s="1"/>
  <c r="C12" i="31"/>
  <c r="F11" i="31"/>
  <c r="G11" i="31" s="1"/>
  <c r="E18" i="14" s="1"/>
  <c r="F20" i="31" l="1"/>
  <c r="E19" i="14" s="1"/>
  <c r="F28" i="31"/>
  <c r="F37" i="31"/>
  <c r="E23" i="14" s="1"/>
  <c r="F45" i="31"/>
  <c r="E24" i="14" s="1"/>
  <c r="F12" i="31"/>
  <c r="G28" i="31"/>
  <c r="E20" i="14" s="1"/>
  <c r="F53" i="31"/>
  <c r="G20" i="31"/>
  <c r="H28" i="31"/>
  <c r="G45" i="31" l="1"/>
  <c r="H45" i="31" l="1"/>
  <c r="D26" i="27" l="1"/>
  <c r="B3" i="31" s="1"/>
  <c r="D8" i="27"/>
  <c r="H9" i="14" l="1"/>
  <c r="G52" i="14" s="1"/>
  <c r="H52" i="14" s="1"/>
  <c r="G37" i="14" l="1"/>
  <c r="H37" i="14" s="1"/>
  <c r="G38" i="14"/>
  <c r="H38" i="14" s="1"/>
  <c r="G54" i="14"/>
  <c r="H54" i="14" s="1"/>
  <c r="G30" i="14"/>
  <c r="H30" i="14" s="1"/>
  <c r="G47" i="14"/>
  <c r="H47" i="14" s="1"/>
  <c r="G48" i="14"/>
  <c r="H48" i="14" s="1"/>
  <c r="G45" i="14"/>
  <c r="H45" i="14" s="1"/>
  <c r="G46" i="14"/>
  <c r="H46" i="14" s="1"/>
  <c r="G40" i="14"/>
  <c r="H40" i="14" s="1"/>
  <c r="G64" i="14"/>
  <c r="H64" i="14" s="1"/>
  <c r="G32" i="14"/>
  <c r="H32" i="14" s="1"/>
  <c r="G39" i="14"/>
  <c r="H39" i="14" s="1"/>
  <c r="G43" i="14"/>
  <c r="G55" i="14"/>
  <c r="H55" i="14" s="1"/>
  <c r="G63" i="14"/>
  <c r="H63" i="14" s="1"/>
  <c r="G44" i="14"/>
  <c r="H44" i="14" s="1"/>
  <c r="G56" i="14"/>
  <c r="H56" i="14" s="1"/>
  <c r="G59" i="14"/>
  <c r="H59" i="14" s="1"/>
  <c r="G57" i="14"/>
  <c r="H57" i="14" s="1"/>
  <c r="G58" i="14"/>
  <c r="H58" i="14" s="1"/>
  <c r="G62" i="14"/>
  <c r="H62" i="14" s="1"/>
  <c r="G49" i="14"/>
  <c r="H49" i="14" s="1"/>
  <c r="G50" i="14"/>
  <c r="H50" i="14" s="1"/>
  <c r="G60" i="14"/>
  <c r="H60" i="14" s="1"/>
  <c r="G61" i="14"/>
  <c r="H61" i="14" s="1"/>
  <c r="G53" i="14"/>
  <c r="H53" i="14" s="1"/>
  <c r="G51" i="14"/>
  <c r="H51" i="14" s="1"/>
  <c r="G36" i="14"/>
  <c r="H36" i="14" s="1"/>
  <c r="G34" i="14"/>
  <c r="H34" i="14" s="1"/>
  <c r="G35" i="14"/>
  <c r="H35" i="14" s="1"/>
  <c r="G28" i="14"/>
  <c r="H28" i="14" s="1"/>
  <c r="G14" i="14"/>
  <c r="H14" i="14" s="1"/>
  <c r="G33" i="14"/>
  <c r="H33" i="14" s="1"/>
  <c r="G31" i="14"/>
  <c r="H31" i="14" s="1"/>
  <c r="G29" i="14"/>
  <c r="G25" i="14"/>
  <c r="I50" i="31" s="1"/>
  <c r="G24" i="14"/>
  <c r="I42" i="31" s="1"/>
  <c r="I44" i="31" s="1"/>
  <c r="G23" i="14"/>
  <c r="I34" i="31" s="1"/>
  <c r="G20" i="14"/>
  <c r="I25" i="31" s="1"/>
  <c r="I27" i="31" s="1"/>
  <c r="G19" i="14"/>
  <c r="I17" i="31" s="1"/>
  <c r="I19" i="31" s="1"/>
  <c r="G18" i="14"/>
  <c r="I9" i="31" s="1"/>
  <c r="I11" i="31" s="1"/>
  <c r="G15" i="14"/>
  <c r="H15" i="14" s="1"/>
  <c r="C13" i="26"/>
  <c r="C11" i="26"/>
  <c r="C9" i="26"/>
  <c r="C7" i="26"/>
  <c r="F14" i="26" l="1"/>
  <c r="I52" i="31"/>
  <c r="H43" i="14"/>
  <c r="H65" i="14" s="1"/>
  <c r="I58" i="31"/>
  <c r="H29" i="14"/>
  <c r="H14" i="26" s="1"/>
  <c r="I36" i="31"/>
  <c r="A10" i="18"/>
  <c r="E14" i="26" l="1"/>
  <c r="G14" i="26" s="1"/>
  <c r="E16" i="26"/>
  <c r="I60" i="31"/>
  <c r="I53" i="31"/>
  <c r="H25" i="14" s="1"/>
  <c r="I20" i="31"/>
  <c r="I37" i="31"/>
  <c r="I12" i="31"/>
  <c r="I28" i="31"/>
  <c r="I45" i="31"/>
  <c r="H18" i="14"/>
  <c r="H23" i="14"/>
  <c r="H16" i="26" l="1"/>
  <c r="G16" i="26"/>
  <c r="F16" i="26"/>
  <c r="F13" i="26"/>
  <c r="G13" i="26"/>
  <c r="H13" i="26"/>
  <c r="I61" i="31"/>
  <c r="H20" i="14"/>
  <c r="C9" i="18"/>
  <c r="H24" i="14"/>
  <c r="H12" i="26" s="1"/>
  <c r="H19" i="14" l="1"/>
  <c r="H21" i="14" s="1"/>
  <c r="E10" i="26" l="1"/>
  <c r="H26" i="14"/>
  <c r="E12" i="26" l="1"/>
  <c r="G10" i="26"/>
  <c r="H10" i="26"/>
  <c r="F10" i="26"/>
  <c r="H11" i="26" l="1"/>
  <c r="H16" i="14"/>
  <c r="F12" i="26"/>
  <c r="G12" i="26"/>
  <c r="C10" i="18" l="1"/>
  <c r="D10" i="18" s="1"/>
  <c r="C12" i="18"/>
  <c r="C11" i="18"/>
  <c r="E10" i="18" l="1"/>
  <c r="F10" i="18" s="1"/>
  <c r="G10" i="18" s="1"/>
  <c r="H10" i="18" s="1"/>
  <c r="I10" i="18"/>
  <c r="P10" i="18" l="1"/>
  <c r="J12" i="18"/>
  <c r="H12" i="18"/>
  <c r="E12" i="18"/>
  <c r="I12" i="18"/>
  <c r="K12" i="18" s="1"/>
  <c r="L12" i="18" s="1"/>
  <c r="M12" i="18" s="1"/>
  <c r="N12" i="18" s="1"/>
  <c r="O12" i="18" s="1"/>
  <c r="F12" i="18" l="1"/>
  <c r="G12" i="18" s="1"/>
  <c r="H11" i="18"/>
  <c r="I11" i="18"/>
  <c r="J11" i="18" s="1"/>
  <c r="K11" i="18" s="1"/>
  <c r="L11" i="18"/>
  <c r="E11" i="18"/>
  <c r="F11" i="18" l="1"/>
  <c r="G11" i="18" s="1"/>
  <c r="P12" i="18"/>
  <c r="D9" i="18" l="1"/>
  <c r="P11" i="18"/>
  <c r="C13" i="18" l="1"/>
  <c r="B9" i="18" s="1"/>
  <c r="D13" i="18"/>
  <c r="E9" i="18"/>
  <c r="B11" i="18" l="1"/>
  <c r="C14" i="18"/>
  <c r="B14" i="18" s="1"/>
  <c r="B12" i="18"/>
  <c r="B10" i="18"/>
  <c r="B13" i="18"/>
  <c r="F9" i="18"/>
  <c r="F13" i="18" s="1"/>
  <c r="E13" i="18"/>
  <c r="E15" i="18" s="1"/>
  <c r="D14" i="18"/>
  <c r="D15" i="18"/>
  <c r="D16" i="18" s="1"/>
  <c r="E16" i="18" l="1"/>
  <c r="G9" i="18"/>
  <c r="E14" i="18"/>
  <c r="F14" i="18" l="1"/>
  <c r="H9" i="18"/>
  <c r="G13" i="18"/>
  <c r="G15" i="18" s="1"/>
  <c r="F15" i="18"/>
  <c r="F16" i="18" s="1"/>
  <c r="G16" i="18" l="1"/>
  <c r="G14" i="18"/>
  <c r="I9" i="18"/>
  <c r="H13" i="18"/>
  <c r="H15" i="18" s="1"/>
  <c r="H16" i="18" l="1"/>
  <c r="H14" i="18"/>
  <c r="J9" i="18"/>
  <c r="I13" i="18"/>
  <c r="I15" i="18" l="1"/>
  <c r="I16" i="18" s="1"/>
  <c r="K9" i="18"/>
  <c r="J13" i="18"/>
  <c r="J15" i="18" s="1"/>
  <c r="I14" i="18"/>
  <c r="J16" i="18" l="1"/>
  <c r="J14" i="18"/>
  <c r="L9" i="18"/>
  <c r="K13" i="18"/>
  <c r="K15" i="18" s="1"/>
  <c r="K16" i="18" l="1"/>
  <c r="K14" i="18"/>
  <c r="M9" i="18"/>
  <c r="L13" i="18"/>
  <c r="L15" i="18" s="1"/>
  <c r="L16" i="18" l="1"/>
  <c r="L14" i="18"/>
  <c r="N9" i="18"/>
  <c r="M13" i="18"/>
  <c r="M15" i="18" s="1"/>
  <c r="M16" i="18" l="1"/>
  <c r="M14" i="18"/>
  <c r="O9" i="18"/>
  <c r="N13" i="18"/>
  <c r="N15" i="18" s="1"/>
  <c r="N16" i="18" l="1"/>
  <c r="N14" i="18"/>
  <c r="O13" i="18"/>
  <c r="P9" i="18"/>
  <c r="P13" i="18" l="1"/>
  <c r="O15" i="18"/>
  <c r="O16" i="18" s="1"/>
  <c r="O14" i="18"/>
  <c r="H66" i="14" l="1"/>
  <c r="H12" i="14" l="1"/>
  <c r="E8" i="26"/>
  <c r="F8" i="26" s="1"/>
  <c r="F7" i="26" l="1"/>
  <c r="F4" i="26"/>
  <c r="H8" i="26"/>
  <c r="H18" i="26" s="1"/>
  <c r="G8" i="26"/>
  <c r="G18" i="26" s="1"/>
  <c r="E18" i="26"/>
  <c r="E15" i="26" l="1"/>
  <c r="E13" i="26"/>
  <c r="E9" i="26"/>
  <c r="E11" i="26"/>
  <c r="E7" i="26"/>
  <c r="G17" i="26"/>
  <c r="H17" i="26"/>
  <c r="E17" i="26" l="1"/>
  <c r="F18" i="26" l="1"/>
  <c r="H20" i="26" l="1"/>
  <c r="F20" i="26"/>
  <c r="F17" i="26"/>
  <c r="G20" i="26"/>
  <c r="F19" i="26" l="1"/>
  <c r="G19" i="26"/>
  <c r="H19" i="2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RAFAEL MARUCH DE CARVALHO</author>
  </authors>
  <commentList>
    <comment ref="G5" authorId="0" shapeId="0" xr:uid="{A0A3D25B-E74D-4C79-A76B-49B3529C4BEF}">
      <text>
        <r>
          <rPr>
            <b/>
            <sz val="9"/>
            <color indexed="81"/>
            <rFont val="Segoe UI"/>
            <family val="2"/>
          </rPr>
          <t>Preenchimento Automático - Aba "Detalhamento do BDI"</t>
        </r>
        <r>
          <rPr>
            <sz val="9"/>
            <color indexed="81"/>
            <rFont val="Segoe UI"/>
            <family val="2"/>
          </rPr>
          <t xml:space="preserve">
</t>
        </r>
      </text>
    </comment>
    <comment ref="H5" authorId="0" shapeId="0" xr:uid="{80518750-0363-4F02-80C9-55AD8DA9FCA7}">
      <text>
        <r>
          <rPr>
            <b/>
            <sz val="9"/>
            <color indexed="81"/>
            <rFont val="Segoe UI"/>
            <family val="2"/>
          </rPr>
          <t>Preencher caso exista BDI diferenciado para equipamentos, por exemplo.</t>
        </r>
        <r>
          <rPr>
            <sz val="9"/>
            <color indexed="81"/>
            <rFont val="Segoe UI"/>
            <family val="2"/>
          </rPr>
          <t xml:space="preserve">
</t>
        </r>
      </text>
    </comment>
    <comment ref="C6" authorId="0" shapeId="0" xr:uid="{4FDE57F9-E0A7-48AD-88C2-109D010E1B10}">
      <text>
        <r>
          <rPr>
            <b/>
            <sz val="9"/>
            <color indexed="81"/>
            <rFont val="Segoe UI"/>
            <family val="2"/>
          </rPr>
          <t>SIM ou NÃO</t>
        </r>
      </text>
    </comment>
  </commentList>
</comments>
</file>

<file path=xl/sharedStrings.xml><?xml version="1.0" encoding="utf-8"?>
<sst xmlns="http://schemas.openxmlformats.org/spreadsheetml/2006/main" count="641" uniqueCount="329">
  <si>
    <t>M2</t>
  </si>
  <si>
    <t>TERRAPLENAGEM</t>
  </si>
  <si>
    <t>M3</t>
  </si>
  <si>
    <t>m</t>
  </si>
  <si>
    <t>m3</t>
  </si>
  <si>
    <t>1.1</t>
  </si>
  <si>
    <t>1.2</t>
  </si>
  <si>
    <t>m²</t>
  </si>
  <si>
    <t>m³</t>
  </si>
  <si>
    <t>PAVIMENTAÇÃO</t>
  </si>
  <si>
    <t>3.1</t>
  </si>
  <si>
    <t>3.2</t>
  </si>
  <si>
    <t>4.1</t>
  </si>
  <si>
    <t>5.1</t>
  </si>
  <si>
    <t>Largura</t>
  </si>
  <si>
    <t>TOTAL</t>
  </si>
  <si>
    <t>Relatório de Compatibilidade para PLANILHA OFICIAL DE MEDIÇÃO CEF.xls</t>
  </si>
  <si>
    <t>Executar em 22/5/2012 19:18</t>
  </si>
  <si>
    <t>Não há suporte para os recursos a seguir nas versões anteriores do Excel. Esses recursos poderão ser perdidos ou prejudicados quando você salvar a pasta de trabalho em um formato de arquivo anterior.</t>
  </si>
  <si>
    <t>Perda insignificante de fidelidade</t>
  </si>
  <si>
    <t>Núm. de ocorrências</t>
  </si>
  <si>
    <t>Algumas células ou alguns estilos desta pasta de trabalho contêm formatação para a qual não há suporte no formato de arquivo selecionado. Esses formatos serão convertidos no formato mais próximo disponível.</t>
  </si>
  <si>
    <t>PERÍODO - ETAPAS</t>
  </si>
  <si>
    <t>DESCRIÇÃO - SERVIÇOS</t>
  </si>
  <si>
    <t>FÍSICO</t>
  </si>
  <si>
    <t>FINANCEIRO</t>
  </si>
  <si>
    <t>1º MÊS</t>
  </si>
  <si>
    <t>2º MÊS</t>
  </si>
  <si>
    <t>3º MÊS</t>
  </si>
  <si>
    <t>4º MÊS</t>
  </si>
  <si>
    <t>5º MÊS</t>
  </si>
  <si>
    <t>SOMA (R$)</t>
  </si>
  <si>
    <t>SOMA ACUMULADA</t>
  </si>
  <si>
    <t>PORCENTAGEM</t>
  </si>
  <si>
    <t>PORCENTAGEM ACUMULADA</t>
  </si>
  <si>
    <t>Serviço</t>
  </si>
  <si>
    <t>m³xkm</t>
  </si>
  <si>
    <t>ITEM</t>
  </si>
  <si>
    <t>UNIDADE</t>
  </si>
  <si>
    <t>Logradouro</t>
  </si>
  <si>
    <t>Compr.</t>
  </si>
  <si>
    <t>Espessura</t>
  </si>
  <si>
    <t>Área</t>
  </si>
  <si>
    <t>Volume</t>
  </si>
  <si>
    <t>DMT</t>
  </si>
  <si>
    <t>(Unidade)</t>
  </si>
  <si>
    <t>km</t>
  </si>
  <si>
    <t>Total</t>
  </si>
  <si>
    <t>Taxa</t>
  </si>
  <si>
    <t>M</t>
  </si>
  <si>
    <t>Comprim.  Rua</t>
  </si>
  <si>
    <t>Interseç.</t>
  </si>
  <si>
    <t>Largura inters.</t>
  </si>
  <si>
    <t>UNID.</t>
  </si>
  <si>
    <t>6º MÊS</t>
  </si>
  <si>
    <t>PREFEITURA MUNICIPAL DE JANUÁRIA</t>
  </si>
  <si>
    <t>7º MÊS</t>
  </si>
  <si>
    <t>8º MÊS</t>
  </si>
  <si>
    <t>9º MÊS</t>
  </si>
  <si>
    <t>10º MÊS</t>
  </si>
  <si>
    <t>11º MÊS</t>
  </si>
  <si>
    <t>12º MÊS</t>
  </si>
  <si>
    <t>CÓDIGO</t>
  </si>
  <si>
    <t>DESCRIÇÃO</t>
  </si>
  <si>
    <t>QTDE.</t>
  </si>
  <si>
    <t xml:space="preserve">PREÇO UNITÁRIO </t>
  </si>
  <si>
    <t>PREÇO TOTAL</t>
  </si>
  <si>
    <t>INSTALAÇÕES INICIAIS DA OBRA</t>
  </si>
  <si>
    <t>PT</t>
  </si>
  <si>
    <t>TXKM</t>
  </si>
  <si>
    <t>TOTAL GERAL DA OBRA………………………………………………………………………..………………………………………………………………………………………………………</t>
  </si>
  <si>
    <t>SETOP</t>
  </si>
  <si>
    <t>Transporte</t>
  </si>
  <si>
    <t>TON X KM</t>
  </si>
  <si>
    <t>ton x km</t>
  </si>
  <si>
    <t>litro / m²</t>
  </si>
  <si>
    <t>OBRA: PAVIMENTAÇÃO DISTRITO DE RIACHO DA CRUZ</t>
  </si>
  <si>
    <t>DATA DO ORÇAMENTO: 02/04/2013</t>
  </si>
  <si>
    <t>BDI =  30,00 %</t>
  </si>
  <si>
    <t>SETOP - DEZEMBRO 2012</t>
  </si>
  <si>
    <t>MEIO FIO E SARJETA</t>
  </si>
  <si>
    <t>CRONOGRAMA FÍSICO-FINANCEIRO</t>
  </si>
  <si>
    <t>ETAPAS/DESCRIÇÃO</t>
  </si>
  <si>
    <t>FÍSICO/ FINANCEIRO</t>
  </si>
  <si>
    <t>TOTAL  ETAPAS</t>
  </si>
  <si>
    <t>MÊS 1</t>
  </si>
  <si>
    <t>MÊS 2</t>
  </si>
  <si>
    <t>MÊS 3</t>
  </si>
  <si>
    <t>IIO-001</t>
  </si>
  <si>
    <t>Físico %</t>
  </si>
  <si>
    <t>Financeiro</t>
  </si>
  <si>
    <t>OBR-001</t>
  </si>
  <si>
    <t>DRE-001</t>
  </si>
  <si>
    <t>TER-001</t>
  </si>
  <si>
    <t>DRENAGEM</t>
  </si>
  <si>
    <t xml:space="preserve">FORMA DE EXECUÇÃO: </t>
  </si>
  <si>
    <t>(    )</t>
  </si>
  <si>
    <t>DIRETA</t>
  </si>
  <si>
    <t>(  x  )</t>
  </si>
  <si>
    <t>INDIRETA</t>
  </si>
  <si>
    <t>2.2</t>
  </si>
  <si>
    <t>2.3</t>
  </si>
  <si>
    <t>2.4</t>
  </si>
  <si>
    <t>SUB-TOTAL</t>
  </si>
  <si>
    <t>PREFEITURA MUNICIPAL DE MONTALVÂNIA</t>
  </si>
  <si>
    <t>MEMÓRIA DE CÁLCULO</t>
  </si>
  <si>
    <t>PREFEITURA: PREFEITURA MUNICIPAL DE MONTALVÂNIA</t>
  </si>
  <si>
    <t>ENGENHEIRO CIVIL</t>
  </si>
  <si>
    <t>PREFEITO MUNICIPAL</t>
  </si>
  <si>
    <t>COMPOSIÇÃO DA TAXA DE BENEFÍCIOS E DESPESAS INDIRETAS</t>
  </si>
  <si>
    <t>Grupo</t>
  </si>
  <si>
    <t>A</t>
  </si>
  <si>
    <t>Despesas indiretas</t>
  </si>
  <si>
    <t>A.1</t>
  </si>
  <si>
    <t>Administração central</t>
  </si>
  <si>
    <t>A.2</t>
  </si>
  <si>
    <t>Garantia</t>
  </si>
  <si>
    <t>A.3</t>
  </si>
  <si>
    <t>Risco</t>
  </si>
  <si>
    <t>Total do grupo A</t>
  </si>
  <si>
    <t>B</t>
  </si>
  <si>
    <t>Bonificação</t>
  </si>
  <si>
    <t>B.1</t>
  </si>
  <si>
    <t>Lucro</t>
  </si>
  <si>
    <t>Total do grupo B</t>
  </si>
  <si>
    <t>C</t>
  </si>
  <si>
    <t>Impostos</t>
  </si>
  <si>
    <t>C.1</t>
  </si>
  <si>
    <t>PIS</t>
  </si>
  <si>
    <t>C.2</t>
  </si>
  <si>
    <t>COFINS</t>
  </si>
  <si>
    <t>C.3</t>
  </si>
  <si>
    <t>ISSQN (Prefeitura de Montalvânia)*</t>
  </si>
  <si>
    <t>Total do grupo C</t>
  </si>
  <si>
    <t>D</t>
  </si>
  <si>
    <t>Despesas Financeiras (F)</t>
  </si>
  <si>
    <t>Total do grupo D</t>
  </si>
  <si>
    <t>Fórmula para o cálculo do B.D.I. ( benefícios e despesas indiretas )</t>
  </si>
  <si>
    <r>
      <t xml:space="preserve">BDI = BDI (%) = </t>
    </r>
    <r>
      <rPr>
        <u/>
        <sz val="12"/>
        <rFont val="Arial"/>
        <family val="2"/>
      </rPr>
      <t>(1+AC+G+R) x (1+DF) x (1+L) - 1  x 100</t>
    </r>
  </si>
  <si>
    <t>_______________________________</t>
  </si>
  <si>
    <t>Engenheiro Civil</t>
  </si>
  <si>
    <t xml:space="preserve">BDI: </t>
  </si>
  <si>
    <t>C.4</t>
  </si>
  <si>
    <t xml:space="preserve">                               (1- (I+INSS))</t>
  </si>
  <si>
    <t>INSS</t>
  </si>
  <si>
    <t>2.5</t>
  </si>
  <si>
    <t>FREDSON LOPES FRANÇA</t>
  </si>
  <si>
    <t>3.3</t>
  </si>
  <si>
    <t>BDI</t>
  </si>
  <si>
    <t>SEM BDI</t>
  </si>
  <si>
    <t>COM BDI</t>
  </si>
  <si>
    <t>RO-001</t>
  </si>
  <si>
    <t xml:space="preserve">VALOR : </t>
  </si>
  <si>
    <t>TOTAL ACUMULADO</t>
  </si>
  <si>
    <t>FELIPE MATHEUS LOPES DOS ANJOS</t>
  </si>
  <si>
    <t>CREA MG 295973</t>
  </si>
  <si>
    <t>5.2</t>
  </si>
  <si>
    <t>5.3</t>
  </si>
  <si>
    <t>COMPLEMENTARES</t>
  </si>
  <si>
    <t>5.5</t>
  </si>
  <si>
    <t>5.6</t>
  </si>
  <si>
    <t>Qtde total meio fio</t>
  </si>
  <si>
    <t>4.2</t>
  </si>
  <si>
    <t>SINAPI</t>
  </si>
  <si>
    <t>20.11.05</t>
  </si>
  <si>
    <t>IMPRIMAÇÃO COM EMULSÃO ASFÁLTICA - EAI, LIMPEZA MANUAL</t>
  </si>
  <si>
    <t>20.12.01</t>
  </si>
  <si>
    <t>PINTURA DE LIGAÇÃO COM RR-1C</t>
  </si>
  <si>
    <t>ED-7624</t>
  </si>
  <si>
    <t>EXECUÇÃO E APLICAÇÃO DE CONCRETO ASFÁLTICO PREMISTURADO
À FRIO (PMF), EM BETONEIRA, INCLUINDO FORNECIMENTO E TRANSPORTE DOS AGREGADOS E MATERIAL BETUMINOSO, INCLUSIVE TRANSPORTE DA MASSA ASFÁLTICA ATÉ A PISTA</t>
  </si>
  <si>
    <t>CASCALHO DE CAVA</t>
  </si>
  <si>
    <t>RO-00269</t>
  </si>
  <si>
    <t>Regularização do subleito - Compactado na energia intermediária</t>
  </si>
  <si>
    <t>RO-00318</t>
  </si>
  <si>
    <t>Base de solo estabilizado granulometricamente sem mistura com
material de jazida - Compactado na energia modificada (Execução,
incluído escavação e carga do material de jazida, exclui o transporte)</t>
  </si>
  <si>
    <t>ED-50274</t>
  </si>
  <si>
    <t>LOCAÇÃO TOPOGRÁFICA PARA ATÉ VINTE (20) PONTOS
REFERENCIAIS, INCLUSIVE ESTACA (PIQUETE) DE MARCAÇÃO</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</si>
  <si>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</si>
  <si>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</si>
  <si>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LOCAL: CENTRO - MONTALAVÂNIA - MG</t>
  </si>
  <si>
    <t>V. Unit.Total</t>
  </si>
  <si>
    <t>V. Unit. Total</t>
  </si>
  <si>
    <t>4.3</t>
  </si>
  <si>
    <t>5.7</t>
  </si>
  <si>
    <t>CO-27431</t>
  </si>
  <si>
    <t>PROJETO EXECUTIVO DE INSTALAÇÕES ELÉTRICAS</t>
  </si>
  <si>
    <t>POSTE DE AÇO CÔNICO CONTÍNUO CURVO DUPLO, ENGASTAMENTO SIMPLES COM 1 M DE SOLO, H=9M - FORNECIMENTO E INSTALAÇÃO. AF_04/2025</t>
  </si>
  <si>
    <t>RELÉ FOTOELÉTRICO PARA COMANDO DE ILUMINAÇÃO EXTERNA 1000 W - FORNECIMENTO E INSTALAÇÃO.AF_02/2025</t>
  </si>
  <si>
    <t>DISJUNTOR BIPOLAR DR 63A - FORNECIMENTO E INSTALAÇÃO. AF_07/2025</t>
  </si>
  <si>
    <t>DISJUNTOR BIPOLAR TIPO DIN, CORRENTE NOMINAL DE 50A - FORNECIMENTO E INSTALAÇÃO. AF_07/2025</t>
  </si>
  <si>
    <t>ELETRODUTO FLEXÍVEL LISO, PEAD, DN 32 MM (1"), PARA CIRCUITOS TERMINAIS, INSTALADO EM LAJE -FORNECIMENTO E INSTALAÇÃO. AF_03/2023</t>
  </si>
  <si>
    <t>ED-49197</t>
  </si>
  <si>
    <t>CAIXA DE INSPEÇÃO EM CONCRETO, TIPO "ZA" PASSEIO, PADRÃO CEMIG, DIMENSÃO (28X28)CM, ALTURA 40CM, COM TAMPA E ARO ARTICULADO EM FERRO FUNDIDO, INCLUSIVE ESCAVAÇÃO, APILOAMENTO, LASTRO DE BRITA, REATERRO E TRANSPORTE COM RETIRADA DO MATERIAL ESCAVADO (EM CAÇAMBA)</t>
  </si>
  <si>
    <t>HASTE DE ATERRAMENTO, DIÂMETRO 5/8", COM 3 METROS - FORNECIMENTO E INSTALAÇÃO. AF_08/2023</t>
  </si>
  <si>
    <t>ED-48992</t>
  </si>
  <si>
    <t>CABO DE COBRE FLEXÍVEL, CLASSE 5, ISOLAMENTO TIPO EPR/ HEPR, NÃO HALOGENADO, ANTICHAMA, TERMOFIXO, UNIPOLAR, SEÇÃO 4 MM2, 90°C, 0,6/1KV</t>
  </si>
  <si>
    <t>ED-49001</t>
  </si>
  <si>
    <t>CABO DE COBRE FLEXÍVEL, CLASSE 5, ISOLAMENTO TIPO EPR/ HEPR, NÃO HALOGENADO, ANTICHAMA, TERMOFIXO, UNIPOLAR, SEÇÃO 16 MM2, 90°C, 0,6/1KV</t>
  </si>
  <si>
    <t>5.8</t>
  </si>
  <si>
    <t>5.9</t>
  </si>
  <si>
    <t>5.10</t>
  </si>
  <si>
    <t>5.11</t>
  </si>
  <si>
    <t>5.12</t>
  </si>
  <si>
    <t>5.13</t>
  </si>
  <si>
    <t>5.14</t>
  </si>
  <si>
    <t>5.15</t>
  </si>
  <si>
    <t>CO-27426</t>
  </si>
  <si>
    <t>PROJETO EXECUTIVO DE DRENAGEM PLUVIAL</t>
  </si>
  <si>
    <t>4.4</t>
  </si>
  <si>
    <t>ED-20588</t>
  </si>
  <si>
    <t>ENTRADA DE ENERGIA AÉREA, TIPO C8, PADRÃO CEMIG, CARGA
INSTALADA DE 66,1KVA ATÉ 75KVA, TRIFÁSICO, COM SAÍDA
SUBTERRÂNEA, INCLUSIVE POSTE, CAIXA PARA MEDIDOR,
DISJUNTOR, BARRAMENTO, ATERRAMENTO E ACESSÓRIOS</t>
  </si>
  <si>
    <t>ESPAÇO DE EVENTOS</t>
  </si>
  <si>
    <t>GUIA (MEIO-FIO) E SARJETA CONJUGADOS DE CONCRETO, MOLDADA IN LOCO EM TRECHO CURVO COM EXTRUSORA, 45 CM BASE (15 CM BASE DA GUIA + 30 CM BASE DA SARJETA) X 22 CM ALTURA. AF_01/2024</t>
  </si>
  <si>
    <t>4.5</t>
  </si>
  <si>
    <t>RO-00084</t>
  </si>
  <si>
    <t>REATERRO MECANIZADO DE VALA COM ESCAVADEIRA HIDRÁULICA (CAPACIDADE DA CAÇAMBA: 0,8 M³/POTÊNCIA: 111 HP), LARGURA 1,5 A 2,5 M, PROFUNDIDADE 1,5 A 3,0 M, COM SOLO (SEM SUBSTITUIÇÃO) DE 1ª CATEGORIA, COM COMPACTADOR DE SOLOS DE PERCUSSÃO. AF_08/2023</t>
  </si>
  <si>
    <t>ED-7540</t>
  </si>
  <si>
    <t>4.6</t>
  </si>
  <si>
    <t>4.7</t>
  </si>
  <si>
    <t>ED-50982</t>
  </si>
  <si>
    <t>PORTÃO EM CHAPA DE AÇO GALVANIZADO, TIPO LAMBRIL, ESP. 1,
25MM (GSG-18), COM REQUADRO EM TUBO DE AÇO (50X30)MM,
ESP. 1,25MM, EXCLUSIVE CADEADO E PINTURA</t>
  </si>
  <si>
    <t>ED-48646</t>
  </si>
  <si>
    <t>ED-49814</t>
  </si>
  <si>
    <t>REGIÃO/MÊS DE REFERÊNCIA: SETOP - OUTUBRO/2025, SINAPI JANEIRO/2024 E NOVEMBRO/2025, SUDECAP SETEMBRO/2025</t>
  </si>
  <si>
    <t>TUBO DE CONCRETO PARA REDES COLETORAS DE ÁGUAS PLUVIAIS, DIÂMETRO DE 1000 MM, JUNTA RÍGIDA, INSTALADO EM LOCAL COM BAIXO NÍVEL DE INTERFERÊNCIAS - FORNECIMENTO E ASSENTAMENTO. AF_03/2024</t>
  </si>
  <si>
    <t>POÇO DE VISITA PARA REDE TUBULAR TIPO B DN 1000, EXCLUSIVE ESCAVAÇÃO, REATERRO E BOTA FORA</t>
  </si>
  <si>
    <t>Escavação, carga e transporte de material de 1ª categoria - executado com escavadeira de 1,40 m3 e caminhão basculante de 12 m3 e com caminho de serviço pavimentado - DMT de 3.000 m</t>
  </si>
  <si>
    <t>5.16</t>
  </si>
  <si>
    <t>LUMINÁRIA DE LED PARA ILUMINAÇÃO PÚBLICA, DE 181 W ATÉ 239 W - FORNECIMENTO E INSTALAÇÃO. AF_02/2025_PS</t>
  </si>
  <si>
    <t>PRAZO DE EXECUÇÃO: 03 Meses</t>
  </si>
  <si>
    <t>PRAZO DA OBRA: 03 meses</t>
  </si>
  <si>
    <t>4.8</t>
  </si>
  <si>
    <t>DATA: 01/2026</t>
  </si>
  <si>
    <t>DATA DO ORÇAMENTO: 01/2026</t>
  </si>
  <si>
    <t>PLANILHA ORÇAMENTÁRIA DE CUSTOS</t>
  </si>
  <si>
    <t>DRENO PROFUNDO (SEÇÃO 0,50 X 1,50 M), COM TUBO DE PEAD CORRUGADO PERFURADO, DN 100 MM, ENCHIMENTO COM BRITA, ENVOLVIDO COM MANTA GEOTÊXTIL. AF_07/2021</t>
  </si>
  <si>
    <t>4.9</t>
  </si>
  <si>
    <t>ED-49917</t>
  </si>
  <si>
    <t>4.10</t>
  </si>
  <si>
    <t>CAIXA MODULAR PARA MEDIDOR DE ENERGIA AGRUPADA, EM
POLICARBONATO / TERMOPLASTICO, COM SUPORTE PARA DISJUNTOR
(PADRAO DA CONCESSIONARIA LOCAL)</t>
  </si>
  <si>
    <t>5.17</t>
  </si>
  <si>
    <t>COTAÇÕES GRADIL - MG7 - CNPJ: 60.440.683/0001-20</t>
  </si>
  <si>
    <t>QNT</t>
  </si>
  <si>
    <t xml:space="preserve">VALOR UNIT. </t>
  </si>
  <si>
    <t>GRADIL 2,03X2,5</t>
  </si>
  <si>
    <t>POSTE RET. 2,60M 60X40MM</t>
  </si>
  <si>
    <t>FIXADORES</t>
  </si>
  <si>
    <t>COTAÇÕES GRADIL -TELAS VITORIA - CNPJ: 32.951.470/0001-27</t>
  </si>
  <si>
    <t xml:space="preserve">GRADIL </t>
  </si>
  <si>
    <t>COTAÇÃO</t>
  </si>
  <si>
    <t>MEDIA</t>
  </si>
  <si>
    <t>COTAÇÕES GRADIL -METALURGICA BARBATI INDUSTRIA E COMERCIO LTDA - CNPJ: 06.047.418/0001-30</t>
  </si>
  <si>
    <t>CONJUNTO FIXACAO FECHAMENTO EM GRADIL ARENA</t>
  </si>
  <si>
    <t>TAMPA PARA TUBO 60X40 MM AMARELO</t>
  </si>
  <si>
    <t>PARAF SEXT 5/16 X 3/4 ZC</t>
  </si>
  <si>
    <t>FRETE</t>
  </si>
  <si>
    <t>25% MAO DE OBRA</t>
  </si>
  <si>
    <t>ED-48195</t>
  </si>
  <si>
    <t>ALVENARIA DE VEDAÇÃO COM BLOCO DE CONCRETO, ESP. 14CM,
INCLUSIVE ARGAMASSA PARA ASSENTAMENTO</t>
  </si>
  <si>
    <t>ED-50850</t>
  </si>
  <si>
    <t>VIGA DE 0,21 A 0,35 M DE LARGURA EM CONCRETO 20MPa,
APARENTE, ARMAÇÃO, FÔRMA PLASTIFICADA, ESCORAMENTO E
DESFORMA</t>
  </si>
  <si>
    <t>PILAR EM CONCRETO APARENTE 20 MPa, INCLUSIVE ARMAÇÃO,
FÔRMA PLASTIFICADA E DESFORMA</t>
  </si>
  <si>
    <t>ED-50842</t>
  </si>
  <si>
    <t>ED-50727</t>
  </si>
  <si>
    <t>CHAPISCO COM ARGAMASSA, TRAÇO 1:3 (CIMENTO E AREIA), ESP
. 5MM, APLICADO EM ALVENARIA/ESTRUTURA DE CONCRETO
COM COLHER, INCLUSIVE ARGAMASSA COM PREPARO
MECANIZADO</t>
  </si>
  <si>
    <t>m2</t>
  </si>
  <si>
    <t>REBOCO COM ARGAMASSA, TRAÇO 1:2:8 (CIMENTO, CAL E AREIA)
, ESP. 20MM, APLICAÇÃO MANUAL, INCLUSIVE ARGAMASSA COM
PREPARO MECANIZADO, EXCLUSIVE CHAPISCO</t>
  </si>
  <si>
    <t>ED-50761</t>
  </si>
  <si>
    <t>5.4</t>
  </si>
  <si>
    <t>5.18</t>
  </si>
  <si>
    <t>5.19</t>
  </si>
  <si>
    <t>5.20</t>
  </si>
  <si>
    <t>LUMINÁRIA DE LED PARA ILUMINAÇÃO PÚBLICA, DE 98 W ATÉ 137 W - FORNECIMENTO E INSTALAÇÃO.
AF_02/2025_PS</t>
  </si>
  <si>
    <t>4.11</t>
  </si>
  <si>
    <t>BACIA DE DISSIPAÇÃO, LARGURA DE 1 A 4 M, TIPO BACIA EM PEDRA DE MÃO FIXADA COM CONCRETO (DEB 03, 04, 05, 06), COM PREPARO MANUAL, FCK = 20 MPA, LANÇADO MANUALMENTE, INCLUINDO MATERIAIS E FÔRMAS (2 UTILIZAÇÕES). AF_08/2022</t>
  </si>
  <si>
    <t>4.12</t>
  </si>
  <si>
    <t>4.13</t>
  </si>
  <si>
    <t>CENTRO DE EVENTOS</t>
  </si>
  <si>
    <t>POSTE DE AÇO CÔNICO CONTÍNUO RETO, ENGASTAMENTO SIMPLES COM 1 M DE SOLO, H=9M - FORNECIMENTO E INSTALAÇÃO. AF_04/2025</t>
  </si>
  <si>
    <t>UNID</t>
  </si>
  <si>
    <t>OBRA: PAVIMENTAÇÃO ASFÁLTICA EM PMF COM EXECUÇÃO DE DRENAGEM NO CENTRO DE EVENTOS, JUNTAMENTE COM SERVIÇOS COMPLEMENTARES NO CENTRO DE EVENTOS E ALAMEDA COCHANINA</t>
  </si>
  <si>
    <t>CONCRETO CICLÓPICO FCK = 15MPA, 30% PEDRA DE MÃO EM VOLUME REAL, INCLUSIVE LANÇAMENTO. AF_05/2021</t>
  </si>
  <si>
    <t>LASTRO DE AREIA, INCLUSIVE ADENSAMENTO E APILOAMENTO MANUAL</t>
  </si>
  <si>
    <t>EXECUÇÃO DE SARJETA DE CONCRETO USINADO, MOLDADA IN LOCO EM TRECHO RETO, 30 CM BASE X 10 CM ALTURA. AF_01/2024</t>
  </si>
  <si>
    <t>TRANSPORTE DE TUBO DE CONCRETO, EM CAMINHÃO, TRAÇÃO 6X2, TIPO TRUCADO, PESO BRUTO TOTAL (PBT) DE 23.000KG, COM GUINDASTE ARTICULADO, MOMENTO DE CARGA MÁXIMO DE 10TXM, E CARROCERIA DE CARGA SECA, COM CAPACIDADE DE 14T, EM RODOVIA PAVIMENTADA, EXCLUSIVE MANOBRA, CARGA E DESCARGA</t>
  </si>
  <si>
    <t>CAIXA DE DRENAGEM DE INSPEÇÃO/PASSAGEM EM ALVENARIA ( 60X60X100CM), REVESTIMENTO EM ARGAMASSA COM ADITIVO IMPERMEABILIZANTE, COM TAMPA EM GRELHA, INCLUSIVE ESCAVAÇÃO, REATERRO E TRANSPORTE COM RETIRADA DO MATERIAL ESCAVADO (EM CAÇAMBA)</t>
  </si>
  <si>
    <t>LOCAL: ALAMEDA COCHANINA - CENTRO - MONTALVANIA - MG</t>
  </si>
  <si>
    <t>PLANILHA ORÇAMENTÁRIA</t>
  </si>
  <si>
    <t>LICITAÇÃO Nº</t>
  </si>
  <si>
    <t>EDITAL Nº</t>
  </si>
  <si>
    <t>ÓRGÃO</t>
  </si>
  <si>
    <t>DATA</t>
  </si>
  <si>
    <t>OBJETO</t>
  </si>
  <si>
    <t>PAVIMENTAÇÃO ASFÁLTICA EM PMF DE RUAS DO BAIRRO NOVO HORIZONTE E RECAPEMENTO DE TRECHO DA RUA DA VINCI</t>
  </si>
  <si>
    <t>LOTE</t>
  </si>
  <si>
    <t>MODALIDADE</t>
  </si>
  <si>
    <t>REGIME DE EXECUÇÃO</t>
  </si>
  <si>
    <t>CIDADE</t>
  </si>
  <si>
    <t>MONTALVÂNIA</t>
  </si>
  <si>
    <t>UF</t>
  </si>
  <si>
    <t>MG</t>
  </si>
  <si>
    <t>DATA BASE DO ORÇAMENTO</t>
  </si>
  <si>
    <t>DESONERAÇÃO</t>
  </si>
  <si>
    <t>ENCARGOS SOCIAIS - HORISTAS (%)</t>
  </si>
  <si>
    <t>BDI 1</t>
  </si>
  <si>
    <t>BDI 2</t>
  </si>
  <si>
    <t>Sim</t>
  </si>
  <si>
    <t>ENCARGOS SOCIAIS - MENSALISTAS (%)</t>
  </si>
  <si>
    <t>LEGENDA</t>
  </si>
  <si>
    <t>PREENCHIMENTO OBRIGATÓRIO</t>
  </si>
  <si>
    <t>PREENCHIIMENTO FACULTATIVO</t>
  </si>
  <si>
    <t>PREENCHIMENTO AUTOMÁTICO</t>
  </si>
  <si>
    <t>TIPO DE VALOR</t>
  </si>
  <si>
    <t>TOTAL GERAL</t>
  </si>
  <si>
    <t>CUSTO (SEM BDI)</t>
  </si>
  <si>
    <t>REFERÊNCIA</t>
  </si>
  <si>
    <t>DESCRIÇÃO DOS SERVIÇOS</t>
  </si>
  <si>
    <t>QUANTIDADE</t>
  </si>
  <si>
    <t>VALOR UNITÁRIO (R$)</t>
  </si>
  <si>
    <t>CUSTO UNITÁRIO (SEM BDI)</t>
  </si>
  <si>
    <t>PREÇO UNITÁRIO (COM BDI)</t>
  </si>
  <si>
    <t>SERVIÇOS INICIAIS</t>
  </si>
  <si>
    <t>2</t>
  </si>
  <si>
    <t>TERRAPLANAGEM</t>
  </si>
  <si>
    <t>3</t>
  </si>
  <si>
    <t>4</t>
  </si>
  <si>
    <t>5</t>
  </si>
  <si>
    <t>5.21</t>
  </si>
  <si>
    <t>5.22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</si>
</sst>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R$&quot;\ * #,##0.00_-;\-&quot;R$&quot;\ * #,##0.00_-;_-&quot;R$&quot;\ * &quot;-&quot;??_-;_-@_-"/>
    <numFmt numFmtId="43" formatCode="_-* #,##0.00_-;\-* #,##0.00_-;_-* &quot;-&quot;??_-;_-@_-"/>
    <numFmt numFmtId="164" formatCode="&quot;R$&quot;\ #,##0.00"/>
    <numFmt numFmtId="165" formatCode="&quot;R$ &quot;#,##0.00"/>
    <numFmt numFmtId="166" formatCode="_(* #,##0.00_);_(* \(#,##0.00\);_(* &quot;-&quot;??_);_(@_)"/>
    <numFmt numFmtId="167" formatCode="#,##0.000000"/>
    <numFmt numFmtId="168" formatCode="#,##0.0000"/>
    <numFmt numFmtId="169" formatCode="0.000000"/>
    <numFmt numFmtId="170" formatCode="_-&quot;R$&quot;\ * #,##0.0000_-;\-&quot;R$&quot;\ * #,##0.0000_-;_-&quot;R$&quot;\ * &quot;-&quot;????_-;_-@_-"/>
    <numFmt numFmtId="171" formatCode="#,##0.00000"/>
  </numFmts>
  <fonts count="32" x14ac:knownFonts="1">
    <font>
      <sz val="10"/>
      <name val="Arial"/>
    </font>
    <font>
      <sz val="11"/>
      <color theme="1"/>
      <name val="Calibri"/>
      <family val="2"/>
      <scheme val="minor"/>
    </font>
    <font>
      <sz val="11"/>
      <color theme="1"/>
      <name val="Calibri"/>
      <family val="2"/>
      <scheme val="minor"/>
    </font>
    <font>
      <sz val="10"/>
      <name val="Arial"/>
      <family val="2"/>
    </font>
    <font>
      <sz val="8"/>
      <name val="Arial"/>
      <family val="2"/>
    </font>
    <font>
      <sz val="12"/>
      <name val="Arial"/>
      <family val="2"/>
    </font>
    <font>
      <b/>
      <sz val="11"/>
      <color indexed="8"/>
      <name val="Arial"/>
      <family val="2"/>
    </font>
    <font>
      <sz val="11"/>
      <color indexed="8"/>
      <name val="Arial"/>
      <family val="2"/>
    </font>
    <font>
      <b/>
      <sz val="14"/>
      <name val="Arial"/>
      <family val="2"/>
    </font>
    <font>
      <sz val="9"/>
      <name val="Arial"/>
      <family val="2"/>
    </font>
    <font>
      <b/>
      <sz val="12"/>
      <name val="Arial"/>
      <family val="2"/>
    </font>
    <font>
      <b/>
      <sz val="10"/>
      <name val="Arial"/>
      <family val="2"/>
    </font>
    <font>
      <b/>
      <sz val="11"/>
      <name val="Arial"/>
      <family val="2"/>
    </font>
    <font>
      <sz val="11"/>
      <name val="Arial"/>
      <family val="2"/>
    </font>
    <font>
      <sz val="10"/>
      <name val="Arial"/>
      <family val="2"/>
    </font>
    <font>
      <sz val="14"/>
      <color indexed="8"/>
      <name val="Arial"/>
      <family val="2"/>
    </font>
    <font>
      <b/>
      <sz val="22"/>
      <name val="Arial"/>
      <family val="2"/>
    </font>
    <font>
      <b/>
      <sz val="16"/>
      <name val="Arial"/>
      <family val="2"/>
    </font>
    <font>
      <sz val="10"/>
      <name val="Arial"/>
      <family val="2"/>
    </font>
    <font>
      <b/>
      <sz val="9"/>
      <name val="Arial"/>
      <family val="2"/>
    </font>
    <font>
      <b/>
      <sz val="10"/>
      <color theme="1"/>
      <name val="Arial"/>
      <family val="2"/>
    </font>
    <font>
      <u/>
      <sz val="12"/>
      <name val="Arial"/>
      <family val="2"/>
    </font>
    <font>
      <sz val="10"/>
      <name val="Arial"/>
      <family val="2"/>
    </font>
    <font>
      <sz val="10"/>
      <name val="Arial"/>
    </font>
    <font>
      <sz val="10"/>
      <color indexed="8"/>
      <name val="Arial"/>
      <family val="2"/>
    </font>
    <font>
      <b/>
      <sz val="11"/>
      <color theme="1"/>
      <name val="Calibri"/>
      <family val="2"/>
      <scheme val="minor"/>
    </font>
    <font>
      <b/>
      <sz val="16"/>
      <color theme="1"/>
      <name val="Calibri"/>
      <family val="2"/>
      <scheme val="minor"/>
    </font>
    <font>
      <b/>
      <sz val="10"/>
      <color theme="1"/>
      <name val="Calibri"/>
      <family val="2"/>
      <scheme val="minor"/>
    </font>
    <font>
      <sz val="10"/>
      <color theme="1"/>
      <name val="Calibri"/>
      <family val="2"/>
      <scheme val="minor"/>
    </font>
    <font>
      <b/>
      <sz val="9"/>
      <color indexed="81"/>
      <name val="Segoe UI"/>
      <family val="2"/>
    </font>
    <font>
      <sz val="9"/>
      <color indexed="81"/>
      <name val="Segoe UI"/>
      <family val="2"/>
    </font>
    <font>
      <sz val="8"/>
      <name val="Arial"/>
    </font>
  </fonts>
  <fills count="10">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FF96"/>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theme="0" tint="-4.9989318521683403E-2"/>
        <bgColor indexed="64"/>
      </patternFill>
    </fill>
  </fills>
  <borders count="11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right/>
      <top/>
      <bottom style="medium">
        <color indexed="64"/>
      </bottom>
      <diagonal/>
    </border>
    <border>
      <left/>
      <right style="thin">
        <color indexed="64"/>
      </right>
      <top/>
      <bottom style="medium">
        <color indexed="64"/>
      </bottom>
      <diagonal/>
    </border>
    <border>
      <left/>
      <right/>
      <top style="thin">
        <color indexed="64"/>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thin">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medium">
        <color indexed="64"/>
      </left>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hair">
        <color indexed="64"/>
      </top>
      <bottom style="hair">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ck">
        <color auto="1"/>
      </left>
      <right/>
      <top style="thick">
        <color auto="1"/>
      </top>
      <bottom style="medium">
        <color auto="1"/>
      </bottom>
      <diagonal/>
    </border>
    <border>
      <left/>
      <right/>
      <top style="thick">
        <color auto="1"/>
      </top>
      <bottom style="medium">
        <color auto="1"/>
      </bottom>
      <diagonal/>
    </border>
    <border>
      <left/>
      <right style="medium">
        <color auto="1"/>
      </right>
      <top style="thick">
        <color auto="1"/>
      </top>
      <bottom style="medium">
        <color auto="1"/>
      </bottom>
      <diagonal/>
    </border>
    <border>
      <left style="medium">
        <color auto="1"/>
      </left>
      <right/>
      <top style="thick">
        <color auto="1"/>
      </top>
      <bottom style="medium">
        <color auto="1"/>
      </bottom>
      <diagonal/>
    </border>
    <border>
      <left/>
      <right style="thick">
        <color auto="1"/>
      </right>
      <top style="thick">
        <color auto="1"/>
      </top>
      <bottom style="medium">
        <color auto="1"/>
      </bottom>
      <diagonal/>
    </border>
    <border>
      <left style="thick">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right style="thick">
        <color auto="1"/>
      </right>
      <top style="medium">
        <color auto="1"/>
      </top>
      <bottom style="medium">
        <color auto="1"/>
      </bottom>
      <diagonal/>
    </border>
    <border>
      <left style="thick">
        <color auto="1"/>
      </left>
      <right/>
      <top style="medium">
        <color auto="1"/>
      </top>
      <bottom/>
      <diagonal/>
    </border>
    <border>
      <left/>
      <right style="medium">
        <color auto="1"/>
      </right>
      <top style="medium">
        <color auto="1"/>
      </top>
      <bottom/>
      <diagonal/>
    </border>
    <border>
      <left style="medium">
        <color indexed="64"/>
      </left>
      <right style="medium">
        <color indexed="64"/>
      </right>
      <top style="medium">
        <color indexed="64"/>
      </top>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medium">
        <color auto="1"/>
      </top>
      <bottom/>
      <diagonal/>
    </border>
    <border>
      <left/>
      <right style="thick">
        <color auto="1"/>
      </right>
      <top style="medium">
        <color auto="1"/>
      </top>
      <bottom/>
      <diagonal/>
    </border>
    <border>
      <left style="thick">
        <color auto="1"/>
      </left>
      <right/>
      <top/>
      <bottom style="thick">
        <color auto="1"/>
      </bottom>
      <diagonal/>
    </border>
    <border>
      <left/>
      <right style="medium">
        <color auto="1"/>
      </right>
      <top/>
      <bottom style="thick">
        <color auto="1"/>
      </bottom>
      <diagonal/>
    </border>
    <border>
      <left style="medium">
        <color auto="1"/>
      </left>
      <right style="medium">
        <color auto="1"/>
      </right>
      <top/>
      <bottom style="thick">
        <color auto="1"/>
      </bottom>
      <diagonal/>
    </border>
    <border>
      <left style="medium">
        <color auto="1"/>
      </left>
      <right/>
      <top style="thin">
        <color auto="1"/>
      </top>
      <bottom style="thick">
        <color auto="1"/>
      </bottom>
      <diagonal/>
    </border>
    <border>
      <left/>
      <right style="medium">
        <color auto="1"/>
      </right>
      <top style="thin">
        <color auto="1"/>
      </top>
      <bottom style="thick">
        <color auto="1"/>
      </bottom>
      <diagonal/>
    </border>
    <border>
      <left style="medium">
        <color auto="1"/>
      </left>
      <right/>
      <top/>
      <bottom style="thick">
        <color auto="1"/>
      </bottom>
      <diagonal/>
    </border>
    <border>
      <left/>
      <right style="thick">
        <color auto="1"/>
      </right>
      <top/>
      <bottom style="thick">
        <color auto="1"/>
      </bottom>
      <diagonal/>
    </border>
    <border>
      <left style="double">
        <color auto="1"/>
      </left>
      <right style="double">
        <color auto="1"/>
      </right>
      <top style="double">
        <color auto="1"/>
      </top>
      <bottom/>
      <diagonal/>
    </border>
    <border>
      <left style="double">
        <color auto="1"/>
      </left>
      <right/>
      <top style="double">
        <color auto="1"/>
      </top>
      <bottom style="double">
        <color auto="1"/>
      </bottom>
      <diagonal/>
    </border>
    <border>
      <left/>
      <right style="double">
        <color auto="1"/>
      </right>
      <top style="double">
        <color auto="1"/>
      </top>
      <bottom style="double">
        <color auto="1"/>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thin">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s>
  <cellStyleXfs count="15">
    <xf numFmtId="0" fontId="0" fillId="0" borderId="0"/>
    <xf numFmtId="44" fontId="14" fillId="0" borderId="0" applyFont="0" applyFill="0" applyBorder="0" applyAlignment="0" applyProtection="0"/>
    <xf numFmtId="9" fontId="14" fillId="0" borderId="0" applyFont="0" applyFill="0" applyBorder="0" applyAlignment="0" applyProtection="0"/>
    <xf numFmtId="166" fontId="18" fillId="0" borderId="0" applyFont="0" applyFill="0" applyBorder="0" applyAlignment="0" applyProtection="0"/>
    <xf numFmtId="0" fontId="2" fillId="0" borderId="0"/>
    <xf numFmtId="0" fontId="3" fillId="0" borderId="0"/>
    <xf numFmtId="9" fontId="2" fillId="0" borderId="0" applyFont="0" applyFill="0" applyBorder="0" applyAlignment="0" applyProtection="0"/>
    <xf numFmtId="9" fontId="22" fillId="0" borderId="0" applyFont="0" applyFill="0" applyBorder="0" applyAlignment="0" applyProtection="0"/>
    <xf numFmtId="166" fontId="22" fillId="0" borderId="0" applyFont="0" applyFill="0" applyBorder="0" applyAlignment="0" applyProtection="0"/>
    <xf numFmtId="0" fontId="3" fillId="0" borderId="0"/>
    <xf numFmtId="166" fontId="3" fillId="0" borderId="0" applyFont="0" applyFill="0" applyBorder="0" applyAlignment="0" applyProtection="0"/>
    <xf numFmtId="44"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23" fillId="0" borderId="0" applyFont="0" applyFill="0" applyBorder="0" applyAlignment="0" applyProtection="0"/>
  </cellStyleXfs>
  <cellXfs count="473">
    <xf numFmtId="0" fontId="0" fillId="0" borderId="0" xfId="0"/>
    <xf numFmtId="0" fontId="5" fillId="0" borderId="0" xfId="0" applyFont="1"/>
    <xf numFmtId="0" fontId="11" fillId="0" borderId="0" xfId="0" applyFont="1" applyAlignment="1">
      <alignment vertical="top" wrapText="1"/>
    </xf>
    <xf numFmtId="0" fontId="0" fillId="0" borderId="0" xfId="0" applyAlignment="1">
      <alignment vertical="top" wrapText="1"/>
    </xf>
    <xf numFmtId="0" fontId="0" fillId="0" borderId="16" xfId="0" applyBorder="1" applyAlignment="1">
      <alignment vertical="top" wrapText="1"/>
    </xf>
    <xf numFmtId="0" fontId="0" fillId="0" borderId="17" xfId="0" applyBorder="1" applyAlignment="1">
      <alignment vertical="top" wrapText="1"/>
    </xf>
    <xf numFmtId="0" fontId="11" fillId="0" borderId="0" xfId="0" applyFont="1" applyAlignment="1">
      <alignment horizontal="center" vertical="top" wrapText="1"/>
    </xf>
    <xf numFmtId="0" fontId="0" fillId="0" borderId="0" xfId="0" applyAlignment="1">
      <alignment horizontal="center" vertical="top" wrapText="1"/>
    </xf>
    <xf numFmtId="0" fontId="0" fillId="0" borderId="17" xfId="0" applyBorder="1" applyAlignment="1">
      <alignment horizontal="center" vertical="top" wrapText="1"/>
    </xf>
    <xf numFmtId="0" fontId="0" fillId="0" borderId="18" xfId="0" applyBorder="1" applyAlignment="1">
      <alignment horizontal="center" vertical="top" wrapText="1"/>
    </xf>
    <xf numFmtId="0" fontId="10" fillId="0" borderId="0" xfId="0" applyFont="1"/>
    <xf numFmtId="0" fontId="3" fillId="0" borderId="0" xfId="0" applyFont="1"/>
    <xf numFmtId="10" fontId="3" fillId="0" borderId="0" xfId="2" applyNumberFormat="1" applyFont="1" applyBorder="1" applyAlignment="1">
      <alignment horizontal="center"/>
    </xf>
    <xf numFmtId="0" fontId="6" fillId="2" borderId="4" xfId="0" applyFont="1" applyFill="1" applyBorder="1" applyAlignment="1">
      <alignment horizontal="center"/>
    </xf>
    <xf numFmtId="0" fontId="7" fillId="0" borderId="4" xfId="0" applyFont="1" applyBorder="1"/>
    <xf numFmtId="0" fontId="7" fillId="0" borderId="4" xfId="0" applyFont="1" applyBorder="1" applyAlignment="1">
      <alignment horizontal="center"/>
    </xf>
    <xf numFmtId="0" fontId="7" fillId="2" borderId="4" xfId="0" applyFont="1" applyFill="1" applyBorder="1" applyAlignment="1">
      <alignment horizontal="center" vertical="center"/>
    </xf>
    <xf numFmtId="0" fontId="7" fillId="2" borderId="7" xfId="0" applyFont="1" applyFill="1" applyBorder="1" applyAlignment="1">
      <alignment horizontal="center" vertical="center"/>
    </xf>
    <xf numFmtId="10" fontId="7" fillId="0" borderId="4" xfId="2" applyNumberFormat="1" applyFont="1" applyBorder="1"/>
    <xf numFmtId="4" fontId="7" fillId="0" borderId="4" xfId="0" applyNumberFormat="1" applyFont="1" applyBorder="1"/>
    <xf numFmtId="10" fontId="0" fillId="0" borderId="0" xfId="2" applyNumberFormat="1" applyFont="1"/>
    <xf numFmtId="10" fontId="7" fillId="0" borderId="4" xfId="0" applyNumberFormat="1" applyFont="1" applyBorder="1"/>
    <xf numFmtId="0" fontId="5" fillId="0" borderId="0" xfId="0" applyFont="1" applyAlignment="1">
      <alignment horizontal="left"/>
    </xf>
    <xf numFmtId="0" fontId="11" fillId="0" borderId="4" xfId="0" applyFont="1" applyBorder="1" applyAlignment="1">
      <alignment horizontal="center"/>
    </xf>
    <xf numFmtId="0" fontId="0" fillId="0" borderId="4" xfId="0" applyBorder="1" applyAlignment="1">
      <alignment horizontal="center"/>
    </xf>
    <xf numFmtId="0" fontId="0" fillId="0" borderId="0" xfId="0" applyAlignment="1">
      <alignment horizontal="center"/>
    </xf>
    <xf numFmtId="49" fontId="9" fillId="0" borderId="10" xfId="0" applyNumberFormat="1" applyFont="1" applyBorder="1" applyAlignment="1">
      <alignment vertical="center"/>
    </xf>
    <xf numFmtId="0" fontId="16" fillId="0" borderId="0" xfId="0" applyFont="1" applyAlignment="1">
      <alignment vertical="justify"/>
    </xf>
    <xf numFmtId="0" fontId="16" fillId="0" borderId="15" xfId="0" applyFont="1" applyBorder="1" applyAlignment="1">
      <alignment vertical="justify"/>
    </xf>
    <xf numFmtId="0" fontId="15" fillId="0" borderId="0" xfId="0" applyFont="1"/>
    <xf numFmtId="0" fontId="16" fillId="0" borderId="0" xfId="0" applyFont="1"/>
    <xf numFmtId="0" fontId="15" fillId="0" borderId="15" xfId="0" applyFont="1" applyBorder="1"/>
    <xf numFmtId="0" fontId="5" fillId="0" borderId="15" xfId="0" applyFont="1" applyBorder="1"/>
    <xf numFmtId="0" fontId="16" fillId="0" borderId="15" xfId="0" applyFont="1" applyBorder="1"/>
    <xf numFmtId="0" fontId="0" fillId="0" borderId="4" xfId="0" applyBorder="1" applyAlignment="1">
      <alignment horizontal="center" vertical="top"/>
    </xf>
    <xf numFmtId="0" fontId="4" fillId="0" borderId="0" xfId="0" applyFont="1"/>
    <xf numFmtId="0" fontId="11" fillId="0" borderId="0" xfId="0" applyFont="1" applyAlignment="1">
      <alignment horizontal="center"/>
    </xf>
    <xf numFmtId="4" fontId="0" fillId="0" borderId="0" xfId="0" applyNumberFormat="1"/>
    <xf numFmtId="0" fontId="13" fillId="0" borderId="0" xfId="0" applyFont="1"/>
    <xf numFmtId="0" fontId="7" fillId="0" borderId="7" xfId="0" applyFont="1" applyBorder="1" applyAlignment="1">
      <alignment horizontal="center"/>
    </xf>
    <xf numFmtId="10" fontId="5" fillId="0" borderId="0" xfId="0" applyNumberFormat="1" applyFont="1" applyAlignment="1">
      <alignment horizontal="left"/>
    </xf>
    <xf numFmtId="4" fontId="12" fillId="0" borderId="4" xfId="0" applyNumberFormat="1" applyFont="1" applyBorder="1" applyAlignment="1">
      <alignment horizontal="center"/>
    </xf>
    <xf numFmtId="4" fontId="13" fillId="0" borderId="4" xfId="0" applyNumberFormat="1" applyFont="1" applyBorder="1" applyAlignment="1">
      <alignment horizontal="center" vertical="center"/>
    </xf>
    <xf numFmtId="4" fontId="13" fillId="0" borderId="0" xfId="0" applyNumberFormat="1" applyFont="1" applyAlignment="1">
      <alignment horizontal="center"/>
    </xf>
    <xf numFmtId="4" fontId="13" fillId="0" borderId="4" xfId="0" applyNumberFormat="1" applyFont="1" applyBorder="1" applyAlignment="1">
      <alignment horizontal="center"/>
    </xf>
    <xf numFmtId="0" fontId="11" fillId="0" borderId="6" xfId="0" applyFont="1" applyBorder="1" applyAlignment="1">
      <alignment horizontal="center" vertical="distributed"/>
    </xf>
    <xf numFmtId="0" fontId="11" fillId="0" borderId="6" xfId="0" applyFont="1" applyBorder="1" applyAlignment="1">
      <alignment horizontal="center" vertical="center"/>
    </xf>
    <xf numFmtId="0" fontId="12" fillId="0" borderId="6" xfId="0" applyFont="1" applyBorder="1" applyAlignment="1">
      <alignment horizontal="center" vertical="top"/>
    </xf>
    <xf numFmtId="4" fontId="13" fillId="0" borderId="0" xfId="0" applyNumberFormat="1" applyFont="1"/>
    <xf numFmtId="0" fontId="3" fillId="0" borderId="4" xfId="0" applyFont="1" applyBorder="1" applyAlignment="1">
      <alignment horizontal="left"/>
    </xf>
    <xf numFmtId="0" fontId="7" fillId="0" borderId="4" xfId="0" applyFont="1" applyBorder="1" applyAlignment="1">
      <alignment horizontal="left"/>
    </xf>
    <xf numFmtId="0" fontId="3" fillId="0" borderId="4" xfId="0" applyFont="1" applyBorder="1" applyAlignment="1">
      <alignment horizontal="center"/>
    </xf>
    <xf numFmtId="0" fontId="3" fillId="0" borderId="4" xfId="0" applyFont="1" applyBorder="1" applyAlignment="1">
      <alignment horizontal="center" vertical="top"/>
    </xf>
    <xf numFmtId="0" fontId="0" fillId="0" borderId="0" xfId="0" applyAlignment="1">
      <alignment vertical="justify"/>
    </xf>
    <xf numFmtId="0" fontId="0" fillId="2" borderId="0" xfId="0" applyFill="1"/>
    <xf numFmtId="0" fontId="0" fillId="2" borderId="0" xfId="0" applyFill="1" applyAlignment="1">
      <alignment wrapText="1"/>
    </xf>
    <xf numFmtId="0" fontId="3" fillId="2" borderId="0" xfId="0" applyFont="1" applyFill="1"/>
    <xf numFmtId="0" fontId="11" fillId="2" borderId="0" xfId="0" applyFont="1" applyFill="1" applyAlignment="1">
      <alignment wrapText="1"/>
    </xf>
    <xf numFmtId="0" fontId="11" fillId="2" borderId="36" xfId="0" applyFont="1" applyFill="1" applyBorder="1" applyAlignment="1">
      <alignment horizontal="center" vertical="center"/>
    </xf>
    <xf numFmtId="0" fontId="11" fillId="2" borderId="36" xfId="0" applyFont="1" applyFill="1" applyBorder="1" applyAlignment="1">
      <alignment horizontal="center" vertical="center" wrapText="1"/>
    </xf>
    <xf numFmtId="0" fontId="11" fillId="2" borderId="37" xfId="0" applyFont="1" applyFill="1" applyBorder="1" applyAlignment="1">
      <alignment horizontal="center" vertical="center"/>
    </xf>
    <xf numFmtId="0" fontId="11" fillId="2" borderId="38" xfId="0" applyFont="1" applyFill="1" applyBorder="1" applyAlignment="1">
      <alignment horizontal="center" vertical="center"/>
    </xf>
    <xf numFmtId="0" fontId="5" fillId="0" borderId="48" xfId="0" applyFont="1" applyBorder="1" applyAlignment="1">
      <alignment horizontal="left"/>
    </xf>
    <xf numFmtId="0" fontId="10" fillId="0" borderId="47" xfId="0" applyFont="1" applyBorder="1" applyAlignment="1">
      <alignment horizontal="center"/>
    </xf>
    <xf numFmtId="0" fontId="10" fillId="0" borderId="47" xfId="0" applyFont="1" applyBorder="1"/>
    <xf numFmtId="0" fontId="10" fillId="0" borderId="47" xfId="0" applyFont="1" applyBorder="1" applyAlignment="1">
      <alignment horizontal="left"/>
    </xf>
    <xf numFmtId="0" fontId="17" fillId="0" borderId="47" xfId="0" applyFont="1" applyBorder="1"/>
    <xf numFmtId="10" fontId="17" fillId="0" borderId="47" xfId="0" applyNumberFormat="1" applyFont="1" applyBorder="1" applyAlignment="1">
      <alignment horizontal="left"/>
    </xf>
    <xf numFmtId="0" fontId="0" fillId="0" borderId="47" xfId="0" applyBorder="1"/>
    <xf numFmtId="0" fontId="0" fillId="0" borderId="46" xfId="0" applyBorder="1"/>
    <xf numFmtId="10" fontId="10" fillId="0" borderId="1" xfId="0" applyNumberFormat="1" applyFont="1" applyBorder="1" applyAlignment="1">
      <alignment horizontal="left"/>
    </xf>
    <xf numFmtId="0" fontId="10" fillId="0" borderId="2" xfId="0" applyFont="1" applyBorder="1" applyAlignment="1">
      <alignment horizontal="center" vertical="top"/>
    </xf>
    <xf numFmtId="0" fontId="10" fillId="0" borderId="2" xfId="0" applyFont="1" applyBorder="1" applyAlignment="1">
      <alignment vertical="top"/>
    </xf>
    <xf numFmtId="0" fontId="10" fillId="0" borderId="3" xfId="0" applyFont="1" applyBorder="1" applyAlignment="1">
      <alignment horizontal="left" vertical="top"/>
    </xf>
    <xf numFmtId="0" fontId="17" fillId="0" borderId="8" xfId="0" applyFont="1" applyBorder="1" applyAlignment="1">
      <alignment horizontal="center"/>
    </xf>
    <xf numFmtId="10" fontId="10" fillId="0" borderId="9" xfId="0" applyNumberFormat="1" applyFont="1" applyBorder="1" applyAlignment="1">
      <alignment horizontal="center"/>
    </xf>
    <xf numFmtId="0" fontId="10" fillId="0" borderId="14" xfId="0" applyFont="1" applyBorder="1" applyAlignment="1">
      <alignment horizontal="center" vertical="top"/>
    </xf>
    <xf numFmtId="0" fontId="10" fillId="0" borderId="14" xfId="0" applyFont="1" applyBorder="1" applyAlignment="1">
      <alignment vertical="top"/>
    </xf>
    <xf numFmtId="0" fontId="10" fillId="0" borderId="9" xfId="0" applyFont="1" applyBorder="1" applyAlignment="1">
      <alignment horizontal="left" vertical="top"/>
    </xf>
    <xf numFmtId="0" fontId="17" fillId="0" borderId="10" xfId="0" applyFont="1" applyBorder="1" applyAlignment="1">
      <alignment horizontal="center"/>
    </xf>
    <xf numFmtId="10" fontId="10" fillId="0" borderId="11" xfId="0" applyNumberFormat="1" applyFont="1" applyBorder="1" applyAlignment="1">
      <alignment horizontal="center"/>
    </xf>
    <xf numFmtId="0" fontId="8" fillId="0" borderId="0" xfId="0" applyFont="1" applyAlignment="1">
      <alignment horizontal="center" vertical="center"/>
    </xf>
    <xf numFmtId="0" fontId="11" fillId="0" borderId="53" xfId="0" applyFont="1" applyBorder="1" applyAlignment="1">
      <alignment horizontal="center" vertical="distributed"/>
    </xf>
    <xf numFmtId="0" fontId="11" fillId="0" borderId="2" xfId="0" applyFont="1" applyBorder="1"/>
    <xf numFmtId="0" fontId="11" fillId="0" borderId="5" xfId="0" applyFont="1" applyBorder="1" applyAlignment="1">
      <alignment horizontal="center"/>
    </xf>
    <xf numFmtId="10" fontId="10" fillId="0" borderId="12" xfId="0" applyNumberFormat="1" applyFont="1" applyBorder="1" applyAlignment="1">
      <alignment horizontal="left"/>
    </xf>
    <xf numFmtId="0" fontId="0" fillId="0" borderId="15" xfId="0" applyBorder="1" applyProtection="1">
      <protection hidden="1"/>
    </xf>
    <xf numFmtId="0" fontId="3" fillId="0" borderId="0" xfId="0" applyFont="1" applyAlignment="1">
      <alignment horizontal="center"/>
    </xf>
    <xf numFmtId="0" fontId="3" fillId="0" borderId="0" xfId="5"/>
    <xf numFmtId="0" fontId="10" fillId="0" borderId="49" xfId="4" applyFont="1" applyBorder="1" applyAlignment="1" applyProtection="1">
      <alignment vertical="center"/>
      <protection locked="0"/>
    </xf>
    <xf numFmtId="0" fontId="10" fillId="0" borderId="50" xfId="4" applyFont="1" applyBorder="1" applyAlignment="1" applyProtection="1">
      <alignment horizontal="center" vertical="center"/>
      <protection locked="0"/>
    </xf>
    <xf numFmtId="0" fontId="10" fillId="3" borderId="50" xfId="4" applyFont="1" applyFill="1" applyBorder="1" applyAlignment="1" applyProtection="1">
      <alignment vertical="center"/>
      <protection locked="0"/>
    </xf>
    <xf numFmtId="0" fontId="10" fillId="3" borderId="51" xfId="4" applyFont="1" applyFill="1" applyBorder="1" applyAlignment="1" applyProtection="1">
      <alignment vertical="center"/>
      <protection locked="0"/>
    </xf>
    <xf numFmtId="0" fontId="5" fillId="3" borderId="57" xfId="4" applyFont="1" applyFill="1" applyBorder="1" applyAlignment="1" applyProtection="1">
      <alignment vertical="center"/>
      <protection locked="0"/>
    </xf>
    <xf numFmtId="0" fontId="10" fillId="0" borderId="6" xfId="4" applyFont="1" applyBorder="1" applyAlignment="1" applyProtection="1">
      <alignment horizontal="center" vertical="center"/>
      <protection locked="0"/>
    </xf>
    <xf numFmtId="0" fontId="5" fillId="3" borderId="6" xfId="4" applyFont="1" applyFill="1" applyBorder="1" applyAlignment="1" applyProtection="1">
      <alignment vertical="center"/>
      <protection locked="0"/>
    </xf>
    <xf numFmtId="10" fontId="5" fillId="3" borderId="58" xfId="6" applyNumberFormat="1" applyFont="1" applyFill="1" applyBorder="1" applyAlignment="1" applyProtection="1">
      <alignment vertical="center"/>
      <protection locked="0"/>
    </xf>
    <xf numFmtId="0" fontId="5" fillId="0" borderId="59" xfId="4" applyFont="1" applyBorder="1" applyAlignment="1" applyProtection="1">
      <alignment vertical="center"/>
      <protection locked="0"/>
    </xf>
    <xf numFmtId="0" fontId="10" fillId="3" borderId="2" xfId="4" applyFont="1" applyFill="1" applyBorder="1" applyAlignment="1" applyProtection="1">
      <alignment horizontal="center" vertical="center"/>
      <protection locked="0"/>
    </xf>
    <xf numFmtId="0" fontId="10" fillId="3" borderId="3" xfId="4" applyFont="1" applyFill="1" applyBorder="1" applyAlignment="1" applyProtection="1">
      <alignment horizontal="center" vertical="center"/>
      <protection locked="0"/>
    </xf>
    <xf numFmtId="10" fontId="10" fillId="0" borderId="60" xfId="6" applyNumberFormat="1" applyFont="1" applyBorder="1" applyAlignment="1" applyProtection="1">
      <alignment horizontal="right" vertical="center"/>
    </xf>
    <xf numFmtId="0" fontId="5" fillId="0" borderId="55" xfId="4" applyFont="1" applyBorder="1" applyAlignment="1" applyProtection="1">
      <alignment vertical="center"/>
      <protection locked="0"/>
    </xf>
    <xf numFmtId="0" fontId="10" fillId="0" borderId="0" xfId="4" applyFont="1" applyAlignment="1" applyProtection="1">
      <alignment horizontal="center" vertical="center"/>
      <protection locked="0"/>
    </xf>
    <xf numFmtId="0" fontId="5" fillId="0" borderId="0" xfId="4" applyFont="1" applyAlignment="1" applyProtection="1">
      <alignment vertical="center"/>
      <protection locked="0"/>
    </xf>
    <xf numFmtId="0" fontId="5" fillId="0" borderId="56" xfId="4" applyFont="1" applyBorder="1" applyAlignment="1" applyProtection="1">
      <alignment vertical="center"/>
      <protection locked="0"/>
    </xf>
    <xf numFmtId="0" fontId="10" fillId="0" borderId="61" xfId="4" applyFont="1" applyBorder="1" applyAlignment="1" applyProtection="1">
      <alignment vertical="center"/>
      <protection locked="0"/>
    </xf>
    <xf numFmtId="0" fontId="10" fillId="3" borderId="5" xfId="4" applyFont="1" applyFill="1" applyBorder="1" applyAlignment="1" applyProtection="1">
      <alignment horizontal="center" vertical="center"/>
      <protection locked="0"/>
    </xf>
    <xf numFmtId="0" fontId="10" fillId="3" borderId="5" xfId="4" applyFont="1" applyFill="1" applyBorder="1" applyAlignment="1" applyProtection="1">
      <alignment vertical="center"/>
      <protection locked="0"/>
    </xf>
    <xf numFmtId="0" fontId="10" fillId="3" borderId="62" xfId="4" applyFont="1" applyFill="1" applyBorder="1" applyAlignment="1" applyProtection="1">
      <alignment vertical="center"/>
      <protection locked="0"/>
    </xf>
    <xf numFmtId="0" fontId="5" fillId="0" borderId="57" xfId="4" applyFont="1" applyBorder="1" applyAlignment="1" applyProtection="1">
      <alignment vertical="center"/>
      <protection locked="0"/>
    </xf>
    <xf numFmtId="0" fontId="10" fillId="3" borderId="6" xfId="4" applyFont="1" applyFill="1" applyBorder="1" applyAlignment="1" applyProtection="1">
      <alignment horizontal="center" vertical="center"/>
      <protection locked="0"/>
    </xf>
    <xf numFmtId="0" fontId="10" fillId="0" borderId="2" xfId="4" applyFont="1" applyBorder="1" applyAlignment="1" applyProtection="1">
      <alignment horizontal="center" vertical="center"/>
      <protection locked="0"/>
    </xf>
    <xf numFmtId="0" fontId="10" fillId="0" borderId="3" xfId="4" applyFont="1" applyBorder="1" applyAlignment="1" applyProtection="1">
      <alignment horizontal="center" vertical="center"/>
      <protection locked="0"/>
    </xf>
    <xf numFmtId="0" fontId="10" fillId="0" borderId="5" xfId="4" applyFont="1" applyBorder="1" applyAlignment="1" applyProtection="1">
      <alignment horizontal="center" vertical="center"/>
      <protection locked="0"/>
    </xf>
    <xf numFmtId="0" fontId="10" fillId="0" borderId="5" xfId="4" applyFont="1" applyBorder="1" applyAlignment="1" applyProtection="1">
      <alignment vertical="center"/>
      <protection locked="0"/>
    </xf>
    <xf numFmtId="0" fontId="10" fillId="0" borderId="62" xfId="4" applyFont="1" applyBorder="1" applyAlignment="1" applyProtection="1">
      <alignment vertical="center"/>
      <protection locked="0"/>
    </xf>
    <xf numFmtId="0" fontId="5" fillId="0" borderId="6" xfId="4" applyFont="1" applyBorder="1" applyAlignment="1" applyProtection="1">
      <alignment vertical="center"/>
      <protection locked="0"/>
    </xf>
    <xf numFmtId="10" fontId="5" fillId="0" borderId="58" xfId="6" applyNumberFormat="1" applyFont="1" applyBorder="1" applyAlignment="1" applyProtection="1">
      <alignment vertical="center"/>
    </xf>
    <xf numFmtId="0" fontId="10" fillId="0" borderId="2" xfId="4" applyFont="1" applyBorder="1" applyAlignment="1" applyProtection="1">
      <alignment vertical="center"/>
      <protection locked="0"/>
    </xf>
    <xf numFmtId="0" fontId="10" fillId="0" borderId="0" xfId="4" applyFont="1" applyAlignment="1" applyProtection="1">
      <alignment vertical="center"/>
      <protection locked="0"/>
    </xf>
    <xf numFmtId="10" fontId="10" fillId="0" borderId="56" xfId="6" applyNumberFormat="1" applyFont="1" applyBorder="1" applyAlignment="1" applyProtection="1">
      <alignment horizontal="right" vertical="center"/>
    </xf>
    <xf numFmtId="0" fontId="5" fillId="3" borderId="28" xfId="4" applyFont="1" applyFill="1" applyBorder="1" applyAlignment="1" applyProtection="1">
      <alignment vertical="center"/>
      <protection locked="0"/>
    </xf>
    <xf numFmtId="0" fontId="10" fillId="3" borderId="9" xfId="4" applyFont="1" applyFill="1" applyBorder="1" applyAlignment="1" applyProtection="1">
      <alignment horizontal="center" vertical="center"/>
      <protection locked="0"/>
    </xf>
    <xf numFmtId="0" fontId="5" fillId="0" borderId="11" xfId="4" applyFont="1" applyBorder="1" applyAlignment="1" applyProtection="1">
      <alignment vertical="center"/>
      <protection locked="0"/>
    </xf>
    <xf numFmtId="10" fontId="5" fillId="0" borderId="58" xfId="6" applyNumberFormat="1" applyFont="1" applyBorder="1" applyAlignment="1" applyProtection="1">
      <alignment vertical="center"/>
      <protection locked="0"/>
    </xf>
    <xf numFmtId="0" fontId="5" fillId="3" borderId="59" xfId="4" applyFont="1" applyFill="1" applyBorder="1" applyAlignment="1" applyProtection="1">
      <alignment vertical="center"/>
      <protection locked="0"/>
    </xf>
    <xf numFmtId="10" fontId="10" fillId="0" borderId="63" xfId="6" applyNumberFormat="1" applyFont="1" applyBorder="1" applyAlignment="1" applyProtection="1">
      <alignment vertical="center"/>
    </xf>
    <xf numFmtId="0" fontId="5" fillId="3" borderId="55" xfId="4" applyFont="1" applyFill="1" applyBorder="1" applyAlignment="1" applyProtection="1">
      <alignment vertical="center"/>
      <protection locked="0"/>
    </xf>
    <xf numFmtId="0" fontId="10" fillId="3" borderId="0" xfId="4" applyFont="1" applyFill="1" applyAlignment="1" applyProtection="1">
      <alignment horizontal="center" vertical="center"/>
      <protection locked="0"/>
    </xf>
    <xf numFmtId="0" fontId="5" fillId="3" borderId="0" xfId="4" applyFont="1" applyFill="1" applyAlignment="1" applyProtection="1">
      <alignment vertical="center"/>
      <protection locked="0"/>
    </xf>
    <xf numFmtId="0" fontId="5" fillId="3" borderId="56" xfId="4" applyFont="1" applyFill="1" applyBorder="1" applyAlignment="1" applyProtection="1">
      <alignment vertical="center"/>
      <protection locked="0"/>
    </xf>
    <xf numFmtId="10" fontId="10" fillId="3" borderId="56" xfId="6" applyNumberFormat="1" applyFont="1" applyFill="1" applyBorder="1" applyAlignment="1" applyProtection="1">
      <alignment vertical="center"/>
    </xf>
    <xf numFmtId="0" fontId="10" fillId="3" borderId="55" xfId="4" applyFont="1" applyFill="1" applyBorder="1" applyAlignment="1" applyProtection="1">
      <alignment vertical="center"/>
      <protection locked="0"/>
    </xf>
    <xf numFmtId="0" fontId="5" fillId="3" borderId="0" xfId="4" applyFont="1" applyFill="1" applyAlignment="1" applyProtection="1">
      <alignment horizontal="left" vertical="center"/>
      <protection locked="0"/>
    </xf>
    <xf numFmtId="0" fontId="10" fillId="3" borderId="56" xfId="4" applyFont="1" applyFill="1" applyBorder="1" applyAlignment="1" applyProtection="1">
      <alignment vertical="center"/>
      <protection locked="0"/>
    </xf>
    <xf numFmtId="0" fontId="3" fillId="3" borderId="55" xfId="4" applyFont="1" applyFill="1" applyBorder="1" applyProtection="1">
      <protection locked="0"/>
    </xf>
    <xf numFmtId="0" fontId="3" fillId="3" borderId="0" xfId="4" applyFont="1" applyFill="1" applyProtection="1">
      <protection locked="0"/>
    </xf>
    <xf numFmtId="0" fontId="3" fillId="3" borderId="0" xfId="4" applyFont="1" applyFill="1" applyAlignment="1" applyProtection="1">
      <alignment horizontal="center"/>
      <protection locked="0"/>
    </xf>
    <xf numFmtId="0" fontId="3" fillId="3" borderId="56" xfId="4" applyFont="1" applyFill="1" applyBorder="1" applyAlignment="1" applyProtection="1">
      <alignment vertical="center"/>
      <protection locked="0"/>
    </xf>
    <xf numFmtId="0" fontId="3" fillId="3" borderId="0" xfId="4" applyFont="1" applyFill="1" applyAlignment="1" applyProtection="1">
      <alignment horizontal="center" vertical="top"/>
      <protection locked="0"/>
    </xf>
    <xf numFmtId="0" fontId="3" fillId="3" borderId="0" xfId="4" applyFont="1" applyFill="1" applyAlignment="1" applyProtection="1">
      <alignment horizontal="center" vertical="center" wrapText="1"/>
      <protection locked="0"/>
    </xf>
    <xf numFmtId="0" fontId="3" fillId="3" borderId="22" xfId="4" applyFont="1" applyFill="1" applyBorder="1" applyProtection="1">
      <protection locked="0"/>
    </xf>
    <xf numFmtId="0" fontId="3" fillId="3" borderId="19" xfId="4" applyFont="1" applyFill="1" applyBorder="1" applyProtection="1">
      <protection locked="0"/>
    </xf>
    <xf numFmtId="0" fontId="3" fillId="3" borderId="19" xfId="4" applyFont="1" applyFill="1" applyBorder="1" applyAlignment="1" applyProtection="1">
      <alignment horizontal="center" vertical="center" wrapText="1"/>
      <protection locked="0"/>
    </xf>
    <xf numFmtId="0" fontId="11" fillId="3" borderId="65" xfId="4" applyFont="1" applyFill="1" applyBorder="1" applyAlignment="1" applyProtection="1">
      <alignment horizontal="center" vertical="center" wrapText="1"/>
      <protection locked="0"/>
    </xf>
    <xf numFmtId="4" fontId="12" fillId="0" borderId="4" xfId="12" applyNumberFormat="1" applyFont="1" applyFill="1" applyBorder="1" applyAlignment="1">
      <alignment horizontal="center"/>
    </xf>
    <xf numFmtId="4" fontId="13" fillId="0" borderId="4" xfId="12" applyNumberFormat="1" applyFont="1" applyFill="1" applyBorder="1" applyAlignment="1">
      <alignment horizontal="center" vertical="center"/>
    </xf>
    <xf numFmtId="0" fontId="5" fillId="0" borderId="66" xfId="4" applyFont="1" applyBorder="1" applyAlignment="1" applyProtection="1">
      <alignment vertical="center"/>
      <protection locked="0"/>
    </xf>
    <xf numFmtId="0" fontId="10" fillId="0" borderId="7" xfId="4" applyFont="1" applyBorder="1" applyAlignment="1" applyProtection="1">
      <alignment horizontal="center" vertical="center"/>
      <protection locked="0"/>
    </xf>
    <xf numFmtId="0" fontId="5" fillId="0" borderId="7" xfId="4" applyFont="1" applyBorder="1" applyAlignment="1" applyProtection="1">
      <alignment vertical="center"/>
      <protection locked="0"/>
    </xf>
    <xf numFmtId="10" fontId="5" fillId="0" borderId="42" xfId="6" applyNumberFormat="1" applyFont="1" applyBorder="1" applyAlignment="1" applyProtection="1">
      <alignment vertical="center"/>
    </xf>
    <xf numFmtId="0" fontId="3" fillId="0" borderId="4" xfId="0" applyFont="1" applyBorder="1" applyAlignment="1">
      <alignment vertical="distributed" wrapText="1"/>
    </xf>
    <xf numFmtId="4" fontId="12" fillId="0" borderId="0" xfId="0" applyNumberFormat="1" applyFont="1" applyAlignment="1">
      <alignment horizontal="center"/>
    </xf>
    <xf numFmtId="0" fontId="11" fillId="0" borderId="47" xfId="0" applyFont="1" applyBorder="1" applyAlignment="1">
      <alignment horizontal="center" vertical="center"/>
    </xf>
    <xf numFmtId="0" fontId="3" fillId="0" borderId="7" xfId="0" applyFont="1" applyBorder="1" applyAlignment="1">
      <alignment horizontal="center" vertical="top"/>
    </xf>
    <xf numFmtId="0" fontId="0" fillId="0" borderId="7" xfId="0" applyBorder="1" applyAlignment="1">
      <alignment horizontal="center"/>
    </xf>
    <xf numFmtId="4" fontId="5" fillId="0" borderId="47" xfId="0" applyNumberFormat="1" applyFont="1" applyBorder="1"/>
    <xf numFmtId="0" fontId="0" fillId="0" borderId="48" xfId="0" applyBorder="1" applyAlignment="1">
      <alignment horizontal="center" vertical="top"/>
    </xf>
    <xf numFmtId="0" fontId="0" fillId="0" borderId="47" xfId="0" applyBorder="1" applyAlignment="1">
      <alignment horizontal="center" vertical="top"/>
    </xf>
    <xf numFmtId="0" fontId="0" fillId="0" borderId="47" xfId="0" applyBorder="1" applyAlignment="1">
      <alignment horizontal="center"/>
    </xf>
    <xf numFmtId="4" fontId="5" fillId="0" borderId="46" xfId="0" applyNumberFormat="1" applyFont="1" applyBorder="1"/>
    <xf numFmtId="0" fontId="11" fillId="0" borderId="14" xfId="0" applyFont="1" applyBorder="1" applyAlignment="1">
      <alignment horizontal="left" vertical="top"/>
    </xf>
    <xf numFmtId="0" fontId="11" fillId="0" borderId="67" xfId="0" applyFont="1" applyBorder="1" applyAlignment="1">
      <alignment horizontal="center" vertical="top"/>
    </xf>
    <xf numFmtId="0" fontId="0" fillId="0" borderId="14" xfId="0" applyBorder="1" applyAlignment="1">
      <alignment horizontal="center" vertical="top"/>
    </xf>
    <xf numFmtId="0" fontId="11" fillId="0" borderId="14" xfId="0" applyFont="1" applyBorder="1"/>
    <xf numFmtId="0" fontId="3" fillId="0" borderId="4" xfId="0" applyFont="1" applyBorder="1" applyAlignment="1">
      <alignment horizontal="left" vertical="distributed" wrapText="1"/>
    </xf>
    <xf numFmtId="0" fontId="3" fillId="0" borderId="4" xfId="0" applyFont="1" applyBorder="1" applyAlignment="1">
      <alignment vertical="distributed"/>
    </xf>
    <xf numFmtId="0" fontId="3" fillId="0" borderId="7" xfId="0" applyFont="1" applyBorder="1" applyAlignment="1">
      <alignment horizontal="left" vertical="distributed" wrapText="1"/>
    </xf>
    <xf numFmtId="0" fontId="11" fillId="0" borderId="57" xfId="0" applyFont="1" applyBorder="1" applyAlignment="1">
      <alignment horizontal="center" vertical="center"/>
    </xf>
    <xf numFmtId="0" fontId="3" fillId="0" borderId="64" xfId="0" applyFont="1" applyBorder="1" applyAlignment="1">
      <alignment horizontal="center" vertical="top"/>
    </xf>
    <xf numFmtId="0" fontId="0" fillId="0" borderId="66" xfId="0" applyBorder="1" applyAlignment="1">
      <alignment horizontal="center" vertical="top"/>
    </xf>
    <xf numFmtId="0" fontId="0" fillId="0" borderId="64" xfId="0" applyBorder="1" applyAlignment="1">
      <alignment horizontal="center" vertical="top"/>
    </xf>
    <xf numFmtId="0" fontId="0" fillId="0" borderId="68" xfId="0" applyBorder="1"/>
    <xf numFmtId="0" fontId="10" fillId="0" borderId="59" xfId="0" applyFont="1" applyBorder="1" applyAlignment="1">
      <alignment horizontal="left" vertical="top"/>
    </xf>
    <xf numFmtId="0" fontId="11" fillId="0" borderId="60" xfId="0" applyFont="1" applyBorder="1"/>
    <xf numFmtId="0" fontId="11" fillId="0" borderId="63" xfId="0" applyFont="1" applyBorder="1" applyAlignment="1">
      <alignment horizontal="center"/>
    </xf>
    <xf numFmtId="0" fontId="10" fillId="0" borderId="28" xfId="0" applyFont="1" applyBorder="1" applyAlignment="1">
      <alignment horizontal="left" vertical="top"/>
    </xf>
    <xf numFmtId="10" fontId="11" fillId="0" borderId="62" xfId="0" applyNumberFormat="1" applyFont="1" applyBorder="1" applyAlignment="1">
      <alignment horizontal="center"/>
    </xf>
    <xf numFmtId="0" fontId="10" fillId="0" borderId="0" xfId="0" applyFont="1" applyAlignment="1">
      <alignment horizontal="center"/>
    </xf>
    <xf numFmtId="0" fontId="0" fillId="0" borderId="28" xfId="0" applyBorder="1" applyAlignment="1">
      <alignment horizontal="center" vertical="top"/>
    </xf>
    <xf numFmtId="0" fontId="10" fillId="0" borderId="38" xfId="0" applyFont="1" applyBorder="1" applyAlignment="1">
      <alignment horizontal="center"/>
    </xf>
    <xf numFmtId="0" fontId="10" fillId="0" borderId="37" xfId="0" applyFont="1" applyBorder="1" applyAlignment="1">
      <alignment horizontal="center"/>
    </xf>
    <xf numFmtId="0" fontId="12" fillId="0" borderId="72" xfId="0" applyFont="1" applyBorder="1" applyAlignment="1">
      <alignment horizontal="center" vertical="justify"/>
    </xf>
    <xf numFmtId="0" fontId="10" fillId="0" borderId="64" xfId="0" applyFont="1" applyBorder="1" applyAlignment="1">
      <alignment horizontal="center"/>
    </xf>
    <xf numFmtId="0" fontId="12" fillId="0" borderId="63" xfId="0" applyFont="1" applyBorder="1" applyAlignment="1">
      <alignment horizontal="center" vertical="justify"/>
    </xf>
    <xf numFmtId="164" fontId="12" fillId="0" borderId="63" xfId="11" applyNumberFormat="1" applyFont="1" applyFill="1" applyBorder="1" applyAlignment="1">
      <alignment horizontal="center" vertical="justify"/>
    </xf>
    <xf numFmtId="4" fontId="12" fillId="0" borderId="42" xfId="0" applyNumberFormat="1" applyFont="1" applyBorder="1" applyAlignment="1">
      <alignment horizontal="center"/>
    </xf>
    <xf numFmtId="4" fontId="13" fillId="0" borderId="63" xfId="0" applyNumberFormat="1" applyFont="1" applyBorder="1" applyAlignment="1">
      <alignment horizontal="center" vertical="center"/>
    </xf>
    <xf numFmtId="4" fontId="12" fillId="0" borderId="73" xfId="0" applyNumberFormat="1" applyFont="1" applyBorder="1" applyAlignment="1">
      <alignment horizontal="center"/>
    </xf>
    <xf numFmtId="4" fontId="12" fillId="0" borderId="74" xfId="0" applyNumberFormat="1" applyFont="1" applyBorder="1" applyAlignment="1">
      <alignment horizontal="center"/>
    </xf>
    <xf numFmtId="0" fontId="11" fillId="2" borderId="39" xfId="0" applyFont="1" applyFill="1" applyBorder="1" applyAlignment="1">
      <alignment vertical="center"/>
    </xf>
    <xf numFmtId="0" fontId="11" fillId="2" borderId="21" xfId="0" applyFont="1" applyFill="1" applyBorder="1" applyAlignment="1">
      <alignment vertical="center"/>
    </xf>
    <xf numFmtId="0" fontId="0" fillId="2" borderId="55" xfId="0" applyFill="1" applyBorder="1"/>
    <xf numFmtId="167" fontId="5" fillId="0" borderId="4" xfId="0" applyNumberFormat="1" applyFont="1" applyBorder="1"/>
    <xf numFmtId="167" fontId="5" fillId="0" borderId="7" xfId="0" applyNumberFormat="1" applyFont="1" applyBorder="1"/>
    <xf numFmtId="167" fontId="11" fillId="0" borderId="9" xfId="0" applyNumberFormat="1" applyFont="1" applyBorder="1"/>
    <xf numFmtId="44" fontId="5" fillId="0" borderId="4" xfId="1" applyFont="1" applyBorder="1"/>
    <xf numFmtId="44" fontId="5" fillId="0" borderId="63" xfId="1" applyFont="1" applyBorder="1"/>
    <xf numFmtId="44" fontId="10" fillId="0" borderId="69" xfId="1" applyFont="1" applyBorder="1"/>
    <xf numFmtId="44" fontId="5" fillId="0" borderId="7" xfId="1" applyFont="1" applyBorder="1"/>
    <xf numFmtId="44" fontId="5" fillId="0" borderId="42" xfId="1" applyFont="1" applyBorder="1"/>
    <xf numFmtId="0" fontId="10" fillId="0" borderId="22" xfId="0" applyFont="1" applyBorder="1"/>
    <xf numFmtId="0" fontId="10" fillId="0" borderId="19" xfId="0" applyFont="1" applyBorder="1"/>
    <xf numFmtId="44" fontId="10" fillId="0" borderId="76" xfId="1" applyFont="1" applyBorder="1" applyAlignment="1">
      <alignment horizontal="right"/>
    </xf>
    <xf numFmtId="0" fontId="3" fillId="0" borderId="7" xfId="0" applyFont="1" applyBorder="1" applyAlignment="1">
      <alignment vertical="distributed" wrapText="1"/>
    </xf>
    <xf numFmtId="0" fontId="3" fillId="0" borderId="4" xfId="0" applyFont="1" applyBorder="1" applyAlignment="1">
      <alignment vertical="justify" wrapText="1"/>
    </xf>
    <xf numFmtId="165" fontId="11" fillId="2" borderId="26" xfId="0" applyNumberFormat="1" applyFont="1" applyFill="1" applyBorder="1" applyAlignment="1">
      <alignment vertical="top" wrapText="1"/>
    </xf>
    <xf numFmtId="49" fontId="3" fillId="4" borderId="30" xfId="0" applyNumberFormat="1" applyFont="1" applyFill="1" applyBorder="1" applyAlignment="1">
      <alignment horizontal="center" vertical="top" wrapText="1"/>
    </xf>
    <xf numFmtId="10" fontId="11" fillId="4" borderId="30" xfId="0" applyNumberFormat="1" applyFont="1" applyFill="1" applyBorder="1" applyAlignment="1">
      <alignment vertical="top" wrapText="1"/>
    </xf>
    <xf numFmtId="10" fontId="3" fillId="4" borderId="30" xfId="0" applyNumberFormat="1" applyFont="1" applyFill="1" applyBorder="1" applyAlignment="1">
      <alignment vertical="top" wrapText="1"/>
    </xf>
    <xf numFmtId="49" fontId="3" fillId="2" borderId="29" xfId="0" applyNumberFormat="1" applyFont="1" applyFill="1" applyBorder="1" applyAlignment="1">
      <alignment horizontal="center" vertical="top" wrapText="1"/>
    </xf>
    <xf numFmtId="165" fontId="3" fillId="2" borderId="29" xfId="0" applyNumberFormat="1" applyFont="1" applyFill="1" applyBorder="1" applyAlignment="1">
      <alignment vertical="top" wrapText="1"/>
    </xf>
    <xf numFmtId="165" fontId="3" fillId="2" borderId="75" xfId="0" applyNumberFormat="1" applyFont="1" applyFill="1" applyBorder="1" applyAlignment="1">
      <alignment vertical="top" wrapText="1"/>
    </xf>
    <xf numFmtId="49" fontId="3" fillId="4" borderId="29" xfId="0" applyNumberFormat="1" applyFont="1" applyFill="1" applyBorder="1" applyAlignment="1">
      <alignment horizontal="center" vertical="top" wrapText="1"/>
    </xf>
    <xf numFmtId="44" fontId="3" fillId="2" borderId="30" xfId="1" applyFont="1" applyFill="1" applyBorder="1" applyAlignment="1">
      <alignment vertical="top" wrapText="1"/>
    </xf>
    <xf numFmtId="49" fontId="11" fillId="4" borderId="27" xfId="0" applyNumberFormat="1" applyFont="1" applyFill="1" applyBorder="1" applyAlignment="1">
      <alignment horizontal="center" vertical="top" wrapText="1"/>
    </xf>
    <xf numFmtId="10" fontId="11" fillId="4" borderId="27" xfId="0" applyNumberFormat="1" applyFont="1" applyFill="1" applyBorder="1" applyAlignment="1">
      <alignment vertical="top" wrapText="1"/>
    </xf>
    <xf numFmtId="49" fontId="11" fillId="2" borderId="26" xfId="0" applyNumberFormat="1" applyFont="1" applyFill="1" applyBorder="1" applyAlignment="1">
      <alignment horizontal="center" vertical="top" wrapText="1"/>
    </xf>
    <xf numFmtId="44" fontId="11" fillId="4" borderId="27" xfId="0" applyNumberFormat="1" applyFont="1" applyFill="1" applyBorder="1" applyAlignment="1">
      <alignment vertical="top" wrapText="1"/>
    </xf>
    <xf numFmtId="10" fontId="11" fillId="2" borderId="26" xfId="2" applyNumberFormat="1" applyFont="1" applyFill="1" applyBorder="1" applyAlignment="1">
      <alignment vertical="top" wrapText="1"/>
    </xf>
    <xf numFmtId="169" fontId="0" fillId="0" borderId="47" xfId="0" applyNumberFormat="1" applyBorder="1" applyAlignment="1">
      <alignment horizontal="center"/>
    </xf>
    <xf numFmtId="0" fontId="11" fillId="0" borderId="7" xfId="0" applyFont="1" applyBorder="1" applyAlignment="1">
      <alignment horizontal="center" vertical="top"/>
    </xf>
    <xf numFmtId="4" fontId="12" fillId="0" borderId="5" xfId="0" applyNumberFormat="1" applyFont="1" applyBorder="1" applyAlignment="1">
      <alignment horizontal="center"/>
    </xf>
    <xf numFmtId="4" fontId="12" fillId="0" borderId="5" xfId="12" applyNumberFormat="1" applyFont="1" applyFill="1" applyBorder="1" applyAlignment="1">
      <alignment horizontal="center"/>
    </xf>
    <xf numFmtId="0" fontId="11" fillId="0" borderId="77" xfId="0" applyFont="1" applyBorder="1" applyAlignment="1">
      <alignment horizontal="center" vertical="top"/>
    </xf>
    <xf numFmtId="0" fontId="0" fillId="0" borderId="24" xfId="0" applyBorder="1" applyAlignment="1">
      <alignment horizontal="center" vertical="top"/>
    </xf>
    <xf numFmtId="0" fontId="11" fillId="0" borderId="24" xfId="0" applyFont="1" applyBorder="1" applyAlignment="1">
      <alignment horizontal="left" vertical="distributed"/>
    </xf>
    <xf numFmtId="0" fontId="0" fillId="0" borderId="24" xfId="0" applyBorder="1" applyAlignment="1">
      <alignment horizontal="center"/>
    </xf>
    <xf numFmtId="4" fontId="5" fillId="0" borderId="24" xfId="0" applyNumberFormat="1" applyFont="1" applyBorder="1"/>
    <xf numFmtId="4" fontId="5" fillId="0" borderId="23" xfId="0" applyNumberFormat="1" applyFont="1" applyBorder="1"/>
    <xf numFmtId="4" fontId="5" fillId="0" borderId="4" xfId="0" applyNumberFormat="1" applyFont="1" applyBorder="1"/>
    <xf numFmtId="168" fontId="12" fillId="0" borderId="73" xfId="0" applyNumberFormat="1" applyFont="1" applyBorder="1" applyAlignment="1">
      <alignment horizontal="center"/>
    </xf>
    <xf numFmtId="44" fontId="10" fillId="0" borderId="76" xfId="1" applyFont="1" applyBorder="1"/>
    <xf numFmtId="0" fontId="11" fillId="0" borderId="77" xfId="0" applyFont="1" applyBorder="1" applyAlignment="1">
      <alignment horizontal="center" vertical="center"/>
    </xf>
    <xf numFmtId="0" fontId="11" fillId="0" borderId="25" xfId="0" applyFont="1" applyBorder="1" applyAlignment="1">
      <alignment horizontal="center" vertical="center"/>
    </xf>
    <xf numFmtId="0" fontId="11" fillId="0" borderId="24" xfId="0" applyFont="1" applyBorder="1" applyAlignment="1">
      <alignment horizontal="center" vertical="center"/>
    </xf>
    <xf numFmtId="0" fontId="11" fillId="0" borderId="24" xfId="0" applyFont="1" applyBorder="1" applyAlignment="1">
      <alignment horizontal="center" vertical="distributed"/>
    </xf>
    <xf numFmtId="0" fontId="11" fillId="0" borderId="23" xfId="0" applyFont="1" applyBorder="1" applyAlignment="1">
      <alignment horizontal="center" vertical="center"/>
    </xf>
    <xf numFmtId="0" fontId="3" fillId="0" borderId="4" xfId="0" applyFont="1" applyBorder="1" applyAlignment="1">
      <alignment horizontal="center" vertical="center"/>
    </xf>
    <xf numFmtId="0" fontId="3" fillId="0" borderId="4" xfId="0" applyFont="1" applyBorder="1" applyAlignment="1">
      <alignment horizontal="left" vertical="center" wrapText="1"/>
    </xf>
    <xf numFmtId="0" fontId="5" fillId="0" borderId="4" xfId="0" applyFont="1" applyBorder="1" applyAlignment="1">
      <alignment horizontal="center" vertical="center"/>
    </xf>
    <xf numFmtId="0" fontId="5" fillId="0" borderId="4" xfId="0" applyFont="1" applyBorder="1" applyAlignment="1">
      <alignment horizontal="center" vertical="distributed"/>
    </xf>
    <xf numFmtId="44" fontId="5" fillId="0" borderId="4" xfId="0" applyNumberFormat="1" applyFont="1" applyBorder="1" applyAlignment="1">
      <alignment horizontal="center" vertical="center"/>
    </xf>
    <xf numFmtId="44" fontId="5" fillId="0" borderId="4" xfId="1" applyFont="1" applyBorder="1" applyAlignment="1">
      <alignment horizontal="center" vertical="center"/>
    </xf>
    <xf numFmtId="0" fontId="12" fillId="0" borderId="4" xfId="0" applyFont="1" applyBorder="1" applyAlignment="1">
      <alignment horizontal="center" vertical="justify"/>
    </xf>
    <xf numFmtId="0" fontId="3" fillId="0" borderId="4" xfId="0" applyFont="1" applyBorder="1" applyAlignment="1">
      <alignment horizontal="left" vertical="center"/>
    </xf>
    <xf numFmtId="0" fontId="3" fillId="0" borderId="3" xfId="5" applyBorder="1" applyAlignment="1">
      <alignment horizontal="center" vertical="center"/>
    </xf>
    <xf numFmtId="0" fontId="3" fillId="0" borderId="4" xfId="5" applyBorder="1" applyAlignment="1">
      <alignment wrapText="1"/>
    </xf>
    <xf numFmtId="168" fontId="5" fillId="0" borderId="4" xfId="0" applyNumberFormat="1" applyFont="1" applyBorder="1"/>
    <xf numFmtId="0" fontId="3" fillId="0" borderId="4" xfId="0" applyFont="1" applyBorder="1" applyAlignment="1">
      <alignment horizontal="left" vertical="distributed"/>
    </xf>
    <xf numFmtId="10" fontId="3" fillId="2" borderId="0" xfId="0" applyNumberFormat="1" applyFont="1" applyFill="1"/>
    <xf numFmtId="164" fontId="11" fillId="0" borderId="0" xfId="0" applyNumberFormat="1" applyFont="1" applyAlignment="1">
      <alignment horizontal="center"/>
    </xf>
    <xf numFmtId="43" fontId="11" fillId="0" borderId="0" xfId="14" applyFont="1" applyAlignment="1">
      <alignment horizontal="center"/>
    </xf>
    <xf numFmtId="44" fontId="0" fillId="0" borderId="0" xfId="0" applyNumberFormat="1"/>
    <xf numFmtId="44" fontId="0" fillId="0" borderId="0" xfId="0" applyNumberFormat="1" applyAlignment="1">
      <alignment horizontal="center"/>
    </xf>
    <xf numFmtId="44" fontId="0" fillId="0" borderId="0" xfId="1" applyFont="1"/>
    <xf numFmtId="10" fontId="3" fillId="2" borderId="0" xfId="2" applyNumberFormat="1" applyFont="1" applyFill="1"/>
    <xf numFmtId="10" fontId="11" fillId="2" borderId="42" xfId="0" applyNumberFormat="1" applyFont="1" applyFill="1" applyBorder="1" applyAlignment="1">
      <alignment horizontal="left" vertical="center"/>
    </xf>
    <xf numFmtId="0" fontId="3" fillId="0" borderId="7" xfId="0" applyFont="1" applyBorder="1" applyAlignment="1">
      <alignment horizontal="center"/>
    </xf>
    <xf numFmtId="4" fontId="5" fillId="0" borderId="7" xfId="0" applyNumberFormat="1" applyFont="1" applyBorder="1"/>
    <xf numFmtId="4" fontId="3" fillId="2" borderId="0" xfId="0" applyNumberFormat="1" applyFont="1" applyFill="1"/>
    <xf numFmtId="0" fontId="3" fillId="0" borderId="13" xfId="5" applyBorder="1" applyAlignment="1">
      <alignment horizontal="center" vertical="center"/>
    </xf>
    <xf numFmtId="0" fontId="3" fillId="0" borderId="7" xfId="5" applyBorder="1" applyAlignment="1">
      <alignment wrapText="1"/>
    </xf>
    <xf numFmtId="168" fontId="5" fillId="0" borderId="7" xfId="0" applyNumberFormat="1" applyFont="1" applyBorder="1"/>
    <xf numFmtId="0" fontId="0" fillId="0" borderId="4" xfId="0" applyBorder="1"/>
    <xf numFmtId="44" fontId="0" fillId="0" borderId="4" xfId="1" applyFont="1" applyBorder="1"/>
    <xf numFmtId="44" fontId="0" fillId="0" borderId="5" xfId="1" applyFont="1" applyBorder="1"/>
    <xf numFmtId="0" fontId="0" fillId="0" borderId="64" xfId="0" applyBorder="1"/>
    <xf numFmtId="0" fontId="0" fillId="0" borderId="73" xfId="0" applyBorder="1"/>
    <xf numFmtId="0" fontId="3" fillId="0" borderId="4" xfId="0" applyFont="1" applyBorder="1"/>
    <xf numFmtId="0" fontId="3" fillId="0" borderId="64" xfId="0" applyFont="1" applyBorder="1"/>
    <xf numFmtId="44" fontId="0" fillId="0" borderId="73" xfId="1" applyFont="1" applyBorder="1"/>
    <xf numFmtId="0" fontId="3" fillId="0" borderId="78" xfId="0" applyFont="1" applyBorder="1"/>
    <xf numFmtId="44" fontId="11" fillId="5" borderId="67" xfId="0" applyNumberFormat="1" applyFont="1" applyFill="1" applyBorder="1"/>
    <xf numFmtId="44" fontId="0" fillId="0" borderId="0" xfId="1" applyFont="1" applyBorder="1"/>
    <xf numFmtId="44" fontId="11" fillId="5" borderId="76" xfId="0" applyNumberFormat="1" applyFont="1" applyFill="1" applyBorder="1"/>
    <xf numFmtId="0" fontId="0" fillId="0" borderId="6" xfId="0" applyBorder="1"/>
    <xf numFmtId="0" fontId="3" fillId="0" borderId="57" xfId="0" applyFont="1" applyBorder="1"/>
    <xf numFmtId="2" fontId="24" fillId="0" borderId="4" xfId="13" applyNumberFormat="1" applyFont="1" applyFill="1" applyBorder="1" applyAlignment="1">
      <alignment horizontal="center" vertical="center" wrapText="1"/>
    </xf>
    <xf numFmtId="4" fontId="11" fillId="2" borderId="0" xfId="0" applyNumberFormat="1" applyFont="1" applyFill="1" applyAlignment="1">
      <alignment wrapText="1"/>
    </xf>
    <xf numFmtId="165" fontId="3" fillId="2" borderId="0" xfId="0" applyNumberFormat="1" applyFont="1" applyFill="1"/>
    <xf numFmtId="4" fontId="11" fillId="0" borderId="51" xfId="0" applyNumberFormat="1" applyFont="1" applyBorder="1" applyAlignment="1">
      <alignment horizontal="center" vertical="center"/>
    </xf>
    <xf numFmtId="168" fontId="12" fillId="0" borderId="0" xfId="0" applyNumberFormat="1" applyFont="1" applyAlignment="1">
      <alignment horizontal="center"/>
    </xf>
    <xf numFmtId="0" fontId="25" fillId="3" borderId="82" xfId="0" applyFont="1" applyFill="1" applyBorder="1" applyAlignment="1">
      <alignment horizontal="left" vertical="center"/>
    </xf>
    <xf numFmtId="49" fontId="0" fillId="6" borderId="81" xfId="0" applyNumberFormat="1" applyFill="1" applyBorder="1" applyAlignment="1">
      <alignment horizontal="center" vertical="center"/>
    </xf>
    <xf numFmtId="49" fontId="0" fillId="6" borderId="83" xfId="0" applyNumberFormat="1" applyFill="1" applyBorder="1" applyAlignment="1">
      <alignment horizontal="center" vertical="center"/>
    </xf>
    <xf numFmtId="0" fontId="0" fillId="3" borderId="0" xfId="0" applyFill="1"/>
    <xf numFmtId="0" fontId="25" fillId="3" borderId="84" xfId="0" applyFont="1" applyFill="1" applyBorder="1" applyAlignment="1">
      <alignment horizontal="left" vertical="center"/>
    </xf>
    <xf numFmtId="49" fontId="0" fillId="6" borderId="85" xfId="0" applyNumberFormat="1" applyFill="1" applyBorder="1" applyAlignment="1">
      <alignment horizontal="left" vertical="center"/>
    </xf>
    <xf numFmtId="0" fontId="25" fillId="3" borderId="87" xfId="0" applyFont="1" applyFill="1" applyBorder="1" applyAlignment="1">
      <alignment horizontal="left" vertical="center"/>
    </xf>
    <xf numFmtId="14" fontId="0" fillId="7" borderId="88" xfId="0" applyNumberFormat="1" applyFill="1" applyBorder="1" applyAlignment="1">
      <alignment horizontal="center" vertical="center"/>
    </xf>
    <xf numFmtId="49" fontId="0" fillId="7" borderId="88" xfId="0" applyNumberFormat="1" applyFill="1" applyBorder="1" applyAlignment="1">
      <alignment horizontal="center" vertical="center"/>
    </xf>
    <xf numFmtId="49" fontId="0" fillId="7" borderId="85" xfId="0" applyNumberFormat="1" applyFill="1" applyBorder="1" applyAlignment="1">
      <alignment vertical="center"/>
    </xf>
    <xf numFmtId="49" fontId="0" fillId="6" borderId="88" xfId="0" applyNumberFormat="1" applyFill="1" applyBorder="1" applyAlignment="1">
      <alignment horizontal="center" vertical="center"/>
    </xf>
    <xf numFmtId="0" fontId="25" fillId="0" borderId="91" xfId="0" applyFont="1" applyBorder="1" applyAlignment="1">
      <alignment horizontal="center" vertical="center"/>
    </xf>
    <xf numFmtId="0" fontId="25" fillId="3" borderId="92" xfId="0" applyFont="1" applyFill="1" applyBorder="1" applyAlignment="1">
      <alignment horizontal="left" vertical="center" wrapText="1"/>
    </xf>
    <xf numFmtId="9" fontId="0" fillId="7" borderId="93" xfId="0" applyNumberFormat="1" applyFill="1" applyBorder="1" applyAlignment="1">
      <alignment horizontal="center" vertical="center"/>
    </xf>
    <xf numFmtId="0" fontId="25" fillId="6" borderId="98" xfId="0" applyFont="1" applyFill="1" applyBorder="1" applyAlignment="1">
      <alignment horizontal="center" vertical="center"/>
    </xf>
    <xf numFmtId="0" fontId="25" fillId="3" borderId="99" xfId="0" applyFont="1" applyFill="1" applyBorder="1" applyAlignment="1">
      <alignment horizontal="left" vertical="center" wrapText="1"/>
    </xf>
    <xf numFmtId="9" fontId="0" fillId="7" borderId="100" xfId="0" applyNumberFormat="1" applyFill="1" applyBorder="1" applyAlignment="1">
      <alignment horizontal="center" vertical="center"/>
    </xf>
    <xf numFmtId="170" fontId="0" fillId="0" borderId="0" xfId="0" applyNumberFormat="1"/>
    <xf numFmtId="0" fontId="25" fillId="9" borderId="108" xfId="0" applyFont="1" applyFill="1" applyBorder="1" applyAlignment="1">
      <alignment horizontal="center" vertical="center" wrapText="1"/>
    </xf>
    <xf numFmtId="0" fontId="0" fillId="6" borderId="108" xfId="0" applyFill="1" applyBorder="1" applyAlignment="1">
      <alignment horizontal="center"/>
    </xf>
    <xf numFmtId="44" fontId="25" fillId="4" borderId="108" xfId="11" applyFont="1" applyFill="1" applyBorder="1" applyAlignment="1">
      <alignment horizontal="right" vertical="center"/>
    </xf>
    <xf numFmtId="0" fontId="25" fillId="9" borderId="87" xfId="0" applyFont="1" applyFill="1" applyBorder="1" applyAlignment="1">
      <alignment horizontal="center" vertical="center" wrapText="1"/>
    </xf>
    <xf numFmtId="0" fontId="25" fillId="6" borderId="108" xfId="0" applyFont="1" applyFill="1" applyBorder="1" applyAlignment="1">
      <alignment horizontal="center" vertical="center"/>
    </xf>
    <xf numFmtId="0" fontId="0" fillId="6" borderId="45" xfId="0" applyFill="1" applyBorder="1" applyAlignment="1">
      <alignment horizontal="center" vertical="center"/>
    </xf>
    <xf numFmtId="0" fontId="25" fillId="6" borderId="108" xfId="0" applyFont="1" applyFill="1" applyBorder="1" applyAlignment="1">
      <alignment horizontal="center" vertical="center" wrapText="1"/>
    </xf>
    <xf numFmtId="0" fontId="0" fillId="6" borderId="109" xfId="0" applyFill="1" applyBorder="1" applyAlignment="1">
      <alignment horizontal="center" vertical="center"/>
    </xf>
    <xf numFmtId="171" fontId="0" fillId="6" borderId="45" xfId="0" applyNumberFormat="1" applyFill="1" applyBorder="1" applyAlignment="1">
      <alignment horizontal="right" vertical="center"/>
    </xf>
    <xf numFmtId="168" fontId="0" fillId="6" borderId="66" xfId="11" applyNumberFormat="1" applyFont="1" applyFill="1" applyBorder="1" applyAlignment="1">
      <alignment horizontal="right" vertical="center"/>
    </xf>
    <xf numFmtId="10" fontId="0" fillId="6" borderId="110" xfId="12" applyNumberFormat="1" applyFont="1" applyFill="1" applyBorder="1" applyAlignment="1">
      <alignment horizontal="right" vertical="center"/>
    </xf>
    <xf numFmtId="4" fontId="0" fillId="8" borderId="42" xfId="11" applyNumberFormat="1" applyFont="1" applyFill="1" applyBorder="1" applyAlignment="1">
      <alignment horizontal="right" vertical="center"/>
    </xf>
    <xf numFmtId="4" fontId="0" fillId="8" borderId="45" xfId="11" applyNumberFormat="1" applyFont="1" applyFill="1" applyBorder="1" applyAlignment="1">
      <alignment horizontal="right" vertical="center"/>
    </xf>
    <xf numFmtId="4" fontId="0" fillId="8" borderId="109" xfId="11" applyNumberFormat="1" applyFont="1" applyFill="1" applyBorder="1" applyAlignment="1">
      <alignment horizontal="right" vertical="center"/>
    </xf>
    <xf numFmtId="0" fontId="0" fillId="6" borderId="45" xfId="0" applyFill="1" applyBorder="1" applyAlignment="1">
      <alignment horizontal="left" vertical="center" wrapText="1"/>
    </xf>
    <xf numFmtId="167" fontId="0" fillId="6" borderId="45" xfId="0" applyNumberFormat="1" applyFill="1" applyBorder="1" applyAlignment="1">
      <alignment horizontal="right" vertical="center"/>
    </xf>
    <xf numFmtId="167" fontId="0" fillId="8" borderId="45" xfId="11" applyNumberFormat="1" applyFont="1" applyFill="1" applyBorder="1" applyAlignment="1">
      <alignment horizontal="right" vertical="center"/>
    </xf>
    <xf numFmtId="167" fontId="0" fillId="8" borderId="109" xfId="11" applyNumberFormat="1" applyFont="1" applyFill="1" applyBorder="1" applyAlignment="1">
      <alignment horizontal="right" vertical="center"/>
    </xf>
    <xf numFmtId="168" fontId="0" fillId="6" borderId="64" xfId="11" applyNumberFormat="1" applyFont="1" applyFill="1" applyBorder="1" applyAlignment="1">
      <alignment horizontal="right" vertical="center"/>
    </xf>
    <xf numFmtId="49" fontId="0" fillId="6" borderId="28" xfId="0" applyNumberFormat="1" applyFill="1" applyBorder="1" applyAlignment="1">
      <alignment horizontal="center" vertical="center"/>
    </xf>
    <xf numFmtId="49" fontId="0" fillId="6" borderId="59" xfId="0" applyNumberFormat="1" applyFill="1" applyBorder="1" applyAlignment="1">
      <alignment horizontal="center" vertical="center"/>
    </xf>
    <xf numFmtId="49" fontId="0" fillId="6" borderId="28" xfId="0" applyNumberFormat="1" applyFill="1" applyBorder="1" applyAlignment="1">
      <alignment horizontal="left" vertical="center"/>
    </xf>
    <xf numFmtId="49" fontId="0" fillId="6" borderId="111" xfId="0" applyNumberFormat="1" applyFill="1" applyBorder="1" applyAlignment="1">
      <alignment horizontal="center" vertical="center"/>
    </xf>
    <xf numFmtId="167" fontId="0" fillId="6" borderId="59" xfId="0" applyNumberFormat="1" applyFill="1" applyBorder="1" applyAlignment="1">
      <alignment horizontal="right" vertical="center"/>
    </xf>
    <xf numFmtId="4" fontId="0" fillId="8" borderId="63" xfId="11" applyNumberFormat="1" applyFont="1" applyFill="1" applyBorder="1" applyAlignment="1">
      <alignment horizontal="right" vertical="center"/>
    </xf>
    <xf numFmtId="167" fontId="0" fillId="8" borderId="59" xfId="11" applyNumberFormat="1" applyFont="1" applyFill="1" applyBorder="1" applyAlignment="1">
      <alignment horizontal="right" vertical="center"/>
    </xf>
    <xf numFmtId="4" fontId="0" fillId="8" borderId="111" xfId="11" applyNumberFormat="1" applyFont="1" applyFill="1" applyBorder="1" applyAlignment="1">
      <alignment horizontal="right" vertical="center"/>
    </xf>
    <xf numFmtId="49" fontId="25" fillId="6" borderId="91" xfId="0" applyNumberFormat="1" applyFont="1" applyFill="1" applyBorder="1" applyAlignment="1">
      <alignment horizontal="center" vertical="center"/>
    </xf>
    <xf numFmtId="49" fontId="1" fillId="6" borderId="4" xfId="0" applyNumberFormat="1" applyFont="1" applyFill="1" applyBorder="1" applyAlignment="1">
      <alignment horizontal="center" vertical="center"/>
    </xf>
    <xf numFmtId="49" fontId="0" fillId="6" borderId="5" xfId="0" applyNumberFormat="1" applyFill="1" applyBorder="1" applyAlignment="1">
      <alignment horizontal="center" vertical="center"/>
    </xf>
    <xf numFmtId="0" fontId="0" fillId="6" borderId="15" xfId="0" applyFill="1" applyBorder="1" applyAlignment="1">
      <alignment horizontal="center" vertical="center"/>
    </xf>
    <xf numFmtId="49" fontId="0" fillId="6" borderId="55" xfId="0" applyNumberFormat="1" applyFill="1" applyBorder="1" applyAlignment="1">
      <alignment horizontal="left" vertical="center" wrapText="1"/>
    </xf>
    <xf numFmtId="49" fontId="25" fillId="6" borderId="108" xfId="0" applyNumberFormat="1" applyFont="1" applyFill="1" applyBorder="1" applyAlignment="1">
      <alignment horizontal="center" vertical="center"/>
    </xf>
    <xf numFmtId="49" fontId="0" fillId="6" borderId="45" xfId="0" applyNumberFormat="1" applyFill="1" applyBorder="1" applyAlignment="1">
      <alignment horizontal="center" vertical="center"/>
    </xf>
    <xf numFmtId="49" fontId="0" fillId="6" borderId="55" xfId="0" applyNumberFormat="1" applyFill="1" applyBorder="1" applyAlignment="1">
      <alignment horizontal="center" vertical="center"/>
    </xf>
    <xf numFmtId="49" fontId="0" fillId="6" borderId="15" xfId="0" applyNumberFormat="1" applyFill="1" applyBorder="1" applyAlignment="1">
      <alignment horizontal="center" vertical="center"/>
    </xf>
    <xf numFmtId="49" fontId="0" fillId="6" borderId="55" xfId="0" applyNumberFormat="1" applyFill="1" applyBorder="1" applyAlignment="1">
      <alignment horizontal="left" vertical="center"/>
    </xf>
    <xf numFmtId="49" fontId="0" fillId="6" borderId="109" xfId="0" applyNumberFormat="1" applyFill="1" applyBorder="1" applyAlignment="1">
      <alignment horizontal="center" vertical="center"/>
    </xf>
    <xf numFmtId="10" fontId="0" fillId="6" borderId="109" xfId="12" applyNumberFormat="1" applyFont="1" applyFill="1" applyBorder="1" applyAlignment="1">
      <alignment horizontal="right" vertical="center"/>
    </xf>
    <xf numFmtId="0" fontId="0" fillId="6" borderId="55" xfId="0" applyFill="1" applyBorder="1" applyAlignment="1">
      <alignment horizontal="center" vertical="center"/>
    </xf>
    <xf numFmtId="49" fontId="0" fillId="6" borderId="14" xfId="0" applyNumberFormat="1" applyFill="1" applyBorder="1" applyAlignment="1">
      <alignment horizontal="center" vertical="center"/>
    </xf>
    <xf numFmtId="10" fontId="0" fillId="6" borderId="111" xfId="12" applyNumberFormat="1" applyFont="1" applyFill="1" applyBorder="1" applyAlignment="1">
      <alignment horizontal="right" vertical="center"/>
    </xf>
    <xf numFmtId="0" fontId="11" fillId="6" borderId="45" xfId="0" applyFont="1" applyFill="1" applyBorder="1" applyAlignment="1">
      <alignment horizontal="left" vertical="center" wrapText="1"/>
    </xf>
    <xf numFmtId="49" fontId="25" fillId="6" borderId="4" xfId="0" applyNumberFormat="1" applyFont="1" applyFill="1" applyBorder="1" applyAlignment="1">
      <alignment horizontal="center" vertical="center"/>
    </xf>
    <xf numFmtId="0" fontId="3" fillId="0" borderId="0" xfId="0" applyFont="1" applyAlignment="1">
      <alignment horizontal="center"/>
    </xf>
    <xf numFmtId="14" fontId="25" fillId="6" borderId="90" xfId="0" applyNumberFormat="1" applyFont="1" applyFill="1" applyBorder="1" applyAlignment="1">
      <alignment horizontal="center" vertical="center" wrapText="1"/>
    </xf>
    <xf numFmtId="14" fontId="25" fillId="6" borderId="97" xfId="0" applyNumberFormat="1" applyFont="1" applyFill="1" applyBorder="1" applyAlignment="1">
      <alignment horizontal="center" vertical="center" wrapText="1"/>
    </xf>
    <xf numFmtId="0" fontId="25" fillId="3" borderId="94" xfId="0" applyFont="1" applyFill="1" applyBorder="1" applyAlignment="1">
      <alignment horizontal="left" vertical="center"/>
    </xf>
    <xf numFmtId="0" fontId="25" fillId="3" borderId="101" xfId="0" applyFont="1" applyFill="1" applyBorder="1" applyAlignment="1">
      <alignment horizontal="left" vertical="center"/>
    </xf>
    <xf numFmtId="10" fontId="0" fillId="8" borderId="90" xfId="12" applyNumberFormat="1" applyFont="1" applyFill="1" applyBorder="1" applyAlignment="1">
      <alignment horizontal="center" vertical="center"/>
    </xf>
    <xf numFmtId="10" fontId="0" fillId="8" borderId="97" xfId="12" applyNumberFormat="1" applyFont="1" applyFill="1" applyBorder="1" applyAlignment="1">
      <alignment horizontal="center" vertical="center"/>
    </xf>
    <xf numFmtId="10" fontId="0" fillId="7" borderId="95" xfId="12" applyNumberFormat="1" applyFont="1" applyFill="1" applyBorder="1" applyAlignment="1">
      <alignment horizontal="center" vertical="center"/>
    </xf>
    <xf numFmtId="10" fontId="0" fillId="7" borderId="102" xfId="12" applyNumberFormat="1" applyFont="1" applyFill="1" applyBorder="1" applyAlignment="1">
      <alignment horizontal="center" vertical="center"/>
    </xf>
    <xf numFmtId="0" fontId="27" fillId="9" borderId="103" xfId="0" applyFont="1" applyFill="1" applyBorder="1" applyAlignment="1">
      <alignment horizontal="center" vertical="center"/>
    </xf>
    <xf numFmtId="0" fontId="27" fillId="9" borderId="106" xfId="0" applyFont="1" applyFill="1" applyBorder="1" applyAlignment="1">
      <alignment horizontal="center" vertical="center"/>
    </xf>
    <xf numFmtId="0" fontId="27" fillId="9" borderId="107" xfId="0" applyFont="1" applyFill="1" applyBorder="1" applyAlignment="1">
      <alignment horizontal="center" vertical="center"/>
    </xf>
    <xf numFmtId="0" fontId="28" fillId="6" borderId="104" xfId="0" applyFont="1" applyFill="1" applyBorder="1" applyAlignment="1">
      <alignment horizontal="center"/>
    </xf>
    <xf numFmtId="0" fontId="28" fillId="6" borderId="105" xfId="0" applyFont="1" applyFill="1" applyBorder="1" applyAlignment="1">
      <alignment horizontal="center"/>
    </xf>
    <xf numFmtId="0" fontId="28" fillId="7" borderId="104" xfId="0" applyFont="1" applyFill="1" applyBorder="1" applyAlignment="1">
      <alignment horizontal="center"/>
    </xf>
    <xf numFmtId="0" fontId="28" fillId="7" borderId="105" xfId="0" applyFont="1" applyFill="1" applyBorder="1" applyAlignment="1">
      <alignment horizontal="center"/>
    </xf>
    <xf numFmtId="0" fontId="28" fillId="8" borderId="104" xfId="0" applyFont="1" applyFill="1" applyBorder="1" applyAlignment="1">
      <alignment horizontal="center"/>
    </xf>
    <xf numFmtId="0" fontId="28" fillId="8" borderId="105" xfId="0" applyFont="1" applyFill="1" applyBorder="1" applyAlignment="1">
      <alignment horizontal="center"/>
    </xf>
    <xf numFmtId="0" fontId="26" fillId="0" borderId="79" xfId="0" applyFont="1" applyBorder="1" applyAlignment="1">
      <alignment horizontal="center" vertical="center"/>
    </xf>
    <xf numFmtId="0" fontId="26" fillId="0" borderId="80" xfId="0" applyFont="1" applyBorder="1" applyAlignment="1">
      <alignment horizontal="center" vertical="center"/>
    </xf>
    <xf numFmtId="0" fontId="26" fillId="0" borderId="81" xfId="0" applyFont="1" applyBorder="1" applyAlignment="1">
      <alignment horizontal="center" vertical="center"/>
    </xf>
    <xf numFmtId="49" fontId="0" fillId="6" borderId="85" xfId="0" applyNumberFormat="1" applyFill="1" applyBorder="1" applyAlignment="1">
      <alignment horizontal="left" vertical="center"/>
    </xf>
    <xf numFmtId="49" fontId="0" fillId="6" borderId="86" xfId="0" applyNumberFormat="1" applyFill="1" applyBorder="1" applyAlignment="1">
      <alignment horizontal="left" vertical="center"/>
    </xf>
    <xf numFmtId="49" fontId="3" fillId="6" borderId="85" xfId="0" applyNumberFormat="1" applyFont="1" applyFill="1" applyBorder="1" applyAlignment="1">
      <alignment horizontal="left" vertical="center"/>
    </xf>
    <xf numFmtId="0" fontId="0" fillId="7" borderId="85" xfId="0" applyFill="1" applyBorder="1" applyAlignment="1">
      <alignment horizontal="center" vertical="center"/>
    </xf>
    <xf numFmtId="0" fontId="0" fillId="7" borderId="86" xfId="0" applyFill="1" applyBorder="1" applyAlignment="1">
      <alignment horizontal="center" vertical="center"/>
    </xf>
    <xf numFmtId="0" fontId="25" fillId="3" borderId="89" xfId="0" applyFont="1" applyFill="1" applyBorder="1" applyAlignment="1">
      <alignment horizontal="left" vertical="center" wrapText="1"/>
    </xf>
    <xf numFmtId="0" fontId="25" fillId="3" borderId="96" xfId="0" applyFont="1" applyFill="1" applyBorder="1" applyAlignment="1">
      <alignment horizontal="left" vertical="center" wrapText="1"/>
    </xf>
    <xf numFmtId="0" fontId="0" fillId="0" borderId="0" xfId="0" applyAlignment="1">
      <alignment horizontal="center"/>
    </xf>
    <xf numFmtId="0" fontId="11" fillId="0" borderId="0" xfId="0" applyFont="1" applyAlignment="1">
      <alignment horizontal="center"/>
    </xf>
    <xf numFmtId="0" fontId="20" fillId="0" borderId="0" xfId="0" applyFont="1" applyAlignment="1">
      <alignment horizont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8" xfId="0" applyFont="1" applyBorder="1" applyAlignment="1">
      <alignment horizontal="center" vertical="center"/>
    </xf>
    <xf numFmtId="0" fontId="11" fillId="0" borderId="14" xfId="0" applyFont="1" applyBorder="1" applyAlignment="1">
      <alignment horizontal="center" vertical="center"/>
    </xf>
    <xf numFmtId="0" fontId="11" fillId="0" borderId="9" xfId="0" applyFont="1" applyBorder="1" applyAlignment="1">
      <alignment horizontal="center" vertical="center"/>
    </xf>
    <xf numFmtId="0" fontId="10" fillId="0" borderId="48" xfId="0" applyFont="1" applyBorder="1" applyAlignment="1">
      <alignment horizontal="center"/>
    </xf>
    <xf numFmtId="0" fontId="10" fillId="0" borderId="47" xfId="0" applyFont="1" applyBorder="1" applyAlignment="1">
      <alignment horizontal="center"/>
    </xf>
    <xf numFmtId="0" fontId="10" fillId="0" borderId="46" xfId="0" applyFont="1" applyBorder="1" applyAlignment="1">
      <alignment horizontal="center"/>
    </xf>
    <xf numFmtId="0" fontId="10" fillId="0" borderId="45" xfId="0" applyFont="1" applyBorder="1" applyAlignment="1" applyProtection="1">
      <alignment horizontal="left" vertical="top"/>
      <protection locked="0"/>
    </xf>
    <xf numFmtId="0" fontId="10" fillId="0" borderId="15" xfId="0" applyFont="1" applyBorder="1" applyAlignment="1" applyProtection="1">
      <alignment horizontal="left" vertical="top"/>
      <protection locked="0"/>
    </xf>
    <xf numFmtId="0" fontId="10" fillId="0" borderId="13" xfId="0" applyFont="1" applyBorder="1" applyAlignment="1" applyProtection="1">
      <alignment horizontal="left" vertical="top"/>
      <protection locked="0"/>
    </xf>
    <xf numFmtId="0" fontId="10" fillId="0" borderId="1" xfId="0" applyFont="1" applyBorder="1" applyAlignment="1">
      <alignment horizontal="center"/>
    </xf>
    <xf numFmtId="0" fontId="10" fillId="0" borderId="2" xfId="0" applyFont="1" applyBorder="1" applyAlignment="1">
      <alignment horizontal="center"/>
    </xf>
    <xf numFmtId="0" fontId="10" fillId="0" borderId="60" xfId="0" applyFont="1" applyBorder="1" applyAlignment="1">
      <alignment horizontal="center"/>
    </xf>
    <xf numFmtId="0" fontId="11" fillId="0" borderId="49" xfId="0" applyFont="1" applyBorder="1" applyAlignment="1">
      <alignment horizontal="center" vertical="center"/>
    </xf>
    <xf numFmtId="0" fontId="11" fillId="0" borderId="52" xfId="0" applyFont="1" applyBorder="1" applyAlignment="1">
      <alignment horizontal="center" vertical="center"/>
    </xf>
    <xf numFmtId="0" fontId="11" fillId="0" borderId="50" xfId="0" applyFont="1" applyBorder="1" applyAlignment="1">
      <alignment horizontal="center" vertical="center"/>
    </xf>
    <xf numFmtId="0" fontId="11" fillId="0" borderId="53" xfId="0" applyFont="1" applyBorder="1" applyAlignment="1">
      <alignment horizontal="center" vertical="center"/>
    </xf>
    <xf numFmtId="0" fontId="11" fillId="0" borderId="37" xfId="0" applyFont="1" applyBorder="1" applyAlignment="1">
      <alignment horizontal="center" vertical="distributed"/>
    </xf>
    <xf numFmtId="0" fontId="11" fillId="0" borderId="43" xfId="0" applyFont="1" applyBorder="1" applyAlignment="1">
      <alignment horizontal="center" vertical="distributed"/>
    </xf>
    <xf numFmtId="0" fontId="11" fillId="0" borderId="51" xfId="0" applyFont="1" applyBorder="1" applyAlignment="1">
      <alignment horizontal="center" vertical="center"/>
    </xf>
    <xf numFmtId="0" fontId="11" fillId="0" borderId="54" xfId="0" applyFont="1" applyBorder="1" applyAlignment="1">
      <alignment horizontal="center" vertical="center"/>
    </xf>
    <xf numFmtId="0" fontId="10" fillId="0" borderId="59" xfId="0" applyFont="1" applyBorder="1" applyAlignment="1">
      <alignment horizontal="left" vertical="top" wrapText="1"/>
    </xf>
    <xf numFmtId="0" fontId="10" fillId="0" borderId="2" xfId="0" applyFont="1" applyBorder="1" applyAlignment="1">
      <alignment horizontal="left" vertical="top" wrapText="1"/>
    </xf>
    <xf numFmtId="0" fontId="10" fillId="0" borderId="3" xfId="0" applyFont="1" applyBorder="1" applyAlignment="1">
      <alignment horizontal="left" vertical="top" wrapText="1"/>
    </xf>
    <xf numFmtId="0" fontId="11" fillId="0" borderId="38" xfId="0" applyFont="1" applyBorder="1" applyAlignment="1">
      <alignment horizontal="center"/>
    </xf>
    <xf numFmtId="0" fontId="11" fillId="0" borderId="36" xfId="0" applyFont="1" applyBorder="1" applyAlignment="1">
      <alignment horizontal="center"/>
    </xf>
    <xf numFmtId="0" fontId="11" fillId="0" borderId="38" xfId="0" applyFont="1" applyBorder="1" applyAlignment="1">
      <alignment horizontal="center" wrapText="1"/>
    </xf>
    <xf numFmtId="0" fontId="11" fillId="0" borderId="36" xfId="0" applyFont="1" applyBorder="1" applyAlignment="1">
      <alignment horizontal="center" wrapText="1"/>
    </xf>
    <xf numFmtId="0" fontId="12" fillId="0" borderId="70" xfId="0" applyFont="1" applyBorder="1" applyAlignment="1">
      <alignment horizontal="left" vertical="justify"/>
    </xf>
    <xf numFmtId="0" fontId="12" fillId="0" borderId="24" xfId="0" applyFont="1" applyBorder="1" applyAlignment="1">
      <alignment horizontal="left" vertical="justify"/>
    </xf>
    <xf numFmtId="0" fontId="12" fillId="0" borderId="71" xfId="0" applyFont="1" applyBorder="1" applyAlignment="1">
      <alignment horizontal="left" vertical="justify"/>
    </xf>
    <xf numFmtId="0" fontId="12" fillId="0" borderId="12" xfId="0" applyFont="1" applyBorder="1" applyAlignment="1">
      <alignment horizontal="left" vertical="justify"/>
    </xf>
    <xf numFmtId="0" fontId="12" fillId="0" borderId="15" xfId="0" applyFont="1" applyBorder="1" applyAlignment="1">
      <alignment horizontal="left" vertical="justify"/>
    </xf>
    <xf numFmtId="0" fontId="12" fillId="0" borderId="13" xfId="0" applyFont="1" applyBorder="1" applyAlignment="1">
      <alignment horizontal="left" vertical="justify"/>
    </xf>
    <xf numFmtId="0" fontId="12" fillId="0" borderId="28" xfId="0" applyFont="1" applyBorder="1" applyAlignment="1">
      <alignment horizontal="center" vertical="center"/>
    </xf>
    <xf numFmtId="0" fontId="12" fillId="0" borderId="9" xfId="0" applyFont="1" applyBorder="1" applyAlignment="1">
      <alignment horizontal="center" vertical="center"/>
    </xf>
    <xf numFmtId="0" fontId="12" fillId="0" borderId="45" xfId="0" applyFont="1" applyBorder="1" applyAlignment="1">
      <alignment horizontal="center" vertical="center"/>
    </xf>
    <xf numFmtId="0" fontId="12" fillId="0" borderId="13" xfId="0" applyFont="1" applyBorder="1" applyAlignment="1">
      <alignment horizontal="center" vertical="center"/>
    </xf>
    <xf numFmtId="4" fontId="12" fillId="0" borderId="5" xfId="0" applyNumberFormat="1" applyFont="1" applyBorder="1" applyAlignment="1">
      <alignment horizontal="center" vertical="justify"/>
    </xf>
    <xf numFmtId="4" fontId="12" fillId="0" borderId="7" xfId="0" applyNumberFormat="1" applyFont="1" applyBorder="1" applyAlignment="1">
      <alignment horizontal="center" vertical="justify"/>
    </xf>
    <xf numFmtId="0" fontId="12" fillId="0" borderId="5" xfId="0" applyFont="1" applyBorder="1" applyAlignment="1">
      <alignment horizontal="center" vertical="justify"/>
    </xf>
    <xf numFmtId="0" fontId="12" fillId="0" borderId="7" xfId="0" applyFont="1" applyBorder="1" applyAlignment="1">
      <alignment horizontal="center" vertical="justify"/>
    </xf>
    <xf numFmtId="0" fontId="12" fillId="0" borderId="5" xfId="0" applyFont="1" applyBorder="1" applyAlignment="1">
      <alignment horizontal="center" vertical="center"/>
    </xf>
    <xf numFmtId="0" fontId="12" fillId="0" borderId="7" xfId="0" applyFont="1" applyBorder="1" applyAlignment="1">
      <alignment horizontal="center" vertical="center"/>
    </xf>
    <xf numFmtId="0" fontId="11" fillId="0" borderId="59" xfId="0" applyFont="1" applyBorder="1" applyAlignment="1">
      <alignment horizontal="center"/>
    </xf>
    <xf numFmtId="0" fontId="11" fillId="0" borderId="3" xfId="0" applyFont="1" applyBorder="1" applyAlignment="1">
      <alignment horizontal="center"/>
    </xf>
    <xf numFmtId="0" fontId="3" fillId="0" borderId="59" xfId="0" applyFont="1" applyBorder="1" applyAlignment="1">
      <alignment horizontal="left"/>
    </xf>
    <xf numFmtId="0" fontId="3" fillId="0" borderId="3" xfId="0" applyFont="1" applyBorder="1" applyAlignment="1">
      <alignment horizontal="left"/>
    </xf>
    <xf numFmtId="4" fontId="12" fillId="0" borderId="50" xfId="0" applyNumberFormat="1" applyFont="1" applyBorder="1" applyAlignment="1">
      <alignment horizontal="center" vertical="center"/>
    </xf>
    <xf numFmtId="4" fontId="12" fillId="0" borderId="7" xfId="0" applyNumberFormat="1" applyFont="1" applyBorder="1" applyAlignment="1">
      <alignment horizontal="center" vertical="center"/>
    </xf>
    <xf numFmtId="0" fontId="10" fillId="0" borderId="41" xfId="0" applyFont="1" applyBorder="1" applyAlignment="1">
      <alignment horizontal="center"/>
    </xf>
    <xf numFmtId="0" fontId="10" fillId="0" borderId="40" xfId="0" applyFont="1" applyBorder="1" applyAlignment="1">
      <alignment horizontal="center"/>
    </xf>
    <xf numFmtId="0" fontId="12" fillId="0" borderId="8" xfId="0" applyFont="1" applyBorder="1" applyAlignment="1">
      <alignment horizontal="center" vertical="center"/>
    </xf>
    <xf numFmtId="0" fontId="12" fillId="0" borderId="12" xfId="0" applyFont="1" applyBorder="1" applyAlignment="1">
      <alignment horizontal="center" vertical="center"/>
    </xf>
    <xf numFmtId="4" fontId="12" fillId="0" borderId="5" xfId="0" applyNumberFormat="1" applyFont="1" applyBorder="1" applyAlignment="1">
      <alignment horizontal="center" vertical="center"/>
    </xf>
    <xf numFmtId="0" fontId="11" fillId="0" borderId="70" xfId="0" applyFont="1" applyBorder="1" applyAlignment="1">
      <alignment horizontal="left" vertical="justify"/>
    </xf>
    <xf numFmtId="0" fontId="11" fillId="0" borderId="24" xfId="0" applyFont="1" applyBorder="1" applyAlignment="1">
      <alignment horizontal="left" vertical="justify"/>
    </xf>
    <xf numFmtId="0" fontId="11" fillId="0" borderId="71" xfId="0" applyFont="1" applyBorder="1" applyAlignment="1">
      <alignment horizontal="left" vertical="justify"/>
    </xf>
    <xf numFmtId="0" fontId="11" fillId="0" borderId="12" xfId="0" applyFont="1" applyBorder="1" applyAlignment="1">
      <alignment horizontal="left" vertical="justify"/>
    </xf>
    <xf numFmtId="0" fontId="11" fillId="0" borderId="15" xfId="0" applyFont="1" applyBorder="1" applyAlignment="1">
      <alignment horizontal="left" vertical="justify"/>
    </xf>
    <xf numFmtId="0" fontId="11" fillId="0" borderId="13" xfId="0" applyFont="1" applyBorder="1" applyAlignment="1">
      <alignment horizontal="left" vertical="justify"/>
    </xf>
    <xf numFmtId="0" fontId="5" fillId="0" borderId="0" xfId="0" applyFont="1" applyAlignment="1">
      <alignment horizontal="left" wrapText="1"/>
    </xf>
    <xf numFmtId="0" fontId="19" fillId="0" borderId="32" xfId="0" applyFont="1" applyBorder="1" applyAlignment="1">
      <alignment horizontal="left" vertical="center" wrapText="1"/>
    </xf>
    <xf numFmtId="0" fontId="11" fillId="2" borderId="22" xfId="0" applyFont="1" applyFill="1" applyBorder="1" applyAlignment="1">
      <alignment horizontal="left" vertical="center" wrapText="1"/>
    </xf>
    <xf numFmtId="0" fontId="11" fillId="2" borderId="19" xfId="0" applyFont="1" applyFill="1" applyBorder="1" applyAlignment="1">
      <alignment horizontal="left" vertical="center" wrapText="1"/>
    </xf>
    <xf numFmtId="0" fontId="11" fillId="2" borderId="20" xfId="0" applyFont="1" applyFill="1" applyBorder="1" applyAlignment="1">
      <alignment horizontal="left" vertical="center" wrapText="1"/>
    </xf>
    <xf numFmtId="0" fontId="19" fillId="0" borderId="35" xfId="0" applyFont="1" applyBorder="1" applyAlignment="1">
      <alignment horizontal="center" vertical="center" wrapText="1"/>
    </xf>
    <xf numFmtId="0" fontId="19" fillId="0" borderId="31" xfId="0" applyFont="1" applyBorder="1" applyAlignment="1">
      <alignment horizontal="center" vertical="center" wrapText="1"/>
    </xf>
    <xf numFmtId="0" fontId="11" fillId="2" borderId="48" xfId="0" applyFont="1" applyFill="1" applyBorder="1" applyAlignment="1">
      <alignment horizontal="left" vertical="center"/>
    </xf>
    <xf numFmtId="0" fontId="11" fillId="2" borderId="47" xfId="0" applyFont="1" applyFill="1" applyBorder="1" applyAlignment="1">
      <alignment horizontal="left" vertical="center"/>
    </xf>
    <xf numFmtId="0" fontId="11" fillId="2" borderId="46" xfId="0" applyFont="1" applyFill="1" applyBorder="1" applyAlignment="1">
      <alignment horizontal="left" vertical="center"/>
    </xf>
    <xf numFmtId="0" fontId="11" fillId="2" borderId="44" xfId="0" applyFont="1" applyFill="1" applyBorder="1" applyAlignment="1">
      <alignment horizontal="left" vertical="center"/>
    </xf>
    <xf numFmtId="165" fontId="11" fillId="2" borderId="44" xfId="0" applyNumberFormat="1" applyFont="1" applyFill="1" applyBorder="1" applyAlignment="1">
      <alignment horizontal="left" vertical="center"/>
    </xf>
    <xf numFmtId="0" fontId="11" fillId="2" borderId="55" xfId="0" applyFont="1" applyFill="1" applyBorder="1" applyAlignment="1">
      <alignment horizontal="center" vertical="center"/>
    </xf>
    <xf numFmtId="0" fontId="11" fillId="2" borderId="0" xfId="0" applyFont="1" applyFill="1" applyAlignment="1">
      <alignment horizontal="center" vertical="center"/>
    </xf>
    <xf numFmtId="0" fontId="11" fillId="2" borderId="21" xfId="0" applyFont="1" applyFill="1" applyBorder="1" applyAlignment="1">
      <alignment horizontal="center" vertical="center"/>
    </xf>
    <xf numFmtId="49" fontId="19" fillId="0" borderId="34" xfId="0" applyNumberFormat="1" applyFont="1" applyBorder="1" applyAlignment="1">
      <alignment horizontal="center" vertical="center" wrapText="1"/>
    </xf>
    <xf numFmtId="49" fontId="19" fillId="0" borderId="29" xfId="0" applyNumberFormat="1" applyFont="1" applyBorder="1" applyAlignment="1">
      <alignment horizontal="center" vertical="center" wrapText="1"/>
    </xf>
    <xf numFmtId="0" fontId="19" fillId="0" borderId="33" xfId="0" applyFont="1" applyBorder="1" applyAlignment="1">
      <alignment horizontal="left" vertical="center" wrapText="1"/>
    </xf>
    <xf numFmtId="0" fontId="11" fillId="2" borderId="28" xfId="0" applyFont="1" applyFill="1" applyBorder="1" applyAlignment="1">
      <alignment horizontal="center" vertical="center" wrapText="1"/>
    </xf>
    <xf numFmtId="0" fontId="11" fillId="2" borderId="14"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19" xfId="0" applyFont="1" applyFill="1" applyBorder="1" applyAlignment="1">
      <alignment horizontal="center" vertical="center" wrapText="1"/>
    </xf>
    <xf numFmtId="0" fontId="11" fillId="2" borderId="20" xfId="0" applyFont="1" applyFill="1" applyBorder="1" applyAlignment="1">
      <alignment horizontal="center" vertical="center" wrapText="1"/>
    </xf>
    <xf numFmtId="0" fontId="8" fillId="0" borderId="25" xfId="4" applyFont="1" applyBorder="1" applyAlignment="1" applyProtection="1">
      <alignment horizontal="center" vertical="center"/>
      <protection locked="0"/>
    </xf>
    <xf numFmtId="0" fontId="8" fillId="0" borderId="24" xfId="4" applyFont="1" applyBorder="1" applyAlignment="1" applyProtection="1">
      <alignment horizontal="center" vertical="center"/>
      <protection locked="0"/>
    </xf>
    <xf numFmtId="0" fontId="8" fillId="0" borderId="23" xfId="4" applyFont="1" applyBorder="1" applyAlignment="1" applyProtection="1">
      <alignment horizontal="center" vertical="center"/>
      <protection locked="0"/>
    </xf>
    <xf numFmtId="0" fontId="11" fillId="0" borderId="55" xfId="4" applyFont="1" applyBorder="1" applyAlignment="1" applyProtection="1">
      <alignment horizontal="center" vertical="center"/>
      <protection locked="0"/>
    </xf>
    <xf numFmtId="0" fontId="11" fillId="0" borderId="0" xfId="4" applyFont="1" applyAlignment="1" applyProtection="1">
      <alignment horizontal="center" vertical="center"/>
      <protection locked="0"/>
    </xf>
    <xf numFmtId="0" fontId="11" fillId="0" borderId="56" xfId="4" applyFont="1" applyBorder="1" applyAlignment="1" applyProtection="1">
      <alignment horizontal="center" vertical="center"/>
      <protection locked="0"/>
    </xf>
    <xf numFmtId="0" fontId="5" fillId="3" borderId="64" xfId="4" applyFont="1" applyFill="1" applyBorder="1" applyAlignment="1" applyProtection="1">
      <alignment horizontal="center" vertical="center"/>
      <protection locked="0"/>
    </xf>
    <xf numFmtId="0" fontId="5" fillId="3" borderId="4" xfId="4" applyFont="1" applyFill="1" applyBorder="1" applyAlignment="1" applyProtection="1">
      <alignment horizontal="center" vertical="center"/>
      <protection locked="0"/>
    </xf>
    <xf numFmtId="0" fontId="5" fillId="3" borderId="63" xfId="4" applyFont="1" applyFill="1" applyBorder="1" applyAlignment="1" applyProtection="1">
      <alignment horizontal="center" vertical="center"/>
      <protection locked="0"/>
    </xf>
    <xf numFmtId="0" fontId="5" fillId="0" borderId="55" xfId="4" applyFont="1" applyBorder="1" applyAlignment="1" applyProtection="1">
      <alignment horizontal="left" vertical="center"/>
      <protection locked="0"/>
    </xf>
    <xf numFmtId="0" fontId="5" fillId="0" borderId="0" xfId="4" applyFont="1" applyAlignment="1" applyProtection="1">
      <alignment horizontal="left" vertical="center"/>
      <protection locked="0"/>
    </xf>
  </cellXfs>
  <cellStyles count="15">
    <cellStyle name="Moeda" xfId="1" builtinId="4"/>
    <cellStyle name="Moeda 2" xfId="11" xr:uid="{00000000-0005-0000-0000-000001000000}"/>
    <cellStyle name="Normal" xfId="0" builtinId="0"/>
    <cellStyle name="Normal 2" xfId="5" xr:uid="{00000000-0005-0000-0000-000003000000}"/>
    <cellStyle name="Normal 3" xfId="9" xr:uid="{00000000-0005-0000-0000-000004000000}"/>
    <cellStyle name="Normal 4" xfId="4" xr:uid="{00000000-0005-0000-0000-000005000000}"/>
    <cellStyle name="Porcentagem" xfId="2" builtinId="5"/>
    <cellStyle name="Porcentagem 2" xfId="6" xr:uid="{00000000-0005-0000-0000-000007000000}"/>
    <cellStyle name="Porcentagem 3" xfId="7" xr:uid="{00000000-0005-0000-0000-000008000000}"/>
    <cellStyle name="Porcentagem 4" xfId="12" xr:uid="{00000000-0005-0000-0000-000009000000}"/>
    <cellStyle name="Separador de milhares 2" xfId="8" xr:uid="{00000000-0005-0000-0000-00000A000000}"/>
    <cellStyle name="Separador de milhares 2 2" xfId="10" xr:uid="{00000000-0005-0000-0000-00000B000000}"/>
    <cellStyle name="Vírgula" xfId="14" builtinId="3"/>
    <cellStyle name="Vírgula 2" xfId="3" xr:uid="{00000000-0005-0000-0000-00000C000000}"/>
    <cellStyle name="Vírgula 3" xfId="13" xr:uid="{45577EB6-2931-4C83-BD80-3F4EA294F01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536575</xdr:colOff>
      <xdr:row>0</xdr:row>
      <xdr:rowOff>19050</xdr:rowOff>
    </xdr:from>
    <xdr:to>
      <xdr:col>6</xdr:col>
      <xdr:colOff>7620</xdr:colOff>
      <xdr:row>1</xdr:row>
      <xdr:rowOff>22860</xdr:rowOff>
    </xdr:to>
    <xdr:sp macro="" textlink="">
      <xdr:nvSpPr>
        <xdr:cNvPr id="5" name="Text Box 6">
          <a:extLst>
            <a:ext uri="{FF2B5EF4-FFF2-40B4-BE49-F238E27FC236}">
              <a16:creationId xmlns:a16="http://schemas.microsoft.com/office/drawing/2014/main" id="{00000000-0008-0000-0100-000005000000}"/>
            </a:ext>
          </a:extLst>
        </xdr:cNvPr>
        <xdr:cNvSpPr txBox="1">
          <a:spLocks noChangeArrowheads="1"/>
        </xdr:cNvSpPr>
      </xdr:nvSpPr>
      <xdr:spPr bwMode="auto">
        <a:xfrm>
          <a:off x="2121535" y="19050"/>
          <a:ext cx="8729345" cy="1085850"/>
        </a:xfrm>
        <a:prstGeom prst="rect">
          <a:avLst/>
        </a:prstGeom>
        <a:noFill/>
        <a:ln w="9525">
          <a:noFill/>
          <a:miter lim="800000"/>
          <a:headEnd/>
          <a:tailEnd/>
        </a:ln>
      </xdr:spPr>
      <xdr:txBody>
        <a:bodyPr vertOverflow="clip" wrap="square" lIns="27432" tIns="22860" rIns="0" bIns="0" anchor="ctr" upright="1"/>
        <a:lstStyle/>
        <a:p>
          <a:pPr algn="ctr"/>
          <a:r>
            <a:rPr lang="pt-BR" sz="1600" b="1">
              <a:effectLst/>
              <a:latin typeface="+mn-lt"/>
              <a:ea typeface="+mn-ea"/>
              <a:cs typeface="+mn-cs"/>
            </a:rPr>
            <a:t>PREFEITURA MUNICIPAL DE MONTALVÂNIA - MG</a:t>
          </a:r>
          <a:endParaRPr lang="pt-BR" sz="1600">
            <a:effectLst/>
            <a:latin typeface="+mn-lt"/>
            <a:ea typeface="+mn-ea"/>
            <a:cs typeface="+mn-cs"/>
          </a:endParaRPr>
        </a:p>
        <a:p>
          <a:pPr algn="ctr"/>
          <a:r>
            <a:rPr lang="pt-BR" sz="1200">
              <a:effectLst/>
              <a:latin typeface="+mn-lt"/>
              <a:ea typeface="+mn-ea"/>
              <a:cs typeface="+mn-cs"/>
            </a:rPr>
            <a:t>CNPJ: 17.097.791/0001-12</a:t>
          </a:r>
        </a:p>
        <a:p>
          <a:pPr algn="ctr"/>
          <a:r>
            <a:rPr lang="pt-BR" sz="1200">
              <a:effectLst/>
              <a:latin typeface="+mn-lt"/>
              <a:ea typeface="+mn-ea"/>
              <a:cs typeface="+mn-cs"/>
            </a:rPr>
            <a:t>Av. Confúcio, 1150 – Centro – Montalvânia – MG</a:t>
          </a:r>
        </a:p>
        <a:p>
          <a:pPr algn="ctr"/>
          <a:r>
            <a:rPr lang="pt-BR" sz="1200">
              <a:effectLst/>
              <a:latin typeface="+mn-lt"/>
              <a:ea typeface="+mn-ea"/>
              <a:cs typeface="+mn-cs"/>
            </a:rPr>
            <a:t>Telef. (38) 3614-1537 – 3614-1429 – Fax: (38) 3614-1600</a:t>
          </a:r>
        </a:p>
        <a:p>
          <a:pPr algn="ctr"/>
          <a:r>
            <a:rPr lang="pt-BR" sz="1200" b="1">
              <a:effectLst/>
              <a:latin typeface="+mn-lt"/>
              <a:ea typeface="+mn-ea"/>
              <a:cs typeface="+mn-cs"/>
              <a:hlinkClick xmlns:r="http://schemas.openxmlformats.org/officeDocument/2006/relationships" r:id=""/>
            </a:rPr>
            <a:t>www.montalvania.mg.gov.br</a:t>
          </a:r>
          <a:endParaRPr lang="pt-BR" sz="1200">
            <a:effectLst/>
            <a:latin typeface="+mn-lt"/>
            <a:ea typeface="+mn-ea"/>
            <a:cs typeface="+mn-cs"/>
          </a:endParaRPr>
        </a:p>
      </xdr:txBody>
    </xdr:sp>
    <xdr:clientData/>
  </xdr:twoCellAnchor>
  <xdr:twoCellAnchor>
    <xdr:from>
      <xdr:col>2</xdr:col>
      <xdr:colOff>342900</xdr:colOff>
      <xdr:row>66</xdr:row>
      <xdr:rowOff>9525</xdr:rowOff>
    </xdr:from>
    <xdr:to>
      <xdr:col>2</xdr:col>
      <xdr:colOff>2895600</xdr:colOff>
      <xdr:row>66</xdr:row>
      <xdr:rowOff>19050</xdr:rowOff>
    </xdr:to>
    <xdr:cxnSp macro="">
      <xdr:nvCxnSpPr>
        <xdr:cNvPr id="4" name="Conector reto 3">
          <a:extLst>
            <a:ext uri="{FF2B5EF4-FFF2-40B4-BE49-F238E27FC236}">
              <a16:creationId xmlns:a16="http://schemas.microsoft.com/office/drawing/2014/main" id="{00000000-0008-0000-0100-000004000000}"/>
            </a:ext>
          </a:extLst>
        </xdr:cNvPr>
        <xdr:cNvCxnSpPr/>
      </xdr:nvCxnSpPr>
      <xdr:spPr>
        <a:xfrm flipV="1">
          <a:off x="1885950" y="15135225"/>
          <a:ext cx="2552700"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0</xdr:col>
      <xdr:colOff>419100</xdr:colOff>
      <xdr:row>0</xdr:row>
      <xdr:rowOff>160020</xdr:rowOff>
    </xdr:from>
    <xdr:to>
      <xdr:col>1</xdr:col>
      <xdr:colOff>876935</xdr:colOff>
      <xdr:row>0</xdr:row>
      <xdr:rowOff>1015365</xdr:rowOff>
    </xdr:to>
    <xdr:pic>
      <xdr:nvPicPr>
        <xdr:cNvPr id="2" name="Imagem 1">
          <a:extLst>
            <a:ext uri="{FF2B5EF4-FFF2-40B4-BE49-F238E27FC236}">
              <a16:creationId xmlns:a16="http://schemas.microsoft.com/office/drawing/2014/main" id="{E31496B1-BF42-A876-C83A-4ADFEE6A6A0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0968" t="4972" r="22795" b="44592"/>
        <a:stretch/>
      </xdr:blipFill>
      <xdr:spPr bwMode="auto">
        <a:xfrm>
          <a:off x="419100" y="160020"/>
          <a:ext cx="1082675" cy="855345"/>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679174</xdr:colOff>
      <xdr:row>64</xdr:row>
      <xdr:rowOff>91108</xdr:rowOff>
    </xdr:from>
    <xdr:to>
      <xdr:col>5</xdr:col>
      <xdr:colOff>273326</xdr:colOff>
      <xdr:row>64</xdr:row>
      <xdr:rowOff>99391</xdr:rowOff>
    </xdr:to>
    <xdr:cxnSp macro="">
      <xdr:nvCxnSpPr>
        <xdr:cNvPr id="3" name="Conector reto 2">
          <a:extLst>
            <a:ext uri="{FF2B5EF4-FFF2-40B4-BE49-F238E27FC236}">
              <a16:creationId xmlns:a16="http://schemas.microsoft.com/office/drawing/2014/main" id="{00000000-0008-0000-0300-000003000000}"/>
            </a:ext>
          </a:extLst>
        </xdr:cNvPr>
        <xdr:cNvCxnSpPr/>
      </xdr:nvCxnSpPr>
      <xdr:spPr>
        <a:xfrm flipV="1">
          <a:off x="1548848" y="41545565"/>
          <a:ext cx="2824369" cy="8283"/>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304800</xdr:colOff>
      <xdr:row>0</xdr:row>
      <xdr:rowOff>0</xdr:rowOff>
    </xdr:from>
    <xdr:to>
      <xdr:col>7</xdr:col>
      <xdr:colOff>495300</xdr:colOff>
      <xdr:row>0</xdr:row>
      <xdr:rowOff>638175</xdr:rowOff>
    </xdr:to>
    <xdr:sp macro="" textlink="">
      <xdr:nvSpPr>
        <xdr:cNvPr id="2" name="Text Box 6">
          <a:extLst>
            <a:ext uri="{FF2B5EF4-FFF2-40B4-BE49-F238E27FC236}">
              <a16:creationId xmlns:a16="http://schemas.microsoft.com/office/drawing/2014/main" id="{00000000-0008-0000-0400-000002000000}"/>
            </a:ext>
          </a:extLst>
        </xdr:cNvPr>
        <xdr:cNvSpPr txBox="1">
          <a:spLocks noChangeArrowheads="1"/>
        </xdr:cNvSpPr>
      </xdr:nvSpPr>
      <xdr:spPr bwMode="auto">
        <a:xfrm>
          <a:off x="914400" y="0"/>
          <a:ext cx="3848100" cy="161925"/>
        </a:xfrm>
        <a:prstGeom prst="rect">
          <a:avLst/>
        </a:prstGeom>
        <a:noFill/>
        <a:ln w="9525">
          <a:noFill/>
          <a:miter lim="800000"/>
          <a:headEnd/>
          <a:tailEnd/>
        </a:ln>
      </xdr:spPr>
      <xdr:txBody>
        <a:bodyPr vertOverflow="clip" wrap="square" lIns="27432" tIns="22860" rIns="0" bIns="0" anchor="t" upright="1"/>
        <a:lstStyle/>
        <a:p>
          <a:pPr algn="l" rtl="0">
            <a:defRPr sz="1000"/>
          </a:pPr>
          <a:endParaRPr lang="pt-BR" sz="900" b="0" i="0" u="none" strike="noStrike" baseline="0">
            <a:solidFill>
              <a:srgbClr val="000000"/>
            </a:solidFill>
            <a:latin typeface="Arial"/>
            <a:cs typeface="Arial"/>
          </a:endParaRPr>
        </a:p>
      </xdr:txBody>
    </xdr:sp>
    <xdr:clientData/>
  </xdr:twoCellAnchor>
  <xdr:twoCellAnchor>
    <xdr:from>
      <xdr:col>0</xdr:col>
      <xdr:colOff>47625</xdr:colOff>
      <xdr:row>25</xdr:row>
      <xdr:rowOff>0</xdr:rowOff>
    </xdr:from>
    <xdr:to>
      <xdr:col>8</xdr:col>
      <xdr:colOff>0</xdr:colOff>
      <xdr:row>28</xdr:row>
      <xdr:rowOff>73353</xdr:rowOff>
    </xdr:to>
    <xdr:sp macro="" textlink="">
      <xdr:nvSpPr>
        <xdr:cNvPr id="3" name="Text Box 7">
          <a:extLst>
            <a:ext uri="{FF2B5EF4-FFF2-40B4-BE49-F238E27FC236}">
              <a16:creationId xmlns:a16="http://schemas.microsoft.com/office/drawing/2014/main" id="{00000000-0008-0000-0400-000003000000}"/>
            </a:ext>
          </a:extLst>
        </xdr:cNvPr>
        <xdr:cNvSpPr txBox="1">
          <a:spLocks noChangeArrowheads="1"/>
        </xdr:cNvSpPr>
      </xdr:nvSpPr>
      <xdr:spPr bwMode="auto">
        <a:xfrm>
          <a:off x="47625" y="6638925"/>
          <a:ext cx="6657100" cy="559128"/>
        </a:xfrm>
        <a:prstGeom prst="rect">
          <a:avLst/>
        </a:prstGeom>
        <a:noFill/>
        <a:ln w="9525">
          <a:noFill/>
          <a:miter lim="800000"/>
          <a:headEnd/>
          <a:tailEnd/>
        </a:ln>
      </xdr:spPr>
      <xdr:txBody>
        <a:bodyPr vertOverflow="clip" wrap="square" lIns="27432" tIns="22860" rIns="27432" bIns="0" anchor="t" upright="1"/>
        <a:lstStyle/>
        <a:p>
          <a:pPr algn="ctr" rtl="0"/>
          <a:endParaRPr lang="pt-BR" sz="800">
            <a:latin typeface="Arial" pitchFamily="34" charset="0"/>
            <a:cs typeface="Arial" pitchFamily="34" charset="0"/>
          </a:endParaRPr>
        </a:p>
      </xdr:txBody>
    </xdr:sp>
    <xdr:clientData/>
  </xdr:twoCellAnchor>
  <xdr:twoCellAnchor>
    <xdr:from>
      <xdr:col>1</xdr:col>
      <xdr:colOff>203200</xdr:colOff>
      <xdr:row>22</xdr:row>
      <xdr:rowOff>0</xdr:rowOff>
    </xdr:from>
    <xdr:to>
      <xdr:col>2</xdr:col>
      <xdr:colOff>2565400</xdr:colOff>
      <xdr:row>22</xdr:row>
      <xdr:rowOff>6351</xdr:rowOff>
    </xdr:to>
    <xdr:cxnSp macro="">
      <xdr:nvCxnSpPr>
        <xdr:cNvPr id="5" name="Conector reto 4">
          <a:extLst>
            <a:ext uri="{FF2B5EF4-FFF2-40B4-BE49-F238E27FC236}">
              <a16:creationId xmlns:a16="http://schemas.microsoft.com/office/drawing/2014/main" id="{00000000-0008-0000-0400-000005000000}"/>
            </a:ext>
          </a:extLst>
        </xdr:cNvPr>
        <xdr:cNvCxnSpPr/>
      </xdr:nvCxnSpPr>
      <xdr:spPr>
        <a:xfrm flipV="1">
          <a:off x="914400" y="7162800"/>
          <a:ext cx="3048000" cy="6351"/>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28575</xdr:colOff>
      <xdr:row>21</xdr:row>
      <xdr:rowOff>133350</xdr:rowOff>
    </xdr:from>
    <xdr:to>
      <xdr:col>7</xdr:col>
      <xdr:colOff>19050</xdr:colOff>
      <xdr:row>21</xdr:row>
      <xdr:rowOff>142875</xdr:rowOff>
    </xdr:to>
    <xdr:cxnSp macro="">
      <xdr:nvCxnSpPr>
        <xdr:cNvPr id="6" name="Conector reto 5">
          <a:extLst>
            <a:ext uri="{FF2B5EF4-FFF2-40B4-BE49-F238E27FC236}">
              <a16:creationId xmlns:a16="http://schemas.microsoft.com/office/drawing/2014/main" id="{00000000-0008-0000-0400-000006000000}"/>
            </a:ext>
          </a:extLst>
        </xdr:cNvPr>
        <xdr:cNvCxnSpPr/>
      </xdr:nvCxnSpPr>
      <xdr:spPr>
        <a:xfrm flipV="1">
          <a:off x="6858000" y="16087725"/>
          <a:ext cx="2552700" cy="952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1409700</xdr:colOff>
      <xdr:row>0</xdr:row>
      <xdr:rowOff>19050</xdr:rowOff>
    </xdr:from>
    <xdr:to>
      <xdr:col>7</xdr:col>
      <xdr:colOff>542925</xdr:colOff>
      <xdr:row>1</xdr:row>
      <xdr:rowOff>0</xdr:rowOff>
    </xdr:to>
    <xdr:sp macro="" textlink="">
      <xdr:nvSpPr>
        <xdr:cNvPr id="7" name="Text Box 6">
          <a:extLst>
            <a:ext uri="{FF2B5EF4-FFF2-40B4-BE49-F238E27FC236}">
              <a16:creationId xmlns:a16="http://schemas.microsoft.com/office/drawing/2014/main" id="{00000000-0008-0000-0400-000007000000}"/>
            </a:ext>
          </a:extLst>
        </xdr:cNvPr>
        <xdr:cNvSpPr txBox="1">
          <a:spLocks noChangeArrowheads="1"/>
        </xdr:cNvSpPr>
      </xdr:nvSpPr>
      <xdr:spPr bwMode="auto">
        <a:xfrm>
          <a:off x="2800350" y="19050"/>
          <a:ext cx="6705600" cy="685800"/>
        </a:xfrm>
        <a:prstGeom prst="rect">
          <a:avLst/>
        </a:prstGeom>
        <a:noFill/>
        <a:ln w="9525">
          <a:noFill/>
          <a:miter lim="800000"/>
          <a:headEnd/>
          <a:tailEnd/>
        </a:ln>
      </xdr:spPr>
      <xdr:txBody>
        <a:bodyPr vertOverflow="clip" wrap="square" lIns="27432" tIns="22860" rIns="0" bIns="0" anchor="ctr" upright="1"/>
        <a:lstStyle/>
        <a:p>
          <a:pPr algn="ctr"/>
          <a:r>
            <a:rPr lang="pt-BR" sz="1600" b="1">
              <a:effectLst/>
              <a:latin typeface="+mn-lt"/>
              <a:ea typeface="+mn-ea"/>
              <a:cs typeface="+mn-cs"/>
            </a:rPr>
            <a:t>PREFEITURA MUNICIPAL DE MONTALVÂNIA - MG</a:t>
          </a:r>
          <a:endParaRPr lang="pt-BR" sz="1600">
            <a:effectLst/>
            <a:latin typeface="+mn-lt"/>
            <a:ea typeface="+mn-ea"/>
            <a:cs typeface="+mn-cs"/>
          </a:endParaRPr>
        </a:p>
        <a:p>
          <a:pPr algn="ctr"/>
          <a:r>
            <a:rPr lang="pt-BR" sz="1200">
              <a:effectLst/>
              <a:latin typeface="+mn-lt"/>
              <a:ea typeface="+mn-ea"/>
              <a:cs typeface="+mn-cs"/>
            </a:rPr>
            <a:t>CNPJ: 17.097.791/0001-12</a:t>
          </a:r>
        </a:p>
        <a:p>
          <a:pPr algn="ctr"/>
          <a:r>
            <a:rPr lang="pt-BR" sz="1200">
              <a:effectLst/>
              <a:latin typeface="+mn-lt"/>
              <a:ea typeface="+mn-ea"/>
              <a:cs typeface="+mn-cs"/>
            </a:rPr>
            <a:t>Av. Confúcio, 1150 – Centro – Montalvânia – MG</a:t>
          </a:r>
        </a:p>
        <a:p>
          <a:pPr algn="ctr"/>
          <a:r>
            <a:rPr lang="pt-BR" sz="1200">
              <a:effectLst/>
              <a:latin typeface="+mn-lt"/>
              <a:ea typeface="+mn-ea"/>
              <a:cs typeface="+mn-cs"/>
            </a:rPr>
            <a:t>Telef. (38) 3614-1537 – 3614-1429 – Fax: (38) 3614-1600</a:t>
          </a:r>
        </a:p>
        <a:p>
          <a:pPr algn="ctr"/>
          <a:r>
            <a:rPr lang="pt-BR" sz="1200" b="1">
              <a:effectLst/>
              <a:latin typeface="+mn-lt"/>
              <a:ea typeface="+mn-ea"/>
              <a:cs typeface="+mn-cs"/>
              <a:hlinkClick xmlns:r="http://schemas.openxmlformats.org/officeDocument/2006/relationships" r:id=""/>
            </a:rPr>
            <a:t>www.montalvania.mg.gov.br</a:t>
          </a:r>
          <a:endParaRPr lang="pt-BR" sz="1200">
            <a:effectLst/>
            <a:latin typeface="+mn-lt"/>
            <a:ea typeface="+mn-ea"/>
            <a:cs typeface="+mn-cs"/>
          </a:endParaRPr>
        </a:p>
      </xdr:txBody>
    </xdr:sp>
    <xdr:clientData/>
  </xdr:twoCellAnchor>
  <xdr:twoCellAnchor editAs="oneCell">
    <xdr:from>
      <xdr:col>2</xdr:col>
      <xdr:colOff>203200</xdr:colOff>
      <xdr:row>0</xdr:row>
      <xdr:rowOff>0</xdr:rowOff>
    </xdr:from>
    <xdr:to>
      <xdr:col>2</xdr:col>
      <xdr:colOff>1285875</xdr:colOff>
      <xdr:row>0</xdr:row>
      <xdr:rowOff>855345</xdr:rowOff>
    </xdr:to>
    <xdr:pic>
      <xdr:nvPicPr>
        <xdr:cNvPr id="4" name="Imagem 3">
          <a:extLst>
            <a:ext uri="{FF2B5EF4-FFF2-40B4-BE49-F238E27FC236}">
              <a16:creationId xmlns:a16="http://schemas.microsoft.com/office/drawing/2014/main" id="{6290E61A-BDC5-4454-B0DE-C9293CF4EE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0968" t="4972" r="22795" b="44592"/>
        <a:stretch/>
      </xdr:blipFill>
      <xdr:spPr bwMode="auto">
        <a:xfrm>
          <a:off x="1635760" y="0"/>
          <a:ext cx="1082675" cy="855345"/>
        </a:xfrm>
        <a:prstGeom prst="rect">
          <a:avLst/>
        </a:prstGeom>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felip\Desktop\ARQUIVOS%20MATHEUS%20PREFEITURA\ASFALTO%20-%20FORUM\PLANILHA%20FORUM%20-%20MAIO%202025%20RUAS%20ESTREITAS%20+%20DA%20VINCI.xlsx" TargetMode="External"/><Relationship Id="rId1" Type="http://schemas.openxmlformats.org/officeDocument/2006/relationships/externalLinkPath" Target="/Users/felip/Desktop/ARQUIVOS%20MATHEUS%20PREFEITURA/ASFALTO%20-%20FORUM/PLANILHA%20FORUM%20-%20MAIO%202025%20RUAS%20ESTREITAS%20+%20DA%20VINC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latório de Compatibilidade"/>
      <sheetName val="BDI LICITAÇÃO"/>
      <sheetName val="PLANILHA LICITAÇÃO"/>
      <sheetName val="PLANILHA OFICIAL "/>
      <sheetName val="EXPRESSÃO MATEMÁTICA CALC ITENS"/>
      <sheetName val="MEMÓRIA DE CÁLCULO"/>
      <sheetName val="CRONOGRAMA FÍSICO -  FINANCEIRO"/>
      <sheetName val="BDI"/>
      <sheetName val="CRONOGRAMA - JANUÁRIA"/>
    </sheetNames>
    <sheetDataSet>
      <sheetData sheetId="0"/>
      <sheetData sheetId="1"/>
      <sheetData sheetId="2"/>
      <sheetData sheetId="3">
        <row r="8">
          <cell r="A8" t="str">
            <v>REFERÊNCIA: SETOP 01/2025,SINAPI 01/2024 e 05/2025, SUDECAP 01/2025</v>
          </cell>
        </row>
      </sheetData>
      <sheetData sheetId="4"/>
      <sheetData sheetId="5"/>
      <sheetData sheetId="6"/>
      <sheetData sheetId="7">
        <row r="26">
          <cell r="D26">
            <v>0.27279999999999999</v>
          </cell>
        </row>
      </sheetData>
      <sheetData sheetId="8"/>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E10"/>
  <sheetViews>
    <sheetView showGridLines="0" workbookViewId="0"/>
  </sheetViews>
  <sheetFormatPr defaultRowHeight="13.2" x14ac:dyDescent="0.25"/>
  <cols>
    <col min="1" max="1" width="1.109375" customWidth="1"/>
    <col min="2" max="2" width="64.44140625" customWidth="1"/>
    <col min="3" max="3" width="1.5546875" customWidth="1"/>
    <col min="4" max="4" width="5.5546875" customWidth="1"/>
    <col min="5" max="5" width="16" customWidth="1"/>
  </cols>
  <sheetData>
    <row r="1" spans="2:5" ht="26.4" x14ac:dyDescent="0.25">
      <c r="B1" s="2" t="s">
        <v>16</v>
      </c>
      <c r="C1" s="2"/>
      <c r="D1" s="6"/>
      <c r="E1" s="6"/>
    </row>
    <row r="2" spans="2:5" x14ac:dyDescent="0.25">
      <c r="B2" s="2" t="s">
        <v>17</v>
      </c>
      <c r="C2" s="2"/>
      <c r="D2" s="6"/>
      <c r="E2" s="6"/>
    </row>
    <row r="3" spans="2:5" x14ac:dyDescent="0.25">
      <c r="B3" s="3"/>
      <c r="C3" s="3"/>
      <c r="D3" s="7"/>
      <c r="E3" s="7"/>
    </row>
    <row r="4" spans="2:5" ht="39.6" x14ac:dyDescent="0.25">
      <c r="B4" s="3" t="s">
        <v>18</v>
      </c>
      <c r="C4" s="3"/>
      <c r="D4" s="7"/>
      <c r="E4" s="7"/>
    </row>
    <row r="5" spans="2:5" x14ac:dyDescent="0.25">
      <c r="B5" s="3"/>
      <c r="C5" s="3"/>
      <c r="D5" s="7"/>
      <c r="E5" s="7"/>
    </row>
    <row r="6" spans="2:5" ht="26.4" x14ac:dyDescent="0.25">
      <c r="B6" s="2" t="s">
        <v>19</v>
      </c>
      <c r="C6" s="2"/>
      <c r="D6" s="6"/>
      <c r="E6" s="6" t="s">
        <v>20</v>
      </c>
    </row>
    <row r="7" spans="2:5" ht="13.8" thickBot="1" x14ac:dyDescent="0.3">
      <c r="B7" s="3"/>
      <c r="C7" s="3"/>
      <c r="D7" s="7"/>
      <c r="E7" s="7"/>
    </row>
    <row r="8" spans="2:5" ht="40.200000000000003" thickBot="1" x14ac:dyDescent="0.3">
      <c r="B8" s="4" t="s">
        <v>21</v>
      </c>
      <c r="C8" s="5"/>
      <c r="D8" s="8"/>
      <c r="E8" s="9">
        <v>3</v>
      </c>
    </row>
    <row r="9" spans="2:5" x14ac:dyDescent="0.25">
      <c r="B9" s="3"/>
      <c r="C9" s="3"/>
      <c r="D9" s="7"/>
      <c r="E9" s="7"/>
    </row>
    <row r="10" spans="2:5" x14ac:dyDescent="0.25">
      <c r="B10" s="3"/>
      <c r="C10" s="3"/>
      <c r="D10" s="7"/>
      <c r="E10" s="7"/>
    </row>
  </sheetData>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86FF86-5B89-421B-92FD-7F638C3C32A9}">
  <sheetPr>
    <pageSetUpPr fitToPage="1"/>
  </sheetPr>
  <dimension ref="A1:K68"/>
  <sheetViews>
    <sheetView showGridLines="0" showZeros="0" topLeftCell="A30" zoomScale="90" zoomScaleNormal="90" zoomScaleSheetLayoutView="85" workbookViewId="0">
      <selection activeCell="K41" sqref="B28:K41"/>
    </sheetView>
  </sheetViews>
  <sheetFormatPr defaultRowHeight="13.2" x14ac:dyDescent="0.25"/>
  <cols>
    <col min="1" max="1" width="8.88671875" style="25"/>
    <col min="2" max="2" width="14" style="25" customWidth="1"/>
    <col min="3" max="3" width="21.21875" bestFit="1" customWidth="1"/>
    <col min="4" max="4" width="55.33203125" style="25" bestFit="1" customWidth="1"/>
    <col min="5" max="5" width="9.33203125" bestFit="1" customWidth="1"/>
    <col min="6" max="6" width="13.21875" bestFit="1" customWidth="1"/>
    <col min="7" max="7" width="16.6640625" bestFit="1" customWidth="1"/>
    <col min="8" max="8" width="9.88671875" bestFit="1" customWidth="1"/>
    <col min="9" max="9" width="11.6640625" bestFit="1" customWidth="1"/>
    <col min="10" max="10" width="16.5546875" bestFit="1" customWidth="1"/>
    <col min="11" max="11" width="17.109375" bestFit="1" customWidth="1"/>
  </cols>
  <sheetData>
    <row r="1" spans="1:11" ht="22.2" thickTop="1" thickBot="1" x14ac:dyDescent="0.3">
      <c r="A1" s="363" t="s">
        <v>287</v>
      </c>
      <c r="B1" s="364"/>
      <c r="C1" s="364"/>
      <c r="D1" s="364"/>
      <c r="E1" s="365"/>
      <c r="F1" s="283" t="s">
        <v>288</v>
      </c>
      <c r="G1" s="284"/>
      <c r="H1" s="283" t="s">
        <v>289</v>
      </c>
      <c r="I1" s="285"/>
      <c r="J1" s="286"/>
    </row>
    <row r="2" spans="1:11" ht="15" thickBot="1" x14ac:dyDescent="0.3">
      <c r="A2" s="287" t="s">
        <v>290</v>
      </c>
      <c r="B2" s="366" t="s">
        <v>104</v>
      </c>
      <c r="C2" s="366"/>
      <c r="D2" s="366"/>
      <c r="E2" s="366"/>
      <c r="F2" s="366"/>
      <c r="G2" s="367"/>
      <c r="H2" s="289" t="s">
        <v>291</v>
      </c>
      <c r="I2" s="290"/>
      <c r="J2" s="286"/>
    </row>
    <row r="3" spans="1:11" ht="15" thickBot="1" x14ac:dyDescent="0.3">
      <c r="A3" s="287" t="s">
        <v>292</v>
      </c>
      <c r="B3" s="368" t="s">
        <v>293</v>
      </c>
      <c r="C3" s="366"/>
      <c r="D3" s="366"/>
      <c r="E3" s="366"/>
      <c r="F3" s="366"/>
      <c r="G3" s="367"/>
      <c r="H3" s="289" t="s">
        <v>294</v>
      </c>
      <c r="I3" s="291"/>
      <c r="J3" s="286"/>
    </row>
    <row r="4" spans="1:11" ht="15" thickBot="1" x14ac:dyDescent="0.3">
      <c r="A4" s="287" t="s">
        <v>295</v>
      </c>
      <c r="B4" s="292"/>
      <c r="C4" s="289" t="s">
        <v>296</v>
      </c>
      <c r="D4" s="369"/>
      <c r="E4" s="370"/>
      <c r="F4" s="289" t="s">
        <v>297</v>
      </c>
      <c r="G4" s="288" t="s">
        <v>298</v>
      </c>
      <c r="H4" s="289" t="s">
        <v>299</v>
      </c>
      <c r="I4" s="293" t="s">
        <v>300</v>
      </c>
    </row>
    <row r="5" spans="1:11" ht="14.4" x14ac:dyDescent="0.25">
      <c r="A5" s="371" t="s">
        <v>301</v>
      </c>
      <c r="B5" s="346" t="str">
        <f>'[1]PLANILHA OFICIAL '!A8</f>
        <v>REFERÊNCIA: SETOP 01/2025,SINAPI 01/2024 e 05/2025, SUDECAP 01/2025</v>
      </c>
      <c r="C5" s="294" t="s">
        <v>302</v>
      </c>
      <c r="D5" s="295" t="s">
        <v>303</v>
      </c>
      <c r="E5" s="296"/>
      <c r="F5" s="348" t="s">
        <v>304</v>
      </c>
      <c r="G5" s="350">
        <f>[1]BDI!D26</f>
        <v>0.27279999999999999</v>
      </c>
      <c r="H5" s="348" t="s">
        <v>305</v>
      </c>
      <c r="I5" s="352"/>
    </row>
    <row r="6" spans="1:11" ht="15" thickBot="1" x14ac:dyDescent="0.3">
      <c r="A6" s="372"/>
      <c r="B6" s="347"/>
      <c r="C6" s="297" t="s">
        <v>306</v>
      </c>
      <c r="D6" s="298" t="s">
        <v>307</v>
      </c>
      <c r="E6" s="299"/>
      <c r="F6" s="349"/>
      <c r="G6" s="351"/>
      <c r="H6" s="349"/>
      <c r="I6" s="353"/>
    </row>
    <row r="7" spans="1:11" ht="14.4" thickTop="1" thickBot="1" x14ac:dyDescent="0.3">
      <c r="A7"/>
      <c r="B7"/>
      <c r="D7"/>
    </row>
    <row r="8" spans="1:11" ht="15" thickTop="1" thickBot="1" x14ac:dyDescent="0.35">
      <c r="A8" s="354" t="s">
        <v>308</v>
      </c>
      <c r="B8" s="357" t="s">
        <v>309</v>
      </c>
      <c r="C8" s="358"/>
      <c r="D8"/>
    </row>
    <row r="9" spans="1:11" ht="15" thickTop="1" thickBot="1" x14ac:dyDescent="0.35">
      <c r="A9" s="355"/>
      <c r="B9" s="359" t="s">
        <v>310</v>
      </c>
      <c r="C9" s="360"/>
      <c r="D9"/>
    </row>
    <row r="10" spans="1:11" ht="15" thickTop="1" thickBot="1" x14ac:dyDescent="0.35">
      <c r="A10" s="356"/>
      <c r="B10" s="361" t="s">
        <v>311</v>
      </c>
      <c r="C10" s="362"/>
      <c r="D10"/>
      <c r="J10" s="300"/>
    </row>
    <row r="11" spans="1:11" ht="15.6" thickTop="1" thickBot="1" x14ac:dyDescent="0.3">
      <c r="A11"/>
      <c r="B11"/>
      <c r="D11"/>
      <c r="G11" s="301" t="s">
        <v>312</v>
      </c>
      <c r="K11" s="301" t="s">
        <v>313</v>
      </c>
    </row>
    <row r="12" spans="1:11" ht="15" thickBot="1" x14ac:dyDescent="0.3">
      <c r="A12"/>
      <c r="B12"/>
      <c r="D12"/>
      <c r="G12" s="302" t="s">
        <v>314</v>
      </c>
      <c r="K12" s="303">
        <f>SUM(K15:K64)</f>
        <v>1252737.0133284156</v>
      </c>
    </row>
    <row r="13" spans="1:11" ht="44.4" customHeight="1" thickBot="1" x14ac:dyDescent="0.3">
      <c r="A13" s="301" t="s">
        <v>37</v>
      </c>
      <c r="B13" s="301" t="s">
        <v>62</v>
      </c>
      <c r="C13" s="301" t="s">
        <v>315</v>
      </c>
      <c r="D13" s="304" t="s">
        <v>316</v>
      </c>
      <c r="E13" s="301" t="s">
        <v>38</v>
      </c>
      <c r="F13" s="301" t="s">
        <v>317</v>
      </c>
      <c r="G13" s="301" t="s">
        <v>318</v>
      </c>
      <c r="H13" s="301" t="s">
        <v>148</v>
      </c>
      <c r="I13" s="301" t="s">
        <v>319</v>
      </c>
      <c r="J13" s="304" t="s">
        <v>320</v>
      </c>
      <c r="K13" s="301" t="s">
        <v>66</v>
      </c>
    </row>
    <row r="14" spans="1:11" ht="15" thickBot="1" x14ac:dyDescent="0.3">
      <c r="A14" s="305">
        <v>1</v>
      </c>
      <c r="B14" s="306"/>
      <c r="C14" s="306"/>
      <c r="D14" s="307" t="s">
        <v>321</v>
      </c>
      <c r="E14" s="308"/>
      <c r="F14" s="309"/>
      <c r="G14" s="310"/>
      <c r="H14" s="311"/>
      <c r="I14" s="312"/>
      <c r="J14" s="313"/>
      <c r="K14" s="314"/>
    </row>
    <row r="15" spans="1:11" ht="88.8" customHeight="1" thickBot="1" x14ac:dyDescent="0.3">
      <c r="A15" s="306" t="s">
        <v>5</v>
      </c>
      <c r="B15" s="306" t="str">
        <f>'PLANILHA OFICIAL '!B14</f>
        <v>ED-16660</v>
      </c>
      <c r="C15" s="306" t="s">
        <v>71</v>
      </c>
      <c r="D15" s="315" t="str">
        <f>'PLANILHA OFICIAL '!C14</f>
        <v>FORNECIMENTO E COLOCAÇÃO DE PLACA DE OBRA EM CHAPA
GALVANIZADA #26, ESP. 0,45 MM, PLOTADA COM ADESIVO
VINÍLICO, AFIXADA COM REBITES 4,8X40 MM, EM ESTRUTURA
METÁLICA DE METALON 20X20 MM, ESP. 1,25 MM, INCLUSIVE
SUPORTE EM EUCALIPTO AUTOCLAVADO PINTADO COM TINTA
PVA DUAS (2) DEMÃOS</v>
      </c>
      <c r="E15" s="315" t="str">
        <f>'PLANILHA OFICIAL '!D14</f>
        <v>M2</v>
      </c>
      <c r="F15" s="315">
        <f>'PLANILHA OFICIAL '!E14</f>
        <v>4.5</v>
      </c>
      <c r="G15" s="315">
        <f>'PLANILHA OFICIAL '!F14</f>
        <v>256.27999999999997</v>
      </c>
      <c r="H15" s="311">
        <f>'PLANILHA OFICIAL '!$H$9</f>
        <v>0.27510000000000001</v>
      </c>
      <c r="I15" s="312">
        <f>G15</f>
        <v>256.27999999999997</v>
      </c>
      <c r="J15" s="317">
        <f>G15+(G15*H15)</f>
        <v>326.78262799999999</v>
      </c>
      <c r="K15" s="318">
        <f>J15*F15</f>
        <v>1470.5218259999999</v>
      </c>
    </row>
    <row r="16" spans="1:11" ht="40.200000000000003" thickBot="1" x14ac:dyDescent="0.3">
      <c r="A16" s="306" t="s">
        <v>6</v>
      </c>
      <c r="B16" s="306" t="str">
        <f>'PLANILHA OFICIAL '!B15</f>
        <v>ED-50274</v>
      </c>
      <c r="C16" s="306" t="s">
        <v>71</v>
      </c>
      <c r="D16" s="315" t="str">
        <f>'PLANILHA OFICIAL '!C15</f>
        <v>LOCAÇÃO TOPOGRÁFICA PARA ATÉ VINTE (20) PONTOS
REFERENCIAIS, INCLUSIVE ESTACA (PIQUETE) DE MARCAÇÃO</v>
      </c>
      <c r="E16" s="315" t="str">
        <f>'PLANILHA OFICIAL '!D15</f>
        <v>PT</v>
      </c>
      <c r="F16" s="315">
        <f>'PLANILHA OFICIAL '!E15</f>
        <v>11.141999999999999</v>
      </c>
      <c r="G16" s="315">
        <f>'PLANILHA OFICIAL '!F15</f>
        <v>91.88</v>
      </c>
      <c r="H16" s="311">
        <f>'PLANILHA OFICIAL '!$H$9</f>
        <v>0.27510000000000001</v>
      </c>
      <c r="I16" s="312">
        <f>G16</f>
        <v>91.88</v>
      </c>
      <c r="J16" s="317">
        <f>G16+(G16*H16)</f>
        <v>117.156188</v>
      </c>
      <c r="K16" s="318">
        <f>J16*F16</f>
        <v>1305.354246696</v>
      </c>
    </row>
    <row r="17" spans="1:11" ht="13.8" thickBot="1" x14ac:dyDescent="0.3">
      <c r="A17" s="320"/>
      <c r="B17" s="321"/>
      <c r="C17" s="321"/>
      <c r="D17" s="322"/>
      <c r="E17" s="323"/>
      <c r="F17" s="324"/>
      <c r="G17" s="319"/>
      <c r="H17" s="311"/>
      <c r="I17" s="325"/>
      <c r="J17" s="326"/>
      <c r="K17" s="327"/>
    </row>
    <row r="18" spans="1:11" ht="15" thickBot="1" x14ac:dyDescent="0.3">
      <c r="A18" s="328" t="s">
        <v>322</v>
      </c>
      <c r="B18" s="320"/>
      <c r="C18" s="320"/>
      <c r="D18" s="328" t="s">
        <v>323</v>
      </c>
      <c r="E18" s="323"/>
      <c r="F18" s="324"/>
      <c r="G18" s="319"/>
      <c r="H18" s="311"/>
      <c r="I18" s="325"/>
      <c r="J18" s="326"/>
      <c r="K18" s="327"/>
    </row>
    <row r="19" spans="1:11" ht="15" thickBot="1" x14ac:dyDescent="0.3">
      <c r="A19" s="329" t="s">
        <v>100</v>
      </c>
      <c r="B19" s="306">
        <f>'PLANILHA OFICIAL '!B18</f>
        <v>4743</v>
      </c>
      <c r="C19" s="306" t="s">
        <v>71</v>
      </c>
      <c r="D19" s="315" t="str">
        <f>'PLANILHA OFICIAL '!C18</f>
        <v>CASCALHO DE CAVA</v>
      </c>
      <c r="E19" s="315" t="str">
        <f>'PLANILHA OFICIAL '!D18</f>
        <v>m3</v>
      </c>
      <c r="F19" s="315">
        <f>'PLANILHA OFICIAL '!E18</f>
        <v>727.01550000000009</v>
      </c>
      <c r="G19" s="315">
        <f>'PLANILHA OFICIAL '!F18</f>
        <v>70.34</v>
      </c>
      <c r="H19" s="311">
        <f>'PLANILHA OFICIAL '!$H$9</f>
        <v>0.27510000000000001</v>
      </c>
      <c r="I19" s="312">
        <f>G19</f>
        <v>70.34</v>
      </c>
      <c r="J19" s="317">
        <f>G19+(G19*H19)</f>
        <v>89.690534000000014</v>
      </c>
      <c r="K19" s="318">
        <f>J19*F19</f>
        <v>65206.408421277018</v>
      </c>
    </row>
    <row r="20" spans="1:11" ht="15" thickBot="1" x14ac:dyDescent="0.3">
      <c r="A20" s="329" t="s">
        <v>101</v>
      </c>
      <c r="B20" s="306" t="str">
        <f>'PLANILHA OFICIAL '!B19</f>
        <v>RO-00269</v>
      </c>
      <c r="C20" s="306" t="s">
        <v>71</v>
      </c>
      <c r="D20" s="315" t="str">
        <f>'PLANILHA OFICIAL '!C19</f>
        <v>Regularização do subleito - Compactado na energia intermediária</v>
      </c>
      <c r="E20" s="315" t="str">
        <f>'PLANILHA OFICIAL '!D19</f>
        <v>M2</v>
      </c>
      <c r="F20" s="315">
        <f>'PLANILHA OFICIAL '!E19</f>
        <v>4846.7700000000004</v>
      </c>
      <c r="G20" s="315">
        <f>'PLANILHA OFICIAL '!F19</f>
        <v>1.22</v>
      </c>
      <c r="H20" s="311">
        <f>'PLANILHA OFICIAL '!$H$9</f>
        <v>0.27510000000000001</v>
      </c>
      <c r="I20" s="312">
        <f>G20</f>
        <v>1.22</v>
      </c>
      <c r="J20" s="317">
        <f>G20+(G20*H20)</f>
        <v>1.5556220000000001</v>
      </c>
      <c r="K20" s="318">
        <f>J20*F20</f>
        <v>7539.7420409400011</v>
      </c>
    </row>
    <row r="21" spans="1:11" ht="66.599999999999994" thickBot="1" x14ac:dyDescent="0.3">
      <c r="A21" s="329" t="s">
        <v>102</v>
      </c>
      <c r="B21" s="306" t="str">
        <f>'PLANILHA OFICIAL '!B20</f>
        <v>RO-00318</v>
      </c>
      <c r="C21" s="306" t="s">
        <v>71</v>
      </c>
      <c r="D21" s="315" t="str">
        <f>'PLANILHA OFICIAL '!C20</f>
        <v>Base de solo estabilizado granulometricamente sem mistura com
material de jazida - Compactado na energia modificada (Execução,
incluído escavação e carga do material de jazida, exclui o transporte)</v>
      </c>
      <c r="E21" s="315" t="str">
        <f>'PLANILHA OFICIAL '!D20</f>
        <v>M3</v>
      </c>
      <c r="F21" s="315">
        <f>'PLANILHA OFICIAL '!E20</f>
        <v>727.01550000000009</v>
      </c>
      <c r="G21" s="315">
        <f>'PLANILHA OFICIAL '!F20</f>
        <v>13.02</v>
      </c>
      <c r="H21" s="311">
        <f>'PLANILHA OFICIAL '!$H$9</f>
        <v>0.27510000000000001</v>
      </c>
      <c r="I21" s="312">
        <f>G21</f>
        <v>13.02</v>
      </c>
      <c r="J21" s="317">
        <f>G21+(G21*H21)</f>
        <v>16.601801999999999</v>
      </c>
      <c r="K21" s="318">
        <f>J21*F21</f>
        <v>12069.767381931</v>
      </c>
    </row>
    <row r="22" spans="1:11" ht="13.8" thickBot="1" x14ac:dyDescent="0.3">
      <c r="A22" s="330"/>
      <c r="B22" s="331"/>
      <c r="C22" s="321"/>
      <c r="D22" s="332"/>
      <c r="E22" s="323"/>
      <c r="F22" s="324"/>
      <c r="G22" s="319"/>
      <c r="H22" s="311"/>
      <c r="I22" s="325"/>
      <c r="J22" s="326"/>
      <c r="K22" s="327"/>
    </row>
    <row r="23" spans="1:11" ht="15" thickBot="1" x14ac:dyDescent="0.3">
      <c r="A23" s="333" t="s">
        <v>324</v>
      </c>
      <c r="B23" s="306"/>
      <c r="C23" s="321"/>
      <c r="D23" s="333" t="s">
        <v>9</v>
      </c>
      <c r="E23" s="323"/>
      <c r="F23" s="324"/>
      <c r="G23" s="319"/>
      <c r="H23" s="311"/>
      <c r="I23" s="325"/>
      <c r="J23" s="326"/>
      <c r="K23" s="327"/>
    </row>
    <row r="24" spans="1:11" ht="27" thickBot="1" x14ac:dyDescent="0.3">
      <c r="A24" s="334" t="s">
        <v>10</v>
      </c>
      <c r="B24" s="306" t="str">
        <f>'PLANILHA OFICIAL '!B23</f>
        <v>20.11.05</v>
      </c>
      <c r="C24" s="306" t="s">
        <v>71</v>
      </c>
      <c r="D24" s="315" t="str">
        <f>'PLANILHA OFICIAL '!C23</f>
        <v>IMPRIMAÇÃO COM EMULSÃO ASFÁLTICA - EAI, LIMPEZA MANUAL</v>
      </c>
      <c r="E24" s="315" t="str">
        <f>'PLANILHA OFICIAL '!D23</f>
        <v>M2</v>
      </c>
      <c r="F24" s="315">
        <f>'PLANILHA OFICIAL '!E23</f>
        <v>4846.7700000000004</v>
      </c>
      <c r="G24" s="315">
        <f>'PLANILHA OFICIAL '!F23</f>
        <v>8.1999999999999993</v>
      </c>
      <c r="H24" s="311">
        <f>'PLANILHA OFICIAL '!$H$9</f>
        <v>0.27510000000000001</v>
      </c>
      <c r="I24" s="312">
        <f>G24</f>
        <v>8.1999999999999993</v>
      </c>
      <c r="J24" s="317">
        <f>G24+(G24*H24)</f>
        <v>10.455819999999999</v>
      </c>
      <c r="K24" s="318">
        <f>J24*F24</f>
        <v>50676.954701399998</v>
      </c>
    </row>
    <row r="25" spans="1:11" ht="13.8" thickBot="1" x14ac:dyDescent="0.3">
      <c r="A25" s="334" t="s">
        <v>11</v>
      </c>
      <c r="B25" s="306" t="str">
        <f>'PLANILHA OFICIAL '!B24</f>
        <v>20.12.01</v>
      </c>
      <c r="C25" s="306" t="s">
        <v>71</v>
      </c>
      <c r="D25" s="315" t="str">
        <f>'PLANILHA OFICIAL '!C24</f>
        <v>PINTURA DE LIGAÇÃO COM RR-1C</v>
      </c>
      <c r="E25" s="315" t="str">
        <f>'PLANILHA OFICIAL '!D24</f>
        <v>M2</v>
      </c>
      <c r="F25" s="315">
        <f>'PLANILHA OFICIAL '!E24</f>
        <v>4846.7700000000004</v>
      </c>
      <c r="G25" s="315">
        <f>'PLANILHA OFICIAL '!F24</f>
        <v>2.3199999999999998</v>
      </c>
      <c r="H25" s="311">
        <f>'PLANILHA OFICIAL '!$H$9</f>
        <v>0.27510000000000001</v>
      </c>
      <c r="I25" s="312">
        <f>G25</f>
        <v>2.3199999999999998</v>
      </c>
      <c r="J25" s="317">
        <f>G25+(G25*H25)</f>
        <v>2.9582319999999998</v>
      </c>
      <c r="K25" s="318">
        <f>J25*F25</f>
        <v>14337.87011064</v>
      </c>
    </row>
    <row r="26" spans="1:11" ht="79.2" x14ac:dyDescent="0.25">
      <c r="A26" s="334" t="s">
        <v>147</v>
      </c>
      <c r="B26" s="306" t="str">
        <f>'PLANILHA OFICIAL '!B25</f>
        <v>ED-7624</v>
      </c>
      <c r="C26" s="306" t="s">
        <v>71</v>
      </c>
      <c r="D26" s="315" t="str">
        <f>'PLANILHA OFICIAL '!C25</f>
        <v>EXECUÇÃO E APLICAÇÃO DE CONCRETO ASFÁLTICO PREMISTURADO
À FRIO (PMF), EM BETONEIRA, INCLUINDO FORNECIMENTO E TRANSPORTE DOS AGREGADOS E MATERIAL BETUMINOSO, INCLUSIVE TRANSPORTE DA MASSA ASFÁLTICA ATÉ A PISTA</v>
      </c>
      <c r="E26" s="315" t="str">
        <f>'PLANILHA OFICIAL '!D25</f>
        <v>M3</v>
      </c>
      <c r="F26" s="315">
        <f>'PLANILHA OFICIAL '!E25</f>
        <v>193.87080000000003</v>
      </c>
      <c r="G26" s="315">
        <f>'PLANILHA OFICIAL '!F25</f>
        <v>1059.1600000000001</v>
      </c>
      <c r="H26" s="311">
        <f>'PLANILHA OFICIAL '!$H$9</f>
        <v>0.27510000000000001</v>
      </c>
      <c r="I26" s="312">
        <f>G26</f>
        <v>1059.1600000000001</v>
      </c>
      <c r="J26" s="317">
        <f>G26+(G26*H26)</f>
        <v>1350.5349160000001</v>
      </c>
      <c r="K26" s="318">
        <f>J26*F26</f>
        <v>261829.28459285284</v>
      </c>
    </row>
    <row r="27" spans="1:11" ht="13.8" thickBot="1" x14ac:dyDescent="0.3">
      <c r="A27" s="335"/>
      <c r="B27" s="306"/>
      <c r="C27" s="336"/>
      <c r="D27" s="337"/>
      <c r="E27" s="338"/>
      <c r="F27" s="316"/>
      <c r="G27" s="310"/>
      <c r="H27" s="339"/>
      <c r="I27" s="312"/>
      <c r="J27" s="317"/>
      <c r="K27" s="314"/>
    </row>
    <row r="28" spans="1:11" ht="15" thickBot="1" x14ac:dyDescent="0.3">
      <c r="A28" s="328" t="s">
        <v>325</v>
      </c>
      <c r="B28" s="340"/>
      <c r="C28" s="341"/>
      <c r="D28" s="328" t="s">
        <v>94</v>
      </c>
      <c r="E28" s="323"/>
      <c r="F28" s="324"/>
      <c r="G28" s="319"/>
      <c r="H28" s="342"/>
      <c r="I28" s="325"/>
      <c r="J28" s="326"/>
      <c r="K28" s="327"/>
    </row>
    <row r="29" spans="1:11" ht="15" thickBot="1" x14ac:dyDescent="0.3">
      <c r="A29" s="329" t="s">
        <v>12</v>
      </c>
      <c r="B29" s="306" t="str">
        <f>'PLANILHA OFICIAL '!B28</f>
        <v>CO-27426</v>
      </c>
      <c r="C29" s="306" t="s">
        <v>71</v>
      </c>
      <c r="D29" s="315" t="str">
        <f>'PLANILHA OFICIAL '!C28</f>
        <v>PROJETO EXECUTIVO DE DRENAGEM PLUVIAL</v>
      </c>
      <c r="E29" s="315" t="str">
        <f>'PLANILHA OFICIAL '!D28</f>
        <v>UNID.</v>
      </c>
      <c r="F29" s="315">
        <f>'PLANILHA OFICIAL '!E28</f>
        <v>1</v>
      </c>
      <c r="G29" s="315">
        <f>'PLANILHA OFICIAL '!F28</f>
        <v>1352.47</v>
      </c>
      <c r="H29" s="311">
        <f>'PLANILHA OFICIAL '!$H$9</f>
        <v>0.27510000000000001</v>
      </c>
      <c r="I29" s="312">
        <f>G29</f>
        <v>1352.47</v>
      </c>
      <c r="J29" s="317">
        <f>G29+(G29*H29)</f>
        <v>1724.5344970000001</v>
      </c>
      <c r="K29" s="318">
        <f>J29*F29</f>
        <v>1724.5344970000001</v>
      </c>
    </row>
    <row r="30" spans="1:11" ht="53.4" thickBot="1" x14ac:dyDescent="0.3">
      <c r="A30" s="329" t="s">
        <v>162</v>
      </c>
      <c r="B30" s="306">
        <f>'PLANILHA OFICIAL '!B29</f>
        <v>94268</v>
      </c>
      <c r="C30" s="306" t="s">
        <v>71</v>
      </c>
      <c r="D30" s="315" t="str">
        <f>'PLANILHA OFICIAL '!C29</f>
        <v>GUIA (MEIO-FIO) E SARJETA CONJUGADOS DE CONCRETO, MOLDADA IN LOCO EM TRECHO CURVO COM EXTRUSORA, 45 CM BASE (15 CM BASE DA GUIA + 30 CM BASE DA SARJETA) X 22 CM ALTURA. AF_01/2024</v>
      </c>
      <c r="E30" s="315" t="str">
        <f>'PLANILHA OFICIAL '!D29</f>
        <v>M</v>
      </c>
      <c r="F30" s="315">
        <f>'PLANILHA OFICIAL '!E29</f>
        <v>42.78</v>
      </c>
      <c r="G30" s="315">
        <f>'PLANILHA OFICIAL '!F29</f>
        <v>64.98</v>
      </c>
      <c r="H30" s="311">
        <f>'PLANILHA OFICIAL '!$H$9</f>
        <v>0.27510000000000001</v>
      </c>
      <c r="I30" s="312">
        <f t="shared" ref="I30:I41" si="0">G30</f>
        <v>64.98</v>
      </c>
      <c r="J30" s="317">
        <f t="shared" ref="J30:J41" si="1">G30+(G30*H30)</f>
        <v>82.855998</v>
      </c>
      <c r="K30" s="318">
        <f t="shared" ref="K30:K41" si="2">J30*F30</f>
        <v>3544.5795944400002</v>
      </c>
    </row>
    <row r="31" spans="1:11" ht="40.200000000000003" thickBot="1" x14ac:dyDescent="0.3">
      <c r="A31" s="329" t="s">
        <v>182</v>
      </c>
      <c r="B31" s="306">
        <f>'PLANILHA OFICIAL '!B30</f>
        <v>94287</v>
      </c>
      <c r="C31" s="306" t="s">
        <v>71</v>
      </c>
      <c r="D31" s="315" t="str">
        <f>'PLANILHA OFICIAL '!C30</f>
        <v>EXECUÇÃO DE SARJETA DE CONCRETO USINADO, MOLDADA IN LOCO EM TRECHO RETO, 30 CM BASE X 10 CM ALTURA. AF_01/2024</v>
      </c>
      <c r="E31" s="315" t="str">
        <f>'PLANILHA OFICIAL '!D30</f>
        <v>M</v>
      </c>
      <c r="F31" s="315">
        <f>'PLANILHA OFICIAL '!E30</f>
        <v>274.68</v>
      </c>
      <c r="G31" s="315">
        <f>'PLANILHA OFICIAL '!F30</f>
        <v>34.380000000000003</v>
      </c>
      <c r="H31" s="311">
        <f>'PLANILHA OFICIAL '!$H$9</f>
        <v>0.27510000000000001</v>
      </c>
      <c r="I31" s="312">
        <f t="shared" si="0"/>
        <v>34.380000000000003</v>
      </c>
      <c r="J31" s="317">
        <f t="shared" si="1"/>
        <v>43.837938000000001</v>
      </c>
      <c r="K31" s="318">
        <f t="shared" si="2"/>
        <v>12041.40480984</v>
      </c>
    </row>
    <row r="32" spans="1:11" ht="66.599999999999994" thickBot="1" x14ac:dyDescent="0.3">
      <c r="A32" s="329" t="s">
        <v>208</v>
      </c>
      <c r="B32" s="306">
        <f>'PLANILHA OFICIAL '!B31</f>
        <v>92216</v>
      </c>
      <c r="C32" s="306" t="s">
        <v>71</v>
      </c>
      <c r="D32" s="315" t="str">
        <f>'PLANILHA OFICIAL '!C31</f>
        <v>TUBO DE CONCRETO PARA REDES COLETORAS DE ÁGUAS PLUVIAIS, DIÂMETRO DE 1000 MM, JUNTA RÍGIDA, INSTALADO EM LOCAL COM BAIXO NÍVEL DE INTERFERÊNCIAS - FORNECIMENTO E ASSENTAMENTO. AF_03/2024</v>
      </c>
      <c r="E32" s="315" t="str">
        <f>'PLANILHA OFICIAL '!D31</f>
        <v>M</v>
      </c>
      <c r="F32" s="315">
        <f>'PLANILHA OFICIAL '!E31</f>
        <v>350</v>
      </c>
      <c r="G32" s="315">
        <f>'PLANILHA OFICIAL '!F31</f>
        <v>589.79999999999995</v>
      </c>
      <c r="H32" s="311">
        <f>'PLANILHA OFICIAL '!$H$9</f>
        <v>0.27510000000000001</v>
      </c>
      <c r="I32" s="312">
        <f t="shared" si="0"/>
        <v>589.79999999999995</v>
      </c>
      <c r="J32" s="317">
        <f t="shared" si="1"/>
        <v>752.05397999999991</v>
      </c>
      <c r="K32" s="318">
        <f t="shared" si="2"/>
        <v>263218.89299999998</v>
      </c>
    </row>
    <row r="33" spans="1:11" ht="27" thickBot="1" x14ac:dyDescent="0.3">
      <c r="A33" s="329" t="s">
        <v>213</v>
      </c>
      <c r="B33" s="306" t="str">
        <f>'PLANILHA OFICIAL '!B32</f>
        <v>ED-49814</v>
      </c>
      <c r="C33" s="306" t="s">
        <v>71</v>
      </c>
      <c r="D33" s="315" t="str">
        <f>'PLANILHA OFICIAL '!C32</f>
        <v>LASTRO DE AREIA, INCLUSIVE ADENSAMENTO E APILOAMENTO MANUAL</v>
      </c>
      <c r="E33" s="315" t="str">
        <f>'PLANILHA OFICIAL '!D32</f>
        <v>m3</v>
      </c>
      <c r="F33" s="315">
        <f>'PLANILHA OFICIAL '!E32</f>
        <v>42</v>
      </c>
      <c r="G33" s="315">
        <f>'PLANILHA OFICIAL '!F32</f>
        <v>256.27</v>
      </c>
      <c r="H33" s="311">
        <f>'PLANILHA OFICIAL '!$H$9</f>
        <v>0.27510000000000001</v>
      </c>
      <c r="I33" s="312">
        <f t="shared" si="0"/>
        <v>256.27</v>
      </c>
      <c r="J33" s="317">
        <f t="shared" si="1"/>
        <v>326.76987699999995</v>
      </c>
      <c r="K33" s="318">
        <f t="shared" si="2"/>
        <v>13724.334833999997</v>
      </c>
    </row>
    <row r="34" spans="1:11" ht="27" thickBot="1" x14ac:dyDescent="0.3">
      <c r="A34" s="329" t="s">
        <v>217</v>
      </c>
      <c r="B34" s="306" t="str">
        <f>'PLANILHA OFICIAL '!B33</f>
        <v>ED-48646</v>
      </c>
      <c r="C34" s="306" t="s">
        <v>71</v>
      </c>
      <c r="D34" s="315" t="str">
        <f>'PLANILHA OFICIAL '!C33</f>
        <v>POÇO DE VISITA PARA REDE TUBULAR TIPO B DN 1000, EXCLUSIVE ESCAVAÇÃO, REATERRO E BOTA FORA</v>
      </c>
      <c r="E34" s="315" t="str">
        <f>'PLANILHA OFICIAL '!D33</f>
        <v>UNID.</v>
      </c>
      <c r="F34" s="315">
        <f>'PLANILHA OFICIAL '!E33</f>
        <v>4</v>
      </c>
      <c r="G34" s="315">
        <f>'PLANILHA OFICIAL '!F33</f>
        <v>4251.03</v>
      </c>
      <c r="H34" s="311">
        <f>'PLANILHA OFICIAL '!$H$9</f>
        <v>0.27510000000000001</v>
      </c>
      <c r="I34" s="312">
        <f t="shared" si="0"/>
        <v>4251.03</v>
      </c>
      <c r="J34" s="317">
        <f t="shared" si="1"/>
        <v>5420.4883529999997</v>
      </c>
      <c r="K34" s="318">
        <f t="shared" si="2"/>
        <v>21681.953411999999</v>
      </c>
    </row>
    <row r="35" spans="1:11" ht="53.4" thickBot="1" x14ac:dyDescent="0.3">
      <c r="A35" s="329" t="s">
        <v>218</v>
      </c>
      <c r="B35" s="306" t="str">
        <f>'PLANILHA OFICIAL '!B34</f>
        <v>RO-00084</v>
      </c>
      <c r="C35" s="306" t="s">
        <v>71</v>
      </c>
      <c r="D35" s="315" t="str">
        <f>'PLANILHA OFICIAL '!C34</f>
        <v>Escavação, carga e transporte de material de 1ª categoria - executado com escavadeira de 1,40 m3 e caminhão basculante de 12 m3 e com caminho de serviço pavimentado - DMT de 3.000 m</v>
      </c>
      <c r="E35" s="315" t="str">
        <f>'PLANILHA OFICIAL '!D34</f>
        <v>M3</v>
      </c>
      <c r="F35" s="315">
        <f>'PLANILHA OFICIAL '!E34</f>
        <v>646</v>
      </c>
      <c r="G35" s="315">
        <f>'PLANILHA OFICIAL '!F34</f>
        <v>8.98</v>
      </c>
      <c r="H35" s="311">
        <f>'PLANILHA OFICIAL '!$H$9</f>
        <v>0.27510000000000001</v>
      </c>
      <c r="I35" s="312">
        <f t="shared" si="0"/>
        <v>8.98</v>
      </c>
      <c r="J35" s="317">
        <f t="shared" si="1"/>
        <v>11.450398</v>
      </c>
      <c r="K35" s="318">
        <f t="shared" si="2"/>
        <v>7396.9571079999996</v>
      </c>
    </row>
    <row r="36" spans="1:11" ht="79.8" thickBot="1" x14ac:dyDescent="0.3">
      <c r="A36" s="329" t="s">
        <v>231</v>
      </c>
      <c r="B36" s="306">
        <f>'PLANILHA OFICIAL '!B35</f>
        <v>93369</v>
      </c>
      <c r="C36" s="306" t="s">
        <v>71</v>
      </c>
      <c r="D36" s="315" t="str">
        <f>'PLANILHA OFICIAL '!C35</f>
        <v>REATERRO MECANIZADO DE VALA COM ESCAVADEIRA HIDRÁULICA (CAPACIDADE DA CAÇAMBA: 0,8 M³/POTÊNCIA: 111 HP), LARGURA 1,5 A 2,5 M, PROFUNDIDADE 1,5 A 3,0 M, COM SOLO (SEM SUBSTITUIÇÃO) DE 1ª CATEGORIA, COM COMPACTADOR DE SOLOS DE PERCUSSÃO. AF_08/2023</v>
      </c>
      <c r="E36" s="315" t="str">
        <f>'PLANILHA OFICIAL '!D35</f>
        <v>M3</v>
      </c>
      <c r="F36" s="315">
        <f>'PLANILHA OFICIAL '!E35</f>
        <v>210</v>
      </c>
      <c r="G36" s="315">
        <f>'PLANILHA OFICIAL '!F35</f>
        <v>17.46</v>
      </c>
      <c r="H36" s="311">
        <f>'PLANILHA OFICIAL '!$H$9</f>
        <v>0.27510000000000001</v>
      </c>
      <c r="I36" s="312">
        <f t="shared" si="0"/>
        <v>17.46</v>
      </c>
      <c r="J36" s="317">
        <f t="shared" si="1"/>
        <v>22.263246000000002</v>
      </c>
      <c r="K36" s="318">
        <f t="shared" si="2"/>
        <v>4675.2816600000006</v>
      </c>
    </row>
    <row r="37" spans="1:11" ht="93" thickBot="1" x14ac:dyDescent="0.3">
      <c r="A37" s="329" t="s">
        <v>236</v>
      </c>
      <c r="B37" s="306" t="str">
        <f>'PLANILHA OFICIAL '!B36</f>
        <v>ED-7540</v>
      </c>
      <c r="C37" s="306" t="s">
        <v>71</v>
      </c>
      <c r="D37" s="315" t="str">
        <f>'PLANILHA OFICIAL '!C36</f>
        <v>TRANSPORTE DE TUBO DE CONCRETO, EM CAMINHÃO, TRAÇÃO 6X2, TIPO TRUCADO, PESO BRUTO TOTAL (PBT) DE 23.000KG, COM GUINDASTE ARTICULADO, MOMENTO DE CARGA MÁXIMO DE 10TXM, E CARROCERIA DE CARGA SECA, COM CAPACIDADE DE 14T, EM RODOVIA PAVIMENTADA, EXCLUSIVE MANOBRA, CARGA E DESCARGA</v>
      </c>
      <c r="E37" s="315" t="str">
        <f>'PLANILHA OFICIAL '!D36</f>
        <v>TXKM</v>
      </c>
      <c r="F37" s="315">
        <f>'PLANILHA OFICIAL '!E36</f>
        <v>49275.252</v>
      </c>
      <c r="G37" s="315">
        <f>'PLANILHA OFICIAL '!F36</f>
        <v>0.94</v>
      </c>
      <c r="H37" s="311">
        <f>'PLANILHA OFICIAL '!$H$9</f>
        <v>0.27510000000000001</v>
      </c>
      <c r="I37" s="312">
        <f t="shared" si="0"/>
        <v>0.94</v>
      </c>
      <c r="J37" s="317">
        <f t="shared" si="1"/>
        <v>1.1985939999999999</v>
      </c>
      <c r="K37" s="318">
        <f t="shared" si="2"/>
        <v>59061.021395687996</v>
      </c>
    </row>
    <row r="38" spans="1:11" ht="66.599999999999994" thickBot="1" x14ac:dyDescent="0.3">
      <c r="A38" s="329" t="s">
        <v>238</v>
      </c>
      <c r="B38" s="306">
        <f>'PLANILHA OFICIAL '!B37</f>
        <v>103931</v>
      </c>
      <c r="C38" s="306" t="s">
        <v>71</v>
      </c>
      <c r="D38" s="315" t="str">
        <f>'PLANILHA OFICIAL '!C37</f>
        <v>BACIA DE DISSIPAÇÃO, LARGURA DE 1 A 4 M, TIPO BACIA EM PEDRA DE MÃO FIXADA COM CONCRETO (DEB 03, 04, 05, 06), COM PREPARO MANUAL, FCK = 20 MPA, LANÇADO MANUALMENTE, INCLUINDO MATERIAIS E FÔRMAS (2 UTILIZAÇÕES). AF_08/2022</v>
      </c>
      <c r="E38" s="315" t="str">
        <f>'PLANILHA OFICIAL '!D37</f>
        <v>M3</v>
      </c>
      <c r="F38" s="315">
        <f>'PLANILHA OFICIAL '!E37</f>
        <v>4</v>
      </c>
      <c r="G38" s="315">
        <f>'PLANILHA OFICIAL '!F37</f>
        <v>623.12</v>
      </c>
      <c r="H38" s="311">
        <f>'PLANILHA OFICIAL '!$H$9</f>
        <v>0.27510000000000001</v>
      </c>
      <c r="I38" s="312">
        <f t="shared" si="0"/>
        <v>623.12</v>
      </c>
      <c r="J38" s="317">
        <f t="shared" si="1"/>
        <v>794.54031199999997</v>
      </c>
      <c r="K38" s="318">
        <f t="shared" si="2"/>
        <v>3178.1612479999999</v>
      </c>
    </row>
    <row r="39" spans="1:11" ht="27" thickBot="1" x14ac:dyDescent="0.3">
      <c r="A39" s="329" t="s">
        <v>273</v>
      </c>
      <c r="B39" s="306">
        <f>'PLANILHA OFICIAL '!B38</f>
        <v>102487</v>
      </c>
      <c r="C39" s="306" t="s">
        <v>71</v>
      </c>
      <c r="D39" s="315" t="str">
        <f>'PLANILHA OFICIAL '!C38</f>
        <v>CONCRETO CICLÓPICO FCK = 15MPA, 30% PEDRA DE MÃO EM VOLUME REAL, INCLUSIVE LANÇAMENTO. AF_05/2021</v>
      </c>
      <c r="E39" s="315" t="str">
        <f>'PLANILHA OFICIAL '!D38</f>
        <v>M3</v>
      </c>
      <c r="F39" s="315">
        <f>'PLANILHA OFICIAL '!E38</f>
        <v>6</v>
      </c>
      <c r="G39" s="315">
        <f>'PLANILHA OFICIAL '!F38</f>
        <v>646.80999999999995</v>
      </c>
      <c r="H39" s="311">
        <f>'PLANILHA OFICIAL '!$H$9</f>
        <v>0.27510000000000001</v>
      </c>
      <c r="I39" s="312">
        <f t="shared" si="0"/>
        <v>646.80999999999995</v>
      </c>
      <c r="J39" s="317">
        <f t="shared" si="1"/>
        <v>824.74743100000001</v>
      </c>
      <c r="K39" s="318">
        <f t="shared" si="2"/>
        <v>4948.4845860000005</v>
      </c>
    </row>
    <row r="40" spans="1:11" ht="53.4" thickBot="1" x14ac:dyDescent="0.3">
      <c r="A40" s="329" t="s">
        <v>275</v>
      </c>
      <c r="B40" s="306">
        <f>'PLANILHA OFICIAL '!B39</f>
        <v>102684</v>
      </c>
      <c r="C40" s="306" t="s">
        <v>71</v>
      </c>
      <c r="D40" s="315" t="str">
        <f>'PLANILHA OFICIAL '!C39</f>
        <v>DRENO PROFUNDO (SEÇÃO 0,50 X 1,50 M), COM TUBO DE PEAD CORRUGADO PERFURADO, DN 100 MM, ENCHIMENTO COM BRITA, ENVOLVIDO COM MANTA GEOTÊXTIL. AF_07/2021</v>
      </c>
      <c r="E40" s="315" t="str">
        <f>'PLANILHA OFICIAL '!D39</f>
        <v>M</v>
      </c>
      <c r="F40" s="315">
        <f>'PLANILHA OFICIAL '!E39</f>
        <v>980</v>
      </c>
      <c r="G40" s="315">
        <f>'PLANILHA OFICIAL '!F39</f>
        <v>177.69</v>
      </c>
      <c r="H40" s="311">
        <f>'PLANILHA OFICIAL '!$H$9</f>
        <v>0.27510000000000001</v>
      </c>
      <c r="I40" s="312">
        <f t="shared" si="0"/>
        <v>177.69</v>
      </c>
      <c r="J40" s="317">
        <f t="shared" si="1"/>
        <v>226.572519</v>
      </c>
      <c r="K40" s="318">
        <f t="shared" si="2"/>
        <v>222041.06862000001</v>
      </c>
    </row>
    <row r="41" spans="1:11" ht="79.8" thickBot="1" x14ac:dyDescent="0.3">
      <c r="A41" s="329" t="s">
        <v>276</v>
      </c>
      <c r="B41" s="306" t="str">
        <f>'PLANILHA OFICIAL '!B40</f>
        <v>ED-49917</v>
      </c>
      <c r="C41" s="306" t="s">
        <v>71</v>
      </c>
      <c r="D41" s="315" t="str">
        <f>'PLANILHA OFICIAL '!C40</f>
        <v>CAIXA DE DRENAGEM DE INSPEÇÃO/PASSAGEM EM ALVENARIA ( 60X60X100CM), REVESTIMENTO EM ARGAMASSA COM ADITIVO IMPERMEABILIZANTE, COM TAMPA EM GRELHA, INCLUSIVE ESCAVAÇÃO, REATERRO E TRANSPORTE COM RETIRADA DO MATERIAL ESCAVADO (EM CAÇAMBA)</v>
      </c>
      <c r="E41" s="315" t="str">
        <f>'PLANILHA OFICIAL '!D40</f>
        <v>UNID.</v>
      </c>
      <c r="F41" s="315">
        <f>'PLANILHA OFICIAL '!E40</f>
        <v>14</v>
      </c>
      <c r="G41" s="315">
        <f>'PLANILHA OFICIAL '!F40</f>
        <v>1093.21</v>
      </c>
      <c r="H41" s="311">
        <f>'PLANILHA OFICIAL '!$H$9</f>
        <v>0.27510000000000001</v>
      </c>
      <c r="I41" s="312">
        <f t="shared" si="0"/>
        <v>1093.21</v>
      </c>
      <c r="J41" s="317">
        <f t="shared" si="1"/>
        <v>1393.9520710000002</v>
      </c>
      <c r="K41" s="318">
        <f t="shared" si="2"/>
        <v>19515.328994000003</v>
      </c>
    </row>
    <row r="42" spans="1:11" ht="15" thickBot="1" x14ac:dyDescent="0.3">
      <c r="A42" s="344" t="s">
        <v>326</v>
      </c>
      <c r="B42" s="306"/>
      <c r="C42" s="306"/>
      <c r="D42" s="343" t="str">
        <f>'PLANILHA OFICIAL '!C42</f>
        <v>COMPLEMENTARES</v>
      </c>
      <c r="E42" s="315"/>
      <c r="F42" s="315"/>
      <c r="G42" s="315"/>
      <c r="H42" s="311"/>
      <c r="I42" s="312"/>
      <c r="J42" s="317"/>
      <c r="K42" s="318"/>
    </row>
    <row r="43" spans="1:11" ht="15" thickBot="1" x14ac:dyDescent="0.3">
      <c r="A43" s="329" t="s">
        <v>13</v>
      </c>
      <c r="B43" s="306" t="str">
        <f>'PLANILHA OFICIAL '!B43</f>
        <v>COTAÇÃO</v>
      </c>
      <c r="C43" s="306" t="s">
        <v>249</v>
      </c>
      <c r="D43" s="315" t="str">
        <f>'PLANILHA OFICIAL '!C43</f>
        <v xml:space="preserve">GRADIL </v>
      </c>
      <c r="E43" s="315" t="str">
        <f>'PLANILHA OFICIAL '!D43</f>
        <v>UNIDADE</v>
      </c>
      <c r="F43" s="315">
        <f>'PLANILHA OFICIAL '!E43</f>
        <v>1</v>
      </c>
      <c r="G43" s="315">
        <f>'PLANILHA OFICIAL '!F43</f>
        <v>37750.54583333333</v>
      </c>
      <c r="H43" s="311">
        <f>'PLANILHA OFICIAL '!$H$9</f>
        <v>0.27510000000000001</v>
      </c>
      <c r="I43" s="312">
        <f t="shared" ref="I43" si="3">G43</f>
        <v>37750.54583333333</v>
      </c>
      <c r="J43" s="317">
        <f t="shared" ref="J43" si="4">G43+(G43*H43)</f>
        <v>48135.720992083327</v>
      </c>
      <c r="K43" s="318">
        <f t="shared" ref="K43" si="5">J43*F43</f>
        <v>48135.720992083327</v>
      </c>
    </row>
    <row r="44" spans="1:11" ht="40.200000000000003" thickBot="1" x14ac:dyDescent="0.3">
      <c r="A44" s="329" t="s">
        <v>156</v>
      </c>
      <c r="B44" s="306" t="str">
        <f>'PLANILHA OFICIAL '!B44</f>
        <v>ED-48195</v>
      </c>
      <c r="C44" s="306" t="s">
        <v>71</v>
      </c>
      <c r="D44" s="315" t="str">
        <f>'PLANILHA OFICIAL '!C44</f>
        <v>ALVENARIA DE VEDAÇÃO COM BLOCO DE CONCRETO, ESP. 14CM,
INCLUSIVE ARGAMASSA PARA ASSENTAMENTO</v>
      </c>
      <c r="E44" s="315" t="str">
        <f>'PLANILHA OFICIAL '!D44</f>
        <v>M2</v>
      </c>
      <c r="F44" s="315">
        <f>'PLANILHA OFICIAL '!E44</f>
        <v>38</v>
      </c>
      <c r="G44" s="315">
        <f>'PLANILHA OFICIAL '!F44</f>
        <v>76.72</v>
      </c>
      <c r="H44" s="311">
        <f>'PLANILHA OFICIAL '!$H$9</f>
        <v>0.27510000000000001</v>
      </c>
      <c r="I44" s="312">
        <f t="shared" ref="I44" si="6">G44</f>
        <v>76.72</v>
      </c>
      <c r="J44" s="317">
        <f t="shared" ref="J44" si="7">G44+(G44*H44)</f>
        <v>97.825671999999997</v>
      </c>
      <c r="K44" s="318">
        <f t="shared" ref="K44" si="8">J44*F44</f>
        <v>3717.375536</v>
      </c>
    </row>
    <row r="45" spans="1:11" ht="53.4" thickBot="1" x14ac:dyDescent="0.3">
      <c r="A45" s="329" t="s">
        <v>157</v>
      </c>
      <c r="B45" s="306" t="str">
        <f>'PLANILHA OFICIAL '!B45</f>
        <v>ED-50850</v>
      </c>
      <c r="C45" s="306" t="s">
        <v>71</v>
      </c>
      <c r="D45" s="315" t="str">
        <f>'PLANILHA OFICIAL '!C45</f>
        <v>VIGA DE 0,21 A 0,35 M DE LARGURA EM CONCRETO 20MPa,
APARENTE, ARMAÇÃO, FÔRMA PLASTIFICADA, ESCORAMENTO E
DESFORMA</v>
      </c>
      <c r="E45" s="315" t="str">
        <f>'PLANILHA OFICIAL '!D45</f>
        <v>M3</v>
      </c>
      <c r="F45" s="315">
        <f>'PLANILHA OFICIAL '!E45</f>
        <v>3.99</v>
      </c>
      <c r="G45" s="315">
        <f>'PLANILHA OFICIAL '!F45</f>
        <v>2187.4499999999998</v>
      </c>
      <c r="H45" s="311">
        <f>'PLANILHA OFICIAL '!$H$9</f>
        <v>0.27510000000000001</v>
      </c>
      <c r="I45" s="312">
        <f t="shared" ref="I45:I63" si="9">G45</f>
        <v>2187.4499999999998</v>
      </c>
      <c r="J45" s="317">
        <f t="shared" ref="J45:J63" si="10">G45+(G45*H45)</f>
        <v>2789.2174949999999</v>
      </c>
      <c r="K45" s="318">
        <f t="shared" ref="K45:K63" si="11">J45*F45</f>
        <v>11128.977805050001</v>
      </c>
    </row>
    <row r="46" spans="1:11" ht="40.200000000000003" thickBot="1" x14ac:dyDescent="0.3">
      <c r="A46" s="329" t="s">
        <v>268</v>
      </c>
      <c r="B46" s="306" t="str">
        <f>'PLANILHA OFICIAL '!B46</f>
        <v>ED-50842</v>
      </c>
      <c r="C46" s="306" t="s">
        <v>71</v>
      </c>
      <c r="D46" s="315" t="str">
        <f>'PLANILHA OFICIAL '!C46</f>
        <v>PILAR EM CONCRETO APARENTE 20 MPa, INCLUSIVE ARMAÇÃO,
FÔRMA PLASTIFICADA E DESFORMA</v>
      </c>
      <c r="E46" s="315" t="str">
        <f>'PLANILHA OFICIAL '!D46</f>
        <v>M3</v>
      </c>
      <c r="F46" s="315">
        <f>'PLANILHA OFICIAL '!E46</f>
        <v>0.85119999999999996</v>
      </c>
      <c r="G46" s="315">
        <f>'PLANILHA OFICIAL '!F46</f>
        <v>3211.48</v>
      </c>
      <c r="H46" s="311">
        <f>'PLANILHA OFICIAL '!$H$9</f>
        <v>0.27510000000000001</v>
      </c>
      <c r="I46" s="312">
        <f t="shared" si="9"/>
        <v>3211.48</v>
      </c>
      <c r="J46" s="317">
        <f t="shared" si="10"/>
        <v>4094.9581480000002</v>
      </c>
      <c r="K46" s="318">
        <f t="shared" si="11"/>
        <v>3485.6283755775999</v>
      </c>
    </row>
    <row r="47" spans="1:11" ht="79.8" thickBot="1" x14ac:dyDescent="0.3">
      <c r="A47" s="329" t="s">
        <v>159</v>
      </c>
      <c r="B47" s="306" t="str">
        <f>'PLANILHA OFICIAL '!B47</f>
        <v>ED-50727</v>
      </c>
      <c r="C47" s="306" t="s">
        <v>71</v>
      </c>
      <c r="D47" s="315" t="str">
        <f>'PLANILHA OFICIAL '!C47</f>
        <v>CHAPISCO COM ARGAMASSA, TRAÇO 1:3 (CIMENTO E AREIA), ESP
. 5MM, APLICADO EM ALVENARIA/ESTRUTURA DE CONCRETO
COM COLHER, INCLUSIVE ARGAMASSA COM PREPARO
MECANIZADO</v>
      </c>
      <c r="E47" s="315" t="str">
        <f>'PLANILHA OFICIAL '!D47</f>
        <v>m2</v>
      </c>
      <c r="F47" s="315">
        <f>'PLANILHA OFICIAL '!E47</f>
        <v>76</v>
      </c>
      <c r="G47" s="315">
        <f>'PLANILHA OFICIAL '!F47</f>
        <v>9.74</v>
      </c>
      <c r="H47" s="311">
        <f>'PLANILHA OFICIAL '!$H$9</f>
        <v>0.27510000000000001</v>
      </c>
      <c r="I47" s="312">
        <f t="shared" si="9"/>
        <v>9.74</v>
      </c>
      <c r="J47" s="317">
        <f t="shared" si="10"/>
        <v>12.419474000000001</v>
      </c>
      <c r="K47" s="318">
        <f t="shared" si="11"/>
        <v>943.88002400000005</v>
      </c>
    </row>
    <row r="48" spans="1:11" ht="66.599999999999994" thickBot="1" x14ac:dyDescent="0.3">
      <c r="A48" s="329" t="s">
        <v>160</v>
      </c>
      <c r="B48" s="306" t="str">
        <f>'PLANILHA OFICIAL '!B48</f>
        <v>ED-50761</v>
      </c>
      <c r="C48" s="306" t="s">
        <v>71</v>
      </c>
      <c r="D48" s="315" t="str">
        <f>'PLANILHA OFICIAL '!C48</f>
        <v>REBOCO COM ARGAMASSA, TRAÇO 1:2:8 (CIMENTO, CAL E AREIA)
, ESP. 20MM, APLICAÇÃO MANUAL, INCLUSIVE ARGAMASSA COM
PREPARO MECANIZADO, EXCLUSIVE CHAPISCO</v>
      </c>
      <c r="E48" s="315" t="str">
        <f>'PLANILHA OFICIAL '!D48</f>
        <v>m2</v>
      </c>
      <c r="F48" s="315">
        <f>'PLANILHA OFICIAL '!E48</f>
        <v>76</v>
      </c>
      <c r="G48" s="315">
        <f>'PLANILHA OFICIAL '!F48</f>
        <v>37.78</v>
      </c>
      <c r="H48" s="311">
        <f>'PLANILHA OFICIAL '!$H$9</f>
        <v>0.27510000000000001</v>
      </c>
      <c r="I48" s="312">
        <f t="shared" si="9"/>
        <v>37.78</v>
      </c>
      <c r="J48" s="317">
        <f t="shared" si="10"/>
        <v>48.173278000000003</v>
      </c>
      <c r="K48" s="318">
        <f t="shared" si="11"/>
        <v>3661.1691280000005</v>
      </c>
    </row>
    <row r="49" spans="1:11" ht="66.599999999999994" thickBot="1" x14ac:dyDescent="0.3">
      <c r="A49" s="329" t="s">
        <v>183</v>
      </c>
      <c r="B49" s="306" t="str">
        <f>'PLANILHA OFICIAL '!B49</f>
        <v>ED-50982</v>
      </c>
      <c r="C49" s="306" t="s">
        <v>71</v>
      </c>
      <c r="D49" s="315" t="str">
        <f>'PLANILHA OFICIAL '!C49</f>
        <v>PORTÃO EM CHAPA DE AÇO GALVANIZADO, TIPO LAMBRIL, ESP. 1,
25MM (GSG-18), COM REQUADRO EM TUBO DE AÇO (50X30)MM,
ESP. 1,25MM, EXCLUSIVE CADEADO E PINTURA</v>
      </c>
      <c r="E49" s="315" t="str">
        <f>'PLANILHA OFICIAL '!D49</f>
        <v>M2</v>
      </c>
      <c r="F49" s="315">
        <f>'PLANILHA OFICIAL '!E49</f>
        <v>14</v>
      </c>
      <c r="G49" s="315">
        <f>'PLANILHA OFICIAL '!F49</f>
        <v>483.72</v>
      </c>
      <c r="H49" s="311">
        <f>'PLANILHA OFICIAL '!$H$9</f>
        <v>0.27510000000000001</v>
      </c>
      <c r="I49" s="312">
        <f t="shared" si="9"/>
        <v>483.72</v>
      </c>
      <c r="J49" s="317">
        <f t="shared" si="10"/>
        <v>616.79137200000002</v>
      </c>
      <c r="K49" s="318">
        <f t="shared" si="11"/>
        <v>8635.079208000001</v>
      </c>
    </row>
    <row r="50" spans="1:11" ht="15" thickBot="1" x14ac:dyDescent="0.3">
      <c r="A50" s="329" t="s">
        <v>198</v>
      </c>
      <c r="B50" s="306" t="str">
        <f>'PLANILHA OFICIAL '!B50</f>
        <v>CO-27431</v>
      </c>
      <c r="C50" s="306" t="s">
        <v>71</v>
      </c>
      <c r="D50" s="315" t="str">
        <f>'PLANILHA OFICIAL '!C50</f>
        <v>PROJETO EXECUTIVO DE INSTALAÇÕES ELÉTRICAS</v>
      </c>
      <c r="E50" s="315" t="str">
        <f>'PLANILHA OFICIAL '!D50</f>
        <v>UNID.</v>
      </c>
      <c r="F50" s="315">
        <f>'PLANILHA OFICIAL '!E50</f>
        <v>1</v>
      </c>
      <c r="G50" s="315">
        <f>'PLANILHA OFICIAL '!F50</f>
        <v>1808.2</v>
      </c>
      <c r="H50" s="311">
        <f>'PLANILHA OFICIAL '!$H$9</f>
        <v>0.27510000000000001</v>
      </c>
      <c r="I50" s="312">
        <f t="shared" si="9"/>
        <v>1808.2</v>
      </c>
      <c r="J50" s="317">
        <f t="shared" si="10"/>
        <v>2305.63582</v>
      </c>
      <c r="K50" s="318">
        <f t="shared" si="11"/>
        <v>2305.63582</v>
      </c>
    </row>
    <row r="51" spans="1:11" ht="40.200000000000003" thickBot="1" x14ac:dyDescent="0.3">
      <c r="A51" s="329" t="s">
        <v>199</v>
      </c>
      <c r="B51" s="306">
        <f>'PLANILHA OFICIAL '!B51</f>
        <v>100623</v>
      </c>
      <c r="C51" s="306" t="s">
        <v>163</v>
      </c>
      <c r="D51" s="315" t="str">
        <f>'PLANILHA OFICIAL '!C51</f>
        <v>POSTE DE AÇO CÔNICO CONTÍNUO CURVO DUPLO, ENGASTAMENTO SIMPLES COM 1 M DE SOLO, H=9M - FORNECIMENTO E INSTALAÇÃO. AF_04/2025</v>
      </c>
      <c r="E51" s="315" t="str">
        <f>'PLANILHA OFICIAL '!D51</f>
        <v>UNID.</v>
      </c>
      <c r="F51" s="315">
        <f>'PLANILHA OFICIAL '!E51</f>
        <v>19</v>
      </c>
      <c r="G51" s="315">
        <f>'PLANILHA OFICIAL '!F51</f>
        <v>2257.17</v>
      </c>
      <c r="H51" s="311">
        <f>'PLANILHA OFICIAL '!$H$9</f>
        <v>0.27510000000000001</v>
      </c>
      <c r="I51" s="312">
        <f t="shared" si="9"/>
        <v>2257.17</v>
      </c>
      <c r="J51" s="317">
        <f t="shared" si="10"/>
        <v>2878.117467</v>
      </c>
      <c r="K51" s="318">
        <f t="shared" si="11"/>
        <v>54684.231872999997</v>
      </c>
    </row>
    <row r="52" spans="1:11" ht="40.200000000000003" thickBot="1" x14ac:dyDescent="0.3">
      <c r="A52" s="329" t="s">
        <v>200</v>
      </c>
      <c r="B52" s="306">
        <f>'PLANILHA OFICIAL '!B52</f>
        <v>105955</v>
      </c>
      <c r="C52" s="306" t="s">
        <v>163</v>
      </c>
      <c r="D52" s="315" t="str">
        <f>'PLANILHA OFICIAL '!C52</f>
        <v>POSTE DE AÇO CÔNICO CONTÍNUO RETO, ENGASTAMENTO SIMPLES COM 1 M DE SOLO, H=9M - FORNECIMENTO E INSTALAÇÃO. AF_04/2025</v>
      </c>
      <c r="E52" s="315" t="str">
        <f>'PLANILHA OFICIAL '!D52</f>
        <v>UNID</v>
      </c>
      <c r="F52" s="315">
        <f>'PLANILHA OFICIAL '!E52</f>
        <v>1</v>
      </c>
      <c r="G52" s="315">
        <f>'PLANILHA OFICIAL '!F52</f>
        <v>2276.1999999999998</v>
      </c>
      <c r="H52" s="311">
        <f>'PLANILHA OFICIAL '!$H$9</f>
        <v>0.27510000000000001</v>
      </c>
      <c r="I52" s="312">
        <f t="shared" si="9"/>
        <v>2276.1999999999998</v>
      </c>
      <c r="J52" s="317">
        <f t="shared" si="10"/>
        <v>2902.3826199999999</v>
      </c>
      <c r="K52" s="318">
        <f t="shared" si="11"/>
        <v>2902.3826199999999</v>
      </c>
    </row>
    <row r="53" spans="1:11" ht="40.200000000000003" thickBot="1" x14ac:dyDescent="0.3">
      <c r="A53" s="329" t="s">
        <v>201</v>
      </c>
      <c r="B53" s="306">
        <f>'PLANILHA OFICIAL '!B53</f>
        <v>101659</v>
      </c>
      <c r="C53" s="306" t="s">
        <v>163</v>
      </c>
      <c r="D53" s="315" t="str">
        <f>'PLANILHA OFICIAL '!C53</f>
        <v>LUMINÁRIA DE LED PARA ILUMINAÇÃO PÚBLICA, DE 181 W ATÉ 239 W - FORNECIMENTO E INSTALAÇÃO. AF_02/2025_PS</v>
      </c>
      <c r="E53" s="315" t="str">
        <f>'PLANILHA OFICIAL '!D53</f>
        <v>UNID.</v>
      </c>
      <c r="F53" s="315">
        <f>'PLANILHA OFICIAL '!E53</f>
        <v>16</v>
      </c>
      <c r="G53" s="315">
        <f>'PLANILHA OFICIAL '!F53</f>
        <v>563.16</v>
      </c>
      <c r="H53" s="311">
        <f>'PLANILHA OFICIAL '!$H$9</f>
        <v>0.27510000000000001</v>
      </c>
      <c r="I53" s="312">
        <f t="shared" si="9"/>
        <v>563.16</v>
      </c>
      <c r="J53" s="317">
        <f t="shared" si="10"/>
        <v>718.08531599999992</v>
      </c>
      <c r="K53" s="318">
        <f t="shared" si="11"/>
        <v>11489.365055999999</v>
      </c>
    </row>
    <row r="54" spans="1:11" ht="40.200000000000003" thickBot="1" x14ac:dyDescent="0.3">
      <c r="A54" s="329" t="s">
        <v>202</v>
      </c>
      <c r="B54" s="306">
        <f>'PLANILHA OFICIAL '!B54</f>
        <v>101657</v>
      </c>
      <c r="C54" s="306" t="s">
        <v>163</v>
      </c>
      <c r="D54" s="315" t="str">
        <f>'PLANILHA OFICIAL '!C54</f>
        <v>LUMINÁRIA DE LED PARA ILUMINAÇÃO PÚBLICA, DE 98 W ATÉ 137 W - FORNECIMENTO E INSTALAÇÃO.
AF_02/2025_PS</v>
      </c>
      <c r="E54" s="315" t="str">
        <f>'PLANILHA OFICIAL '!D54</f>
        <v>UNIDADE</v>
      </c>
      <c r="F54" s="315">
        <f>'PLANILHA OFICIAL '!E54</f>
        <v>25</v>
      </c>
      <c r="G54" s="315">
        <f>'PLANILHA OFICIAL '!F54</f>
        <v>384.31</v>
      </c>
      <c r="H54" s="311">
        <f>'PLANILHA OFICIAL '!$H$9</f>
        <v>0.27510000000000001</v>
      </c>
      <c r="I54" s="312">
        <f t="shared" si="9"/>
        <v>384.31</v>
      </c>
      <c r="J54" s="317">
        <f t="shared" si="10"/>
        <v>490.033681</v>
      </c>
      <c r="K54" s="318">
        <f t="shared" si="11"/>
        <v>12250.842025</v>
      </c>
    </row>
    <row r="55" spans="1:11" ht="40.200000000000003" thickBot="1" x14ac:dyDescent="0.3">
      <c r="A55" s="329" t="s">
        <v>203</v>
      </c>
      <c r="B55" s="306">
        <f>'PLANILHA OFICIAL '!B55</f>
        <v>101632</v>
      </c>
      <c r="C55" s="306" t="s">
        <v>163</v>
      </c>
      <c r="D55" s="315" t="str">
        <f>'PLANILHA OFICIAL '!C55</f>
        <v>RELÉ FOTOELÉTRICO PARA COMANDO DE ILUMINAÇÃO EXTERNA 1000 W - FORNECIMENTO E INSTALAÇÃO.AF_02/2025</v>
      </c>
      <c r="E55" s="315" t="str">
        <f>'PLANILHA OFICIAL '!D55</f>
        <v>UNID.</v>
      </c>
      <c r="F55" s="315">
        <f>'PLANILHA OFICIAL '!E55</f>
        <v>38</v>
      </c>
      <c r="G55" s="315">
        <f>'PLANILHA OFICIAL '!F55</f>
        <v>35.700000000000003</v>
      </c>
      <c r="H55" s="311">
        <f>'PLANILHA OFICIAL '!$H$9</f>
        <v>0.27510000000000001</v>
      </c>
      <c r="I55" s="312">
        <f t="shared" si="9"/>
        <v>35.700000000000003</v>
      </c>
      <c r="J55" s="317">
        <f t="shared" si="10"/>
        <v>45.521070000000002</v>
      </c>
      <c r="K55" s="318">
        <f t="shared" si="11"/>
        <v>1729.8006600000001</v>
      </c>
    </row>
    <row r="56" spans="1:11" ht="27" thickBot="1" x14ac:dyDescent="0.3">
      <c r="A56" s="329" t="s">
        <v>204</v>
      </c>
      <c r="B56" s="306">
        <f>'PLANILHA OFICIAL '!B56</f>
        <v>106030</v>
      </c>
      <c r="C56" s="306" t="s">
        <v>163</v>
      </c>
      <c r="D56" s="315" t="str">
        <f>'PLANILHA OFICIAL '!C56</f>
        <v>DISJUNTOR BIPOLAR DR 63A - FORNECIMENTO E INSTALAÇÃO. AF_07/2025</v>
      </c>
      <c r="E56" s="315" t="str">
        <f>'PLANILHA OFICIAL '!D56</f>
        <v>M</v>
      </c>
      <c r="F56" s="315">
        <f>'PLANILHA OFICIAL '!E56</f>
        <v>1</v>
      </c>
      <c r="G56" s="315">
        <f>'PLANILHA OFICIAL '!F56</f>
        <v>211.82</v>
      </c>
      <c r="H56" s="311">
        <f>'PLANILHA OFICIAL '!$H$9</f>
        <v>0.27510000000000001</v>
      </c>
      <c r="I56" s="312">
        <f t="shared" si="9"/>
        <v>211.82</v>
      </c>
      <c r="J56" s="317">
        <f t="shared" si="10"/>
        <v>270.09168199999999</v>
      </c>
      <c r="K56" s="318">
        <f t="shared" si="11"/>
        <v>270.09168199999999</v>
      </c>
    </row>
    <row r="57" spans="1:11" ht="27" thickBot="1" x14ac:dyDescent="0.3">
      <c r="A57" s="329" t="s">
        <v>205</v>
      </c>
      <c r="B57" s="306">
        <f>'PLANILHA OFICIAL '!B57</f>
        <v>93666</v>
      </c>
      <c r="C57" s="306" t="s">
        <v>163</v>
      </c>
      <c r="D57" s="315" t="str">
        <f>'PLANILHA OFICIAL '!C57</f>
        <v>DISJUNTOR BIPOLAR TIPO DIN, CORRENTE NOMINAL DE 50A - FORNECIMENTO E INSTALAÇÃO. AF_07/2025</v>
      </c>
      <c r="E57" s="315" t="str">
        <f>'PLANILHA OFICIAL '!D57</f>
        <v>M3</v>
      </c>
      <c r="F57" s="315">
        <f>'PLANILHA OFICIAL '!E57</f>
        <v>1</v>
      </c>
      <c r="G57" s="315">
        <f>'PLANILHA OFICIAL '!F57</f>
        <v>87.3</v>
      </c>
      <c r="H57" s="311">
        <f>'PLANILHA OFICIAL '!$H$9</f>
        <v>0.27510000000000001</v>
      </c>
      <c r="I57" s="312">
        <f t="shared" si="9"/>
        <v>87.3</v>
      </c>
      <c r="J57" s="317">
        <f t="shared" si="10"/>
        <v>111.31622999999999</v>
      </c>
      <c r="K57" s="318">
        <f t="shared" si="11"/>
        <v>111.31622999999999</v>
      </c>
    </row>
    <row r="58" spans="1:11" ht="40.200000000000003" thickBot="1" x14ac:dyDescent="0.3">
      <c r="A58" s="329" t="s">
        <v>227</v>
      </c>
      <c r="B58" s="306">
        <f>'PLANILHA OFICIAL '!B58</f>
        <v>91849</v>
      </c>
      <c r="C58" s="306" t="s">
        <v>163</v>
      </c>
      <c r="D58" s="315" t="str">
        <f>'PLANILHA OFICIAL '!C58</f>
        <v>ELETRODUTO FLEXÍVEL LISO, PEAD, DN 32 MM (1"), PARA CIRCUITOS TERMINAIS, INSTALADO EM LAJE -FORNECIMENTO E INSTALAÇÃO. AF_03/2023</v>
      </c>
      <c r="E58" s="315" t="str">
        <f>'PLANILHA OFICIAL '!D58</f>
        <v>M</v>
      </c>
      <c r="F58" s="315">
        <f>'PLANILHA OFICIAL '!E58</f>
        <v>450</v>
      </c>
      <c r="G58" s="315">
        <f>'PLANILHA OFICIAL '!F58</f>
        <v>6.72</v>
      </c>
      <c r="H58" s="311">
        <f>'PLANILHA OFICIAL '!$H$9</f>
        <v>0.27510000000000001</v>
      </c>
      <c r="I58" s="312">
        <f t="shared" si="9"/>
        <v>6.72</v>
      </c>
      <c r="J58" s="317">
        <f t="shared" si="10"/>
        <v>8.5686719999999994</v>
      </c>
      <c r="K58" s="318">
        <f t="shared" si="11"/>
        <v>3855.9023999999999</v>
      </c>
    </row>
    <row r="59" spans="1:11" ht="79.8" thickBot="1" x14ac:dyDescent="0.3">
      <c r="A59" s="329" t="s">
        <v>240</v>
      </c>
      <c r="B59" s="306" t="str">
        <f>'PLANILHA OFICIAL '!B59</f>
        <v>ED-49197</v>
      </c>
      <c r="C59" s="306" t="s">
        <v>71</v>
      </c>
      <c r="D59" s="315" t="str">
        <f>'PLANILHA OFICIAL '!C59</f>
        <v>CAIXA DE INSPEÇÃO EM CONCRETO, TIPO "ZA" PASSEIO, PADRÃO CEMIG, DIMENSÃO (28X28)CM, ALTURA 40CM, COM TAMPA E ARO ARTICULADO EM FERRO FUNDIDO, INCLUSIVE ESCAVAÇÃO, APILOAMENTO, LASTRO DE BRITA, REATERRO E TRANSPORTE COM RETIRADA DO MATERIAL ESCAVADO (EM CAÇAMBA)</v>
      </c>
      <c r="E59" s="315" t="str">
        <f>'PLANILHA OFICIAL '!D59</f>
        <v>UNID.</v>
      </c>
      <c r="F59" s="315">
        <f>'PLANILHA OFICIAL '!E59</f>
        <v>21</v>
      </c>
      <c r="G59" s="315">
        <f>'PLANILHA OFICIAL '!F59</f>
        <v>291.64999999999998</v>
      </c>
      <c r="H59" s="311">
        <f>'PLANILHA OFICIAL '!$H$9</f>
        <v>0.27510000000000001</v>
      </c>
      <c r="I59" s="312">
        <f t="shared" si="9"/>
        <v>291.64999999999998</v>
      </c>
      <c r="J59" s="317">
        <f t="shared" si="10"/>
        <v>371.88291499999997</v>
      </c>
      <c r="K59" s="318">
        <f t="shared" si="11"/>
        <v>7809.5412149999993</v>
      </c>
    </row>
    <row r="60" spans="1:11" ht="27" thickBot="1" x14ac:dyDescent="0.3">
      <c r="A60" s="329" t="s">
        <v>269</v>
      </c>
      <c r="B60" s="306">
        <f>'PLANILHA OFICIAL '!B60</f>
        <v>96985</v>
      </c>
      <c r="C60" s="306" t="s">
        <v>163</v>
      </c>
      <c r="D60" s="315" t="str">
        <f>'PLANILHA OFICIAL '!C60</f>
        <v>HASTE DE ATERRAMENTO, DIÂMETRO 5/8", COM 3 METROS - FORNECIMENTO E INSTALAÇÃO. AF_08/2023</v>
      </c>
      <c r="E60" s="315" t="str">
        <f>'PLANILHA OFICIAL '!D60</f>
        <v>UNID.</v>
      </c>
      <c r="F60" s="315">
        <f>'PLANILHA OFICIAL '!E60</f>
        <v>21</v>
      </c>
      <c r="G60" s="315">
        <f>'PLANILHA OFICIAL '!F60</f>
        <v>103.25</v>
      </c>
      <c r="H60" s="311">
        <f>'PLANILHA OFICIAL '!$H$9</f>
        <v>0.27510000000000001</v>
      </c>
      <c r="I60" s="312">
        <f t="shared" si="9"/>
        <v>103.25</v>
      </c>
      <c r="J60" s="317">
        <f t="shared" si="10"/>
        <v>131.65407500000001</v>
      </c>
      <c r="K60" s="318">
        <f t="shared" si="11"/>
        <v>2764.7355750000002</v>
      </c>
    </row>
    <row r="61" spans="1:11" ht="40.200000000000003" thickBot="1" x14ac:dyDescent="0.3">
      <c r="A61" s="329" t="s">
        <v>270</v>
      </c>
      <c r="B61" s="306" t="str">
        <f>'PLANILHA OFICIAL '!B61</f>
        <v>ED-48992</v>
      </c>
      <c r="C61" s="306" t="s">
        <v>71</v>
      </c>
      <c r="D61" s="315" t="str">
        <f>'PLANILHA OFICIAL '!C61</f>
        <v>CABO DE COBRE FLEXÍVEL, CLASSE 5, ISOLAMENTO TIPO EPR/ HEPR, NÃO HALOGENADO, ANTICHAMA, TERMOFIXO, UNIPOLAR, SEÇÃO 4 MM2, 90°C, 0,6/1KV</v>
      </c>
      <c r="E61" s="315" t="str">
        <f>'PLANILHA OFICIAL '!D61</f>
        <v>M</v>
      </c>
      <c r="F61" s="315">
        <f>'PLANILHA OFICIAL '!E61</f>
        <v>1300</v>
      </c>
      <c r="G61" s="315">
        <f>'PLANILHA OFICIAL '!F61</f>
        <v>7.62</v>
      </c>
      <c r="H61" s="311">
        <f>'PLANILHA OFICIAL '!$H$9</f>
        <v>0.27510000000000001</v>
      </c>
      <c r="I61" s="312">
        <f t="shared" si="9"/>
        <v>7.62</v>
      </c>
      <c r="J61" s="317">
        <f t="shared" si="10"/>
        <v>9.7162620000000004</v>
      </c>
      <c r="K61" s="318">
        <f t="shared" si="11"/>
        <v>12631.140600000001</v>
      </c>
    </row>
    <row r="62" spans="1:11" ht="40.200000000000003" thickBot="1" x14ac:dyDescent="0.3">
      <c r="A62" s="329" t="s">
        <v>271</v>
      </c>
      <c r="B62" s="306" t="str">
        <f>'PLANILHA OFICIAL '!B62</f>
        <v>ED-49001</v>
      </c>
      <c r="C62" s="306" t="s">
        <v>71</v>
      </c>
      <c r="D62" s="315" t="str">
        <f>'PLANILHA OFICIAL '!C62</f>
        <v>CABO DE COBRE FLEXÍVEL, CLASSE 5, ISOLAMENTO TIPO EPR/ HEPR, NÃO HALOGENADO, ANTICHAMA, TERMOFIXO, UNIPOLAR, SEÇÃO 16 MM2, 90°C, 0,6/1KV</v>
      </c>
      <c r="E62" s="315" t="str">
        <f>'PLANILHA OFICIAL '!D62</f>
        <v>M</v>
      </c>
      <c r="F62" s="315">
        <f>'PLANILHA OFICIAL '!E62</f>
        <v>95</v>
      </c>
      <c r="G62" s="315">
        <f>'PLANILHA OFICIAL '!F62</f>
        <v>22.24</v>
      </c>
      <c r="H62" s="311">
        <f>'PLANILHA OFICIAL '!$H$9</f>
        <v>0.27510000000000001</v>
      </c>
      <c r="I62" s="312">
        <f t="shared" si="9"/>
        <v>22.24</v>
      </c>
      <c r="J62" s="317">
        <f t="shared" si="10"/>
        <v>28.358224</v>
      </c>
      <c r="K62" s="318">
        <f t="shared" si="11"/>
        <v>2694.0312800000002</v>
      </c>
    </row>
    <row r="63" spans="1:11" ht="66.599999999999994" thickBot="1" x14ac:dyDescent="0.3">
      <c r="A63" s="329" t="s">
        <v>327</v>
      </c>
      <c r="B63" s="306" t="str">
        <f>'PLANILHA OFICIAL '!B63</f>
        <v>ED-20588</v>
      </c>
      <c r="C63" s="306" t="s">
        <v>71</v>
      </c>
      <c r="D63" s="315" t="str">
        <f>'PLANILHA OFICIAL '!C63</f>
        <v>ENTRADA DE ENERGIA AÉREA, TIPO C8, PADRÃO CEMIG, CARGA
INSTALADA DE 66,1KVA ATÉ 75KVA, TRIFÁSICO, COM SAÍDA
SUBTERRÂNEA, INCLUSIVE POSTE, CAIXA PARA MEDIDOR,
DISJUNTOR, BARRAMENTO, ATERRAMENTO E ACESSÓRIOS</v>
      </c>
      <c r="E63" s="315" t="str">
        <f>'PLANILHA OFICIAL '!D63</f>
        <v>UNID.</v>
      </c>
      <c r="F63" s="315">
        <f>'PLANILHA OFICIAL '!E63</f>
        <v>1</v>
      </c>
      <c r="G63" s="315">
        <f>'PLANILHA OFICIAL '!F63</f>
        <v>4629.59</v>
      </c>
      <c r="H63" s="311">
        <f>'PLANILHA OFICIAL '!$H$9</f>
        <v>0.27510000000000001</v>
      </c>
      <c r="I63" s="312">
        <f t="shared" si="9"/>
        <v>4629.59</v>
      </c>
      <c r="J63" s="317">
        <f t="shared" si="10"/>
        <v>5903.1902090000003</v>
      </c>
      <c r="K63" s="318">
        <f t="shared" si="11"/>
        <v>5903.1902090000003</v>
      </c>
    </row>
    <row r="64" spans="1:11" ht="66" x14ac:dyDescent="0.25">
      <c r="A64" s="329" t="s">
        <v>328</v>
      </c>
      <c r="B64" s="306">
        <f>'PLANILHA OFICIAL '!B64</f>
        <v>43095</v>
      </c>
      <c r="C64" s="306" t="s">
        <v>163</v>
      </c>
      <c r="D64" s="315" t="str">
        <f>'PLANILHA OFICIAL '!C64</f>
        <v>CAIXA MODULAR PARA MEDIDOR DE ENERGIA AGRUPADA, EM
POLICARBONATO / TERMOPLASTICO, COM SUPORTE PARA DISJUNTOR
(PADRAO DA CONCESSIONARIA LOCAL)</v>
      </c>
      <c r="E64" s="315" t="str">
        <f>'PLANILHA OFICIAL '!D64</f>
        <v>UNID.</v>
      </c>
      <c r="F64" s="315">
        <f>'PLANILHA OFICIAL '!E64</f>
        <v>2</v>
      </c>
      <c r="G64" s="315">
        <f>'PLANILHA OFICIAL '!F64</f>
        <v>172.17</v>
      </c>
      <c r="H64" s="311">
        <f>'PLANILHA OFICIAL '!$H$9</f>
        <v>0.27510000000000001</v>
      </c>
      <c r="I64" s="312">
        <f t="shared" ref="I64" si="12">G64</f>
        <v>172.17</v>
      </c>
      <c r="J64" s="317">
        <f t="shared" ref="J64" si="13">G64+(G64*H64)</f>
        <v>219.53396699999999</v>
      </c>
      <c r="K64" s="318">
        <f t="shared" ref="K64" si="14">J64*F64</f>
        <v>439.06793399999998</v>
      </c>
    </row>
    <row r="65" spans="1:8" x14ac:dyDescent="0.25">
      <c r="A65"/>
      <c r="B65" s="373"/>
      <c r="C65" s="373"/>
      <c r="D65" s="373"/>
      <c r="E65" s="25"/>
    </row>
    <row r="66" spans="1:8" x14ac:dyDescent="0.25">
      <c r="A66"/>
      <c r="B66" s="374" t="s">
        <v>154</v>
      </c>
      <c r="C66" s="374"/>
      <c r="D66" s="374"/>
      <c r="E66" s="25"/>
      <c r="F66" s="375" t="s">
        <v>146</v>
      </c>
      <c r="G66" s="375"/>
      <c r="H66" s="375"/>
    </row>
    <row r="67" spans="1:8" x14ac:dyDescent="0.25">
      <c r="A67"/>
      <c r="B67" s="345" t="s">
        <v>107</v>
      </c>
      <c r="C67" s="345"/>
      <c r="D67" s="345"/>
      <c r="E67" s="25"/>
      <c r="F67" s="345" t="s">
        <v>108</v>
      </c>
      <c r="G67" s="345"/>
      <c r="H67" s="345"/>
    </row>
    <row r="68" spans="1:8" x14ac:dyDescent="0.25">
      <c r="A68"/>
      <c r="B68" s="345" t="s">
        <v>155</v>
      </c>
      <c r="C68" s="345"/>
      <c r="D68" s="345"/>
      <c r="E68" s="25"/>
    </row>
  </sheetData>
  <dataConsolidate/>
  <mergeCells count="20">
    <mergeCell ref="A1:E1"/>
    <mergeCell ref="B2:G2"/>
    <mergeCell ref="B3:G3"/>
    <mergeCell ref="D4:E4"/>
    <mergeCell ref="A5:A6"/>
    <mergeCell ref="I5:I6"/>
    <mergeCell ref="A8:A10"/>
    <mergeCell ref="B8:C8"/>
    <mergeCell ref="B9:C9"/>
    <mergeCell ref="B10:C10"/>
    <mergeCell ref="F67:H67"/>
    <mergeCell ref="B68:D68"/>
    <mergeCell ref="B5:B6"/>
    <mergeCell ref="F5:F6"/>
    <mergeCell ref="G5:G6"/>
    <mergeCell ref="H5:H6"/>
    <mergeCell ref="B65:D65"/>
    <mergeCell ref="B66:D66"/>
    <mergeCell ref="F66:H66"/>
    <mergeCell ref="B67:D67"/>
  </mergeCells>
  <phoneticPr fontId="31" type="noConversion"/>
  <dataValidations disablePrompts="1" count="3">
    <dataValidation type="list" allowBlank="1" showInputMessage="1" showErrorMessage="1" sqref="G12" xr:uid="{9B318581-E70D-471A-B3C8-D1802900CE8D}">
      <formula1>"CUSTO (SEM BDI),PREÇO (COM BDI)"</formula1>
    </dataValidation>
    <dataValidation type="list" allowBlank="1" showInputMessage="1" showErrorMessage="1" sqref="C6" xr:uid="{EFE5E658-A7B6-4916-A9CA-2F10806BE002}">
      <formula1>"Sim,Não"</formula1>
    </dataValidation>
    <dataValidation type="list" allowBlank="1" showInputMessage="1" showErrorMessage="1" sqref="D4" xr:uid="{7AA2810E-9E9C-4E4F-9C74-6572942C7C0B}">
      <formula1>"1 – Empreitada por Preço Global, 2 – Empreitada por Preço Unitário, 3 – Empreitada Integral, 4 – Tarefa, 5 – Execução Direta, 6 – Contratação integrada, 7 – Contratação semi-integrada,  8 – Fornecimento e prestação de serviço associado"</formula1>
    </dataValidation>
  </dataValidations>
  <printOptions horizontalCentered="1"/>
  <pageMargins left="0.39370078740157483" right="0.35433070866141736" top="0.27559055118110237" bottom="0.15748031496062992" header="0.31496062992125984" footer="0.27559055118110237"/>
  <pageSetup paperSize="9" scale="75" fitToHeight="0" orientation="landscape" r:id="rId1"/>
  <headerFooter alignWithMargins="0">
    <oddFooter>Página &amp;P de &amp;N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79"/>
  <sheetViews>
    <sheetView showGridLines="0" showZeros="0" tabSelected="1" topLeftCell="A57" zoomScale="90" zoomScaleNormal="90" zoomScaleSheetLayoutView="85" workbookViewId="0">
      <selection activeCell="H66" sqref="H66"/>
    </sheetView>
  </sheetViews>
  <sheetFormatPr defaultRowHeight="13.2" x14ac:dyDescent="0.25"/>
  <cols>
    <col min="1" max="1" width="9.109375" style="25"/>
    <col min="2" max="2" width="14" style="25" customWidth="1"/>
    <col min="3" max="3" width="71.44140625" customWidth="1"/>
    <col min="4" max="4" width="11.5546875" style="25" bestFit="1" customWidth="1"/>
    <col min="5" max="5" width="22.77734375" customWidth="1"/>
    <col min="6" max="6" width="20.6640625" bestFit="1" customWidth="1"/>
    <col min="7" max="7" width="19.6640625" customWidth="1"/>
    <col min="8" max="8" width="19.21875" bestFit="1" customWidth="1"/>
    <col min="9" max="9" width="14.33203125" bestFit="1" customWidth="1"/>
    <col min="10" max="10" width="21" customWidth="1"/>
  </cols>
  <sheetData>
    <row r="1" spans="1:10" ht="80.400000000000006" customHeight="1" thickBot="1" x14ac:dyDescent="0.45">
      <c r="A1" s="62"/>
      <c r="B1" s="63"/>
      <c r="C1" s="64"/>
      <c r="D1" s="65"/>
      <c r="E1" s="66"/>
      <c r="F1" s="67"/>
      <c r="G1" s="68"/>
      <c r="H1" s="69"/>
    </row>
    <row r="2" spans="1:10" ht="6" customHeight="1" thickBot="1" x14ac:dyDescent="0.45">
      <c r="A2" s="62"/>
      <c r="B2" s="63"/>
      <c r="C2" s="64"/>
      <c r="D2" s="65"/>
      <c r="E2" s="66"/>
      <c r="F2" s="67"/>
      <c r="G2" s="68"/>
      <c r="H2" s="69"/>
    </row>
    <row r="3" spans="1:10" ht="16.5" customHeight="1" thickBot="1" x14ac:dyDescent="0.35">
      <c r="A3" s="381" t="s">
        <v>234</v>
      </c>
      <c r="B3" s="382"/>
      <c r="C3" s="382"/>
      <c r="D3" s="382"/>
      <c r="E3" s="382"/>
      <c r="F3" s="382"/>
      <c r="G3" s="382"/>
      <c r="H3" s="383"/>
    </row>
    <row r="4" spans="1:10" ht="5.25" customHeight="1" thickBot="1" x14ac:dyDescent="0.45">
      <c r="A4" s="62"/>
      <c r="B4" s="63"/>
      <c r="C4" s="64"/>
      <c r="D4" s="65"/>
      <c r="E4" s="66"/>
      <c r="F4" s="67"/>
      <c r="G4" s="68"/>
      <c r="H4" s="69"/>
    </row>
    <row r="5" spans="1:10" ht="22.5" customHeight="1" x14ac:dyDescent="0.3">
      <c r="A5" s="384" t="s">
        <v>104</v>
      </c>
      <c r="B5" s="385"/>
      <c r="C5" s="385"/>
      <c r="D5" s="385"/>
      <c r="E5" s="386"/>
      <c r="F5" s="85"/>
      <c r="G5" s="86"/>
      <c r="H5" s="172"/>
    </row>
    <row r="6" spans="1:10" ht="33" customHeight="1" x14ac:dyDescent="0.3">
      <c r="A6" s="398" t="s">
        <v>280</v>
      </c>
      <c r="B6" s="399"/>
      <c r="C6" s="399"/>
      <c r="D6" s="399"/>
      <c r="E6" s="400"/>
      <c r="F6" s="70" t="s">
        <v>232</v>
      </c>
      <c r="G6" s="83"/>
      <c r="H6" s="174"/>
    </row>
    <row r="7" spans="1:10" ht="15.6" x14ac:dyDescent="0.3">
      <c r="A7" s="173" t="s">
        <v>179</v>
      </c>
      <c r="B7" s="71"/>
      <c r="C7" s="72"/>
      <c r="D7" s="73"/>
      <c r="E7" s="387" t="s">
        <v>95</v>
      </c>
      <c r="F7" s="388"/>
      <c r="G7" s="388"/>
      <c r="H7" s="389"/>
    </row>
    <row r="8" spans="1:10" ht="33" customHeight="1" x14ac:dyDescent="0.4">
      <c r="A8" s="398" t="s">
        <v>223</v>
      </c>
      <c r="B8" s="399"/>
      <c r="C8" s="399"/>
      <c r="D8" s="400"/>
      <c r="E8" s="74" t="s">
        <v>96</v>
      </c>
      <c r="F8" s="75" t="s">
        <v>97</v>
      </c>
      <c r="G8" s="23" t="s">
        <v>98</v>
      </c>
      <c r="H8" s="175" t="s">
        <v>99</v>
      </c>
    </row>
    <row r="9" spans="1:10" ht="15.6" customHeight="1" thickBot="1" x14ac:dyDescent="0.45">
      <c r="A9" s="176" t="s">
        <v>229</v>
      </c>
      <c r="B9" s="76"/>
      <c r="C9" s="77"/>
      <c r="D9" s="78"/>
      <c r="E9" s="79"/>
      <c r="F9" s="80"/>
      <c r="G9" s="84" t="s">
        <v>148</v>
      </c>
      <c r="H9" s="177">
        <f>BDI!D26</f>
        <v>0.27510000000000001</v>
      </c>
    </row>
    <row r="10" spans="1:10" ht="15" customHeight="1" x14ac:dyDescent="0.25">
      <c r="A10" s="390" t="s">
        <v>37</v>
      </c>
      <c r="B10" s="392" t="s">
        <v>62</v>
      </c>
      <c r="C10" s="392" t="s">
        <v>63</v>
      </c>
      <c r="D10" s="392" t="s">
        <v>53</v>
      </c>
      <c r="E10" s="392" t="s">
        <v>64</v>
      </c>
      <c r="F10" s="394" t="s">
        <v>65</v>
      </c>
      <c r="G10" s="395"/>
      <c r="H10" s="396" t="s">
        <v>66</v>
      </c>
    </row>
    <row r="11" spans="1:10" ht="15" customHeight="1" thickBot="1" x14ac:dyDescent="0.3">
      <c r="A11" s="391"/>
      <c r="B11" s="393"/>
      <c r="C11" s="393"/>
      <c r="D11" s="393"/>
      <c r="E11" s="393"/>
      <c r="F11" s="82" t="s">
        <v>149</v>
      </c>
      <c r="G11" s="82" t="s">
        <v>150</v>
      </c>
      <c r="H11" s="397"/>
    </row>
    <row r="12" spans="1:10" ht="13.2" customHeight="1" thickBot="1" x14ac:dyDescent="0.3">
      <c r="A12" s="168"/>
      <c r="B12" s="46"/>
      <c r="C12" s="81" t="s">
        <v>277</v>
      </c>
      <c r="D12" s="46"/>
      <c r="E12" s="46"/>
      <c r="F12" s="45"/>
      <c r="G12" s="45"/>
      <c r="H12" s="281">
        <f>H66</f>
        <v>1252737.0133284158</v>
      </c>
    </row>
    <row r="13" spans="1:10" x14ac:dyDescent="0.25">
      <c r="A13" s="233">
        <v>1</v>
      </c>
      <c r="B13" s="234"/>
      <c r="C13" s="235" t="s">
        <v>67</v>
      </c>
      <c r="D13" s="235"/>
      <c r="E13" s="235"/>
      <c r="F13" s="236"/>
      <c r="G13" s="236"/>
      <c r="H13" s="237"/>
    </row>
    <row r="14" spans="1:10" ht="83.4" customHeight="1" x14ac:dyDescent="0.25">
      <c r="A14" s="238" t="s">
        <v>5</v>
      </c>
      <c r="B14" s="238" t="s">
        <v>177</v>
      </c>
      <c r="C14" s="239" t="s">
        <v>178</v>
      </c>
      <c r="D14" s="240" t="s">
        <v>0</v>
      </c>
      <c r="E14" s="240">
        <v>4.5</v>
      </c>
      <c r="F14" s="241">
        <v>256.27999999999997</v>
      </c>
      <c r="G14" s="243">
        <f>F14*(1+$H$9)</f>
        <v>326.78262799999999</v>
      </c>
      <c r="H14" s="242">
        <f>E14*G14</f>
        <v>1470.5218259999999</v>
      </c>
    </row>
    <row r="15" spans="1:10" ht="26.4" x14ac:dyDescent="0.25">
      <c r="A15" s="238" t="s">
        <v>6</v>
      </c>
      <c r="B15" s="52" t="s">
        <v>175</v>
      </c>
      <c r="C15" s="151" t="s">
        <v>176</v>
      </c>
      <c r="D15" s="51" t="s">
        <v>68</v>
      </c>
      <c r="E15" s="193">
        <f>'MEMÓRIA DE CÁLCULO'!C53/10</f>
        <v>11.141999999999999</v>
      </c>
      <c r="F15" s="196">
        <v>91.88</v>
      </c>
      <c r="G15" s="196">
        <f>F15*(1+$H$9)</f>
        <v>117.156188</v>
      </c>
      <c r="H15" s="196">
        <f t="shared" ref="H15" si="0">G15*E15</f>
        <v>1305.354246696</v>
      </c>
      <c r="J15" s="37"/>
    </row>
    <row r="16" spans="1:10" s="1" customFormat="1" ht="16.2" thickBot="1" x14ac:dyDescent="0.35">
      <c r="A16" s="378" t="s">
        <v>103</v>
      </c>
      <c r="B16" s="379"/>
      <c r="C16" s="379"/>
      <c r="D16" s="379"/>
      <c r="E16" s="379"/>
      <c r="F16" s="379"/>
      <c r="G16" s="380"/>
      <c r="H16" s="198">
        <f>SUM(H14:H15)</f>
        <v>2775.8760726959999</v>
      </c>
      <c r="J16" s="37"/>
    </row>
    <row r="17" spans="1:10" ht="15.6" thickBot="1" x14ac:dyDescent="0.3">
      <c r="A17" s="162">
        <v>2</v>
      </c>
      <c r="B17" s="158"/>
      <c r="C17" s="153" t="s">
        <v>1</v>
      </c>
      <c r="D17" s="159"/>
      <c r="E17" s="156"/>
      <c r="F17" s="156"/>
      <c r="G17" s="156"/>
      <c r="H17" s="160"/>
      <c r="J17" s="37"/>
    </row>
    <row r="18" spans="1:10" ht="15" x14ac:dyDescent="0.25">
      <c r="A18" s="169" t="s">
        <v>100</v>
      </c>
      <c r="B18" s="52">
        <v>4743</v>
      </c>
      <c r="C18" s="166" t="s">
        <v>170</v>
      </c>
      <c r="D18" s="51" t="s">
        <v>4</v>
      </c>
      <c r="E18" s="193">
        <f>'MEMÓRIA DE CÁLCULO'!G11</f>
        <v>727.01550000000009</v>
      </c>
      <c r="F18" s="196">
        <v>70.34</v>
      </c>
      <c r="G18" s="196">
        <f>F18*(1+$H$9)</f>
        <v>89.690534000000014</v>
      </c>
      <c r="H18" s="197">
        <f t="shared" ref="H18:H24" si="1">G18*E18</f>
        <v>65206.408421277018</v>
      </c>
      <c r="J18" s="37"/>
    </row>
    <row r="19" spans="1:10" ht="15" x14ac:dyDescent="0.25">
      <c r="A19" s="169" t="s">
        <v>101</v>
      </c>
      <c r="B19" s="52" t="s">
        <v>171</v>
      </c>
      <c r="C19" s="151" t="s">
        <v>172</v>
      </c>
      <c r="D19" s="24" t="s">
        <v>0</v>
      </c>
      <c r="E19" s="193">
        <f>'MEMÓRIA DE CÁLCULO'!F20</f>
        <v>4846.7700000000004</v>
      </c>
      <c r="F19" s="196">
        <v>1.22</v>
      </c>
      <c r="G19" s="196">
        <f>F19*(1+$H$9)</f>
        <v>1.5556220000000001</v>
      </c>
      <c r="H19" s="197">
        <f t="shared" si="1"/>
        <v>7539.7420409400011</v>
      </c>
      <c r="J19" s="37"/>
    </row>
    <row r="20" spans="1:10" ht="15.75" customHeight="1" x14ac:dyDescent="0.25">
      <c r="A20" s="169" t="s">
        <v>102</v>
      </c>
      <c r="B20" s="52" t="s">
        <v>173</v>
      </c>
      <c r="C20" s="151" t="s">
        <v>174</v>
      </c>
      <c r="D20" s="24" t="s">
        <v>2</v>
      </c>
      <c r="E20" s="193">
        <f>'MEMÓRIA DE CÁLCULO'!G28</f>
        <v>727.01550000000009</v>
      </c>
      <c r="F20" s="196">
        <v>13.02</v>
      </c>
      <c r="G20" s="196">
        <f>F20*(1+$H$9)</f>
        <v>16.601801999999999</v>
      </c>
      <c r="H20" s="197">
        <f t="shared" si="1"/>
        <v>12069.767381931</v>
      </c>
      <c r="J20" s="37"/>
    </row>
    <row r="21" spans="1:10" ht="16.2" thickBot="1" x14ac:dyDescent="0.35">
      <c r="A21" s="378" t="s">
        <v>103</v>
      </c>
      <c r="B21" s="379"/>
      <c r="C21" s="379"/>
      <c r="D21" s="379"/>
      <c r="E21" s="379"/>
      <c r="F21" s="379"/>
      <c r="G21" s="380"/>
      <c r="H21" s="198">
        <f>SUM(H18:H20)</f>
        <v>84815.917844148018</v>
      </c>
      <c r="J21" s="37"/>
    </row>
    <row r="22" spans="1:10" ht="15.6" thickBot="1" x14ac:dyDescent="0.3">
      <c r="A22" s="162">
        <v>3</v>
      </c>
      <c r="B22" s="157"/>
      <c r="C22" s="153" t="s">
        <v>9</v>
      </c>
      <c r="D22" s="220"/>
      <c r="E22" s="156"/>
      <c r="F22" s="156"/>
      <c r="G22" s="156"/>
      <c r="H22" s="160"/>
      <c r="J22" s="37"/>
    </row>
    <row r="23" spans="1:10" ht="15" x14ac:dyDescent="0.25">
      <c r="A23" s="170" t="s">
        <v>10</v>
      </c>
      <c r="B23" s="154" t="s">
        <v>164</v>
      </c>
      <c r="C23" s="204" t="s">
        <v>165</v>
      </c>
      <c r="D23" s="155" t="s">
        <v>0</v>
      </c>
      <c r="E23" s="194">
        <f>'MEMÓRIA DE CÁLCULO'!F37</f>
        <v>4846.7700000000004</v>
      </c>
      <c r="F23" s="199">
        <v>8.1999999999999993</v>
      </c>
      <c r="G23" s="199">
        <f t="shared" ref="G23:G25" si="2">F23*(1+$H$9)</f>
        <v>10.455819999999999</v>
      </c>
      <c r="H23" s="200">
        <f t="shared" si="1"/>
        <v>50676.954701399998</v>
      </c>
      <c r="J23" s="37"/>
    </row>
    <row r="24" spans="1:10" ht="15" x14ac:dyDescent="0.25">
      <c r="A24" s="171" t="s">
        <v>11</v>
      </c>
      <c r="B24" s="52" t="s">
        <v>166</v>
      </c>
      <c r="C24" s="205" t="s">
        <v>167</v>
      </c>
      <c r="D24" s="24" t="s">
        <v>0</v>
      </c>
      <c r="E24" s="193">
        <f>'MEMÓRIA DE CÁLCULO'!F45</f>
        <v>4846.7700000000004</v>
      </c>
      <c r="F24" s="196">
        <v>2.3199999999999998</v>
      </c>
      <c r="G24" s="196">
        <f t="shared" si="2"/>
        <v>2.9582320000000002</v>
      </c>
      <c r="H24" s="197">
        <f t="shared" si="1"/>
        <v>14337.870110640002</v>
      </c>
      <c r="J24" s="37"/>
    </row>
    <row r="25" spans="1:10" ht="40.5" customHeight="1" x14ac:dyDescent="0.25">
      <c r="A25" s="169" t="s">
        <v>147</v>
      </c>
      <c r="B25" s="52" t="s">
        <v>168</v>
      </c>
      <c r="C25" s="151" t="s">
        <v>169</v>
      </c>
      <c r="D25" s="24" t="s">
        <v>2</v>
      </c>
      <c r="E25" s="193">
        <f>'MEMÓRIA DE CÁLCULO'!G52</f>
        <v>193.87080000000003</v>
      </c>
      <c r="F25" s="196">
        <v>1059.1600000000001</v>
      </c>
      <c r="G25" s="196">
        <f t="shared" si="2"/>
        <v>1350.5349160000003</v>
      </c>
      <c r="H25" s="197">
        <f>'MEMÓRIA DE CÁLCULO'!I53</f>
        <v>261829.2845928529</v>
      </c>
      <c r="I25" s="20"/>
      <c r="J25" s="37"/>
    </row>
    <row r="26" spans="1:10" ht="16.2" thickBot="1" x14ac:dyDescent="0.35">
      <c r="A26" s="179"/>
      <c r="B26" s="163"/>
      <c r="C26" s="161"/>
      <c r="D26" s="164" t="s">
        <v>103</v>
      </c>
      <c r="E26" s="164"/>
      <c r="F26" s="164"/>
      <c r="G26" s="195"/>
      <c r="H26" s="198">
        <f>SUM(H23:H25)</f>
        <v>326844.10940489289</v>
      </c>
      <c r="J26" s="37"/>
    </row>
    <row r="27" spans="1:10" ht="15" x14ac:dyDescent="0.25">
      <c r="A27" s="224">
        <v>4</v>
      </c>
      <c r="B27" s="225"/>
      <c r="C27" s="226" t="s">
        <v>94</v>
      </c>
      <c r="D27" s="227"/>
      <c r="E27" s="228"/>
      <c r="F27" s="228"/>
      <c r="G27" s="228"/>
      <c r="H27" s="229"/>
      <c r="J27" s="37"/>
    </row>
    <row r="28" spans="1:10" ht="15" x14ac:dyDescent="0.25">
      <c r="A28" s="52" t="s">
        <v>12</v>
      </c>
      <c r="B28" s="34" t="s">
        <v>206</v>
      </c>
      <c r="C28" s="249" t="s">
        <v>207</v>
      </c>
      <c r="D28" s="51" t="s">
        <v>53</v>
      </c>
      <c r="E28" s="230">
        <v>1</v>
      </c>
      <c r="F28" s="230">
        <v>1352.47</v>
      </c>
      <c r="G28" s="196">
        <f t="shared" ref="G28:G36" si="3">F28*(1+$H$9)</f>
        <v>1724.5344970000001</v>
      </c>
      <c r="H28" s="230">
        <f t="shared" ref="H28:H39" si="4">G28*E28</f>
        <v>1724.5344970000001</v>
      </c>
      <c r="J28" s="37"/>
    </row>
    <row r="29" spans="1:10" ht="39.6" x14ac:dyDescent="0.25">
      <c r="A29" s="52" t="s">
        <v>162</v>
      </c>
      <c r="B29" s="52">
        <v>94268</v>
      </c>
      <c r="C29" s="165" t="s">
        <v>212</v>
      </c>
      <c r="D29" s="51" t="s">
        <v>49</v>
      </c>
      <c r="E29" s="230">
        <f>42.78</f>
        <v>42.78</v>
      </c>
      <c r="F29" s="230">
        <v>64.98</v>
      </c>
      <c r="G29" s="196">
        <f t="shared" si="3"/>
        <v>82.855998000000014</v>
      </c>
      <c r="H29" s="230">
        <f t="shared" si="4"/>
        <v>3544.5795944400006</v>
      </c>
      <c r="J29" s="37"/>
    </row>
    <row r="30" spans="1:10" ht="26.4" x14ac:dyDescent="0.25">
      <c r="A30" s="52" t="s">
        <v>182</v>
      </c>
      <c r="B30" s="52">
        <v>94287</v>
      </c>
      <c r="C30" s="165" t="s">
        <v>283</v>
      </c>
      <c r="D30" s="51" t="s">
        <v>49</v>
      </c>
      <c r="E30" s="230">
        <f>38.71+64.88+76.09+95</f>
        <v>274.68</v>
      </c>
      <c r="F30" s="230">
        <v>34.380000000000003</v>
      </c>
      <c r="G30" s="196">
        <f t="shared" ref="G30" si="5">F30*(1+$H$9)</f>
        <v>43.837938000000008</v>
      </c>
      <c r="H30" s="230">
        <f t="shared" ref="H30" si="6">G30*E30</f>
        <v>12041.404809840002</v>
      </c>
      <c r="J30" s="37"/>
    </row>
    <row r="31" spans="1:10" ht="39.6" x14ac:dyDescent="0.25">
      <c r="A31" s="52" t="s">
        <v>208</v>
      </c>
      <c r="B31" s="52">
        <v>92216</v>
      </c>
      <c r="C31" s="165" t="s">
        <v>224</v>
      </c>
      <c r="D31" s="51" t="s">
        <v>49</v>
      </c>
      <c r="E31" s="230">
        <v>350</v>
      </c>
      <c r="F31" s="230">
        <v>589.79999999999995</v>
      </c>
      <c r="G31" s="196">
        <f t="shared" si="3"/>
        <v>752.05398000000002</v>
      </c>
      <c r="H31" s="230">
        <f t="shared" si="4"/>
        <v>263218.89299999998</v>
      </c>
      <c r="I31" s="255"/>
      <c r="J31" s="37"/>
    </row>
    <row r="32" spans="1:10" ht="15" x14ac:dyDescent="0.25">
      <c r="A32" s="52" t="s">
        <v>213</v>
      </c>
      <c r="B32" s="52" t="s">
        <v>222</v>
      </c>
      <c r="C32" s="165" t="s">
        <v>282</v>
      </c>
      <c r="D32" s="51" t="s">
        <v>4</v>
      </c>
      <c r="E32" s="230">
        <f>E31*1.2*0.1</f>
        <v>42</v>
      </c>
      <c r="F32" s="230">
        <v>256.27</v>
      </c>
      <c r="G32" s="196">
        <f t="shared" si="3"/>
        <v>326.76987700000001</v>
      </c>
      <c r="H32" s="230">
        <f t="shared" si="4"/>
        <v>13724.334834000001</v>
      </c>
      <c r="I32" s="20"/>
      <c r="J32" s="37"/>
    </row>
    <row r="33" spans="1:10" ht="26.4" x14ac:dyDescent="0.25">
      <c r="A33" s="52" t="s">
        <v>217</v>
      </c>
      <c r="B33" s="52" t="s">
        <v>221</v>
      </c>
      <c r="C33" s="165" t="s">
        <v>225</v>
      </c>
      <c r="D33" s="51" t="s">
        <v>53</v>
      </c>
      <c r="E33" s="230">
        <v>4</v>
      </c>
      <c r="F33" s="230">
        <v>4251.03</v>
      </c>
      <c r="G33" s="196">
        <f t="shared" si="3"/>
        <v>5420.4883530000006</v>
      </c>
      <c r="H33" s="230">
        <f t="shared" si="4"/>
        <v>21681.953412000003</v>
      </c>
      <c r="I33" s="253"/>
      <c r="J33" s="37"/>
    </row>
    <row r="34" spans="1:10" ht="39.6" x14ac:dyDescent="0.25">
      <c r="A34" s="52" t="s">
        <v>218</v>
      </c>
      <c r="B34" s="52" t="s">
        <v>214</v>
      </c>
      <c r="C34" s="165" t="s">
        <v>226</v>
      </c>
      <c r="D34" s="51" t="s">
        <v>2</v>
      </c>
      <c r="E34" s="230">
        <f>E31*1.2*1.5+(4*1*1)*4</f>
        <v>646</v>
      </c>
      <c r="F34" s="230">
        <v>8.98</v>
      </c>
      <c r="G34" s="196">
        <f t="shared" si="3"/>
        <v>11.450398000000002</v>
      </c>
      <c r="H34" s="230">
        <f t="shared" si="4"/>
        <v>7396.9571080000014</v>
      </c>
      <c r="I34" s="253"/>
      <c r="J34" s="37"/>
    </row>
    <row r="35" spans="1:10" ht="52.8" x14ac:dyDescent="0.25">
      <c r="A35" s="52" t="s">
        <v>231</v>
      </c>
      <c r="B35" s="52">
        <v>93369</v>
      </c>
      <c r="C35" s="165" t="s">
        <v>215</v>
      </c>
      <c r="D35" s="51" t="s">
        <v>2</v>
      </c>
      <c r="E35" s="230">
        <f>E31*0.4*1.5</f>
        <v>210</v>
      </c>
      <c r="F35" s="230">
        <v>17.46</v>
      </c>
      <c r="G35" s="196">
        <f t="shared" si="3"/>
        <v>22.263246000000002</v>
      </c>
      <c r="H35" s="230">
        <f t="shared" si="4"/>
        <v>4675.2816600000006</v>
      </c>
      <c r="I35" s="253"/>
      <c r="J35" s="37"/>
    </row>
    <row r="36" spans="1:10" ht="66" x14ac:dyDescent="0.25">
      <c r="A36" s="52" t="s">
        <v>236</v>
      </c>
      <c r="B36" s="52" t="s">
        <v>216</v>
      </c>
      <c r="C36" s="165" t="s">
        <v>284</v>
      </c>
      <c r="D36" s="51" t="s">
        <v>69</v>
      </c>
      <c r="E36" s="230">
        <f>((234*998)/1000)*211</f>
        <v>49275.252</v>
      </c>
      <c r="F36" s="230">
        <v>0.94</v>
      </c>
      <c r="G36" s="196">
        <f t="shared" si="3"/>
        <v>1.1985939999999999</v>
      </c>
      <c r="H36" s="230">
        <f t="shared" si="4"/>
        <v>59061.021395687996</v>
      </c>
      <c r="I36" s="253"/>
      <c r="J36" s="37"/>
    </row>
    <row r="37" spans="1:10" ht="52.8" x14ac:dyDescent="0.25">
      <c r="A37" s="52" t="s">
        <v>238</v>
      </c>
      <c r="B37" s="154">
        <v>103931</v>
      </c>
      <c r="C37" s="167" t="s">
        <v>274</v>
      </c>
      <c r="D37" s="258" t="s">
        <v>2</v>
      </c>
      <c r="E37" s="259">
        <v>4</v>
      </c>
      <c r="F37" s="259">
        <v>623.12</v>
      </c>
      <c r="G37" s="196">
        <f t="shared" ref="G37" si="7">F37*(1+$H$9)</f>
        <v>794.54031200000009</v>
      </c>
      <c r="H37" s="230">
        <f t="shared" ref="H37" si="8">G37*E37</f>
        <v>3178.1612480000003</v>
      </c>
      <c r="I37" s="253"/>
      <c r="J37" s="37"/>
    </row>
    <row r="38" spans="1:10" ht="26.4" x14ac:dyDescent="0.25">
      <c r="A38" s="52" t="s">
        <v>273</v>
      </c>
      <c r="B38" s="154">
        <v>102487</v>
      </c>
      <c r="C38" s="167" t="s">
        <v>281</v>
      </c>
      <c r="D38" s="258" t="s">
        <v>2</v>
      </c>
      <c r="E38" s="259">
        <f>(4*0.5*1.5)*2</f>
        <v>6</v>
      </c>
      <c r="F38" s="259">
        <v>646.80999999999995</v>
      </c>
      <c r="G38" s="196">
        <f t="shared" ref="G38" si="9">F38*(1+$H$9)</f>
        <v>824.74743100000001</v>
      </c>
      <c r="H38" s="230">
        <f t="shared" ref="H38" si="10">G38*E38</f>
        <v>4948.4845860000005</v>
      </c>
      <c r="I38" s="253"/>
      <c r="J38" s="37"/>
    </row>
    <row r="39" spans="1:10" ht="39.6" x14ac:dyDescent="0.25">
      <c r="A39" s="52" t="s">
        <v>275</v>
      </c>
      <c r="B39" s="154">
        <v>102684</v>
      </c>
      <c r="C39" s="167" t="s">
        <v>235</v>
      </c>
      <c r="D39" s="258" t="s">
        <v>49</v>
      </c>
      <c r="E39" s="259">
        <f>(90*4)+(267*2)+86</f>
        <v>980</v>
      </c>
      <c r="F39" s="259">
        <v>177.69</v>
      </c>
      <c r="G39" s="196">
        <f t="shared" ref="G39" si="11">F39*(1+$H$9)</f>
        <v>226.57251900000003</v>
      </c>
      <c r="H39" s="230">
        <f t="shared" si="4"/>
        <v>222041.06862000003</v>
      </c>
      <c r="I39" s="253"/>
      <c r="J39" s="37"/>
    </row>
    <row r="40" spans="1:10" ht="50.4" customHeight="1" x14ac:dyDescent="0.25">
      <c r="A40" s="52" t="s">
        <v>276</v>
      </c>
      <c r="B40" s="154" t="s">
        <v>237</v>
      </c>
      <c r="C40" s="167" t="s">
        <v>285</v>
      </c>
      <c r="D40" s="258" t="s">
        <v>53</v>
      </c>
      <c r="E40" s="259">
        <v>14</v>
      </c>
      <c r="F40" s="259">
        <v>1093.21</v>
      </c>
      <c r="G40" s="196">
        <f t="shared" ref="G40" si="12">F40*(1+$H$9)</f>
        <v>1393.9520710000002</v>
      </c>
      <c r="H40" s="230">
        <f t="shared" ref="H40" si="13">G40*E40</f>
        <v>19515.328994000003</v>
      </c>
      <c r="I40" s="253"/>
      <c r="J40" s="37"/>
    </row>
    <row r="41" spans="1:10" ht="16.2" thickBot="1" x14ac:dyDescent="0.35">
      <c r="A41" s="376"/>
      <c r="B41" s="376"/>
      <c r="C41" s="376"/>
      <c r="D41" s="376"/>
      <c r="E41" s="376"/>
      <c r="F41" s="376"/>
      <c r="G41" s="377"/>
      <c r="H41" s="232">
        <f>SUM(H28:H40)</f>
        <v>636752.00375896797</v>
      </c>
      <c r="I41" s="255"/>
      <c r="J41" s="37"/>
    </row>
    <row r="42" spans="1:10" ht="15" x14ac:dyDescent="0.25">
      <c r="A42" s="224">
        <v>5</v>
      </c>
      <c r="B42" s="225"/>
      <c r="C42" s="226" t="s">
        <v>158</v>
      </c>
      <c r="D42" s="227"/>
      <c r="E42" s="228"/>
      <c r="F42" s="228"/>
      <c r="G42" s="228"/>
      <c r="H42" s="229"/>
      <c r="I42" s="253"/>
      <c r="J42" s="37"/>
    </row>
    <row r="43" spans="1:10" ht="15" x14ac:dyDescent="0.25">
      <c r="A43" s="52" t="s">
        <v>13</v>
      </c>
      <c r="B43" s="52" t="s">
        <v>249</v>
      </c>
      <c r="C43" s="165" t="s">
        <v>248</v>
      </c>
      <c r="D43" s="51" t="s">
        <v>38</v>
      </c>
      <c r="E43" s="230">
        <v>1</v>
      </c>
      <c r="F43" s="230">
        <f>'COTAÇÃO GRADIL TIPO BELGO'!G12*1.25</f>
        <v>37750.54583333333</v>
      </c>
      <c r="G43" s="196">
        <f t="shared" ref="G43:G49" si="14">F43*(1+$H$9)</f>
        <v>48135.720992083334</v>
      </c>
      <c r="H43" s="230">
        <f t="shared" ref="H43:H49" si="15">G43*E43</f>
        <v>48135.720992083334</v>
      </c>
      <c r="I43" s="37"/>
      <c r="J43" s="37">
        <f>I43*37</f>
        <v>0</v>
      </c>
    </row>
    <row r="44" spans="1:10" ht="26.4" x14ac:dyDescent="0.25">
      <c r="A44" s="52" t="s">
        <v>156</v>
      </c>
      <c r="B44" s="52" t="s">
        <v>257</v>
      </c>
      <c r="C44" s="165" t="s">
        <v>258</v>
      </c>
      <c r="D44" s="51" t="s">
        <v>0</v>
      </c>
      <c r="E44" s="230">
        <f>95*0.4</f>
        <v>38</v>
      </c>
      <c r="F44" s="230">
        <v>76.72</v>
      </c>
      <c r="G44" s="196">
        <f t="shared" si="14"/>
        <v>97.825672000000012</v>
      </c>
      <c r="H44" s="230">
        <f t="shared" si="15"/>
        <v>3717.3755360000005</v>
      </c>
      <c r="I44" s="37"/>
      <c r="J44" s="37"/>
    </row>
    <row r="45" spans="1:10" ht="39.6" x14ac:dyDescent="0.25">
      <c r="A45" s="52" t="s">
        <v>157</v>
      </c>
      <c r="B45" s="52" t="s">
        <v>259</v>
      </c>
      <c r="C45" s="165" t="s">
        <v>260</v>
      </c>
      <c r="D45" s="51" t="s">
        <v>2</v>
      </c>
      <c r="E45" s="230">
        <f>95*(0.21*0.2)</f>
        <v>3.99</v>
      </c>
      <c r="F45" s="230">
        <v>2187.4499999999998</v>
      </c>
      <c r="G45" s="196">
        <f t="shared" si="14"/>
        <v>2789.2174949999999</v>
      </c>
      <c r="H45" s="230">
        <f t="shared" si="15"/>
        <v>11128.977805050001</v>
      </c>
      <c r="I45" s="37"/>
      <c r="J45" s="37"/>
    </row>
    <row r="46" spans="1:10" ht="26.4" x14ac:dyDescent="0.25">
      <c r="A46" s="52" t="s">
        <v>268</v>
      </c>
      <c r="B46" s="52" t="s">
        <v>262</v>
      </c>
      <c r="C46" s="165" t="s">
        <v>261</v>
      </c>
      <c r="D46" s="51" t="s">
        <v>2</v>
      </c>
      <c r="E46" s="230">
        <f>(95/2.5)*(0.2*0.16*0.7)</f>
        <v>0.85119999999999996</v>
      </c>
      <c r="F46" s="230">
        <v>3211.48</v>
      </c>
      <c r="G46" s="196">
        <f t="shared" si="14"/>
        <v>4094.9581480000006</v>
      </c>
      <c r="H46" s="230">
        <f t="shared" si="15"/>
        <v>3485.6283755776003</v>
      </c>
      <c r="I46" s="37"/>
      <c r="J46" s="37"/>
    </row>
    <row r="47" spans="1:10" ht="52.8" x14ac:dyDescent="0.25">
      <c r="A47" s="52" t="s">
        <v>159</v>
      </c>
      <c r="B47" s="52" t="s">
        <v>263</v>
      </c>
      <c r="C47" s="165" t="s">
        <v>264</v>
      </c>
      <c r="D47" s="51" t="s">
        <v>265</v>
      </c>
      <c r="E47" s="230">
        <f>E44*2</f>
        <v>76</v>
      </c>
      <c r="F47" s="230">
        <v>9.74</v>
      </c>
      <c r="G47" s="196">
        <f t="shared" si="14"/>
        <v>12.419474000000001</v>
      </c>
      <c r="H47" s="230">
        <f t="shared" si="15"/>
        <v>943.88002400000005</v>
      </c>
      <c r="I47" s="37"/>
      <c r="J47" s="37"/>
    </row>
    <row r="48" spans="1:10" ht="39.6" x14ac:dyDescent="0.25">
      <c r="A48" s="52" t="s">
        <v>160</v>
      </c>
      <c r="B48" s="52" t="s">
        <v>267</v>
      </c>
      <c r="C48" s="165" t="s">
        <v>266</v>
      </c>
      <c r="D48" s="51" t="s">
        <v>265</v>
      </c>
      <c r="E48" s="230">
        <f>E47</f>
        <v>76</v>
      </c>
      <c r="F48" s="230">
        <v>37.78</v>
      </c>
      <c r="G48" s="196">
        <f t="shared" si="14"/>
        <v>48.173278000000003</v>
      </c>
      <c r="H48" s="230">
        <f t="shared" si="15"/>
        <v>3661.1691280000005</v>
      </c>
      <c r="I48" s="37"/>
      <c r="J48" s="37"/>
    </row>
    <row r="49" spans="1:10" ht="39.6" x14ac:dyDescent="0.25">
      <c r="A49" s="52" t="s">
        <v>183</v>
      </c>
      <c r="B49" s="52" t="s">
        <v>219</v>
      </c>
      <c r="C49" s="165" t="s">
        <v>220</v>
      </c>
      <c r="D49" s="51" t="s">
        <v>0</v>
      </c>
      <c r="E49" s="230">
        <f>(3.5*2)*2</f>
        <v>14</v>
      </c>
      <c r="F49" s="230">
        <v>483.72</v>
      </c>
      <c r="G49" s="196">
        <f t="shared" si="14"/>
        <v>616.79137200000014</v>
      </c>
      <c r="H49" s="230">
        <f t="shared" si="15"/>
        <v>8635.0792080000028</v>
      </c>
      <c r="I49" s="253"/>
      <c r="J49" s="37"/>
    </row>
    <row r="50" spans="1:10" ht="15" x14ac:dyDescent="0.25">
      <c r="A50" s="52" t="s">
        <v>198</v>
      </c>
      <c r="B50" s="238" t="s">
        <v>184</v>
      </c>
      <c r="C50" s="245" t="s">
        <v>185</v>
      </c>
      <c r="D50" s="51" t="s">
        <v>53</v>
      </c>
      <c r="E50" s="230">
        <v>1</v>
      </c>
      <c r="F50" s="230">
        <v>1808.2</v>
      </c>
      <c r="G50" s="196">
        <f t="shared" ref="G50:G64" si="16">F50*(1+$H$9)</f>
        <v>2305.6358200000004</v>
      </c>
      <c r="H50" s="230">
        <f t="shared" ref="H50:H64" si="17">G50*E50</f>
        <v>2305.6358200000004</v>
      </c>
      <c r="J50" s="37"/>
    </row>
    <row r="51" spans="1:10" ht="28.2" customHeight="1" x14ac:dyDescent="0.25">
      <c r="A51" s="52" t="s">
        <v>199</v>
      </c>
      <c r="B51" s="246">
        <v>100623</v>
      </c>
      <c r="C51" s="247" t="s">
        <v>186</v>
      </c>
      <c r="D51" s="278" t="s">
        <v>53</v>
      </c>
      <c r="E51" s="230">
        <f>8+11</f>
        <v>19</v>
      </c>
      <c r="F51" s="230">
        <v>2257.17</v>
      </c>
      <c r="G51" s="196">
        <f t="shared" si="16"/>
        <v>2878.1174670000005</v>
      </c>
      <c r="H51" s="230">
        <f t="shared" si="17"/>
        <v>54684.231873000012</v>
      </c>
      <c r="J51" s="37"/>
    </row>
    <row r="52" spans="1:10" ht="26.4" x14ac:dyDescent="0.25">
      <c r="A52" s="52"/>
      <c r="B52" s="246">
        <v>105955</v>
      </c>
      <c r="C52" s="247" t="s">
        <v>278</v>
      </c>
      <c r="D52" s="278" t="s">
        <v>279</v>
      </c>
      <c r="E52" s="230">
        <v>1</v>
      </c>
      <c r="F52" s="230">
        <v>2276.1999999999998</v>
      </c>
      <c r="G52" s="196">
        <f t="shared" ref="G52" si="18">F52*(1+$H$9)</f>
        <v>2902.3826199999999</v>
      </c>
      <c r="H52" s="230">
        <f t="shared" ref="H52" si="19">G52*E52</f>
        <v>2902.3826199999999</v>
      </c>
      <c r="J52" s="37"/>
    </row>
    <row r="53" spans="1:10" ht="26.4" x14ac:dyDescent="0.25">
      <c r="A53" s="52" t="s">
        <v>200</v>
      </c>
      <c r="B53" s="246">
        <v>101659</v>
      </c>
      <c r="C53" s="247" t="s">
        <v>228</v>
      </c>
      <c r="D53" s="278" t="s">
        <v>53</v>
      </c>
      <c r="E53" s="230">
        <f>16</f>
        <v>16</v>
      </c>
      <c r="F53" s="230">
        <v>563.16</v>
      </c>
      <c r="G53" s="196">
        <f t="shared" si="16"/>
        <v>718.08531600000003</v>
      </c>
      <c r="H53" s="230">
        <f t="shared" si="17"/>
        <v>11489.365056000001</v>
      </c>
      <c r="J53" s="37"/>
    </row>
    <row r="54" spans="1:10" ht="39.6" x14ac:dyDescent="0.25">
      <c r="A54" s="52"/>
      <c r="B54" s="246">
        <v>101657</v>
      </c>
      <c r="C54" s="247" t="s">
        <v>272</v>
      </c>
      <c r="D54" s="278" t="s">
        <v>38</v>
      </c>
      <c r="E54" s="230">
        <f>11*2+(1*3)</f>
        <v>25</v>
      </c>
      <c r="F54" s="230">
        <v>384.31</v>
      </c>
      <c r="G54" s="196">
        <f t="shared" ref="G54" si="20">F54*(1+$H$9)</f>
        <v>490.03368100000006</v>
      </c>
      <c r="H54" s="230">
        <f t="shared" ref="H54" si="21">G54*E54</f>
        <v>12250.842025000002</v>
      </c>
      <c r="J54" s="37"/>
    </row>
    <row r="55" spans="1:10" ht="26.4" x14ac:dyDescent="0.25">
      <c r="A55" s="52" t="s">
        <v>201</v>
      </c>
      <c r="B55" s="246">
        <v>101632</v>
      </c>
      <c r="C55" s="247" t="s">
        <v>187</v>
      </c>
      <c r="D55" s="24" t="s">
        <v>53</v>
      </c>
      <c r="E55" s="230">
        <f>16+(11*2)</f>
        <v>38</v>
      </c>
      <c r="F55" s="230">
        <v>35.700000000000003</v>
      </c>
      <c r="G55" s="196">
        <f t="shared" si="16"/>
        <v>45.521070000000009</v>
      </c>
      <c r="H55" s="230">
        <f t="shared" si="17"/>
        <v>1729.8006600000003</v>
      </c>
      <c r="J55" s="37"/>
    </row>
    <row r="56" spans="1:10" ht="15" x14ac:dyDescent="0.25">
      <c r="A56" s="52" t="s">
        <v>202</v>
      </c>
      <c r="B56" s="246">
        <v>106030</v>
      </c>
      <c r="C56" s="247" t="s">
        <v>188</v>
      </c>
      <c r="D56" s="24" t="s">
        <v>49</v>
      </c>
      <c r="E56" s="230">
        <v>1</v>
      </c>
      <c r="F56" s="230">
        <v>211.82</v>
      </c>
      <c r="G56" s="196">
        <f t="shared" si="16"/>
        <v>270.09168199999999</v>
      </c>
      <c r="H56" s="230">
        <f t="shared" si="17"/>
        <v>270.09168199999999</v>
      </c>
      <c r="J56" s="37"/>
    </row>
    <row r="57" spans="1:10" ht="26.4" x14ac:dyDescent="0.25">
      <c r="A57" s="52" t="s">
        <v>203</v>
      </c>
      <c r="B57" s="246">
        <v>93666</v>
      </c>
      <c r="C57" s="247" t="s">
        <v>189</v>
      </c>
      <c r="D57" s="24" t="s">
        <v>2</v>
      </c>
      <c r="E57" s="230">
        <v>1</v>
      </c>
      <c r="F57" s="230">
        <v>87.3</v>
      </c>
      <c r="G57" s="196">
        <f t="shared" si="16"/>
        <v>111.31623</v>
      </c>
      <c r="H57" s="230">
        <f t="shared" si="17"/>
        <v>111.31623</v>
      </c>
      <c r="J57" s="37"/>
    </row>
    <row r="58" spans="1:10" ht="25.8" customHeight="1" x14ac:dyDescent="0.25">
      <c r="A58" s="52" t="s">
        <v>204</v>
      </c>
      <c r="B58" s="246">
        <v>91849</v>
      </c>
      <c r="C58" s="247" t="s">
        <v>190</v>
      </c>
      <c r="D58" s="24" t="s">
        <v>49</v>
      </c>
      <c r="E58" s="230">
        <f>180*2.5</f>
        <v>450</v>
      </c>
      <c r="F58" s="230">
        <v>6.72</v>
      </c>
      <c r="G58" s="196">
        <f t="shared" si="16"/>
        <v>8.5686720000000012</v>
      </c>
      <c r="H58" s="230">
        <f t="shared" si="17"/>
        <v>3855.9024000000004</v>
      </c>
      <c r="J58" s="37"/>
    </row>
    <row r="59" spans="1:10" ht="66" x14ac:dyDescent="0.25">
      <c r="A59" s="52" t="s">
        <v>205</v>
      </c>
      <c r="B59" s="246" t="s">
        <v>191</v>
      </c>
      <c r="C59" s="247" t="s">
        <v>192</v>
      </c>
      <c r="D59" s="24" t="s">
        <v>53</v>
      </c>
      <c r="E59" s="230">
        <f>9+(11+1)</f>
        <v>21</v>
      </c>
      <c r="F59" s="248">
        <v>291.64999999999998</v>
      </c>
      <c r="G59" s="196">
        <f t="shared" si="16"/>
        <v>371.88291500000003</v>
      </c>
      <c r="H59" s="230">
        <f t="shared" si="17"/>
        <v>7809.5412150000002</v>
      </c>
      <c r="J59" s="37"/>
    </row>
    <row r="60" spans="1:10" ht="26.4" x14ac:dyDescent="0.25">
      <c r="A60" s="52" t="s">
        <v>227</v>
      </c>
      <c r="B60" s="246">
        <v>96985</v>
      </c>
      <c r="C60" s="247" t="s">
        <v>193</v>
      </c>
      <c r="D60" s="24" t="s">
        <v>53</v>
      </c>
      <c r="E60" s="230">
        <f>E59</f>
        <v>21</v>
      </c>
      <c r="F60" s="248">
        <v>103.25</v>
      </c>
      <c r="G60" s="196">
        <f t="shared" si="16"/>
        <v>131.65407500000001</v>
      </c>
      <c r="H60" s="230">
        <f t="shared" si="17"/>
        <v>2764.7355750000002</v>
      </c>
      <c r="J60" s="37"/>
    </row>
    <row r="61" spans="1:10" ht="39.6" x14ac:dyDescent="0.25">
      <c r="A61" s="52" t="s">
        <v>240</v>
      </c>
      <c r="B61" s="246" t="s">
        <v>194</v>
      </c>
      <c r="C61" s="247" t="s">
        <v>195</v>
      </c>
      <c r="D61" s="24" t="s">
        <v>49</v>
      </c>
      <c r="E61" s="230">
        <f>520*2.5</f>
        <v>1300</v>
      </c>
      <c r="F61" s="248">
        <v>7.62</v>
      </c>
      <c r="G61" s="196">
        <f t="shared" si="16"/>
        <v>9.7162620000000004</v>
      </c>
      <c r="H61" s="230">
        <f t="shared" si="17"/>
        <v>12631.140600000001</v>
      </c>
      <c r="J61" s="37"/>
    </row>
    <row r="62" spans="1:10" ht="39.6" x14ac:dyDescent="0.25">
      <c r="A62" s="52" t="s">
        <v>269</v>
      </c>
      <c r="B62" s="246" t="s">
        <v>196</v>
      </c>
      <c r="C62" s="247" t="s">
        <v>197</v>
      </c>
      <c r="D62" s="24" t="s">
        <v>49</v>
      </c>
      <c r="E62" s="230">
        <v>95</v>
      </c>
      <c r="F62" s="248">
        <v>22.24</v>
      </c>
      <c r="G62" s="196">
        <f t="shared" si="16"/>
        <v>28.358224</v>
      </c>
      <c r="H62" s="230">
        <f t="shared" si="17"/>
        <v>2694.0312800000002</v>
      </c>
      <c r="J62" s="37"/>
    </row>
    <row r="63" spans="1:10" ht="52.8" x14ac:dyDescent="0.25">
      <c r="A63" s="52" t="s">
        <v>270</v>
      </c>
      <c r="B63" s="246" t="s">
        <v>209</v>
      </c>
      <c r="C63" s="247" t="s">
        <v>210</v>
      </c>
      <c r="D63" s="24" t="s">
        <v>53</v>
      </c>
      <c r="E63" s="230">
        <v>1</v>
      </c>
      <c r="F63" s="248">
        <v>4629.59</v>
      </c>
      <c r="G63" s="196">
        <f t="shared" si="16"/>
        <v>5903.1902090000003</v>
      </c>
      <c r="H63" s="230">
        <f t="shared" si="17"/>
        <v>5903.1902090000003</v>
      </c>
      <c r="J63" s="37"/>
    </row>
    <row r="64" spans="1:10" ht="39.6" x14ac:dyDescent="0.25">
      <c r="A64" s="52" t="s">
        <v>271</v>
      </c>
      <c r="B64" s="261">
        <v>43095</v>
      </c>
      <c r="C64" s="262" t="s">
        <v>239</v>
      </c>
      <c r="D64" s="155" t="s">
        <v>53</v>
      </c>
      <c r="E64" s="259">
        <v>2</v>
      </c>
      <c r="F64" s="263">
        <v>172.17</v>
      </c>
      <c r="G64" s="196">
        <f t="shared" si="16"/>
        <v>219.53396700000002</v>
      </c>
      <c r="H64" s="230">
        <f t="shared" si="17"/>
        <v>439.06793400000004</v>
      </c>
      <c r="J64" s="37"/>
    </row>
    <row r="65" spans="1:10" ht="16.2" thickBot="1" x14ac:dyDescent="0.35">
      <c r="A65" s="376"/>
      <c r="B65" s="376"/>
      <c r="C65" s="376"/>
      <c r="D65" s="376"/>
      <c r="E65" s="376"/>
      <c r="F65" s="376"/>
      <c r="G65" s="377"/>
      <c r="H65" s="232">
        <f>SUM(H43:H64)</f>
        <v>201549.10624771091</v>
      </c>
      <c r="J65" s="37"/>
    </row>
    <row r="66" spans="1:10" s="1" customFormat="1" ht="16.2" thickBot="1" x14ac:dyDescent="0.35">
      <c r="A66" s="201" t="s">
        <v>70</v>
      </c>
      <c r="B66" s="202"/>
      <c r="C66" s="202"/>
      <c r="D66" s="202"/>
      <c r="E66" s="202"/>
      <c r="F66" s="202"/>
      <c r="G66" s="202"/>
      <c r="H66" s="203">
        <f>H41+H26+H21+H16+H65</f>
        <v>1252737.0133284158</v>
      </c>
    </row>
    <row r="67" spans="1:10" x14ac:dyDescent="0.25">
      <c r="A67" s="374" t="s">
        <v>154</v>
      </c>
      <c r="B67" s="374"/>
      <c r="C67" s="374"/>
      <c r="E67" s="375" t="s">
        <v>146</v>
      </c>
      <c r="F67" s="375"/>
      <c r="G67" s="375"/>
    </row>
    <row r="68" spans="1:10" x14ac:dyDescent="0.25">
      <c r="A68" s="345" t="s">
        <v>107</v>
      </c>
      <c r="B68" s="345"/>
      <c r="C68" s="345"/>
      <c r="E68" s="345" t="s">
        <v>108</v>
      </c>
      <c r="F68" s="345"/>
      <c r="G68" s="345"/>
    </row>
    <row r="69" spans="1:10" x14ac:dyDescent="0.25">
      <c r="A69" s="345" t="s">
        <v>155</v>
      </c>
      <c r="B69" s="345"/>
      <c r="C69" s="345"/>
    </row>
    <row r="72" spans="1:10" x14ac:dyDescent="0.25">
      <c r="H72" s="255"/>
    </row>
    <row r="73" spans="1:10" x14ac:dyDescent="0.25">
      <c r="D73" s="254"/>
    </row>
    <row r="74" spans="1:10" x14ac:dyDescent="0.25">
      <c r="D74" s="254"/>
    </row>
    <row r="79" spans="1:10" x14ac:dyDescent="0.25">
      <c r="H79" s="37"/>
    </row>
  </sheetData>
  <dataConsolidate/>
  <mergeCells count="21">
    <mergeCell ref="A16:G16"/>
    <mergeCell ref="A21:G21"/>
    <mergeCell ref="A41:G41"/>
    <mergeCell ref="A3:H3"/>
    <mergeCell ref="A5:E5"/>
    <mergeCell ref="E7:H7"/>
    <mergeCell ref="A10:A11"/>
    <mergeCell ref="B10:B11"/>
    <mergeCell ref="F10:G10"/>
    <mergeCell ref="H10:H11"/>
    <mergeCell ref="C10:C11"/>
    <mergeCell ref="D10:D11"/>
    <mergeCell ref="E10:E11"/>
    <mergeCell ref="A6:E6"/>
    <mergeCell ref="A8:D8"/>
    <mergeCell ref="A65:G65"/>
    <mergeCell ref="A67:C67"/>
    <mergeCell ref="A68:C68"/>
    <mergeCell ref="A69:C69"/>
    <mergeCell ref="E67:G67"/>
    <mergeCell ref="E68:G68"/>
  </mergeCells>
  <phoneticPr fontId="4" type="noConversion"/>
  <printOptions horizontalCentered="1"/>
  <pageMargins left="0.39370078740157483" right="0.35433070866141736" top="0.27559055118110237" bottom="0.15748031496062992" header="0.31496062992125984" footer="0.27559055118110237"/>
  <pageSetup paperSize="9" scale="74" fitToHeight="0" orientation="landscape" r:id="rId1"/>
  <headerFooter alignWithMargins="0">
    <oddFooter>Página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4836AA-1C80-46DE-AB4F-5F2478BED534}">
  <sheetPr>
    <pageSetUpPr fitToPage="1"/>
  </sheetPr>
  <dimension ref="A1:G27"/>
  <sheetViews>
    <sheetView workbookViewId="0">
      <selection activeCell="G27" sqref="A1:G27"/>
    </sheetView>
  </sheetViews>
  <sheetFormatPr defaultRowHeight="13.2" x14ac:dyDescent="0.25"/>
  <cols>
    <col min="1" max="1" width="50.33203125" bestFit="1" customWidth="1"/>
    <col min="2" max="2" width="17.5546875" bestFit="1" customWidth="1"/>
    <col min="3" max="3" width="17.5546875" customWidth="1"/>
    <col min="4" max="4" width="13.33203125" bestFit="1" customWidth="1"/>
    <col min="7" max="7" width="18.21875" customWidth="1"/>
  </cols>
  <sheetData>
    <row r="1" spans="1:7" x14ac:dyDescent="0.25">
      <c r="A1" s="401" t="s">
        <v>241</v>
      </c>
      <c r="B1" s="402"/>
      <c r="C1" s="402"/>
      <c r="D1" s="402"/>
    </row>
    <row r="2" spans="1:7" x14ac:dyDescent="0.25">
      <c r="A2" s="270" t="s">
        <v>37</v>
      </c>
      <c r="B2" s="269" t="s">
        <v>242</v>
      </c>
      <c r="C2" s="269" t="s">
        <v>243</v>
      </c>
      <c r="D2" s="269" t="s">
        <v>15</v>
      </c>
    </row>
    <row r="3" spans="1:7" x14ac:dyDescent="0.25">
      <c r="A3" s="270" t="s">
        <v>244</v>
      </c>
      <c r="B3" s="269">
        <v>38</v>
      </c>
      <c r="C3" s="265">
        <v>470</v>
      </c>
      <c r="D3" s="265">
        <f>C3*B3</f>
        <v>17860</v>
      </c>
    </row>
    <row r="4" spans="1:7" x14ac:dyDescent="0.25">
      <c r="A4" s="267" t="s">
        <v>245</v>
      </c>
      <c r="B4" s="264">
        <v>39</v>
      </c>
      <c r="C4" s="265">
        <v>220</v>
      </c>
      <c r="D4" s="265">
        <f>C4*B4</f>
        <v>8580</v>
      </c>
    </row>
    <row r="5" spans="1:7" ht="13.8" thickBot="1" x14ac:dyDescent="0.3">
      <c r="A5" s="272" t="s">
        <v>246</v>
      </c>
      <c r="B5" s="268">
        <v>234</v>
      </c>
      <c r="C5" s="271">
        <v>5.6</v>
      </c>
      <c r="D5" s="266">
        <f>C5*B5</f>
        <v>1310.3999999999999</v>
      </c>
    </row>
    <row r="6" spans="1:7" ht="13.8" thickBot="1" x14ac:dyDescent="0.3">
      <c r="A6" s="277" t="s">
        <v>255</v>
      </c>
      <c r="B6" s="276">
        <v>1</v>
      </c>
      <c r="C6" s="274">
        <v>1450</v>
      </c>
      <c r="D6" s="274">
        <f>C6*B6</f>
        <v>1450</v>
      </c>
    </row>
    <row r="7" spans="1:7" ht="13.8" thickBot="1" x14ac:dyDescent="0.3">
      <c r="D7" s="273">
        <f>SUM(D3:D6)</f>
        <v>29200.400000000001</v>
      </c>
    </row>
    <row r="9" spans="1:7" ht="13.8" thickBot="1" x14ac:dyDescent="0.3"/>
    <row r="10" spans="1:7" x14ac:dyDescent="0.25">
      <c r="A10" s="401" t="s">
        <v>247</v>
      </c>
      <c r="B10" s="402"/>
      <c r="C10" s="402"/>
      <c r="D10" s="402"/>
    </row>
    <row r="11" spans="1:7" x14ac:dyDescent="0.25">
      <c r="A11" s="270" t="s">
        <v>37</v>
      </c>
      <c r="B11" s="269" t="s">
        <v>242</v>
      </c>
      <c r="C11" s="269" t="s">
        <v>243</v>
      </c>
      <c r="D11" s="269" t="s">
        <v>15</v>
      </c>
      <c r="G11" s="11" t="s">
        <v>250</v>
      </c>
    </row>
    <row r="12" spans="1:7" x14ac:dyDescent="0.25">
      <c r="A12" s="270" t="s">
        <v>244</v>
      </c>
      <c r="B12" s="269">
        <v>38</v>
      </c>
      <c r="C12" s="265">
        <v>580.13</v>
      </c>
      <c r="D12" s="265">
        <f>C12*B12</f>
        <v>22044.94</v>
      </c>
      <c r="G12" s="253">
        <f>(D16+D7+D27)/3</f>
        <v>30200.436666666665</v>
      </c>
    </row>
    <row r="13" spans="1:7" x14ac:dyDescent="0.25">
      <c r="A13" s="267" t="s">
        <v>245</v>
      </c>
      <c r="B13" s="264">
        <v>39</v>
      </c>
      <c r="C13" s="265">
        <v>256.7</v>
      </c>
      <c r="D13" s="265">
        <f>C13*B13</f>
        <v>10011.299999999999</v>
      </c>
      <c r="G13" t="s">
        <v>256</v>
      </c>
    </row>
    <row r="14" spans="1:7" ht="13.8" thickBot="1" x14ac:dyDescent="0.3">
      <c r="A14" s="272" t="s">
        <v>246</v>
      </c>
      <c r="B14" s="268">
        <v>234</v>
      </c>
      <c r="C14" s="271">
        <v>8.8800000000000008</v>
      </c>
      <c r="D14" s="266">
        <f>C14*B14</f>
        <v>2077.92</v>
      </c>
      <c r="G14" s="253">
        <f>G12+(G12*25%)</f>
        <v>37750.54583333333</v>
      </c>
    </row>
    <row r="15" spans="1:7" ht="13.8" thickBot="1" x14ac:dyDescent="0.3">
      <c r="A15" s="277" t="s">
        <v>255</v>
      </c>
      <c r="B15" s="276">
        <v>1</v>
      </c>
      <c r="C15" s="274">
        <v>1287.1300000000001</v>
      </c>
      <c r="D15" s="274">
        <f>C15*B15</f>
        <v>1287.1300000000001</v>
      </c>
    </row>
    <row r="16" spans="1:7" ht="13.8" thickBot="1" x14ac:dyDescent="0.3">
      <c r="D16" s="273">
        <f>SUM(D12:D15)</f>
        <v>35421.289999999994</v>
      </c>
    </row>
    <row r="18" spans="1:4" ht="13.8" thickBot="1" x14ac:dyDescent="0.3"/>
    <row r="19" spans="1:4" ht="28.2" customHeight="1" x14ac:dyDescent="0.25">
      <c r="A19" s="403" t="s">
        <v>251</v>
      </c>
      <c r="B19" s="404"/>
      <c r="C19" s="404"/>
      <c r="D19" s="404"/>
    </row>
    <row r="20" spans="1:4" x14ac:dyDescent="0.25">
      <c r="A20" s="269" t="s">
        <v>37</v>
      </c>
      <c r="B20" s="269" t="s">
        <v>242</v>
      </c>
      <c r="C20" s="269" t="s">
        <v>243</v>
      </c>
      <c r="D20" s="269" t="s">
        <v>15</v>
      </c>
    </row>
    <row r="21" spans="1:4" x14ac:dyDescent="0.25">
      <c r="A21" s="269" t="s">
        <v>244</v>
      </c>
      <c r="B21" s="269">
        <v>39</v>
      </c>
      <c r="C21" s="265">
        <v>360.98</v>
      </c>
      <c r="D21" s="265">
        <f t="shared" ref="D21:D26" si="0">C21*B21</f>
        <v>14078.220000000001</v>
      </c>
    </row>
    <row r="22" spans="1:4" x14ac:dyDescent="0.25">
      <c r="A22" s="264" t="s">
        <v>245</v>
      </c>
      <c r="B22" s="264">
        <v>40</v>
      </c>
      <c r="C22" s="265">
        <v>149.55000000000001</v>
      </c>
      <c r="D22" s="265">
        <f t="shared" si="0"/>
        <v>5982</v>
      </c>
    </row>
    <row r="23" spans="1:4" x14ac:dyDescent="0.25">
      <c r="A23" s="269" t="s">
        <v>252</v>
      </c>
      <c r="B23" s="264">
        <v>162</v>
      </c>
      <c r="C23" s="265">
        <v>5.5</v>
      </c>
      <c r="D23" s="265">
        <f t="shared" si="0"/>
        <v>891</v>
      </c>
    </row>
    <row r="24" spans="1:4" x14ac:dyDescent="0.25">
      <c r="A24" s="269" t="s">
        <v>253</v>
      </c>
      <c r="B24" s="264">
        <v>40</v>
      </c>
      <c r="C24" s="265">
        <v>2.11</v>
      </c>
      <c r="D24" s="265">
        <f t="shared" si="0"/>
        <v>84.399999999999991</v>
      </c>
    </row>
    <row r="25" spans="1:4" x14ac:dyDescent="0.25">
      <c r="A25" s="269" t="s">
        <v>254</v>
      </c>
      <c r="B25" s="264">
        <v>160</v>
      </c>
      <c r="C25" s="265">
        <v>5.9</v>
      </c>
      <c r="D25" s="265">
        <f t="shared" si="0"/>
        <v>944</v>
      </c>
    </row>
    <row r="26" spans="1:4" x14ac:dyDescent="0.25">
      <c r="A26" s="269" t="s">
        <v>255</v>
      </c>
      <c r="B26" s="264">
        <v>1</v>
      </c>
      <c r="C26" s="265">
        <v>4000</v>
      </c>
      <c r="D26" s="265">
        <f t="shared" si="0"/>
        <v>4000</v>
      </c>
    </row>
    <row r="27" spans="1:4" ht="13.8" thickBot="1" x14ac:dyDescent="0.3">
      <c r="D27" s="275">
        <f>SUM(D21:D26)</f>
        <v>25979.620000000003</v>
      </c>
    </row>
  </sheetData>
  <mergeCells count="3">
    <mergeCell ref="A1:D1"/>
    <mergeCell ref="A10:D10"/>
    <mergeCell ref="A19:D19"/>
  </mergeCells>
  <pageMargins left="0.511811024" right="0.511811024" top="0.78740157499999996" bottom="0.78740157499999996" header="0.31496062000000002" footer="0.31496062000000002"/>
  <pageSetup scale="96"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74"/>
  <sheetViews>
    <sheetView showGridLines="0" showZeros="0" topLeftCell="A50" zoomScale="115" zoomScaleNormal="115" workbookViewId="0">
      <selection activeCell="D31" sqref="D31:H32"/>
    </sheetView>
  </sheetViews>
  <sheetFormatPr defaultRowHeight="13.8" x14ac:dyDescent="0.25"/>
  <cols>
    <col min="1" max="1" width="13" customWidth="1"/>
    <col min="2" max="2" width="13.6640625" customWidth="1"/>
    <col min="3" max="3" width="11.6640625" style="38" customWidth="1"/>
    <col min="4" max="4" width="9.88671875" style="38" customWidth="1"/>
    <col min="5" max="6" width="13.33203125" style="38" customWidth="1"/>
    <col min="7" max="7" width="13.5546875" style="38" customWidth="1"/>
    <col min="8" max="8" width="22" style="38" customWidth="1"/>
    <col min="9" max="9" width="16.44140625" style="38" customWidth="1"/>
    <col min="10" max="10" width="2.33203125" customWidth="1"/>
    <col min="11" max="11" width="27.109375" customWidth="1"/>
  </cols>
  <sheetData>
    <row r="1" spans="1:11" ht="15" x14ac:dyDescent="0.25">
      <c r="A1" s="1" t="s">
        <v>104</v>
      </c>
      <c r="B1" s="1"/>
      <c r="C1" s="1"/>
      <c r="D1" s="1"/>
      <c r="E1" s="1"/>
    </row>
    <row r="2" spans="1:11" ht="42" customHeight="1" x14ac:dyDescent="0.25">
      <c r="A2" s="438" t="s">
        <v>280</v>
      </c>
      <c r="B2" s="438"/>
      <c r="C2" s="438"/>
      <c r="D2" s="438"/>
      <c r="E2" s="438"/>
    </row>
    <row r="3" spans="1:11" ht="16.8" customHeight="1" x14ac:dyDescent="0.25">
      <c r="A3" s="22" t="s">
        <v>141</v>
      </c>
      <c r="B3" s="40">
        <f>BDI!D26</f>
        <v>0.27510000000000001</v>
      </c>
      <c r="C3" s="1"/>
      <c r="D3" s="1"/>
      <c r="E3" s="1"/>
    </row>
    <row r="4" spans="1:11" ht="15" x14ac:dyDescent="0.25">
      <c r="A4" s="22" t="s">
        <v>233</v>
      </c>
      <c r="B4" s="1"/>
      <c r="C4" s="1"/>
      <c r="D4" s="1"/>
      <c r="E4" s="1"/>
    </row>
    <row r="5" spans="1:11" ht="15.6" thickBot="1" x14ac:dyDescent="0.3">
      <c r="A5" s="22" t="s">
        <v>105</v>
      </c>
      <c r="B5" s="1"/>
      <c r="C5" s="1"/>
      <c r="D5" s="1"/>
      <c r="E5" s="1"/>
    </row>
    <row r="6" spans="1:11" s="11" customFormat="1" ht="18" customHeight="1" x14ac:dyDescent="0.3">
      <c r="A6" s="180" t="s">
        <v>37</v>
      </c>
      <c r="B6" s="181" t="s">
        <v>100</v>
      </c>
      <c r="C6" s="425" t="s">
        <v>35</v>
      </c>
      <c r="D6" s="432" t="str">
        <f>'PLANILHA OFICIAL '!C18</f>
        <v>CASCALHO DE CAVA</v>
      </c>
      <c r="E6" s="433"/>
      <c r="F6" s="433"/>
      <c r="G6" s="433"/>
      <c r="H6" s="434"/>
      <c r="I6" s="182" t="s">
        <v>38</v>
      </c>
    </row>
    <row r="7" spans="1:11" s="11" customFormat="1" ht="12" customHeight="1" x14ac:dyDescent="0.3">
      <c r="A7" s="183" t="s">
        <v>71</v>
      </c>
      <c r="B7" s="47">
        <f>'PLANILHA OFICIAL '!B18</f>
        <v>4743</v>
      </c>
      <c r="C7" s="426"/>
      <c r="D7" s="435"/>
      <c r="E7" s="436"/>
      <c r="F7" s="436"/>
      <c r="G7" s="436"/>
      <c r="H7" s="437"/>
      <c r="I7" s="184" t="s">
        <v>2</v>
      </c>
    </row>
    <row r="8" spans="1:11" s="35" customFormat="1" ht="14.25" customHeight="1" x14ac:dyDescent="0.2">
      <c r="A8" s="411" t="s">
        <v>39</v>
      </c>
      <c r="B8" s="412"/>
      <c r="C8" s="431" t="s">
        <v>40</v>
      </c>
      <c r="D8" s="419" t="s">
        <v>14</v>
      </c>
      <c r="E8" s="419" t="s">
        <v>41</v>
      </c>
      <c r="F8" s="429" t="s">
        <v>42</v>
      </c>
      <c r="G8" s="419" t="s">
        <v>43</v>
      </c>
      <c r="H8" s="429" t="s">
        <v>44</v>
      </c>
      <c r="I8" s="184" t="s">
        <v>181</v>
      </c>
    </row>
    <row r="9" spans="1:11" s="35" customFormat="1" ht="14.25" customHeight="1" x14ac:dyDescent="0.2">
      <c r="A9" s="413"/>
      <c r="B9" s="414"/>
      <c r="C9" s="426"/>
      <c r="D9" s="420"/>
      <c r="E9" s="420"/>
      <c r="F9" s="430"/>
      <c r="G9" s="420"/>
      <c r="H9" s="430"/>
      <c r="I9" s="185">
        <f>'PLANILHA OFICIAL '!G18</f>
        <v>89.690534000000014</v>
      </c>
    </row>
    <row r="10" spans="1:11" s="36" customFormat="1" x14ac:dyDescent="0.25">
      <c r="A10" s="421" t="s">
        <v>45</v>
      </c>
      <c r="B10" s="422"/>
      <c r="C10" s="41" t="s">
        <v>3</v>
      </c>
      <c r="D10" s="41" t="s">
        <v>3</v>
      </c>
      <c r="E10" s="41" t="s">
        <v>3</v>
      </c>
      <c r="F10" s="41" t="s">
        <v>7</v>
      </c>
      <c r="G10" s="41" t="s">
        <v>8</v>
      </c>
      <c r="H10" s="145" t="s">
        <v>46</v>
      </c>
      <c r="I10" s="186" t="s">
        <v>47</v>
      </c>
    </row>
    <row r="11" spans="1:11" s="36" customFormat="1" x14ac:dyDescent="0.25">
      <c r="A11" s="423" t="s">
        <v>211</v>
      </c>
      <c r="B11" s="424"/>
      <c r="C11" s="44">
        <v>111.42</v>
      </c>
      <c r="D11" s="44">
        <v>43.5</v>
      </c>
      <c r="E11" s="41">
        <v>0.15</v>
      </c>
      <c r="F11" s="42">
        <f t="shared" ref="F11" si="0">C11*D11</f>
        <v>4846.7700000000004</v>
      </c>
      <c r="G11" s="41">
        <f>F11*E11</f>
        <v>727.01550000000009</v>
      </c>
      <c r="H11" s="145"/>
      <c r="I11" s="187">
        <f>I9*G11</f>
        <v>65206.408421277018</v>
      </c>
    </row>
    <row r="12" spans="1:11" ht="16.2" thickBot="1" x14ac:dyDescent="0.35">
      <c r="A12" s="427"/>
      <c r="B12" s="428"/>
      <c r="C12" s="188">
        <f>SUM(C11:C11)</f>
        <v>111.42</v>
      </c>
      <c r="D12" s="188"/>
      <c r="E12" s="188"/>
      <c r="F12" s="188">
        <f>SUM(F11:F11)</f>
        <v>4846.7700000000004</v>
      </c>
      <c r="G12" s="188"/>
      <c r="H12" s="188"/>
      <c r="I12" s="189">
        <f>SUM(I11:I11)</f>
        <v>65206.408421277018</v>
      </c>
      <c r="J12" s="37"/>
      <c r="K12" s="37"/>
    </row>
    <row r="13" spans="1:11" ht="14.4" thickBot="1" x14ac:dyDescent="0.3">
      <c r="A13" s="26"/>
      <c r="C13" s="48"/>
      <c r="H13" s="43"/>
      <c r="I13" s="43"/>
      <c r="K13" s="37"/>
    </row>
    <row r="14" spans="1:11" s="11" customFormat="1" ht="32.25" customHeight="1" x14ac:dyDescent="0.3">
      <c r="A14" s="180" t="s">
        <v>37</v>
      </c>
      <c r="B14" s="181" t="s">
        <v>101</v>
      </c>
      <c r="C14" s="425" t="s">
        <v>35</v>
      </c>
      <c r="D14" s="432" t="str">
        <f>'PLANILHA OFICIAL '!C19</f>
        <v>Regularização do subleito - Compactado na energia intermediária</v>
      </c>
      <c r="E14" s="433"/>
      <c r="F14" s="433"/>
      <c r="G14" s="433"/>
      <c r="H14" s="434"/>
      <c r="I14" s="182" t="s">
        <v>38</v>
      </c>
    </row>
    <row r="15" spans="1:11" s="11" customFormat="1" ht="36.75" customHeight="1" x14ac:dyDescent="0.3">
      <c r="A15" s="183" t="s">
        <v>71</v>
      </c>
      <c r="B15" s="47" t="str">
        <f>'PLANILHA OFICIAL '!B19</f>
        <v>RO-00269</v>
      </c>
      <c r="C15" s="426"/>
      <c r="D15" s="435"/>
      <c r="E15" s="436"/>
      <c r="F15" s="436"/>
      <c r="G15" s="436"/>
      <c r="H15" s="437"/>
      <c r="I15" s="184" t="s">
        <v>0</v>
      </c>
    </row>
    <row r="16" spans="1:11" s="35" customFormat="1" ht="14.25" customHeight="1" x14ac:dyDescent="0.2">
      <c r="A16" s="411" t="s">
        <v>39</v>
      </c>
      <c r="B16" s="412"/>
      <c r="C16" s="431" t="s">
        <v>40</v>
      </c>
      <c r="D16" s="419" t="s">
        <v>14</v>
      </c>
      <c r="E16" s="419" t="s">
        <v>41</v>
      </c>
      <c r="F16" s="429" t="s">
        <v>42</v>
      </c>
      <c r="G16" s="419" t="s">
        <v>43</v>
      </c>
      <c r="H16" s="429" t="s">
        <v>44</v>
      </c>
      <c r="I16" s="184" t="s">
        <v>181</v>
      </c>
    </row>
    <row r="17" spans="1:11" s="35" customFormat="1" ht="14.25" customHeight="1" x14ac:dyDescent="0.2">
      <c r="A17" s="413"/>
      <c r="B17" s="414"/>
      <c r="C17" s="426"/>
      <c r="D17" s="420"/>
      <c r="E17" s="420"/>
      <c r="F17" s="430"/>
      <c r="G17" s="420"/>
      <c r="H17" s="430"/>
      <c r="I17" s="185">
        <f>'PLANILHA OFICIAL '!G19</f>
        <v>1.5556220000000001</v>
      </c>
    </row>
    <row r="18" spans="1:11" s="36" customFormat="1" x14ac:dyDescent="0.25">
      <c r="A18" s="421" t="s">
        <v>45</v>
      </c>
      <c r="B18" s="422"/>
      <c r="C18" s="41" t="s">
        <v>3</v>
      </c>
      <c r="D18" s="41" t="s">
        <v>3</v>
      </c>
      <c r="E18" s="41" t="s">
        <v>3</v>
      </c>
      <c r="F18" s="41" t="s">
        <v>7</v>
      </c>
      <c r="G18" s="41" t="s">
        <v>8</v>
      </c>
      <c r="H18" s="145" t="s">
        <v>46</v>
      </c>
      <c r="I18" s="186" t="s">
        <v>47</v>
      </c>
    </row>
    <row r="19" spans="1:11" s="36" customFormat="1" x14ac:dyDescent="0.25">
      <c r="A19" s="423" t="s">
        <v>211</v>
      </c>
      <c r="B19" s="424"/>
      <c r="C19" s="44">
        <v>111.42</v>
      </c>
      <c r="D19" s="44">
        <v>43.5</v>
      </c>
      <c r="E19" s="42">
        <v>0.15</v>
      </c>
      <c r="F19" s="42">
        <f t="shared" ref="F19" si="1">C19*D19</f>
        <v>4846.7700000000004</v>
      </c>
      <c r="G19" s="42">
        <f t="shared" ref="G19" si="2">E19*F19</f>
        <v>727.01550000000009</v>
      </c>
      <c r="H19" s="145"/>
      <c r="I19" s="187">
        <f>I17*F19</f>
        <v>7539.7420409400011</v>
      </c>
    </row>
    <row r="20" spans="1:11" ht="16.2" thickBot="1" x14ac:dyDescent="0.35">
      <c r="A20" s="427"/>
      <c r="B20" s="428"/>
      <c r="C20" s="188">
        <f>SUM(C19:C19)</f>
        <v>111.42</v>
      </c>
      <c r="D20" s="188"/>
      <c r="E20" s="188"/>
      <c r="F20" s="188">
        <f>SUM(F19:F19)</f>
        <v>4846.7700000000004</v>
      </c>
      <c r="G20" s="188">
        <f>SUM(G19:G19)</f>
        <v>727.01550000000009</v>
      </c>
      <c r="H20" s="188"/>
      <c r="I20" s="189">
        <f>SUM(I19:I19)</f>
        <v>7539.7420409400011</v>
      </c>
      <c r="J20" s="37"/>
      <c r="K20" s="37"/>
    </row>
    <row r="21" spans="1:11" ht="14.4" thickBot="1" x14ac:dyDescent="0.3">
      <c r="A21" s="26"/>
      <c r="C21" s="48"/>
      <c r="H21" s="43"/>
      <c r="I21" s="43"/>
      <c r="K21" s="37"/>
    </row>
    <row r="22" spans="1:11" s="11" customFormat="1" ht="17.25" customHeight="1" x14ac:dyDescent="0.3">
      <c r="A22" s="180" t="s">
        <v>37</v>
      </c>
      <c r="B22" s="181" t="s">
        <v>145</v>
      </c>
      <c r="C22" s="425" t="s">
        <v>35</v>
      </c>
      <c r="D22" s="432" t="str">
        <f>'PLANILHA OFICIAL '!C20</f>
        <v>Base de solo estabilizado granulometricamente sem mistura com
material de jazida - Compactado na energia modificada (Execução,
incluído escavação e carga do material de jazida, exclui o transporte)</v>
      </c>
      <c r="E22" s="433"/>
      <c r="F22" s="433"/>
      <c r="G22" s="433"/>
      <c r="H22" s="434"/>
      <c r="I22" s="182" t="s">
        <v>38</v>
      </c>
    </row>
    <row r="23" spans="1:11" s="11" customFormat="1" ht="31.8" customHeight="1" x14ac:dyDescent="0.3">
      <c r="A23" s="183" t="s">
        <v>71</v>
      </c>
      <c r="B23" s="47" t="str">
        <f>'PLANILHA OFICIAL '!B20</f>
        <v>RO-00318</v>
      </c>
      <c r="C23" s="426"/>
      <c r="D23" s="435"/>
      <c r="E23" s="436"/>
      <c r="F23" s="436"/>
      <c r="G23" s="436"/>
      <c r="H23" s="437"/>
      <c r="I23" s="184" t="s">
        <v>2</v>
      </c>
    </row>
    <row r="24" spans="1:11" s="35" customFormat="1" ht="14.25" customHeight="1" x14ac:dyDescent="0.2">
      <c r="A24" s="411" t="s">
        <v>39</v>
      </c>
      <c r="B24" s="412"/>
      <c r="C24" s="431" t="s">
        <v>40</v>
      </c>
      <c r="D24" s="419" t="s">
        <v>14</v>
      </c>
      <c r="E24" s="419" t="s">
        <v>41</v>
      </c>
      <c r="F24" s="429" t="s">
        <v>42</v>
      </c>
      <c r="G24" s="419" t="s">
        <v>43</v>
      </c>
      <c r="H24" s="429" t="s">
        <v>72</v>
      </c>
      <c r="I24" s="184" t="s">
        <v>181</v>
      </c>
    </row>
    <row r="25" spans="1:11" s="35" customFormat="1" ht="14.25" customHeight="1" x14ac:dyDescent="0.2">
      <c r="A25" s="413"/>
      <c r="B25" s="414"/>
      <c r="C25" s="426"/>
      <c r="D25" s="420"/>
      <c r="E25" s="420"/>
      <c r="F25" s="430"/>
      <c r="G25" s="420"/>
      <c r="H25" s="430"/>
      <c r="I25" s="185">
        <f>'PLANILHA OFICIAL '!G20</f>
        <v>16.601801999999999</v>
      </c>
    </row>
    <row r="26" spans="1:11" s="36" customFormat="1" x14ac:dyDescent="0.25">
      <c r="A26" s="421" t="s">
        <v>45</v>
      </c>
      <c r="B26" s="422"/>
      <c r="C26" s="41" t="s">
        <v>3</v>
      </c>
      <c r="D26" s="41" t="s">
        <v>3</v>
      </c>
      <c r="E26" s="41" t="s">
        <v>3</v>
      </c>
      <c r="F26" s="41" t="s">
        <v>7</v>
      </c>
      <c r="G26" s="41" t="s">
        <v>8</v>
      </c>
      <c r="H26" s="145" t="s">
        <v>36</v>
      </c>
      <c r="I26" s="186" t="s">
        <v>47</v>
      </c>
    </row>
    <row r="27" spans="1:11" s="36" customFormat="1" x14ac:dyDescent="0.25">
      <c r="A27" s="423" t="s">
        <v>211</v>
      </c>
      <c r="B27" s="424"/>
      <c r="C27" s="44">
        <v>111.42</v>
      </c>
      <c r="D27" s="44">
        <v>43.5</v>
      </c>
      <c r="E27" s="42">
        <v>0.15</v>
      </c>
      <c r="F27" s="42">
        <f t="shared" ref="F27" si="3">C27*D27</f>
        <v>4846.7700000000004</v>
      </c>
      <c r="G27" s="42">
        <f t="shared" ref="G27" si="4">E27*F27</f>
        <v>727.01550000000009</v>
      </c>
      <c r="H27" s="146">
        <f>10*G27</f>
        <v>7270.1550000000007</v>
      </c>
      <c r="I27" s="187">
        <f>I25*G27</f>
        <v>12069.767381931</v>
      </c>
    </row>
    <row r="28" spans="1:11" ht="16.2" thickBot="1" x14ac:dyDescent="0.35">
      <c r="A28" s="427"/>
      <c r="B28" s="428"/>
      <c r="C28" s="188">
        <f>SUM(C27:C27)</f>
        <v>111.42</v>
      </c>
      <c r="D28" s="188">
        <f>SUM(D27:D27)</f>
        <v>43.5</v>
      </c>
      <c r="E28" s="188"/>
      <c r="F28" s="188">
        <f>SUM(F27:F27)</f>
        <v>4846.7700000000004</v>
      </c>
      <c r="G28" s="188">
        <f>SUM(G27:G27)</f>
        <v>727.01550000000009</v>
      </c>
      <c r="H28" s="188">
        <f>SUM(H27:H27)</f>
        <v>7270.1550000000007</v>
      </c>
      <c r="I28" s="189">
        <f>SUM(I27:I27)</f>
        <v>12069.767381931</v>
      </c>
      <c r="J28" s="37"/>
      <c r="K28" s="37"/>
    </row>
    <row r="29" spans="1:11" ht="15.6" x14ac:dyDescent="0.3">
      <c r="A29" s="178"/>
      <c r="B29" s="178"/>
      <c r="C29" s="152"/>
      <c r="D29" s="152"/>
      <c r="E29" s="152"/>
      <c r="F29" s="152"/>
      <c r="G29" s="152"/>
      <c r="H29" s="152"/>
      <c r="I29" s="152"/>
      <c r="J29" s="37"/>
      <c r="K29" s="37"/>
    </row>
    <row r="30" spans="1:11" ht="8.25" customHeight="1" thickBot="1" x14ac:dyDescent="0.3">
      <c r="A30" s="26"/>
      <c r="C30" s="48"/>
      <c r="H30" s="43"/>
      <c r="I30" s="43"/>
      <c r="K30" s="37"/>
    </row>
    <row r="31" spans="1:11" s="11" customFormat="1" ht="29.25" customHeight="1" x14ac:dyDescent="0.3">
      <c r="A31" s="180" t="s">
        <v>37</v>
      </c>
      <c r="B31" s="181" t="s">
        <v>10</v>
      </c>
      <c r="C31" s="425" t="s">
        <v>35</v>
      </c>
      <c r="D31" s="432" t="str">
        <f>'PLANILHA OFICIAL '!C23</f>
        <v>IMPRIMAÇÃO COM EMULSÃO ASFÁLTICA - EAI, LIMPEZA MANUAL</v>
      </c>
      <c r="E31" s="433"/>
      <c r="F31" s="433"/>
      <c r="G31" s="433"/>
      <c r="H31" s="434"/>
      <c r="I31" s="182" t="s">
        <v>38</v>
      </c>
    </row>
    <row r="32" spans="1:11" s="11" customFormat="1" ht="29.25" customHeight="1" x14ac:dyDescent="0.3">
      <c r="A32" s="183" t="s">
        <v>71</v>
      </c>
      <c r="B32" s="47" t="str">
        <f>'PLANILHA OFICIAL '!B23</f>
        <v>20.11.05</v>
      </c>
      <c r="C32" s="426"/>
      <c r="D32" s="435"/>
      <c r="E32" s="436"/>
      <c r="F32" s="436"/>
      <c r="G32" s="436"/>
      <c r="H32" s="437"/>
      <c r="I32" s="184" t="s">
        <v>0</v>
      </c>
    </row>
    <row r="33" spans="1:11" s="35" customFormat="1" ht="14.25" customHeight="1" x14ac:dyDescent="0.2">
      <c r="A33" s="411" t="s">
        <v>39</v>
      </c>
      <c r="B33" s="412"/>
      <c r="C33" s="431" t="s">
        <v>40</v>
      </c>
      <c r="D33" s="419" t="s">
        <v>14</v>
      </c>
      <c r="E33" s="419" t="s">
        <v>41</v>
      </c>
      <c r="F33" s="429" t="s">
        <v>42</v>
      </c>
      <c r="G33" s="419" t="s">
        <v>43</v>
      </c>
      <c r="H33" s="429" t="s">
        <v>72</v>
      </c>
      <c r="I33" s="184" t="s">
        <v>181</v>
      </c>
    </row>
    <row r="34" spans="1:11" s="35" customFormat="1" ht="14.25" customHeight="1" x14ac:dyDescent="0.2">
      <c r="A34" s="413"/>
      <c r="B34" s="414"/>
      <c r="C34" s="426"/>
      <c r="D34" s="420"/>
      <c r="E34" s="420"/>
      <c r="F34" s="430"/>
      <c r="G34" s="420"/>
      <c r="H34" s="430"/>
      <c r="I34" s="185">
        <f>'PLANILHA OFICIAL '!G23</f>
        <v>10.455819999999999</v>
      </c>
    </row>
    <row r="35" spans="1:11" s="36" customFormat="1" x14ac:dyDescent="0.25">
      <c r="A35" s="421" t="s">
        <v>45</v>
      </c>
      <c r="B35" s="422"/>
      <c r="C35" s="41" t="s">
        <v>3</v>
      </c>
      <c r="D35" s="41" t="s">
        <v>3</v>
      </c>
      <c r="E35" s="41" t="s">
        <v>3</v>
      </c>
      <c r="F35" s="41" t="s">
        <v>7</v>
      </c>
      <c r="G35" s="41" t="s">
        <v>8</v>
      </c>
      <c r="H35" s="145" t="s">
        <v>36</v>
      </c>
      <c r="I35" s="186" t="s">
        <v>47</v>
      </c>
    </row>
    <row r="36" spans="1:11" s="36" customFormat="1" x14ac:dyDescent="0.25">
      <c r="A36" s="423" t="s">
        <v>211</v>
      </c>
      <c r="B36" s="424"/>
      <c r="C36" s="44">
        <v>111.42</v>
      </c>
      <c r="D36" s="44">
        <v>43.5</v>
      </c>
      <c r="E36" s="41"/>
      <c r="F36" s="42">
        <f t="shared" ref="F36" si="5">C36*D36</f>
        <v>4846.7700000000004</v>
      </c>
      <c r="G36" s="41"/>
      <c r="H36" s="145"/>
      <c r="I36" s="187">
        <f>$I$34*F36</f>
        <v>50676.954701399998</v>
      </c>
    </row>
    <row r="37" spans="1:11" ht="16.2" thickBot="1" x14ac:dyDescent="0.35">
      <c r="A37" s="427"/>
      <c r="B37" s="428"/>
      <c r="C37" s="188">
        <f>SUM(C36:C36)</f>
        <v>111.42</v>
      </c>
      <c r="D37" s="188"/>
      <c r="E37" s="188"/>
      <c r="F37" s="188">
        <f>SUM(F36:F36)</f>
        <v>4846.7700000000004</v>
      </c>
      <c r="G37" s="188"/>
      <c r="H37" s="188"/>
      <c r="I37" s="189">
        <f>SUM(I36:I36)</f>
        <v>50676.954701399998</v>
      </c>
      <c r="J37" s="37"/>
      <c r="K37" s="37"/>
    </row>
    <row r="38" spans="1:11" ht="16.5" customHeight="1" thickBot="1" x14ac:dyDescent="0.3">
      <c r="A38" s="26"/>
      <c r="C38" s="48"/>
      <c r="H38" s="43"/>
      <c r="I38" s="43"/>
      <c r="K38" s="37"/>
    </row>
    <row r="39" spans="1:11" s="11" customFormat="1" ht="15.75" customHeight="1" x14ac:dyDescent="0.3">
      <c r="A39" s="180" t="s">
        <v>37</v>
      </c>
      <c r="B39" s="181" t="s">
        <v>11</v>
      </c>
      <c r="C39" s="425" t="s">
        <v>35</v>
      </c>
      <c r="D39" s="432" t="str">
        <f>'PLANILHA OFICIAL '!C24</f>
        <v>PINTURA DE LIGAÇÃO COM RR-1C</v>
      </c>
      <c r="E39" s="433"/>
      <c r="F39" s="433"/>
      <c r="G39" s="433"/>
      <c r="H39" s="434"/>
      <c r="I39" s="182" t="s">
        <v>38</v>
      </c>
    </row>
    <row r="40" spans="1:11" s="11" customFormat="1" ht="15.75" customHeight="1" x14ac:dyDescent="0.3">
      <c r="A40" s="183" t="s">
        <v>71</v>
      </c>
      <c r="B40" s="47" t="str">
        <f>'PLANILHA OFICIAL '!B24</f>
        <v>20.12.01</v>
      </c>
      <c r="C40" s="426"/>
      <c r="D40" s="435"/>
      <c r="E40" s="436"/>
      <c r="F40" s="436"/>
      <c r="G40" s="436"/>
      <c r="H40" s="437"/>
      <c r="I40" s="184" t="s">
        <v>73</v>
      </c>
    </row>
    <row r="41" spans="1:11" s="35" customFormat="1" ht="14.25" customHeight="1" x14ac:dyDescent="0.2">
      <c r="A41" s="411" t="s">
        <v>39</v>
      </c>
      <c r="B41" s="412"/>
      <c r="C41" s="431" t="s">
        <v>40</v>
      </c>
      <c r="D41" s="419" t="s">
        <v>14</v>
      </c>
      <c r="E41" s="419" t="s">
        <v>48</v>
      </c>
      <c r="F41" s="429" t="s">
        <v>42</v>
      </c>
      <c r="G41" s="419" t="s">
        <v>43</v>
      </c>
      <c r="H41" s="429" t="s">
        <v>72</v>
      </c>
      <c r="I41" s="184" t="s">
        <v>181</v>
      </c>
    </row>
    <row r="42" spans="1:11" s="35" customFormat="1" ht="14.25" customHeight="1" x14ac:dyDescent="0.2">
      <c r="A42" s="413"/>
      <c r="B42" s="414"/>
      <c r="C42" s="426"/>
      <c r="D42" s="420"/>
      <c r="E42" s="420"/>
      <c r="F42" s="430"/>
      <c r="G42" s="420"/>
      <c r="H42" s="430"/>
      <c r="I42" s="185">
        <f>'PLANILHA OFICIAL '!G24</f>
        <v>2.9582320000000002</v>
      </c>
    </row>
    <row r="43" spans="1:11" s="36" customFormat="1" x14ac:dyDescent="0.25">
      <c r="A43" s="421" t="s">
        <v>45</v>
      </c>
      <c r="B43" s="422"/>
      <c r="C43" s="41" t="s">
        <v>3</v>
      </c>
      <c r="D43" s="41" t="s">
        <v>3</v>
      </c>
      <c r="E43" s="41" t="s">
        <v>75</v>
      </c>
      <c r="F43" s="41" t="s">
        <v>7</v>
      </c>
      <c r="G43" s="41" t="s">
        <v>8</v>
      </c>
      <c r="H43" s="145" t="s">
        <v>74</v>
      </c>
      <c r="I43" s="186" t="s">
        <v>47</v>
      </c>
    </row>
    <row r="44" spans="1:11" s="36" customFormat="1" x14ac:dyDescent="0.25">
      <c r="A44" s="423" t="s">
        <v>211</v>
      </c>
      <c r="B44" s="424"/>
      <c r="C44" s="44">
        <v>111.42</v>
      </c>
      <c r="D44" s="44">
        <v>43.5</v>
      </c>
      <c r="E44" s="42"/>
      <c r="F44" s="42">
        <f t="shared" ref="F44" si="6">C44*D44</f>
        <v>4846.7700000000004</v>
      </c>
      <c r="G44" s="42">
        <f t="shared" ref="G44" si="7">F44*E44/1000</f>
        <v>0</v>
      </c>
      <c r="H44" s="146">
        <f t="shared" ref="H44" si="8">G44*770</f>
        <v>0</v>
      </c>
      <c r="I44" s="187">
        <f>F45*I42</f>
        <v>14337.870110640002</v>
      </c>
    </row>
    <row r="45" spans="1:11" ht="16.2" thickBot="1" x14ac:dyDescent="0.35">
      <c r="A45" s="427"/>
      <c r="B45" s="428"/>
      <c r="C45" s="188">
        <f>SUM(C44:C44)</f>
        <v>111.42</v>
      </c>
      <c r="D45" s="188"/>
      <c r="E45" s="188"/>
      <c r="F45" s="188">
        <f>SUM(F44:F44)</f>
        <v>4846.7700000000004</v>
      </c>
      <c r="G45" s="188">
        <f>SUM(G44:G44)</f>
        <v>0</v>
      </c>
      <c r="H45" s="188">
        <f>SUM(H44:H44)</f>
        <v>0</v>
      </c>
      <c r="I45" s="189">
        <f>SUM(I44:I44)</f>
        <v>14337.870110640002</v>
      </c>
      <c r="J45" s="37"/>
      <c r="K45" s="37"/>
    </row>
    <row r="46" spans="1:11" ht="14.4" thickBot="1" x14ac:dyDescent="0.3">
      <c r="A46" s="26"/>
      <c r="C46" s="48"/>
      <c r="H46" s="43"/>
      <c r="I46" s="43"/>
      <c r="K46" s="37"/>
    </row>
    <row r="47" spans="1:11" s="11" customFormat="1" ht="29.25" customHeight="1" x14ac:dyDescent="0.3">
      <c r="A47" s="180" t="s">
        <v>37</v>
      </c>
      <c r="B47" s="181" t="s">
        <v>147</v>
      </c>
      <c r="C47" s="425" t="s">
        <v>35</v>
      </c>
      <c r="D47" s="432" t="str">
        <f>'PLANILHA OFICIAL '!C25</f>
        <v>EXECUÇÃO E APLICAÇÃO DE CONCRETO ASFÁLTICO PREMISTURADO
À FRIO (PMF), EM BETONEIRA, INCLUINDO FORNECIMENTO E TRANSPORTE DOS AGREGADOS E MATERIAL BETUMINOSO, INCLUSIVE TRANSPORTE DA MASSA ASFÁLTICA ATÉ A PISTA</v>
      </c>
      <c r="E47" s="433"/>
      <c r="F47" s="433"/>
      <c r="G47" s="433"/>
      <c r="H47" s="434"/>
      <c r="I47" s="182" t="s">
        <v>38</v>
      </c>
    </row>
    <row r="48" spans="1:11" s="11" customFormat="1" ht="29.25" customHeight="1" x14ac:dyDescent="0.3">
      <c r="A48" s="183" t="s">
        <v>71</v>
      </c>
      <c r="B48" s="47" t="str">
        <f>'PLANILHA OFICIAL '!B25</f>
        <v>ED-7624</v>
      </c>
      <c r="C48" s="426"/>
      <c r="D48" s="435"/>
      <c r="E48" s="436"/>
      <c r="F48" s="436"/>
      <c r="G48" s="436"/>
      <c r="H48" s="437"/>
      <c r="I48" s="184" t="s">
        <v>4</v>
      </c>
    </row>
    <row r="49" spans="1:11" s="35" customFormat="1" ht="14.25" customHeight="1" x14ac:dyDescent="0.2">
      <c r="A49" s="411" t="s">
        <v>39</v>
      </c>
      <c r="B49" s="412"/>
      <c r="C49" s="431" t="s">
        <v>40</v>
      </c>
      <c r="D49" s="419" t="s">
        <v>14</v>
      </c>
      <c r="E49" s="419" t="s">
        <v>41</v>
      </c>
      <c r="F49" s="429" t="s">
        <v>42</v>
      </c>
      <c r="G49" s="419" t="s">
        <v>43</v>
      </c>
      <c r="H49" s="429" t="s">
        <v>72</v>
      </c>
      <c r="I49" s="184" t="s">
        <v>181</v>
      </c>
    </row>
    <row r="50" spans="1:11" s="35" customFormat="1" ht="14.25" customHeight="1" x14ac:dyDescent="0.2">
      <c r="A50" s="413"/>
      <c r="B50" s="414"/>
      <c r="C50" s="426"/>
      <c r="D50" s="420"/>
      <c r="E50" s="420"/>
      <c r="F50" s="430"/>
      <c r="G50" s="420"/>
      <c r="H50" s="430"/>
      <c r="I50" s="185">
        <f>'PLANILHA OFICIAL '!G25</f>
        <v>1350.5349160000003</v>
      </c>
    </row>
    <row r="51" spans="1:11" s="36" customFormat="1" x14ac:dyDescent="0.25">
      <c r="A51" s="421" t="s">
        <v>45</v>
      </c>
      <c r="B51" s="422"/>
      <c r="C51" s="41" t="s">
        <v>3</v>
      </c>
      <c r="D51" s="41" t="s">
        <v>3</v>
      </c>
      <c r="E51" s="41" t="s">
        <v>3</v>
      </c>
      <c r="F51" s="41" t="s">
        <v>7</v>
      </c>
      <c r="G51" s="41" t="s">
        <v>8</v>
      </c>
      <c r="H51" s="145" t="s">
        <v>36</v>
      </c>
      <c r="I51" s="186" t="s">
        <v>47</v>
      </c>
      <c r="K51" s="251"/>
    </row>
    <row r="52" spans="1:11" s="36" customFormat="1" x14ac:dyDescent="0.25">
      <c r="A52" s="423" t="s">
        <v>211</v>
      </c>
      <c r="B52" s="424"/>
      <c r="C52" s="44">
        <v>111.42</v>
      </c>
      <c r="D52" s="44">
        <v>43.5</v>
      </c>
      <c r="E52" s="41">
        <v>0.04</v>
      </c>
      <c r="F52" s="42">
        <f t="shared" ref="F52" si="9">C52*D52</f>
        <v>4846.7700000000004</v>
      </c>
      <c r="G52" s="41">
        <f>F52*E52</f>
        <v>193.87080000000003</v>
      </c>
      <c r="H52" s="145"/>
      <c r="I52" s="187">
        <f>G52*I50</f>
        <v>261829.2845928529</v>
      </c>
      <c r="K52" s="252"/>
    </row>
    <row r="53" spans="1:11" ht="16.2" thickBot="1" x14ac:dyDescent="0.35">
      <c r="A53" s="427"/>
      <c r="B53" s="428"/>
      <c r="C53" s="188">
        <f>SUM(C52:C52)</f>
        <v>111.42</v>
      </c>
      <c r="D53" s="188"/>
      <c r="E53" s="188"/>
      <c r="F53" s="188">
        <f>SUM(F52:F52)</f>
        <v>4846.7700000000004</v>
      </c>
      <c r="G53" s="188"/>
      <c r="H53" s="188"/>
      <c r="I53" s="189">
        <f>SUM(I52:I52)</f>
        <v>261829.2845928529</v>
      </c>
      <c r="J53" s="37"/>
      <c r="K53" s="37"/>
    </row>
    <row r="54" spans="1:11" ht="16.2" thickBot="1" x14ac:dyDescent="0.35">
      <c r="A54" s="178"/>
      <c r="B54" s="178"/>
      <c r="C54" s="152"/>
      <c r="D54" s="152"/>
      <c r="E54" s="152"/>
      <c r="F54" s="152"/>
      <c r="G54" s="152"/>
      <c r="H54" s="152"/>
      <c r="I54" s="152"/>
      <c r="J54" s="37"/>
      <c r="K54" s="37"/>
    </row>
    <row r="55" spans="1:11" ht="15.6" x14ac:dyDescent="0.3">
      <c r="A55" s="180" t="s">
        <v>37</v>
      </c>
      <c r="B55" s="181" t="s">
        <v>12</v>
      </c>
      <c r="C55" s="425" t="s">
        <v>35</v>
      </c>
      <c r="D55" s="405" t="str">
        <f>'PLANILHA OFICIAL '!C29</f>
        <v>GUIA (MEIO-FIO) E SARJETA CONJUGADOS DE CONCRETO, MOLDADA IN LOCO EM TRECHO CURVO COM EXTRUSORA, 45 CM BASE (15 CM BASE DA GUIA + 30 CM BASE DA SARJETA) X 22 CM ALTURA. AF_01/2024</v>
      </c>
      <c r="E55" s="406"/>
      <c r="F55" s="406"/>
      <c r="G55" s="406"/>
      <c r="H55" s="407"/>
      <c r="I55" s="182" t="s">
        <v>38</v>
      </c>
      <c r="J55" s="37"/>
      <c r="K55" s="37"/>
    </row>
    <row r="56" spans="1:11" ht="28.5" customHeight="1" x14ac:dyDescent="0.3">
      <c r="A56" s="183" t="s">
        <v>163</v>
      </c>
      <c r="B56" s="221">
        <f>'PLANILHA OFICIAL '!B29</f>
        <v>94268</v>
      </c>
      <c r="C56" s="426"/>
      <c r="D56" s="408"/>
      <c r="E56" s="409"/>
      <c r="F56" s="409"/>
      <c r="G56" s="409"/>
      <c r="H56" s="410"/>
      <c r="I56" s="184" t="s">
        <v>49</v>
      </c>
      <c r="J56" s="37"/>
      <c r="K56" s="37"/>
    </row>
    <row r="57" spans="1:11" x14ac:dyDescent="0.25">
      <c r="A57" s="411" t="s">
        <v>39</v>
      </c>
      <c r="B57" s="412"/>
      <c r="C57" s="415" t="s">
        <v>50</v>
      </c>
      <c r="D57" s="417" t="s">
        <v>52</v>
      </c>
      <c r="E57" s="419" t="s">
        <v>51</v>
      </c>
      <c r="F57" s="419"/>
      <c r="G57" s="417" t="s">
        <v>161</v>
      </c>
      <c r="H57" s="419"/>
      <c r="I57" s="244" t="s">
        <v>180</v>
      </c>
      <c r="J57" s="37"/>
      <c r="K57" s="37"/>
    </row>
    <row r="58" spans="1:11" ht="15.75" customHeight="1" x14ac:dyDescent="0.25">
      <c r="A58" s="413"/>
      <c r="B58" s="414"/>
      <c r="C58" s="416"/>
      <c r="D58" s="418"/>
      <c r="E58" s="420"/>
      <c r="F58" s="420"/>
      <c r="G58" s="418"/>
      <c r="H58" s="420"/>
      <c r="I58" s="185">
        <f>'PLANILHA OFICIAL '!G29</f>
        <v>82.855998000000014</v>
      </c>
      <c r="J58" s="37"/>
      <c r="K58" s="37"/>
    </row>
    <row r="59" spans="1:11" x14ac:dyDescent="0.25">
      <c r="A59" s="421" t="s">
        <v>45</v>
      </c>
      <c r="B59" s="422"/>
      <c r="C59" s="41" t="s">
        <v>3</v>
      </c>
      <c r="D59" s="41" t="s">
        <v>3</v>
      </c>
      <c r="E59" s="41"/>
      <c r="F59" s="41"/>
      <c r="G59" s="41" t="s">
        <v>3</v>
      </c>
      <c r="H59" s="145"/>
      <c r="I59" s="186" t="s">
        <v>47</v>
      </c>
      <c r="J59" s="37"/>
      <c r="K59" s="37"/>
    </row>
    <row r="60" spans="1:11" x14ac:dyDescent="0.25">
      <c r="A60" s="423" t="s">
        <v>211</v>
      </c>
      <c r="B60" s="424"/>
      <c r="C60" s="44">
        <f>89.15+76.07+62.57+39.47+37.22</f>
        <v>304.48</v>
      </c>
      <c r="D60" s="44">
        <v>43.5</v>
      </c>
      <c r="E60" s="44"/>
      <c r="F60" s="222"/>
      <c r="G60" s="42">
        <f>C60</f>
        <v>304.48</v>
      </c>
      <c r="H60" s="223"/>
      <c r="I60" s="187">
        <f>G60*I58</f>
        <v>25227.994271040006</v>
      </c>
      <c r="J60" s="37"/>
      <c r="K60" s="37"/>
    </row>
    <row r="61" spans="1:11" ht="16.2" thickBot="1" x14ac:dyDescent="0.35">
      <c r="A61" s="427" t="s">
        <v>15</v>
      </c>
      <c r="B61" s="428"/>
      <c r="C61" s="188">
        <f>SUM(C60)</f>
        <v>304.48</v>
      </c>
      <c r="D61" s="188"/>
      <c r="E61" s="188"/>
      <c r="F61" s="188"/>
      <c r="G61" s="231">
        <f>SUM(G60:G60)</f>
        <v>304.48</v>
      </c>
      <c r="H61" s="188"/>
      <c r="I61" s="189">
        <f>SUM(I60:I60)</f>
        <v>25227.994271040006</v>
      </c>
      <c r="K61" s="37"/>
    </row>
    <row r="62" spans="1:11" ht="15.6" x14ac:dyDescent="0.3">
      <c r="A62" s="178"/>
      <c r="B62" s="178"/>
      <c r="C62" s="152"/>
      <c r="D62" s="152"/>
      <c r="E62" s="152"/>
      <c r="F62" s="152"/>
      <c r="G62" s="282"/>
      <c r="H62" s="152"/>
      <c r="I62" s="152"/>
      <c r="K62" s="37"/>
    </row>
    <row r="63" spans="1:11" ht="15.6" x14ac:dyDescent="0.3">
      <c r="A63" s="178"/>
      <c r="B63" s="178"/>
      <c r="C63" s="152"/>
      <c r="D63" s="152"/>
      <c r="E63" s="152"/>
      <c r="F63" s="152"/>
      <c r="G63" s="282"/>
      <c r="H63" s="152"/>
      <c r="I63" s="152"/>
      <c r="K63" s="37"/>
    </row>
    <row r="64" spans="1:11" ht="15.6" x14ac:dyDescent="0.3">
      <c r="A64" s="178"/>
      <c r="B64" s="178"/>
      <c r="C64" s="152"/>
      <c r="D64" s="152"/>
      <c r="E64" s="152"/>
      <c r="F64" s="152"/>
      <c r="G64" s="282"/>
      <c r="H64" s="152"/>
      <c r="I64" s="152"/>
      <c r="K64" s="37"/>
    </row>
    <row r="65" spans="4:4" x14ac:dyDescent="0.25">
      <c r="D65" s="25"/>
    </row>
    <row r="66" spans="4:4" x14ac:dyDescent="0.25">
      <c r="D66" s="36" t="s">
        <v>154</v>
      </c>
    </row>
    <row r="67" spans="4:4" x14ac:dyDescent="0.25">
      <c r="D67" s="87" t="s">
        <v>107</v>
      </c>
    </row>
    <row r="68" spans="4:4" x14ac:dyDescent="0.25">
      <c r="D68" s="87" t="s">
        <v>155</v>
      </c>
    </row>
    <row r="69" spans="4:4" x14ac:dyDescent="0.25">
      <c r="D69" s="25"/>
    </row>
    <row r="70" spans="4:4" x14ac:dyDescent="0.25">
      <c r="D70" s="53"/>
    </row>
    <row r="71" spans="4:4" x14ac:dyDescent="0.25">
      <c r="D71" s="53"/>
    </row>
    <row r="72" spans="4:4" x14ac:dyDescent="0.25">
      <c r="D72" s="53"/>
    </row>
    <row r="73" spans="4:4" x14ac:dyDescent="0.25">
      <c r="D73" s="53"/>
    </row>
    <row r="74" spans="4:4" x14ac:dyDescent="0.25">
      <c r="D74" s="53"/>
    </row>
  </sheetData>
  <mergeCells count="85">
    <mergeCell ref="A2:E2"/>
    <mergeCell ref="A33:B34"/>
    <mergeCell ref="A35:B35"/>
    <mergeCell ref="A36:B36"/>
    <mergeCell ref="D22:H23"/>
    <mergeCell ref="A24:B25"/>
    <mergeCell ref="C24:C25"/>
    <mergeCell ref="D24:D25"/>
    <mergeCell ref="E24:E25"/>
    <mergeCell ref="F24:F25"/>
    <mergeCell ref="G24:G25"/>
    <mergeCell ref="H24:H25"/>
    <mergeCell ref="C22:C23"/>
    <mergeCell ref="C33:C34"/>
    <mergeCell ref="A12:B12"/>
    <mergeCell ref="C14:C15"/>
    <mergeCell ref="A11:B11"/>
    <mergeCell ref="A10:B10"/>
    <mergeCell ref="A18:B18"/>
    <mergeCell ref="D6:H7"/>
    <mergeCell ref="A8:B9"/>
    <mergeCell ref="C8:C9"/>
    <mergeCell ref="D8:D9"/>
    <mergeCell ref="E8:E9"/>
    <mergeCell ref="F8:F9"/>
    <mergeCell ref="G8:G9"/>
    <mergeCell ref="H8:H9"/>
    <mergeCell ref="C6:C7"/>
    <mergeCell ref="F41:F42"/>
    <mergeCell ref="G41:G42"/>
    <mergeCell ref="H41:H42"/>
    <mergeCell ref="D14:H15"/>
    <mergeCell ref="A16:B17"/>
    <mergeCell ref="C16:C17"/>
    <mergeCell ref="D16:D17"/>
    <mergeCell ref="E16:E17"/>
    <mergeCell ref="F16:F17"/>
    <mergeCell ref="G16:G17"/>
    <mergeCell ref="H16:H17"/>
    <mergeCell ref="A20:B20"/>
    <mergeCell ref="A19:B19"/>
    <mergeCell ref="A26:B26"/>
    <mergeCell ref="A27:B27"/>
    <mergeCell ref="A37:B37"/>
    <mergeCell ref="D47:H48"/>
    <mergeCell ref="G49:G50"/>
    <mergeCell ref="H49:H50"/>
    <mergeCell ref="A28:B28"/>
    <mergeCell ref="C31:C32"/>
    <mergeCell ref="D31:H32"/>
    <mergeCell ref="D33:D34"/>
    <mergeCell ref="E33:E34"/>
    <mergeCell ref="F33:F34"/>
    <mergeCell ref="G33:G34"/>
    <mergeCell ref="H33:H34"/>
    <mergeCell ref="D39:H40"/>
    <mergeCell ref="A41:B42"/>
    <mergeCell ref="C41:C42"/>
    <mergeCell ref="D41:D42"/>
    <mergeCell ref="E41:E42"/>
    <mergeCell ref="D49:D50"/>
    <mergeCell ref="E49:E50"/>
    <mergeCell ref="F49:F50"/>
    <mergeCell ref="A49:B50"/>
    <mergeCell ref="C49:C50"/>
    <mergeCell ref="A61:B61"/>
    <mergeCell ref="A60:B60"/>
    <mergeCell ref="C55:C56"/>
    <mergeCell ref="A59:B59"/>
    <mergeCell ref="A53:B53"/>
    <mergeCell ref="A51:B51"/>
    <mergeCell ref="A52:B52"/>
    <mergeCell ref="C39:C40"/>
    <mergeCell ref="A45:B45"/>
    <mergeCell ref="C47:C48"/>
    <mergeCell ref="A43:B43"/>
    <mergeCell ref="A44:B44"/>
    <mergeCell ref="D55:H56"/>
    <mergeCell ref="A57:B58"/>
    <mergeCell ref="C57:C58"/>
    <mergeCell ref="D57:D58"/>
    <mergeCell ref="E57:E58"/>
    <mergeCell ref="F57:F58"/>
    <mergeCell ref="G57:G58"/>
    <mergeCell ref="H57:H58"/>
  </mergeCells>
  <conditionalFormatting sqref="B5">
    <cfRule type="colorScale" priority="1">
      <colorScale>
        <cfvo type="min"/>
        <cfvo type="percentile" val="50"/>
        <cfvo type="max"/>
        <color rgb="FFF8696B"/>
        <color rgb="FFFCFCFF"/>
        <color rgb="FF63BE7B"/>
      </colorScale>
    </cfRule>
  </conditionalFormatting>
  <printOptions horizontalCentered="1"/>
  <pageMargins left="0.51181102362204722" right="0.51181102362204722" top="0.94488188976377963" bottom="0.78740157480314965" header="0.43307086614173229" footer="0.31496062992125984"/>
  <pageSetup paperSize="9" scale="65" orientation="portrait" r:id="rId1"/>
  <headerFooter>
    <oddHeader xml:space="preserve">&amp;C&amp;20MEMÓRIA DE CÁLCULO </oddHeader>
    <oddFooter>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28"/>
  <sheetViews>
    <sheetView showGridLines="0" showZeros="0" view="pageBreakPreview" topLeftCell="A5" zoomScale="75" zoomScaleNormal="75" zoomScaleSheetLayoutView="75" workbookViewId="0">
      <selection activeCell="H21" sqref="H21"/>
    </sheetView>
  </sheetViews>
  <sheetFormatPr defaultColWidth="9.109375" defaultRowHeight="13.2" x14ac:dyDescent="0.25"/>
  <cols>
    <col min="1" max="1" width="10.5546875" style="54" customWidth="1"/>
    <col min="2" max="2" width="10.33203125" style="54" customWidth="1"/>
    <col min="3" max="3" width="51" style="54" customWidth="1"/>
    <col min="4" max="4" width="19.5546875" style="55" customWidth="1"/>
    <col min="5" max="5" width="35.109375" style="55" customWidth="1"/>
    <col min="6" max="6" width="19.6640625" style="54" customWidth="1"/>
    <col min="7" max="7" width="26.109375" style="54" customWidth="1"/>
    <col min="8" max="8" width="22" style="54" customWidth="1"/>
    <col min="9" max="9" width="13.5546875" style="54" bestFit="1" customWidth="1"/>
    <col min="10" max="16384" width="9.109375" style="54"/>
  </cols>
  <sheetData>
    <row r="1" spans="1:9" ht="73.8" customHeight="1" thickBot="1" x14ac:dyDescent="0.35">
      <c r="A1" s="62"/>
      <c r="B1" s="381"/>
      <c r="C1" s="382"/>
      <c r="D1" s="382"/>
      <c r="E1" s="382"/>
      <c r="F1" s="382"/>
      <c r="G1" s="382"/>
      <c r="H1" s="382"/>
    </row>
    <row r="2" spans="1:9" ht="3" customHeight="1" x14ac:dyDescent="0.25">
      <c r="A2" s="192"/>
      <c r="F2" s="55"/>
      <c r="G2" s="55"/>
      <c r="H2" s="55"/>
    </row>
    <row r="3" spans="1:9" s="56" customFormat="1" ht="18" customHeight="1" thickBot="1" x14ac:dyDescent="0.3">
      <c r="A3" s="450" t="s">
        <v>81</v>
      </c>
      <c r="B3" s="451"/>
      <c r="C3" s="451"/>
      <c r="D3" s="451"/>
      <c r="E3" s="451"/>
      <c r="F3" s="451"/>
      <c r="G3" s="451"/>
      <c r="H3" s="451"/>
    </row>
    <row r="4" spans="1:9" s="56" customFormat="1" ht="18" customHeight="1" thickBot="1" x14ac:dyDescent="0.3">
      <c r="A4" s="445" t="s">
        <v>106</v>
      </c>
      <c r="B4" s="446"/>
      <c r="C4" s="447"/>
      <c r="D4" s="448" t="s">
        <v>152</v>
      </c>
      <c r="E4" s="448"/>
      <c r="F4" s="449">
        <f>'PLANILHA OFICIAL '!H66</f>
        <v>1252737.0133284158</v>
      </c>
      <c r="G4" s="449"/>
      <c r="H4" s="257" t="str">
        <f>'PLANILHA OFICIAL '!F6</f>
        <v>DATA: 01/2026</v>
      </c>
    </row>
    <row r="5" spans="1:9" s="56" customFormat="1" ht="48" customHeight="1" thickBot="1" x14ac:dyDescent="0.3">
      <c r="A5" s="440" t="s">
        <v>280</v>
      </c>
      <c r="B5" s="441"/>
      <c r="C5" s="442"/>
      <c r="D5" s="190" t="s">
        <v>286</v>
      </c>
      <c r="E5" s="191"/>
      <c r="F5" s="452" t="s">
        <v>230</v>
      </c>
      <c r="G5" s="452"/>
      <c r="H5" s="452"/>
    </row>
    <row r="6" spans="1:9" s="56" customFormat="1" ht="36" customHeight="1" thickBot="1" x14ac:dyDescent="0.3">
      <c r="A6" s="61" t="s">
        <v>37</v>
      </c>
      <c r="B6" s="58" t="s">
        <v>62</v>
      </c>
      <c r="C6" s="60" t="s">
        <v>82</v>
      </c>
      <c r="D6" s="59" t="s">
        <v>83</v>
      </c>
      <c r="E6" s="59" t="s">
        <v>84</v>
      </c>
      <c r="F6" s="58" t="s">
        <v>85</v>
      </c>
      <c r="G6" s="58" t="s">
        <v>86</v>
      </c>
      <c r="H6" s="58" t="s">
        <v>87</v>
      </c>
    </row>
    <row r="7" spans="1:9" s="56" customFormat="1" ht="14.25" customHeight="1" x14ac:dyDescent="0.25">
      <c r="A7" s="443">
        <v>1</v>
      </c>
      <c r="B7" s="453" t="s">
        <v>88</v>
      </c>
      <c r="C7" s="455" t="str">
        <f>'PLANILHA OFICIAL '!C13</f>
        <v>INSTALAÇÕES INICIAIS DA OBRA</v>
      </c>
      <c r="D7" s="207" t="s">
        <v>89</v>
      </c>
      <c r="E7" s="208">
        <f>E8/E18</f>
        <v>2.2158490115341393E-3</v>
      </c>
      <c r="F7" s="208">
        <f>F8/E8</f>
        <v>1</v>
      </c>
      <c r="G7" s="209"/>
      <c r="H7" s="209"/>
      <c r="I7" s="250"/>
    </row>
    <row r="8" spans="1:9" s="56" customFormat="1" ht="14.25" customHeight="1" x14ac:dyDescent="0.25">
      <c r="A8" s="444"/>
      <c r="B8" s="454"/>
      <c r="C8" s="439"/>
      <c r="D8" s="210" t="s">
        <v>90</v>
      </c>
      <c r="E8" s="211">
        <f>'PLANILHA OFICIAL '!H16</f>
        <v>2775.8760726959999</v>
      </c>
      <c r="F8" s="211">
        <f>E8</f>
        <v>2775.8760726959999</v>
      </c>
      <c r="G8" s="211">
        <f t="shared" ref="G8:H8" si="0">G7*$E$8</f>
        <v>0</v>
      </c>
      <c r="H8" s="211">
        <f t="shared" si="0"/>
        <v>0</v>
      </c>
      <c r="I8" s="280"/>
    </row>
    <row r="9" spans="1:9" s="56" customFormat="1" ht="14.25" customHeight="1" x14ac:dyDescent="0.25">
      <c r="A9" s="444">
        <v>2</v>
      </c>
      <c r="B9" s="454" t="s">
        <v>93</v>
      </c>
      <c r="C9" s="439" t="str">
        <f>'PLANILHA OFICIAL '!C17</f>
        <v>TERRAPLENAGEM</v>
      </c>
      <c r="D9" s="213" t="s">
        <v>89</v>
      </c>
      <c r="E9" s="208">
        <f>E10/E18</f>
        <v>6.7704487806901567E-2</v>
      </c>
      <c r="F9" s="208">
        <v>1</v>
      </c>
      <c r="G9" s="208"/>
      <c r="H9" s="208"/>
      <c r="I9" s="250"/>
    </row>
    <row r="10" spans="1:9" s="56" customFormat="1" ht="14.25" customHeight="1" x14ac:dyDescent="0.25">
      <c r="A10" s="444"/>
      <c r="B10" s="454"/>
      <c r="C10" s="439"/>
      <c r="D10" s="210" t="s">
        <v>90</v>
      </c>
      <c r="E10" s="211">
        <f>'PLANILHA OFICIAL '!H21</f>
        <v>84815.917844148018</v>
      </c>
      <c r="F10" s="211">
        <f t="shared" ref="F10:H10" si="1">F9*$E$10</f>
        <v>84815.917844148018</v>
      </c>
      <c r="G10" s="211">
        <f t="shared" si="1"/>
        <v>0</v>
      </c>
      <c r="H10" s="211">
        <f t="shared" si="1"/>
        <v>0</v>
      </c>
      <c r="I10" s="280"/>
    </row>
    <row r="11" spans="1:9" s="56" customFormat="1" ht="14.25" customHeight="1" x14ac:dyDescent="0.25">
      <c r="A11" s="444">
        <v>3</v>
      </c>
      <c r="B11" s="454" t="s">
        <v>91</v>
      </c>
      <c r="C11" s="439" t="str">
        <f>'PLANILHA OFICIAL '!C22</f>
        <v>PAVIMENTAÇÃO</v>
      </c>
      <c r="D11" s="213" t="s">
        <v>89</v>
      </c>
      <c r="E11" s="208">
        <f>E12/E18</f>
        <v>0.26090400932315067</v>
      </c>
      <c r="F11" s="208"/>
      <c r="G11" s="208">
        <v>0.3</v>
      </c>
      <c r="H11" s="208">
        <f>H12/E12</f>
        <v>0.7</v>
      </c>
      <c r="I11" s="250"/>
    </row>
    <row r="12" spans="1:9" s="56" customFormat="1" ht="14.25" customHeight="1" x14ac:dyDescent="0.25">
      <c r="A12" s="444"/>
      <c r="B12" s="454"/>
      <c r="C12" s="439"/>
      <c r="D12" s="210" t="s">
        <v>90</v>
      </c>
      <c r="E12" s="211">
        <f>'PLANILHA OFICIAL '!H26</f>
        <v>326844.10940489289</v>
      </c>
      <c r="F12" s="211">
        <f t="shared" ref="F12:G12" si="2">F11*$E$12</f>
        <v>0</v>
      </c>
      <c r="G12" s="211">
        <f t="shared" si="2"/>
        <v>98053.232821467871</v>
      </c>
      <c r="H12" s="211">
        <f>SUM('PLANILHA OFICIAL '!H23:H25)*70%</f>
        <v>228790.87658342501</v>
      </c>
      <c r="I12" s="280"/>
    </row>
    <row r="13" spans="1:9" s="56" customFormat="1" ht="14.25" customHeight="1" x14ac:dyDescent="0.25">
      <c r="A13" s="444">
        <v>4</v>
      </c>
      <c r="B13" s="454" t="s">
        <v>92</v>
      </c>
      <c r="C13" s="439" t="str">
        <f>'PLANILHA OFICIAL '!C27</f>
        <v>DRENAGEM</v>
      </c>
      <c r="D13" s="213" t="s">
        <v>89</v>
      </c>
      <c r="E13" s="208">
        <f>E14/E18</f>
        <v>0.50828864876209889</v>
      </c>
      <c r="F13" s="208">
        <f>F14/E14</f>
        <v>0.46455566905404388</v>
      </c>
      <c r="G13" s="208">
        <f>G14/E14</f>
        <v>0.52987767458128809</v>
      </c>
      <c r="H13" s="208">
        <f>H14/E14</f>
        <v>5.5666563646680619E-3</v>
      </c>
      <c r="I13" s="250"/>
    </row>
    <row r="14" spans="1:9" s="56" customFormat="1" ht="14.25" customHeight="1" x14ac:dyDescent="0.25">
      <c r="A14" s="444"/>
      <c r="B14" s="454"/>
      <c r="C14" s="439"/>
      <c r="D14" s="210" t="s">
        <v>90</v>
      </c>
      <c r="E14" s="214">
        <f>'PLANILHA OFICIAL '!H41</f>
        <v>636752.00375896797</v>
      </c>
      <c r="F14" s="211">
        <f>SUM('PLANILHA OFICIAL '!H31:H36)*80%</f>
        <v>295806.75312775042</v>
      </c>
      <c r="G14" s="211">
        <f>E14-F14-H14</f>
        <v>337400.67103677755</v>
      </c>
      <c r="H14" s="212">
        <f>'PLANILHA OFICIAL '!H29</f>
        <v>3544.5795944400006</v>
      </c>
      <c r="I14" s="280"/>
    </row>
    <row r="15" spans="1:9" s="56" customFormat="1" ht="14.25" customHeight="1" x14ac:dyDescent="0.25">
      <c r="A15" s="444">
        <v>5</v>
      </c>
      <c r="B15" s="454" t="s">
        <v>151</v>
      </c>
      <c r="C15" s="439" t="str">
        <f>'PLANILHA OFICIAL '!C42</f>
        <v>COMPLEMENTARES</v>
      </c>
      <c r="D15" s="213" t="s">
        <v>89</v>
      </c>
      <c r="E15" s="208">
        <f>E16/E18</f>
        <v>0.16088700509631471</v>
      </c>
      <c r="F15" s="208">
        <v>0.3</v>
      </c>
      <c r="G15" s="208">
        <v>0.4</v>
      </c>
      <c r="H15" s="208">
        <v>0.3</v>
      </c>
      <c r="I15" s="250"/>
    </row>
    <row r="16" spans="1:9" s="56" customFormat="1" ht="14.25" customHeight="1" x14ac:dyDescent="0.25">
      <c r="A16" s="444"/>
      <c r="B16" s="454"/>
      <c r="C16" s="439"/>
      <c r="D16" s="210" t="s">
        <v>90</v>
      </c>
      <c r="E16" s="214">
        <f>'PLANILHA OFICIAL '!H65</f>
        <v>201549.10624771091</v>
      </c>
      <c r="F16" s="211">
        <f>F15*E16</f>
        <v>60464.731874313271</v>
      </c>
      <c r="G16" s="211">
        <f>G15*E16</f>
        <v>80619.642499084366</v>
      </c>
      <c r="H16" s="211">
        <f>H15*E16</f>
        <v>60464.731874313271</v>
      </c>
      <c r="I16" s="280"/>
    </row>
    <row r="17" spans="1:9" s="56" customFormat="1" ht="14.25" customHeight="1" x14ac:dyDescent="0.25">
      <c r="A17" s="456" t="s">
        <v>15</v>
      </c>
      <c r="B17" s="457"/>
      <c r="C17" s="458"/>
      <c r="D17" s="215" t="s">
        <v>89</v>
      </c>
      <c r="E17" s="216">
        <f>E7+E9+E11+E13+E15</f>
        <v>1</v>
      </c>
      <c r="F17" s="216">
        <f t="shared" ref="F17:H17" si="3">F18/$E$18</f>
        <v>0.35431481164558287</v>
      </c>
      <c r="G17" s="216">
        <f t="shared" si="3"/>
        <v>0.41195681205759715</v>
      </c>
      <c r="H17" s="216">
        <f t="shared" si="3"/>
        <v>0.23372837629681995</v>
      </c>
      <c r="I17" s="250"/>
    </row>
    <row r="18" spans="1:9" s="56" customFormat="1" ht="13.5" customHeight="1" thickBot="1" x14ac:dyDescent="0.3">
      <c r="A18" s="459"/>
      <c r="B18" s="460"/>
      <c r="C18" s="461"/>
      <c r="D18" s="217" t="s">
        <v>90</v>
      </c>
      <c r="E18" s="206">
        <f>SUM(E14,E12,E10,E8,E16)</f>
        <v>1252737.0133284158</v>
      </c>
      <c r="F18" s="206">
        <f>F8+F10+F12+F14+F16</f>
        <v>443863.27891890769</v>
      </c>
      <c r="G18" s="206">
        <f t="shared" ref="G18:H18" si="4">G8+G10+G12+G14+G16</f>
        <v>516073.54635732976</v>
      </c>
      <c r="H18" s="206">
        <f t="shared" si="4"/>
        <v>292800.1880521783</v>
      </c>
      <c r="I18" s="256"/>
    </row>
    <row r="19" spans="1:9" s="56" customFormat="1" ht="18" customHeight="1" x14ac:dyDescent="0.25">
      <c r="A19" s="456" t="s">
        <v>153</v>
      </c>
      <c r="B19" s="457"/>
      <c r="C19" s="458"/>
      <c r="D19" s="215" t="s">
        <v>89</v>
      </c>
      <c r="E19" s="218"/>
      <c r="F19" s="216">
        <f>F17</f>
        <v>0.35431481164558287</v>
      </c>
      <c r="G19" s="216">
        <f>F17+G17</f>
        <v>0.76627162370318003</v>
      </c>
      <c r="H19" s="216">
        <f>G19+H17</f>
        <v>1</v>
      </c>
    </row>
    <row r="20" spans="1:9" s="56" customFormat="1" ht="14.25" customHeight="1" thickBot="1" x14ac:dyDescent="0.3">
      <c r="A20" s="459"/>
      <c r="B20" s="460"/>
      <c r="C20" s="461"/>
      <c r="D20" s="217" t="s">
        <v>90</v>
      </c>
      <c r="E20" s="219"/>
      <c r="F20" s="206">
        <f>F18</f>
        <v>443863.27891890769</v>
      </c>
      <c r="G20" s="206">
        <f>F18+G18</f>
        <v>959936.82527623745</v>
      </c>
      <c r="H20" s="206">
        <f>F18+G18+H18</f>
        <v>1252737.0133284158</v>
      </c>
    </row>
    <row r="21" spans="1:9" s="56" customFormat="1" ht="76.5" customHeight="1" x14ac:dyDescent="0.25">
      <c r="A21" s="57"/>
      <c r="B21" s="57"/>
      <c r="C21" s="57"/>
      <c r="D21" s="57"/>
      <c r="E21" s="57"/>
      <c r="F21" s="57"/>
      <c r="G21" s="279"/>
      <c r="H21" s="260"/>
    </row>
    <row r="22" spans="1:9" customFormat="1" x14ac:dyDescent="0.25">
      <c r="A22" s="373"/>
      <c r="B22" s="373"/>
      <c r="C22" s="373"/>
      <c r="D22" s="25"/>
    </row>
    <row r="23" spans="1:9" customFormat="1" x14ac:dyDescent="0.25">
      <c r="A23" s="374" t="s">
        <v>154</v>
      </c>
      <c r="B23" s="374"/>
      <c r="C23" s="374"/>
      <c r="D23" s="87"/>
      <c r="E23" s="375" t="s">
        <v>146</v>
      </c>
      <c r="F23" s="375"/>
      <c r="G23" s="375"/>
    </row>
    <row r="24" spans="1:9" customFormat="1" x14ac:dyDescent="0.25">
      <c r="A24" s="345" t="s">
        <v>107</v>
      </c>
      <c r="B24" s="345"/>
      <c r="C24" s="345"/>
      <c r="D24" s="25"/>
      <c r="E24" s="345" t="s">
        <v>108</v>
      </c>
      <c r="F24" s="345"/>
      <c r="G24" s="345"/>
    </row>
    <row r="25" spans="1:9" customFormat="1" x14ac:dyDescent="0.25">
      <c r="A25" s="345" t="s">
        <v>155</v>
      </c>
      <c r="B25" s="345"/>
      <c r="C25" s="345"/>
      <c r="D25" s="25"/>
    </row>
    <row r="26" spans="1:9" ht="14.1" customHeight="1" x14ac:dyDescent="0.25"/>
    <row r="27" spans="1:9" ht="14.1" customHeight="1" x14ac:dyDescent="0.25"/>
    <row r="28" spans="1:9" ht="14.1" customHeight="1" x14ac:dyDescent="0.25"/>
  </sheetData>
  <mergeCells count="30">
    <mergeCell ref="B7:B8"/>
    <mergeCell ref="C7:C8"/>
    <mergeCell ref="B9:B10"/>
    <mergeCell ref="A19:C20"/>
    <mergeCell ref="A17:C18"/>
    <mergeCell ref="A11:A12"/>
    <mergeCell ref="B11:B12"/>
    <mergeCell ref="C11:C12"/>
    <mergeCell ref="A13:A14"/>
    <mergeCell ref="C13:C14"/>
    <mergeCell ref="B13:B14"/>
    <mergeCell ref="A15:A16"/>
    <mergeCell ref="B15:B16"/>
    <mergeCell ref="C15:C16"/>
    <mergeCell ref="B1:H1"/>
    <mergeCell ref="A25:C25"/>
    <mergeCell ref="A22:C22"/>
    <mergeCell ref="A23:C23"/>
    <mergeCell ref="E23:G23"/>
    <mergeCell ref="A24:C24"/>
    <mergeCell ref="E24:G24"/>
    <mergeCell ref="C9:C10"/>
    <mergeCell ref="A5:C5"/>
    <mergeCell ref="A7:A8"/>
    <mergeCell ref="A9:A10"/>
    <mergeCell ref="A4:C4"/>
    <mergeCell ref="D4:E4"/>
    <mergeCell ref="F4:G4"/>
    <mergeCell ref="A3:H3"/>
    <mergeCell ref="F5:H5"/>
  </mergeCells>
  <printOptions horizontalCentered="1"/>
  <pageMargins left="0.19685039370078741" right="0.19685039370078741" top="0.59055118110236227" bottom="0.19685039370078741" header="0.19685039370078741" footer="0"/>
  <pageSetup paperSize="9" scale="74"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34"/>
  <sheetViews>
    <sheetView topLeftCell="A16" workbookViewId="0">
      <selection activeCell="C23" sqref="C23"/>
    </sheetView>
  </sheetViews>
  <sheetFormatPr defaultRowHeight="13.2" x14ac:dyDescent="0.25"/>
  <cols>
    <col min="1" max="1" width="11" style="88" customWidth="1"/>
    <col min="2" max="2" width="9.109375" style="88"/>
    <col min="3" max="3" width="58.6640625" style="88" customWidth="1"/>
    <col min="4" max="4" width="10.33203125" style="88" bestFit="1" customWidth="1"/>
    <col min="5" max="256" width="9.109375" style="88"/>
    <col min="257" max="257" width="11" style="88" customWidth="1"/>
    <col min="258" max="258" width="9.109375" style="88"/>
    <col min="259" max="259" width="58.6640625" style="88" customWidth="1"/>
    <col min="260" max="260" width="10.33203125" style="88" bestFit="1" customWidth="1"/>
    <col min="261" max="512" width="9.109375" style="88"/>
    <col min="513" max="513" width="11" style="88" customWidth="1"/>
    <col min="514" max="514" width="9.109375" style="88"/>
    <col min="515" max="515" width="58.6640625" style="88" customWidth="1"/>
    <col min="516" max="516" width="10.33203125" style="88" bestFit="1" customWidth="1"/>
    <col min="517" max="768" width="9.109375" style="88"/>
    <col min="769" max="769" width="11" style="88" customWidth="1"/>
    <col min="770" max="770" width="9.109375" style="88"/>
    <col min="771" max="771" width="58.6640625" style="88" customWidth="1"/>
    <col min="772" max="772" width="10.33203125" style="88" bestFit="1" customWidth="1"/>
    <col min="773" max="1024" width="9.109375" style="88"/>
    <col min="1025" max="1025" width="11" style="88" customWidth="1"/>
    <col min="1026" max="1026" width="9.109375" style="88"/>
    <col min="1027" max="1027" width="58.6640625" style="88" customWidth="1"/>
    <col min="1028" max="1028" width="10.33203125" style="88" bestFit="1" customWidth="1"/>
    <col min="1029" max="1280" width="9.109375" style="88"/>
    <col min="1281" max="1281" width="11" style="88" customWidth="1"/>
    <col min="1282" max="1282" width="9.109375" style="88"/>
    <col min="1283" max="1283" width="58.6640625" style="88" customWidth="1"/>
    <col min="1284" max="1284" width="10.33203125" style="88" bestFit="1" customWidth="1"/>
    <col min="1285" max="1536" width="9.109375" style="88"/>
    <col min="1537" max="1537" width="11" style="88" customWidth="1"/>
    <col min="1538" max="1538" width="9.109375" style="88"/>
    <col min="1539" max="1539" width="58.6640625" style="88" customWidth="1"/>
    <col min="1540" max="1540" width="10.33203125" style="88" bestFit="1" customWidth="1"/>
    <col min="1541" max="1792" width="9.109375" style="88"/>
    <col min="1793" max="1793" width="11" style="88" customWidth="1"/>
    <col min="1794" max="1794" width="9.109375" style="88"/>
    <col min="1795" max="1795" width="58.6640625" style="88" customWidth="1"/>
    <col min="1796" max="1796" width="10.33203125" style="88" bestFit="1" customWidth="1"/>
    <col min="1797" max="2048" width="9.109375" style="88"/>
    <col min="2049" max="2049" width="11" style="88" customWidth="1"/>
    <col min="2050" max="2050" width="9.109375" style="88"/>
    <col min="2051" max="2051" width="58.6640625" style="88" customWidth="1"/>
    <col min="2052" max="2052" width="10.33203125" style="88" bestFit="1" customWidth="1"/>
    <col min="2053" max="2304" width="9.109375" style="88"/>
    <col min="2305" max="2305" width="11" style="88" customWidth="1"/>
    <col min="2306" max="2306" width="9.109375" style="88"/>
    <col min="2307" max="2307" width="58.6640625" style="88" customWidth="1"/>
    <col min="2308" max="2308" width="10.33203125" style="88" bestFit="1" customWidth="1"/>
    <col min="2309" max="2560" width="9.109375" style="88"/>
    <col min="2561" max="2561" width="11" style="88" customWidth="1"/>
    <col min="2562" max="2562" width="9.109375" style="88"/>
    <col min="2563" max="2563" width="58.6640625" style="88" customWidth="1"/>
    <col min="2564" max="2564" width="10.33203125" style="88" bestFit="1" customWidth="1"/>
    <col min="2565" max="2816" width="9.109375" style="88"/>
    <col min="2817" max="2817" width="11" style="88" customWidth="1"/>
    <col min="2818" max="2818" width="9.109375" style="88"/>
    <col min="2819" max="2819" width="58.6640625" style="88" customWidth="1"/>
    <col min="2820" max="2820" width="10.33203125" style="88" bestFit="1" customWidth="1"/>
    <col min="2821" max="3072" width="9.109375" style="88"/>
    <col min="3073" max="3073" width="11" style="88" customWidth="1"/>
    <col min="3074" max="3074" width="9.109375" style="88"/>
    <col min="3075" max="3075" width="58.6640625" style="88" customWidth="1"/>
    <col min="3076" max="3076" width="10.33203125" style="88" bestFit="1" customWidth="1"/>
    <col min="3077" max="3328" width="9.109375" style="88"/>
    <col min="3329" max="3329" width="11" style="88" customWidth="1"/>
    <col min="3330" max="3330" width="9.109375" style="88"/>
    <col min="3331" max="3331" width="58.6640625" style="88" customWidth="1"/>
    <col min="3332" max="3332" width="10.33203125" style="88" bestFit="1" customWidth="1"/>
    <col min="3333" max="3584" width="9.109375" style="88"/>
    <col min="3585" max="3585" width="11" style="88" customWidth="1"/>
    <col min="3586" max="3586" width="9.109375" style="88"/>
    <col min="3587" max="3587" width="58.6640625" style="88" customWidth="1"/>
    <col min="3588" max="3588" width="10.33203125" style="88" bestFit="1" customWidth="1"/>
    <col min="3589" max="3840" width="9.109375" style="88"/>
    <col min="3841" max="3841" width="11" style="88" customWidth="1"/>
    <col min="3842" max="3842" width="9.109375" style="88"/>
    <col min="3843" max="3843" width="58.6640625" style="88" customWidth="1"/>
    <col min="3844" max="3844" width="10.33203125" style="88" bestFit="1" customWidth="1"/>
    <col min="3845" max="4096" width="9.109375" style="88"/>
    <col min="4097" max="4097" width="11" style="88" customWidth="1"/>
    <col min="4098" max="4098" width="9.109375" style="88"/>
    <col min="4099" max="4099" width="58.6640625" style="88" customWidth="1"/>
    <col min="4100" max="4100" width="10.33203125" style="88" bestFit="1" customWidth="1"/>
    <col min="4101" max="4352" width="9.109375" style="88"/>
    <col min="4353" max="4353" width="11" style="88" customWidth="1"/>
    <col min="4354" max="4354" width="9.109375" style="88"/>
    <col min="4355" max="4355" width="58.6640625" style="88" customWidth="1"/>
    <col min="4356" max="4356" width="10.33203125" style="88" bestFit="1" customWidth="1"/>
    <col min="4357" max="4608" width="9.109375" style="88"/>
    <col min="4609" max="4609" width="11" style="88" customWidth="1"/>
    <col min="4610" max="4610" width="9.109375" style="88"/>
    <col min="4611" max="4611" width="58.6640625" style="88" customWidth="1"/>
    <col min="4612" max="4612" width="10.33203125" style="88" bestFit="1" customWidth="1"/>
    <col min="4613" max="4864" width="9.109375" style="88"/>
    <col min="4865" max="4865" width="11" style="88" customWidth="1"/>
    <col min="4866" max="4866" width="9.109375" style="88"/>
    <col min="4867" max="4867" width="58.6640625" style="88" customWidth="1"/>
    <col min="4868" max="4868" width="10.33203125" style="88" bestFit="1" customWidth="1"/>
    <col min="4869" max="5120" width="9.109375" style="88"/>
    <col min="5121" max="5121" width="11" style="88" customWidth="1"/>
    <col min="5122" max="5122" width="9.109375" style="88"/>
    <col min="5123" max="5123" width="58.6640625" style="88" customWidth="1"/>
    <col min="5124" max="5124" width="10.33203125" style="88" bestFit="1" customWidth="1"/>
    <col min="5125" max="5376" width="9.109375" style="88"/>
    <col min="5377" max="5377" width="11" style="88" customWidth="1"/>
    <col min="5378" max="5378" width="9.109375" style="88"/>
    <col min="5379" max="5379" width="58.6640625" style="88" customWidth="1"/>
    <col min="5380" max="5380" width="10.33203125" style="88" bestFit="1" customWidth="1"/>
    <col min="5381" max="5632" width="9.109375" style="88"/>
    <col min="5633" max="5633" width="11" style="88" customWidth="1"/>
    <col min="5634" max="5634" width="9.109375" style="88"/>
    <col min="5635" max="5635" width="58.6640625" style="88" customWidth="1"/>
    <col min="5636" max="5636" width="10.33203125" style="88" bestFit="1" customWidth="1"/>
    <col min="5637" max="5888" width="9.109375" style="88"/>
    <col min="5889" max="5889" width="11" style="88" customWidth="1"/>
    <col min="5890" max="5890" width="9.109375" style="88"/>
    <col min="5891" max="5891" width="58.6640625" style="88" customWidth="1"/>
    <col min="5892" max="5892" width="10.33203125" style="88" bestFit="1" customWidth="1"/>
    <col min="5893" max="6144" width="9.109375" style="88"/>
    <col min="6145" max="6145" width="11" style="88" customWidth="1"/>
    <col min="6146" max="6146" width="9.109375" style="88"/>
    <col min="6147" max="6147" width="58.6640625" style="88" customWidth="1"/>
    <col min="6148" max="6148" width="10.33203125" style="88" bestFit="1" customWidth="1"/>
    <col min="6149" max="6400" width="9.109375" style="88"/>
    <col min="6401" max="6401" width="11" style="88" customWidth="1"/>
    <col min="6402" max="6402" width="9.109375" style="88"/>
    <col min="6403" max="6403" width="58.6640625" style="88" customWidth="1"/>
    <col min="6404" max="6404" width="10.33203125" style="88" bestFit="1" customWidth="1"/>
    <col min="6405" max="6656" width="9.109375" style="88"/>
    <col min="6657" max="6657" width="11" style="88" customWidth="1"/>
    <col min="6658" max="6658" width="9.109375" style="88"/>
    <col min="6659" max="6659" width="58.6640625" style="88" customWidth="1"/>
    <col min="6660" max="6660" width="10.33203125" style="88" bestFit="1" customWidth="1"/>
    <col min="6661" max="6912" width="9.109375" style="88"/>
    <col min="6913" max="6913" width="11" style="88" customWidth="1"/>
    <col min="6914" max="6914" width="9.109375" style="88"/>
    <col min="6915" max="6915" width="58.6640625" style="88" customWidth="1"/>
    <col min="6916" max="6916" width="10.33203125" style="88" bestFit="1" customWidth="1"/>
    <col min="6917" max="7168" width="9.109375" style="88"/>
    <col min="7169" max="7169" width="11" style="88" customWidth="1"/>
    <col min="7170" max="7170" width="9.109375" style="88"/>
    <col min="7171" max="7171" width="58.6640625" style="88" customWidth="1"/>
    <col min="7172" max="7172" width="10.33203125" style="88" bestFit="1" customWidth="1"/>
    <col min="7173" max="7424" width="9.109375" style="88"/>
    <col min="7425" max="7425" width="11" style="88" customWidth="1"/>
    <col min="7426" max="7426" width="9.109375" style="88"/>
    <col min="7427" max="7427" width="58.6640625" style="88" customWidth="1"/>
    <col min="7428" max="7428" width="10.33203125" style="88" bestFit="1" customWidth="1"/>
    <col min="7429" max="7680" width="9.109375" style="88"/>
    <col min="7681" max="7681" width="11" style="88" customWidth="1"/>
    <col min="7682" max="7682" width="9.109375" style="88"/>
    <col min="7683" max="7683" width="58.6640625" style="88" customWidth="1"/>
    <col min="7684" max="7684" width="10.33203125" style="88" bestFit="1" customWidth="1"/>
    <col min="7685" max="7936" width="9.109375" style="88"/>
    <col min="7937" max="7937" width="11" style="88" customWidth="1"/>
    <col min="7938" max="7938" width="9.109375" style="88"/>
    <col min="7939" max="7939" width="58.6640625" style="88" customWidth="1"/>
    <col min="7940" max="7940" width="10.33203125" style="88" bestFit="1" customWidth="1"/>
    <col min="7941" max="8192" width="9.109375" style="88"/>
    <col min="8193" max="8193" width="11" style="88" customWidth="1"/>
    <col min="8194" max="8194" width="9.109375" style="88"/>
    <col min="8195" max="8195" width="58.6640625" style="88" customWidth="1"/>
    <col min="8196" max="8196" width="10.33203125" style="88" bestFit="1" customWidth="1"/>
    <col min="8197" max="8448" width="9.109375" style="88"/>
    <col min="8449" max="8449" width="11" style="88" customWidth="1"/>
    <col min="8450" max="8450" width="9.109375" style="88"/>
    <col min="8451" max="8451" width="58.6640625" style="88" customWidth="1"/>
    <col min="8452" max="8452" width="10.33203125" style="88" bestFit="1" customWidth="1"/>
    <col min="8453" max="8704" width="9.109375" style="88"/>
    <col min="8705" max="8705" width="11" style="88" customWidth="1"/>
    <col min="8706" max="8706" width="9.109375" style="88"/>
    <col min="8707" max="8707" width="58.6640625" style="88" customWidth="1"/>
    <col min="8708" max="8708" width="10.33203125" style="88" bestFit="1" customWidth="1"/>
    <col min="8709" max="8960" width="9.109375" style="88"/>
    <col min="8961" max="8961" width="11" style="88" customWidth="1"/>
    <col min="8962" max="8962" width="9.109375" style="88"/>
    <col min="8963" max="8963" width="58.6640625" style="88" customWidth="1"/>
    <col min="8964" max="8964" width="10.33203125" style="88" bestFit="1" customWidth="1"/>
    <col min="8965" max="9216" width="9.109375" style="88"/>
    <col min="9217" max="9217" width="11" style="88" customWidth="1"/>
    <col min="9218" max="9218" width="9.109375" style="88"/>
    <col min="9219" max="9219" width="58.6640625" style="88" customWidth="1"/>
    <col min="9220" max="9220" width="10.33203125" style="88" bestFit="1" customWidth="1"/>
    <col min="9221" max="9472" width="9.109375" style="88"/>
    <col min="9473" max="9473" width="11" style="88" customWidth="1"/>
    <col min="9474" max="9474" width="9.109375" style="88"/>
    <col min="9475" max="9475" width="58.6640625" style="88" customWidth="1"/>
    <col min="9476" max="9476" width="10.33203125" style="88" bestFit="1" customWidth="1"/>
    <col min="9477" max="9728" width="9.109375" style="88"/>
    <col min="9729" max="9729" width="11" style="88" customWidth="1"/>
    <col min="9730" max="9730" width="9.109375" style="88"/>
    <col min="9731" max="9731" width="58.6640625" style="88" customWidth="1"/>
    <col min="9732" max="9732" width="10.33203125" style="88" bestFit="1" customWidth="1"/>
    <col min="9733" max="9984" width="9.109375" style="88"/>
    <col min="9985" max="9985" width="11" style="88" customWidth="1"/>
    <col min="9986" max="9986" width="9.109375" style="88"/>
    <col min="9987" max="9987" width="58.6640625" style="88" customWidth="1"/>
    <col min="9988" max="9988" width="10.33203125" style="88" bestFit="1" customWidth="1"/>
    <col min="9989" max="10240" width="9.109375" style="88"/>
    <col min="10241" max="10241" width="11" style="88" customWidth="1"/>
    <col min="10242" max="10242" width="9.109375" style="88"/>
    <col min="10243" max="10243" width="58.6640625" style="88" customWidth="1"/>
    <col min="10244" max="10244" width="10.33203125" style="88" bestFit="1" customWidth="1"/>
    <col min="10245" max="10496" width="9.109375" style="88"/>
    <col min="10497" max="10497" width="11" style="88" customWidth="1"/>
    <col min="10498" max="10498" width="9.109375" style="88"/>
    <col min="10499" max="10499" width="58.6640625" style="88" customWidth="1"/>
    <col min="10500" max="10500" width="10.33203125" style="88" bestFit="1" customWidth="1"/>
    <col min="10501" max="10752" width="9.109375" style="88"/>
    <col min="10753" max="10753" width="11" style="88" customWidth="1"/>
    <col min="10754" max="10754" width="9.109375" style="88"/>
    <col min="10755" max="10755" width="58.6640625" style="88" customWidth="1"/>
    <col min="10756" max="10756" width="10.33203125" style="88" bestFit="1" customWidth="1"/>
    <col min="10757" max="11008" width="9.109375" style="88"/>
    <col min="11009" max="11009" width="11" style="88" customWidth="1"/>
    <col min="11010" max="11010" width="9.109375" style="88"/>
    <col min="11011" max="11011" width="58.6640625" style="88" customWidth="1"/>
    <col min="11012" max="11012" width="10.33203125" style="88" bestFit="1" customWidth="1"/>
    <col min="11013" max="11264" width="9.109375" style="88"/>
    <col min="11265" max="11265" width="11" style="88" customWidth="1"/>
    <col min="11266" max="11266" width="9.109375" style="88"/>
    <col min="11267" max="11267" width="58.6640625" style="88" customWidth="1"/>
    <col min="11268" max="11268" width="10.33203125" style="88" bestFit="1" customWidth="1"/>
    <col min="11269" max="11520" width="9.109375" style="88"/>
    <col min="11521" max="11521" width="11" style="88" customWidth="1"/>
    <col min="11522" max="11522" width="9.109375" style="88"/>
    <col min="11523" max="11523" width="58.6640625" style="88" customWidth="1"/>
    <col min="11524" max="11524" width="10.33203125" style="88" bestFit="1" customWidth="1"/>
    <col min="11525" max="11776" width="9.109375" style="88"/>
    <col min="11777" max="11777" width="11" style="88" customWidth="1"/>
    <col min="11778" max="11778" width="9.109375" style="88"/>
    <col min="11779" max="11779" width="58.6640625" style="88" customWidth="1"/>
    <col min="11780" max="11780" width="10.33203125" style="88" bestFit="1" customWidth="1"/>
    <col min="11781" max="12032" width="9.109375" style="88"/>
    <col min="12033" max="12033" width="11" style="88" customWidth="1"/>
    <col min="12034" max="12034" width="9.109375" style="88"/>
    <col min="12035" max="12035" width="58.6640625" style="88" customWidth="1"/>
    <col min="12036" max="12036" width="10.33203125" style="88" bestFit="1" customWidth="1"/>
    <col min="12037" max="12288" width="9.109375" style="88"/>
    <col min="12289" max="12289" width="11" style="88" customWidth="1"/>
    <col min="12290" max="12290" width="9.109375" style="88"/>
    <col min="12291" max="12291" width="58.6640625" style="88" customWidth="1"/>
    <col min="12292" max="12292" width="10.33203125" style="88" bestFit="1" customWidth="1"/>
    <col min="12293" max="12544" width="9.109375" style="88"/>
    <col min="12545" max="12545" width="11" style="88" customWidth="1"/>
    <col min="12546" max="12546" width="9.109375" style="88"/>
    <col min="12547" max="12547" width="58.6640625" style="88" customWidth="1"/>
    <col min="12548" max="12548" width="10.33203125" style="88" bestFit="1" customWidth="1"/>
    <col min="12549" max="12800" width="9.109375" style="88"/>
    <col min="12801" max="12801" width="11" style="88" customWidth="1"/>
    <col min="12802" max="12802" width="9.109375" style="88"/>
    <col min="12803" max="12803" width="58.6640625" style="88" customWidth="1"/>
    <col min="12804" max="12804" width="10.33203125" style="88" bestFit="1" customWidth="1"/>
    <col min="12805" max="13056" width="9.109375" style="88"/>
    <col min="13057" max="13057" width="11" style="88" customWidth="1"/>
    <col min="13058" max="13058" width="9.109375" style="88"/>
    <col min="13059" max="13059" width="58.6640625" style="88" customWidth="1"/>
    <col min="13060" max="13060" width="10.33203125" style="88" bestFit="1" customWidth="1"/>
    <col min="13061" max="13312" width="9.109375" style="88"/>
    <col min="13313" max="13313" width="11" style="88" customWidth="1"/>
    <col min="13314" max="13314" width="9.109375" style="88"/>
    <col min="13315" max="13315" width="58.6640625" style="88" customWidth="1"/>
    <col min="13316" max="13316" width="10.33203125" style="88" bestFit="1" customWidth="1"/>
    <col min="13317" max="13568" width="9.109375" style="88"/>
    <col min="13569" max="13569" width="11" style="88" customWidth="1"/>
    <col min="13570" max="13570" width="9.109375" style="88"/>
    <col min="13571" max="13571" width="58.6640625" style="88" customWidth="1"/>
    <col min="13572" max="13572" width="10.33203125" style="88" bestFit="1" customWidth="1"/>
    <col min="13573" max="13824" width="9.109375" style="88"/>
    <col min="13825" max="13825" width="11" style="88" customWidth="1"/>
    <col min="13826" max="13826" width="9.109375" style="88"/>
    <col min="13827" max="13827" width="58.6640625" style="88" customWidth="1"/>
    <col min="13828" max="13828" width="10.33203125" style="88" bestFit="1" customWidth="1"/>
    <col min="13829" max="14080" width="9.109375" style="88"/>
    <col min="14081" max="14081" width="11" style="88" customWidth="1"/>
    <col min="14082" max="14082" width="9.109375" style="88"/>
    <col min="14083" max="14083" width="58.6640625" style="88" customWidth="1"/>
    <col min="14084" max="14084" width="10.33203125" style="88" bestFit="1" customWidth="1"/>
    <col min="14085" max="14336" width="9.109375" style="88"/>
    <col min="14337" max="14337" width="11" style="88" customWidth="1"/>
    <col min="14338" max="14338" width="9.109375" style="88"/>
    <col min="14339" max="14339" width="58.6640625" style="88" customWidth="1"/>
    <col min="14340" max="14340" width="10.33203125" style="88" bestFit="1" customWidth="1"/>
    <col min="14341" max="14592" width="9.109375" style="88"/>
    <col min="14593" max="14593" width="11" style="88" customWidth="1"/>
    <col min="14594" max="14594" width="9.109375" style="88"/>
    <col min="14595" max="14595" width="58.6640625" style="88" customWidth="1"/>
    <col min="14596" max="14596" width="10.33203125" style="88" bestFit="1" customWidth="1"/>
    <col min="14597" max="14848" width="9.109375" style="88"/>
    <col min="14849" max="14849" width="11" style="88" customWidth="1"/>
    <col min="14850" max="14850" width="9.109375" style="88"/>
    <col min="14851" max="14851" width="58.6640625" style="88" customWidth="1"/>
    <col min="14852" max="14852" width="10.33203125" style="88" bestFit="1" customWidth="1"/>
    <col min="14853" max="15104" width="9.109375" style="88"/>
    <col min="15105" max="15105" width="11" style="88" customWidth="1"/>
    <col min="15106" max="15106" width="9.109375" style="88"/>
    <col min="15107" max="15107" width="58.6640625" style="88" customWidth="1"/>
    <col min="15108" max="15108" width="10.33203125" style="88" bestFit="1" customWidth="1"/>
    <col min="15109" max="15360" width="9.109375" style="88"/>
    <col min="15361" max="15361" width="11" style="88" customWidth="1"/>
    <col min="15362" max="15362" width="9.109375" style="88"/>
    <col min="15363" max="15363" width="58.6640625" style="88" customWidth="1"/>
    <col min="15364" max="15364" width="10.33203125" style="88" bestFit="1" customWidth="1"/>
    <col min="15365" max="15616" width="9.109375" style="88"/>
    <col min="15617" max="15617" width="11" style="88" customWidth="1"/>
    <col min="15618" max="15618" width="9.109375" style="88"/>
    <col min="15619" max="15619" width="58.6640625" style="88" customWidth="1"/>
    <col min="15620" max="15620" width="10.33203125" style="88" bestFit="1" customWidth="1"/>
    <col min="15621" max="15872" width="9.109375" style="88"/>
    <col min="15873" max="15873" width="11" style="88" customWidth="1"/>
    <col min="15874" max="15874" width="9.109375" style="88"/>
    <col min="15875" max="15875" width="58.6640625" style="88" customWidth="1"/>
    <col min="15876" max="15876" width="10.33203125" style="88" bestFit="1" customWidth="1"/>
    <col min="15877" max="16128" width="9.109375" style="88"/>
    <col min="16129" max="16129" width="11" style="88" customWidth="1"/>
    <col min="16130" max="16130" width="9.109375" style="88"/>
    <col min="16131" max="16131" width="58.6640625" style="88" customWidth="1"/>
    <col min="16132" max="16132" width="10.33203125" style="88" bestFit="1" customWidth="1"/>
    <col min="16133" max="16384" width="9.109375" style="88"/>
  </cols>
  <sheetData>
    <row r="1" spans="1:4" ht="17.399999999999999" x14ac:dyDescent="0.25">
      <c r="A1" s="462" t="s">
        <v>277</v>
      </c>
      <c r="B1" s="463"/>
      <c r="C1" s="463"/>
      <c r="D1" s="464"/>
    </row>
    <row r="2" spans="1:4" ht="13.8" thickBot="1" x14ac:dyDescent="0.3">
      <c r="A2" s="465" t="s">
        <v>109</v>
      </c>
      <c r="B2" s="466"/>
      <c r="C2" s="466"/>
      <c r="D2" s="467"/>
    </row>
    <row r="3" spans="1:4" ht="15.6" x14ac:dyDescent="0.25">
      <c r="A3" s="89" t="s">
        <v>110</v>
      </c>
      <c r="B3" s="90" t="s">
        <v>111</v>
      </c>
      <c r="C3" s="91" t="s">
        <v>112</v>
      </c>
      <c r="D3" s="92"/>
    </row>
    <row r="4" spans="1:4" ht="15.6" x14ac:dyDescent="0.25">
      <c r="A4" s="93"/>
      <c r="B4" s="94" t="s">
        <v>113</v>
      </c>
      <c r="C4" s="95" t="s">
        <v>114</v>
      </c>
      <c r="D4" s="96">
        <v>4.6699999999999998E-2</v>
      </c>
    </row>
    <row r="5" spans="1:4" ht="15.6" x14ac:dyDescent="0.25">
      <c r="A5" s="93"/>
      <c r="B5" s="94" t="s">
        <v>115</v>
      </c>
      <c r="C5" s="95" t="s">
        <v>116</v>
      </c>
      <c r="D5" s="96">
        <v>7.4000000000000003E-3</v>
      </c>
    </row>
    <row r="6" spans="1:4" ht="15.6" x14ac:dyDescent="0.25">
      <c r="A6" s="93"/>
      <c r="B6" s="94" t="s">
        <v>117</v>
      </c>
      <c r="C6" s="95" t="s">
        <v>118</v>
      </c>
      <c r="D6" s="96">
        <v>9.7000000000000003E-3</v>
      </c>
    </row>
    <row r="7" spans="1:4" ht="15.6" x14ac:dyDescent="0.25">
      <c r="A7" s="93"/>
      <c r="B7" s="94"/>
      <c r="C7" s="95"/>
      <c r="D7" s="96"/>
    </row>
    <row r="8" spans="1:4" ht="15.6" x14ac:dyDescent="0.25">
      <c r="A8" s="97"/>
      <c r="B8" s="98"/>
      <c r="C8" s="99" t="s">
        <v>119</v>
      </c>
      <c r="D8" s="100">
        <f>SUM(D4:D7)</f>
        <v>6.3799999999999996E-2</v>
      </c>
    </row>
    <row r="9" spans="1:4" ht="15.6" x14ac:dyDescent="0.25">
      <c r="A9" s="101"/>
      <c r="B9" s="102"/>
      <c r="C9" s="103"/>
      <c r="D9" s="104"/>
    </row>
    <row r="10" spans="1:4" ht="15.6" x14ac:dyDescent="0.25">
      <c r="A10" s="105" t="s">
        <v>110</v>
      </c>
      <c r="B10" s="106" t="s">
        <v>120</v>
      </c>
      <c r="C10" s="107" t="s">
        <v>121</v>
      </c>
      <c r="D10" s="108"/>
    </row>
    <row r="11" spans="1:4" ht="15.6" x14ac:dyDescent="0.25">
      <c r="A11" s="109"/>
      <c r="B11" s="110" t="s">
        <v>122</v>
      </c>
      <c r="C11" s="95" t="s">
        <v>123</v>
      </c>
      <c r="D11" s="96">
        <v>7.5300000000000006E-2</v>
      </c>
    </row>
    <row r="12" spans="1:4" ht="15.6" x14ac:dyDescent="0.25">
      <c r="A12" s="97"/>
      <c r="B12" s="111"/>
      <c r="C12" s="112" t="s">
        <v>124</v>
      </c>
      <c r="D12" s="100">
        <v>7.5300000000000006E-2</v>
      </c>
    </row>
    <row r="13" spans="1:4" ht="15.6" x14ac:dyDescent="0.25">
      <c r="A13" s="101"/>
      <c r="B13" s="102"/>
      <c r="C13" s="103"/>
      <c r="D13" s="104"/>
    </row>
    <row r="14" spans="1:4" ht="15.6" x14ac:dyDescent="0.25">
      <c r="A14" s="105" t="s">
        <v>110</v>
      </c>
      <c r="B14" s="113" t="s">
        <v>125</v>
      </c>
      <c r="C14" s="114" t="s">
        <v>126</v>
      </c>
      <c r="D14" s="115"/>
    </row>
    <row r="15" spans="1:4" ht="15.6" x14ac:dyDescent="0.25">
      <c r="A15" s="109"/>
      <c r="B15" s="94" t="s">
        <v>127</v>
      </c>
      <c r="C15" s="116" t="s">
        <v>128</v>
      </c>
      <c r="D15" s="117">
        <v>6.4999999999999997E-3</v>
      </c>
    </row>
    <row r="16" spans="1:4" ht="15.6" x14ac:dyDescent="0.25">
      <c r="A16" s="109"/>
      <c r="B16" s="94" t="s">
        <v>129</v>
      </c>
      <c r="C16" s="116" t="s">
        <v>130</v>
      </c>
      <c r="D16" s="117">
        <v>0.03</v>
      </c>
    </row>
    <row r="17" spans="1:4" ht="15.6" x14ac:dyDescent="0.25">
      <c r="A17" s="109"/>
      <c r="B17" s="94" t="s">
        <v>131</v>
      </c>
      <c r="C17" s="116" t="s">
        <v>132</v>
      </c>
      <c r="D17" s="117">
        <v>2.1000000000000001E-2</v>
      </c>
    </row>
    <row r="18" spans="1:4" ht="15.6" x14ac:dyDescent="0.25">
      <c r="A18" s="147"/>
      <c r="B18" s="148" t="s">
        <v>142</v>
      </c>
      <c r="C18" s="149" t="s">
        <v>144</v>
      </c>
      <c r="D18" s="150">
        <v>3.5999999999999997E-2</v>
      </c>
    </row>
    <row r="19" spans="1:4" ht="15.6" x14ac:dyDescent="0.25">
      <c r="A19" s="97"/>
      <c r="B19" s="118"/>
      <c r="C19" s="112" t="s">
        <v>133</v>
      </c>
      <c r="D19" s="100">
        <f>SUM(D15:D17)</f>
        <v>5.7499999999999996E-2</v>
      </c>
    </row>
    <row r="20" spans="1:4" ht="15.6" x14ac:dyDescent="0.25">
      <c r="A20" s="101"/>
      <c r="B20" s="119"/>
      <c r="C20" s="102"/>
      <c r="D20" s="120"/>
    </row>
    <row r="21" spans="1:4" ht="15.6" x14ac:dyDescent="0.25">
      <c r="A21" s="105" t="s">
        <v>110</v>
      </c>
      <c r="B21" s="113" t="s">
        <v>134</v>
      </c>
      <c r="C21" s="114" t="s">
        <v>135</v>
      </c>
      <c r="D21" s="115"/>
    </row>
    <row r="22" spans="1:4" ht="15.6" x14ac:dyDescent="0.25">
      <c r="A22" s="121"/>
      <c r="B22" s="122"/>
      <c r="C22" s="123" t="s">
        <v>135</v>
      </c>
      <c r="D22" s="124">
        <v>1.0500000000000001E-2</v>
      </c>
    </row>
    <row r="23" spans="1:4" ht="15.6" x14ac:dyDescent="0.25">
      <c r="A23" s="125"/>
      <c r="B23" s="99"/>
      <c r="C23" s="112" t="s">
        <v>136</v>
      </c>
      <c r="D23" s="126">
        <v>1.0500000000000001E-2</v>
      </c>
    </row>
    <row r="24" spans="1:4" ht="15.6" x14ac:dyDescent="0.25">
      <c r="A24" s="127"/>
      <c r="B24" s="128"/>
      <c r="C24" s="129"/>
      <c r="D24" s="130"/>
    </row>
    <row r="25" spans="1:4" ht="15" x14ac:dyDescent="0.25">
      <c r="A25" s="468" t="s">
        <v>137</v>
      </c>
      <c r="B25" s="469"/>
      <c r="C25" s="469"/>
      <c r="D25" s="470"/>
    </row>
    <row r="26" spans="1:4" ht="15.6" x14ac:dyDescent="0.25">
      <c r="A26" s="471" t="s">
        <v>138</v>
      </c>
      <c r="B26" s="472"/>
      <c r="C26" s="472"/>
      <c r="D26" s="131">
        <f>ROUND((((1+D4+D5+D6)*(1+D23)*(1+D12))/(1-(D19+D18))-1),4)</f>
        <v>0.27510000000000001</v>
      </c>
    </row>
    <row r="27" spans="1:4" ht="15.6" x14ac:dyDescent="0.25">
      <c r="A27" s="132"/>
      <c r="B27" s="128"/>
      <c r="C27" s="133" t="s">
        <v>143</v>
      </c>
      <c r="D27" s="134"/>
    </row>
    <row r="28" spans="1:4" ht="15.6" x14ac:dyDescent="0.25">
      <c r="A28" s="132"/>
      <c r="B28" s="128"/>
      <c r="C28" s="133"/>
      <c r="D28" s="134"/>
    </row>
    <row r="29" spans="1:4" ht="15.6" x14ac:dyDescent="0.25">
      <c r="A29" s="132"/>
      <c r="B29" s="128"/>
      <c r="C29" s="133"/>
      <c r="D29" s="134"/>
    </row>
    <row r="30" spans="1:4" ht="15.6" x14ac:dyDescent="0.25">
      <c r="A30" s="132"/>
      <c r="B30" s="128"/>
      <c r="C30" s="133"/>
      <c r="D30" s="134"/>
    </row>
    <row r="31" spans="1:4" ht="27.75" customHeight="1" x14ac:dyDescent="0.25">
      <c r="A31" s="135"/>
      <c r="B31" s="136"/>
      <c r="C31" s="137" t="s">
        <v>139</v>
      </c>
      <c r="D31" s="138"/>
    </row>
    <row r="32" spans="1:4" x14ac:dyDescent="0.25">
      <c r="A32" s="135"/>
      <c r="B32" s="136"/>
      <c r="C32" s="139" t="s">
        <v>154</v>
      </c>
      <c r="D32" s="138"/>
    </row>
    <row r="33" spans="1:4" x14ac:dyDescent="0.25">
      <c r="A33" s="135"/>
      <c r="B33" s="136"/>
      <c r="C33" s="140" t="s">
        <v>140</v>
      </c>
      <c r="D33" s="138"/>
    </row>
    <row r="34" spans="1:4" ht="13.8" thickBot="1" x14ac:dyDescent="0.3">
      <c r="A34" s="141"/>
      <c r="B34" s="142"/>
      <c r="C34" s="143" t="s">
        <v>155</v>
      </c>
      <c r="D34" s="144"/>
    </row>
  </sheetData>
  <mergeCells count="4">
    <mergeCell ref="A1:D1"/>
    <mergeCell ref="A2:D2"/>
    <mergeCell ref="A25:D25"/>
    <mergeCell ref="A26:C26"/>
  </mergeCells>
  <pageMargins left="0.70866141732283472" right="0.51181102362204722" top="0.78740157480314965" bottom="0.78740157480314965" header="0.31496062992125984" footer="0.31496062992125984"/>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W26"/>
  <sheetViews>
    <sheetView showGridLines="0" topLeftCell="A4" zoomScale="98" zoomScaleNormal="98" workbookViewId="0">
      <selection activeCell="C9" sqref="C9"/>
    </sheetView>
  </sheetViews>
  <sheetFormatPr defaultRowHeight="13.2" x14ac:dyDescent="0.25"/>
  <cols>
    <col min="1" max="1" width="37.44140625" customWidth="1"/>
    <col min="2" max="3" width="16" customWidth="1"/>
    <col min="4" max="6" width="13.6640625" customWidth="1"/>
    <col min="7" max="7" width="14.5546875" customWidth="1"/>
    <col min="8" max="8" width="15.33203125" customWidth="1"/>
    <col min="9" max="16" width="15.5546875" customWidth="1"/>
  </cols>
  <sheetData>
    <row r="1" spans="1:23" ht="16.5" customHeight="1" x14ac:dyDescent="0.5">
      <c r="A1" s="1" t="s">
        <v>55</v>
      </c>
      <c r="B1" s="1"/>
      <c r="C1" s="1"/>
      <c r="D1" s="29"/>
      <c r="F1" s="30"/>
      <c r="G1" s="30"/>
      <c r="H1" s="27"/>
      <c r="I1" s="27"/>
      <c r="J1" s="27"/>
      <c r="K1" s="27"/>
      <c r="L1" s="27"/>
      <c r="M1" s="27"/>
      <c r="N1" s="27"/>
      <c r="O1" s="27"/>
      <c r="P1" s="27"/>
    </row>
    <row r="2" spans="1:23" ht="16.5" customHeight="1" x14ac:dyDescent="0.5">
      <c r="A2" s="1" t="s">
        <v>76</v>
      </c>
      <c r="B2" s="1"/>
      <c r="C2" s="1"/>
      <c r="D2" s="29"/>
      <c r="E2" s="1"/>
      <c r="F2" s="30"/>
      <c r="G2" s="30"/>
      <c r="H2" s="27"/>
      <c r="I2" s="27"/>
      <c r="J2" s="27"/>
      <c r="K2" s="27"/>
      <c r="L2" s="27"/>
      <c r="M2" s="27"/>
      <c r="N2" s="27"/>
      <c r="O2" s="27"/>
      <c r="P2" s="27"/>
      <c r="Q2" s="1"/>
      <c r="R2" s="1"/>
    </row>
    <row r="3" spans="1:23" ht="16.5" customHeight="1" x14ac:dyDescent="0.5">
      <c r="A3" s="22" t="s">
        <v>78</v>
      </c>
      <c r="B3" s="22"/>
      <c r="C3" s="22"/>
      <c r="D3" s="29"/>
      <c r="E3" s="1"/>
      <c r="F3" s="30"/>
      <c r="G3" s="30"/>
      <c r="H3" s="27"/>
      <c r="I3" s="27"/>
      <c r="J3" s="27"/>
      <c r="K3" s="27"/>
      <c r="L3" s="27"/>
      <c r="M3" s="27"/>
      <c r="N3" s="27"/>
      <c r="O3" s="27"/>
      <c r="P3" s="27"/>
      <c r="Q3" s="12"/>
      <c r="R3" s="12"/>
    </row>
    <row r="4" spans="1:23" ht="16.5" customHeight="1" x14ac:dyDescent="0.5">
      <c r="A4" s="22" t="s">
        <v>79</v>
      </c>
      <c r="B4" s="22"/>
      <c r="C4" s="22"/>
      <c r="D4" s="29"/>
      <c r="E4" s="1"/>
      <c r="F4" s="30"/>
      <c r="G4" s="30"/>
      <c r="H4" s="27"/>
      <c r="I4" s="27"/>
      <c r="J4" s="27"/>
      <c r="K4" s="27"/>
      <c r="L4" s="27"/>
      <c r="M4" s="27"/>
      <c r="N4" s="27"/>
      <c r="O4" s="27"/>
      <c r="P4" s="27"/>
      <c r="Q4" s="12"/>
      <c r="R4" s="12"/>
    </row>
    <row r="5" spans="1:23" ht="16.5" customHeight="1" x14ac:dyDescent="0.5">
      <c r="A5" s="22" t="s">
        <v>77</v>
      </c>
      <c r="B5" s="22"/>
      <c r="C5" s="22"/>
      <c r="D5" s="31"/>
      <c r="E5" s="32"/>
      <c r="F5" s="33"/>
      <c r="G5" s="33"/>
      <c r="H5" s="28"/>
      <c r="I5" s="28"/>
      <c r="J5" s="28"/>
      <c r="K5" s="28"/>
      <c r="L5" s="28"/>
      <c r="M5" s="28"/>
      <c r="N5" s="28"/>
      <c r="O5" s="28"/>
      <c r="P5" s="28"/>
      <c r="Q5" s="12"/>
      <c r="R5" s="12"/>
    </row>
    <row r="6" spans="1:23" ht="30.75" customHeight="1" x14ac:dyDescent="0.25">
      <c r="A6" s="13" t="s">
        <v>22</v>
      </c>
      <c r="B6" s="14"/>
      <c r="C6" s="14"/>
      <c r="D6" s="39">
        <v>30</v>
      </c>
      <c r="E6" s="39">
        <v>60</v>
      </c>
      <c r="F6" s="39">
        <v>90</v>
      </c>
      <c r="G6" s="39">
        <v>120</v>
      </c>
      <c r="H6" s="39">
        <v>150</v>
      </c>
      <c r="I6" s="39">
        <v>180</v>
      </c>
      <c r="J6" s="39">
        <v>210</v>
      </c>
      <c r="K6" s="39">
        <v>240</v>
      </c>
      <c r="L6" s="39">
        <v>270</v>
      </c>
      <c r="M6" s="39">
        <v>300</v>
      </c>
      <c r="N6" s="39">
        <v>330</v>
      </c>
      <c r="O6" s="39">
        <v>360</v>
      </c>
      <c r="P6" s="39"/>
    </row>
    <row r="7" spans="1:23" ht="6.75" customHeight="1" x14ac:dyDescent="0.25">
      <c r="A7" s="14"/>
      <c r="B7" s="14"/>
      <c r="C7" s="14"/>
      <c r="D7" s="14"/>
      <c r="E7" s="14"/>
      <c r="F7" s="14"/>
      <c r="G7" s="14"/>
      <c r="H7" s="14"/>
      <c r="I7" s="14"/>
      <c r="J7" s="14"/>
      <c r="K7" s="14"/>
      <c r="L7" s="14"/>
      <c r="M7" s="14"/>
      <c r="N7" s="14"/>
      <c r="O7" s="14"/>
      <c r="P7" s="16"/>
    </row>
    <row r="8" spans="1:23" ht="30.75" customHeight="1" x14ac:dyDescent="0.25">
      <c r="A8" s="13" t="s">
        <v>23</v>
      </c>
      <c r="B8" s="15" t="s">
        <v>24</v>
      </c>
      <c r="C8" s="14" t="s">
        <v>25</v>
      </c>
      <c r="D8" s="15" t="s">
        <v>26</v>
      </c>
      <c r="E8" s="15" t="s">
        <v>27</v>
      </c>
      <c r="F8" s="15" t="s">
        <v>28</v>
      </c>
      <c r="G8" s="15" t="s">
        <v>29</v>
      </c>
      <c r="H8" s="15" t="s">
        <v>30</v>
      </c>
      <c r="I8" s="15" t="s">
        <v>54</v>
      </c>
      <c r="J8" s="15" t="s">
        <v>56</v>
      </c>
      <c r="K8" s="15" t="s">
        <v>57</v>
      </c>
      <c r="L8" s="15" t="s">
        <v>58</v>
      </c>
      <c r="M8" s="15" t="s">
        <v>59</v>
      </c>
      <c r="N8" s="15" t="s">
        <v>60</v>
      </c>
      <c r="O8" s="15" t="s">
        <v>61</v>
      </c>
      <c r="P8" s="17" t="s">
        <v>15</v>
      </c>
    </row>
    <row r="9" spans="1:23" ht="30.75" customHeight="1" x14ac:dyDescent="0.25">
      <c r="A9" s="49" t="s">
        <v>67</v>
      </c>
      <c r="B9" s="18" t="e">
        <f t="shared" ref="B9:B14" si="0">C9/$C$13</f>
        <v>#REF!</v>
      </c>
      <c r="C9" s="19" t="e">
        <f>'PLANILHA OFICIAL '!#REF!</f>
        <v>#REF!</v>
      </c>
      <c r="D9" s="19" t="e">
        <f>0.5*C9</f>
        <v>#REF!</v>
      </c>
      <c r="E9" s="19" t="e">
        <f>(C9-D9)/11</f>
        <v>#REF!</v>
      </c>
      <c r="F9" s="19" t="e">
        <f>E9</f>
        <v>#REF!</v>
      </c>
      <c r="G9" s="19" t="e">
        <f t="shared" ref="G9:O9" si="1">F9</f>
        <v>#REF!</v>
      </c>
      <c r="H9" s="19" t="e">
        <f t="shared" si="1"/>
        <v>#REF!</v>
      </c>
      <c r="I9" s="19" t="e">
        <f t="shared" si="1"/>
        <v>#REF!</v>
      </c>
      <c r="J9" s="19" t="e">
        <f t="shared" si="1"/>
        <v>#REF!</v>
      </c>
      <c r="K9" s="19" t="e">
        <f t="shared" si="1"/>
        <v>#REF!</v>
      </c>
      <c r="L9" s="19" t="e">
        <f t="shared" si="1"/>
        <v>#REF!</v>
      </c>
      <c r="M9" s="19" t="e">
        <f t="shared" si="1"/>
        <v>#REF!</v>
      </c>
      <c r="N9" s="19" t="e">
        <f t="shared" si="1"/>
        <v>#REF!</v>
      </c>
      <c r="O9" s="19" t="e">
        <f t="shared" si="1"/>
        <v>#REF!</v>
      </c>
      <c r="P9" s="19" t="e">
        <f>SUM(D9:O9)</f>
        <v>#REF!</v>
      </c>
    </row>
    <row r="10" spans="1:23" ht="30.75" customHeight="1" x14ac:dyDescent="0.25">
      <c r="A10" s="50" t="str">
        <f>'PLANILHA OFICIAL '!C17</f>
        <v>TERRAPLENAGEM</v>
      </c>
      <c r="B10" s="18" t="e">
        <f t="shared" si="0"/>
        <v>#REF!</v>
      </c>
      <c r="C10" s="19">
        <f>'PLANILHA OFICIAL '!J17</f>
        <v>0</v>
      </c>
      <c r="D10" s="19">
        <f>0.1*C10</f>
        <v>0</v>
      </c>
      <c r="E10" s="19">
        <f>0.2*C10</f>
        <v>0</v>
      </c>
      <c r="F10" s="19">
        <f>E10</f>
        <v>0</v>
      </c>
      <c r="G10" s="19">
        <f>F10</f>
        <v>0</v>
      </c>
      <c r="H10" s="19">
        <f>G10</f>
        <v>0</v>
      </c>
      <c r="I10" s="19">
        <f>0.1*C10</f>
        <v>0</v>
      </c>
      <c r="J10" s="19"/>
      <c r="K10" s="19"/>
      <c r="L10" s="19"/>
      <c r="M10" s="19"/>
      <c r="N10" s="19"/>
      <c r="O10" s="19"/>
      <c r="P10" s="19">
        <f>SUM(D10:O10)</f>
        <v>0</v>
      </c>
    </row>
    <row r="11" spans="1:23" ht="30.75" customHeight="1" x14ac:dyDescent="0.25">
      <c r="A11" s="50" t="s">
        <v>9</v>
      </c>
      <c r="B11" s="18" t="e">
        <f t="shared" si="0"/>
        <v>#REF!</v>
      </c>
      <c r="C11" s="19">
        <f>'PLANILHA OFICIAL '!J22</f>
        <v>0</v>
      </c>
      <c r="D11" s="19"/>
      <c r="E11" s="19">
        <f>0.1*C11</f>
        <v>0</v>
      </c>
      <c r="F11" s="19">
        <f>E11</f>
        <v>0</v>
      </c>
      <c r="G11" s="19">
        <f>F11</f>
        <v>0</v>
      </c>
      <c r="H11" s="19">
        <f>0.3*C11</f>
        <v>0</v>
      </c>
      <c r="I11" s="19">
        <f>0.1*C11</f>
        <v>0</v>
      </c>
      <c r="J11" s="19">
        <f>I11</f>
        <v>0</v>
      </c>
      <c r="K11" s="19">
        <f>J11</f>
        <v>0</v>
      </c>
      <c r="L11" s="19">
        <f>0.1*C11</f>
        <v>0</v>
      </c>
      <c r="M11" s="19"/>
      <c r="N11" s="19"/>
      <c r="O11" s="19"/>
      <c r="P11" s="19">
        <f>SUM(D11:O11)</f>
        <v>0</v>
      </c>
    </row>
    <row r="12" spans="1:23" ht="30.75" customHeight="1" x14ac:dyDescent="0.25">
      <c r="A12" s="49" t="s">
        <v>80</v>
      </c>
      <c r="B12" s="18" t="e">
        <f t="shared" si="0"/>
        <v>#REF!</v>
      </c>
      <c r="C12" s="19" t="e">
        <f>'PLANILHA OFICIAL '!#REF!</f>
        <v>#REF!</v>
      </c>
      <c r="D12" s="19"/>
      <c r="E12" s="19" t="e">
        <f>0.05*C12</f>
        <v>#REF!</v>
      </c>
      <c r="F12" s="19" t="e">
        <f>E12</f>
        <v>#REF!</v>
      </c>
      <c r="G12" s="19" t="e">
        <f t="shared" ref="G12:O12" si="2">F12</f>
        <v>#REF!</v>
      </c>
      <c r="H12" s="19" t="e">
        <f>0.1*C12</f>
        <v>#REF!</v>
      </c>
      <c r="I12" s="19" t="e">
        <f>0.1*C12</f>
        <v>#REF!</v>
      </c>
      <c r="J12" s="19" t="e">
        <f>0.15*C12</f>
        <v>#REF!</v>
      </c>
      <c r="K12" s="19" t="e">
        <f>I12</f>
        <v>#REF!</v>
      </c>
      <c r="L12" s="19" t="e">
        <f t="shared" si="2"/>
        <v>#REF!</v>
      </c>
      <c r="M12" s="19" t="e">
        <f t="shared" si="2"/>
        <v>#REF!</v>
      </c>
      <c r="N12" s="19" t="e">
        <f t="shared" si="2"/>
        <v>#REF!</v>
      </c>
      <c r="O12" s="19" t="e">
        <f t="shared" si="2"/>
        <v>#REF!</v>
      </c>
      <c r="P12" s="19" t="e">
        <f>SUM(D12:O12)</f>
        <v>#REF!</v>
      </c>
    </row>
    <row r="13" spans="1:23" ht="30.75" customHeight="1" x14ac:dyDescent="0.25">
      <c r="A13" s="50" t="s">
        <v>31</v>
      </c>
      <c r="B13" s="18" t="e">
        <f t="shared" si="0"/>
        <v>#REF!</v>
      </c>
      <c r="C13" s="19" t="e">
        <f t="shared" ref="C13:O13" si="3">SUM(C9:C12)</f>
        <v>#REF!</v>
      </c>
      <c r="D13" s="19" t="e">
        <f t="shared" si="3"/>
        <v>#REF!</v>
      </c>
      <c r="E13" s="19" t="e">
        <f t="shared" si="3"/>
        <v>#REF!</v>
      </c>
      <c r="F13" s="19" t="e">
        <f t="shared" si="3"/>
        <v>#REF!</v>
      </c>
      <c r="G13" s="19" t="e">
        <f t="shared" si="3"/>
        <v>#REF!</v>
      </c>
      <c r="H13" s="19" t="e">
        <f t="shared" si="3"/>
        <v>#REF!</v>
      </c>
      <c r="I13" s="19" t="e">
        <f t="shared" si="3"/>
        <v>#REF!</v>
      </c>
      <c r="J13" s="19" t="e">
        <f t="shared" si="3"/>
        <v>#REF!</v>
      </c>
      <c r="K13" s="19" t="e">
        <f t="shared" si="3"/>
        <v>#REF!</v>
      </c>
      <c r="L13" s="19" t="e">
        <f t="shared" si="3"/>
        <v>#REF!</v>
      </c>
      <c r="M13" s="19" t="e">
        <f t="shared" si="3"/>
        <v>#REF!</v>
      </c>
      <c r="N13" s="19" t="e">
        <f t="shared" si="3"/>
        <v>#REF!</v>
      </c>
      <c r="O13" s="19" t="e">
        <f t="shared" si="3"/>
        <v>#REF!</v>
      </c>
      <c r="P13" s="19" t="e">
        <f>SUM(D13:O13)</f>
        <v>#REF!</v>
      </c>
    </row>
    <row r="14" spans="1:23" ht="30.75" customHeight="1" x14ac:dyDescent="0.25">
      <c r="A14" s="50" t="s">
        <v>32</v>
      </c>
      <c r="B14" s="18" t="e">
        <f t="shared" si="0"/>
        <v>#REF!</v>
      </c>
      <c r="C14" s="19" t="e">
        <f>C13</f>
        <v>#REF!</v>
      </c>
      <c r="D14" s="19" t="e">
        <f>D13</f>
        <v>#REF!</v>
      </c>
      <c r="E14" s="19" t="e">
        <f t="shared" ref="E14:O14" si="4">D14+E13</f>
        <v>#REF!</v>
      </c>
      <c r="F14" s="19" t="e">
        <f t="shared" si="4"/>
        <v>#REF!</v>
      </c>
      <c r="G14" s="19" t="e">
        <f t="shared" si="4"/>
        <v>#REF!</v>
      </c>
      <c r="H14" s="19" t="e">
        <f t="shared" si="4"/>
        <v>#REF!</v>
      </c>
      <c r="I14" s="19" t="e">
        <f t="shared" si="4"/>
        <v>#REF!</v>
      </c>
      <c r="J14" s="19" t="e">
        <f t="shared" si="4"/>
        <v>#REF!</v>
      </c>
      <c r="K14" s="19" t="e">
        <f t="shared" si="4"/>
        <v>#REF!</v>
      </c>
      <c r="L14" s="19" t="e">
        <f t="shared" si="4"/>
        <v>#REF!</v>
      </c>
      <c r="M14" s="19" t="e">
        <f t="shared" si="4"/>
        <v>#REF!</v>
      </c>
      <c r="N14" s="19" t="e">
        <f t="shared" si="4"/>
        <v>#REF!</v>
      </c>
      <c r="O14" s="19" t="e">
        <f t="shared" si="4"/>
        <v>#REF!</v>
      </c>
      <c r="P14" s="19"/>
    </row>
    <row r="15" spans="1:23" ht="30.75" customHeight="1" x14ac:dyDescent="0.25">
      <c r="A15" s="50" t="s">
        <v>33</v>
      </c>
      <c r="B15" s="14"/>
      <c r="C15" s="18"/>
      <c r="D15" s="18" t="e">
        <f>D13/$C$13</f>
        <v>#REF!</v>
      </c>
      <c r="E15" s="18" t="e">
        <f>E13/$C$13</f>
        <v>#REF!</v>
      </c>
      <c r="F15" s="18" t="e">
        <f>F13/$C$13</f>
        <v>#REF!</v>
      </c>
      <c r="G15" s="18" t="e">
        <f>G13/$C$13</f>
        <v>#REF!</v>
      </c>
      <c r="H15" s="18" t="e">
        <f>H13/$C$13</f>
        <v>#REF!</v>
      </c>
      <c r="I15" s="18" t="e">
        <f t="shared" ref="I15:O15" si="5">I13/$C$13</f>
        <v>#REF!</v>
      </c>
      <c r="J15" s="18" t="e">
        <f t="shared" si="5"/>
        <v>#REF!</v>
      </c>
      <c r="K15" s="18" t="e">
        <f t="shared" si="5"/>
        <v>#REF!</v>
      </c>
      <c r="L15" s="18" t="e">
        <f t="shared" si="5"/>
        <v>#REF!</v>
      </c>
      <c r="M15" s="18" t="e">
        <f t="shared" si="5"/>
        <v>#REF!</v>
      </c>
      <c r="N15" s="18" t="e">
        <f t="shared" si="5"/>
        <v>#REF!</v>
      </c>
      <c r="O15" s="18" t="e">
        <f t="shared" si="5"/>
        <v>#REF!</v>
      </c>
      <c r="P15" s="18"/>
      <c r="Q15" s="20"/>
      <c r="R15" s="20"/>
      <c r="S15" s="20"/>
      <c r="T15" s="20"/>
      <c r="U15" s="20"/>
      <c r="V15" s="20"/>
      <c r="W15" s="20"/>
    </row>
    <row r="16" spans="1:23" ht="30.75" customHeight="1" x14ac:dyDescent="0.25">
      <c r="A16" s="14" t="s">
        <v>34</v>
      </c>
      <c r="B16" s="14"/>
      <c r="C16" s="21"/>
      <c r="D16" s="18" t="e">
        <f>D15</f>
        <v>#REF!</v>
      </c>
      <c r="E16" s="18" t="e">
        <f t="shared" ref="E16:O16" si="6">D16+E15</f>
        <v>#REF!</v>
      </c>
      <c r="F16" s="18" t="e">
        <f t="shared" si="6"/>
        <v>#REF!</v>
      </c>
      <c r="G16" s="18" t="e">
        <f t="shared" si="6"/>
        <v>#REF!</v>
      </c>
      <c r="H16" s="18" t="e">
        <f t="shared" si="6"/>
        <v>#REF!</v>
      </c>
      <c r="I16" s="18" t="e">
        <f t="shared" si="6"/>
        <v>#REF!</v>
      </c>
      <c r="J16" s="18" t="e">
        <f t="shared" si="6"/>
        <v>#REF!</v>
      </c>
      <c r="K16" s="18" t="e">
        <f t="shared" si="6"/>
        <v>#REF!</v>
      </c>
      <c r="L16" s="18" t="e">
        <f t="shared" si="6"/>
        <v>#REF!</v>
      </c>
      <c r="M16" s="18" t="e">
        <f t="shared" si="6"/>
        <v>#REF!</v>
      </c>
      <c r="N16" s="18" t="e">
        <f t="shared" si="6"/>
        <v>#REF!</v>
      </c>
      <c r="O16" s="18" t="e">
        <f t="shared" si="6"/>
        <v>#REF!</v>
      </c>
      <c r="P16" s="18"/>
    </row>
    <row r="17" spans="7:16" x14ac:dyDescent="0.25">
      <c r="P17" s="20"/>
    </row>
    <row r="19" spans="7:16" ht="15.6" x14ac:dyDescent="0.3">
      <c r="G19" s="10"/>
    </row>
    <row r="20" spans="7:16" ht="15" x14ac:dyDescent="0.25">
      <c r="G20" s="1"/>
      <c r="H20" s="11"/>
      <c r="I20" s="11"/>
      <c r="J20" s="11"/>
      <c r="K20" s="11"/>
      <c r="L20" s="11"/>
      <c r="M20" s="11"/>
      <c r="N20" s="11"/>
      <c r="O20" s="11"/>
      <c r="P20" s="12"/>
    </row>
    <row r="21" spans="7:16" ht="15" x14ac:dyDescent="0.25">
      <c r="G21" s="1"/>
      <c r="H21" s="11"/>
      <c r="I21" s="11"/>
      <c r="J21" s="11"/>
      <c r="K21" s="11"/>
      <c r="L21" s="11"/>
      <c r="M21" s="11"/>
      <c r="N21" s="11"/>
      <c r="O21" s="11"/>
      <c r="P21" s="12"/>
    </row>
    <row r="22" spans="7:16" ht="15" x14ac:dyDescent="0.25">
      <c r="G22" s="1"/>
      <c r="H22" s="11"/>
      <c r="I22" s="11"/>
      <c r="J22" s="11"/>
      <c r="K22" s="11"/>
      <c r="L22" s="11"/>
      <c r="M22" s="11"/>
      <c r="N22" s="11"/>
      <c r="O22" s="11"/>
      <c r="P22" s="12"/>
    </row>
    <row r="23" spans="7:16" ht="15" x14ac:dyDescent="0.25">
      <c r="G23" s="1"/>
      <c r="H23" s="11"/>
      <c r="I23" s="11"/>
      <c r="J23" s="11"/>
      <c r="K23" s="11"/>
      <c r="L23" s="11"/>
      <c r="M23" s="11"/>
      <c r="N23" s="11"/>
      <c r="O23" s="11"/>
      <c r="P23" s="12"/>
    </row>
    <row r="24" spans="7:16" ht="15" x14ac:dyDescent="0.25">
      <c r="G24" s="1"/>
      <c r="H24" s="11"/>
      <c r="I24" s="11"/>
      <c r="J24" s="11"/>
      <c r="K24" s="11"/>
      <c r="L24" s="11"/>
      <c r="M24" s="11"/>
      <c r="N24" s="11"/>
      <c r="O24" s="11"/>
      <c r="P24" s="12"/>
    </row>
    <row r="25" spans="7:16" ht="15" x14ac:dyDescent="0.25">
      <c r="G25" s="1"/>
      <c r="H25" s="11"/>
      <c r="I25" s="11"/>
      <c r="J25" s="11"/>
      <c r="K25" s="11"/>
      <c r="L25" s="11"/>
      <c r="M25" s="11"/>
      <c r="N25" s="11"/>
      <c r="O25" s="11"/>
      <c r="P25" s="12"/>
    </row>
    <row r="26" spans="7:16" ht="15" x14ac:dyDescent="0.25">
      <c r="G26" s="1"/>
      <c r="H26" s="11"/>
      <c r="I26" s="11"/>
      <c r="J26" s="11"/>
      <c r="K26" s="11"/>
      <c r="L26" s="11"/>
      <c r="M26" s="11"/>
      <c r="N26" s="11"/>
      <c r="O26" s="11"/>
      <c r="P26" s="12"/>
    </row>
  </sheetData>
  <pageMargins left="0.51181102362204722" right="0.51181102362204722" top="1.1417322834645669" bottom="0.78740157480314965" header="0.74803149606299213" footer="0.31496062992125984"/>
  <pageSetup paperSize="9" scale="80" orientation="landscape" verticalDpi="0" r:id="rId1"/>
  <headerFooter>
    <oddHeader xml:space="preserve">&amp;C&amp;16CRONOGRAMA FÍSICO-FINANCEIRO </oddHeader>
    <oddFooter>Página &amp;P de &amp;N</oddFooter>
  </headerFooter>
</worksheet>
</file>

<file path=_xmlsignatures/_rels/origin.sigs.rels><?xml version="1.0" encoding="UTF-8" standalone="yes"?>
<Relationships xmlns="http://schemas.openxmlformats.org/package/2006/relationships"><Relationship Id="rId2" Type="http://schemas.openxmlformats.org/package/2006/relationships/digital-signature/signature" Target="sig2.xml"/><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eY8jhamGFTyeU/LNcL7P0eAmIDsGUtFTi0FrYggUkHs=</DigestValue>
    </Reference>
    <Reference Type="http://www.w3.org/2000/09/xmldsig#Object" URI="#idOfficeObject">
      <DigestMethod Algorithm="http://www.w3.org/2001/04/xmlenc#sha256"/>
      <DigestValue>Bd9OnZXxgMKE8N8rppZicnzdiGmBlC6K3+vCY6wFoPo=</DigestValue>
    </Reference>
    <Reference Type="http://uri.etsi.org/01903#SignedProperties" URI="#idSignedProperties">
      <Transforms>
        <Transform Algorithm="http://www.w3.org/TR/2001/REC-xml-c14n-20010315"/>
      </Transforms>
      <DigestMethod Algorithm="http://www.w3.org/2001/04/xmlenc#sha256"/>
      <DigestValue>iS0hK3nndoeMpOxBXoPKNjn4CQQ5lYXxj/94eHM3Les=</DigestValue>
    </Reference>
  </SignedInfo>
  <SignatureValue>EfC+aYQwxTadw5NbEbyi+8m7JR/JyOHXSHrZSf5nntqcCMB4anii8bKGs/sG1VGGaSZmRCLFHob7
kakr8rdqJMc49tKDJxTLaMfk94vTZZmeXxV8jUraFMKapOeOR7VREZngL6/RwiEZgVenUcUMRtcH
aWG1ihj3gnHXxNglwTqRGZL9jDd6+jOWnN4YNzAFEuIwbDV+u0tYB6V85ORNveRG23t8nQ+sCrqp
e9t66IR7kP2s2T/F+cAH3Yu5IGZsy5qAos5EkumvjSXMFd7bDlJvZ5U5OC1wRM+2/bT0QfJMeWLK
6pxHsZdbNMJ9C6y8S9ketRkTl5Q+Wc9F5A0b8Q==</SignatureValue>
  <KeyInfo>
    <X509Data>
      <X509Certificate>MIIDrDCCApSgAwIBAgIK1j7ljJ+v/4zq4TANBgkqhkiG9w0BAQsFADCBgzE4MDYGA1UEAxMvRkVMSVBFIE1BVEhFVVMgTE9QRVMgRE9TIEFOSk9TIC0gMTM2LjM1NC44NzYtMDAxCTAHBgNVBAoTADEJMAcGA1UECxMAMSQwIgYJKoZIhvcNAQkBFhVNQVRIRVVTTVRWVEBHTUFJTC5DT00xCzAJBgNVBAYTAkJSMB4XDTI0MTIwOTEzMzMxMVoXDTI5MTIwOTEzMzMxMVowgYMxODA2BgNVBAMTL0ZFTElQRSBNQVRIRVVTIExPUEVTIERPUyBBTkpPUyAtIDEzNi4zNTQuODc2LTAwMQkwBwYDVQQKEwAxCTAHBgNVBAsTADEkMCIGCSqGSIb3DQEJARYVTUFUSEVVU01UVlRAR01BSUwuQ09NMQswCQYDVQQGEwJCUjCCASIwDQYJKoZIhvcNAQEBBQADggEPADCCAQoCggEBALYFdQ6TwYQ448j4NV9RxzuQtuu/YQiOH2QV1NOKhxqG/OQcB7MRgBU3JIpAOv+zPUTD/XblftMC2uU3+F9nB69Y7sYDq1p4uUQ99XOP6jKUYqbJenp2Ia3+ez2I1dZDLSiCdpbJVqeJsMouG3Vl5jh0RHzhGVrvnWEd9lZJ9k97Fm0uEPxt5Ie9tc/S+QiEMDRJH6PkwhoYbYSnljATCiWxKUwXd9a8aUhG1BrhN6LRSFX4K6D+WZ0m0+YEZ5X53BxrvcCKPgXSO9tgF6jFIXyKx26TOJ5VKQPXhYkqsJV30ClEIIfHanu2VB3lCivIlFTh0i6WO3CqopjKWo2KXlMCAwEAAaMgMB4wDwYJKoZIhvcvAQEKBAIFADALBgNVHQ8EBAMCA5gwDQYJKoZIhvcNAQELBQADggEBAKchQFo9GeKG6M0/xQFXn3GzIOuDGKEBj+oJ2VhBmp+PYBY/uOKQaxiG5jBip+sj6+2nwxGjsBq3nWsiuHiv99aQEaqfAXYPtZIpLAQu3wvPpoatenFqpJ+uNoyRaEzGNcAqbj73zkudys5oTqRhSwMSqtkqJDdh8bzOvvy3x18zSluUf1jHParpSaLMtz4ySx3GS8C6Y2B4cRlZtSjDbTYDP46VjYSgs87szTD0N+4jVRP+njjhmgej39InkoJeXvJnRcN5iXr/VtbSrjea2xSkScLB7ZCvXlmnUN+0hox0UmQDO8lgMI5iZs8ZdZ+J5RurqUgsY5S+hbKSTxwtQ0A=</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13"/>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12"/>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Transform>
          <Transform Algorithm="http://www.w3.org/TR/2001/REC-xml-c14n-20010315"/>
        </Transforms>
        <DigestMethod Algorithm="http://www.w3.org/2001/04/xmlenc#sha256"/>
        <DigestValue>+ildauKHvl6e1LaayAWQoyexGD+BgWs68Qb5LUyUREg=</DigestValue>
      </Reference>
      <Reference URI="/xl/calcChain.xml?ContentType=application/vnd.openxmlformats-officedocument.spreadsheetml.calcChain+xml">
        <DigestMethod Algorithm="http://www.w3.org/2001/04/xmlenc#sha256"/>
        <DigestValue>aDweY53RpinBNspYL8JnLZuOFvzfQh1M3pJkam8oWKE=</DigestValue>
      </Reference>
      <Reference URI="/xl/comments1.xml?ContentType=application/vnd.openxmlformats-officedocument.spreadsheetml.comments+xml">
        <DigestMethod Algorithm="http://www.w3.org/2001/04/xmlenc#sha256"/>
        <DigestValue>lpnQkTW7tDO6INLBa3725uTIQ8BgnyIchP8nn2iAbn0=</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Y+3wJOMP3JY16bEUtgml2qEIrlc/vWMqGQ/VOkXiOUI=</DigestValue>
      </Reference>
      <Reference URI="/xl/drawings/_rels/drawing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Y+3wJOMP3JY16bEUtgml2qEIrlc/vWMqGQ/VOkXiOUI=</DigestValue>
      </Reference>
      <Reference URI="/xl/drawings/drawing1.xml?ContentType=application/vnd.openxmlformats-officedocument.drawing+xml">
        <DigestMethod Algorithm="http://www.w3.org/2001/04/xmlenc#sha256"/>
        <DigestValue>frkL6pPJzQjjUwIwaJrH2BC4+r3BoMxH7auCczpS9ec=</DigestValue>
      </Reference>
      <Reference URI="/xl/drawings/drawing2.xml?ContentType=application/vnd.openxmlformats-officedocument.drawing+xml">
        <DigestMethod Algorithm="http://www.w3.org/2001/04/xmlenc#sha256"/>
        <DigestValue>Ffb7Xr5K4VtXsiUVcVLsZyajp1Q5/C2m+YXjJkK+qqc=</DigestValue>
      </Reference>
      <Reference URI="/xl/drawings/drawing3.xml?ContentType=application/vnd.openxmlformats-officedocument.drawing+xml">
        <DigestMethod Algorithm="http://www.w3.org/2001/04/xmlenc#sha256"/>
        <DigestValue>9fQuJxSG9CIqXBFuYOG8rfawe9xv8kycr0UG7G8SPFc=</DigestValue>
      </Reference>
      <Reference URI="/xl/drawings/vmlDrawing1.vml?ContentType=application/vnd.openxmlformats-officedocument.vmlDrawing">
        <DigestMethod Algorithm="http://www.w3.org/2001/04/xmlenc#sha256"/>
        <DigestValue>Y3REeT8cIOKDPomMtPyWUOOb+5bzxYhcEUnyGV36qNg=</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HqSQ5LgZcDp+bfuRHoJ71HdnMDPhReqqlmUNSM7ZQc8=</DigestValue>
      </Reference>
      <Reference URI="/xl/externalLinks/externalLink1.xml?ContentType=application/vnd.openxmlformats-officedocument.spreadsheetml.externalLink+xml">
        <DigestMethod Algorithm="http://www.w3.org/2001/04/xmlenc#sha256"/>
        <DigestValue>Jd47kKhoHA7gf2joI738mthhm6knOakuHJHrast7XhE=</DigestValue>
      </Reference>
      <Reference URI="/xl/media/image1.jpeg?ContentType=image/jpeg">
        <DigestMethod Algorithm="http://www.w3.org/2001/04/xmlenc#sha256"/>
        <DigestValue>yDdIRoo2eIL70FM8Y6+28s28PirwzHFShmR1JXO/VUY=</DigestValue>
      </Reference>
      <Reference URI="/xl/printerSettings/printerSettings1.bin?ContentType=application/vnd.openxmlformats-officedocument.spreadsheetml.printerSettings">
        <DigestMethod Algorithm="http://www.w3.org/2001/04/xmlenc#sha256"/>
        <DigestValue>4PE8sTDDMja6Dp+0Rv7CwoBfUyzZ5NgN6LSGT1Zrbe8=</DigestValue>
      </Reference>
      <Reference URI="/xl/printerSettings/printerSettings2.bin?ContentType=application/vnd.openxmlformats-officedocument.spreadsheetml.printerSettings">
        <DigestMethod Algorithm="http://www.w3.org/2001/04/xmlenc#sha256"/>
        <DigestValue>2kMt3vazwx/IErYe0bHxCactIxOV7bLfmGRDLu10sp0=</DigestValue>
      </Reference>
      <Reference URI="/xl/printerSettings/printerSettings3.bin?ContentType=application/vnd.openxmlformats-officedocument.spreadsheetml.printerSettings">
        <DigestMethod Algorithm="http://www.w3.org/2001/04/xmlenc#sha256"/>
        <DigestValue>MaC/IBJu2rspPcGeuPUXM92YjKlUb5R3iE4G61iWVws=</DigestValue>
      </Reference>
      <Reference URI="/xl/printerSettings/printerSettings4.bin?ContentType=application/vnd.openxmlformats-officedocument.spreadsheetml.printerSettings">
        <DigestMethod Algorithm="http://www.w3.org/2001/04/xmlenc#sha256"/>
        <DigestValue>qBnnYXM4TiNg/ZWynDiTErl7lf/Gpw816OkbDqxB2h0=</DigestValue>
      </Reference>
      <Reference URI="/xl/printerSettings/printerSettings5.bin?ContentType=application/vnd.openxmlformats-officedocument.spreadsheetml.printerSettings">
        <DigestMethod Algorithm="http://www.w3.org/2001/04/xmlenc#sha256"/>
        <DigestValue>DI8mdEmk8iuls8NqYlcjf0toxbWp378sdTpqkbe4mog=</DigestValue>
      </Reference>
      <Reference URI="/xl/printerSettings/printerSettings6.bin?ContentType=application/vnd.openxmlformats-officedocument.spreadsheetml.printerSettings">
        <DigestMethod Algorithm="http://www.w3.org/2001/04/xmlenc#sha256"/>
        <DigestValue>7bEMCraUyiZRC/8EWl+q89vHgzfUciRzr9U84xTQTtM=</DigestValue>
      </Reference>
      <Reference URI="/xl/printerSettings/printerSettings7.bin?ContentType=application/vnd.openxmlformats-officedocument.spreadsheetml.printerSettings">
        <DigestMethod Algorithm="http://www.w3.org/2001/04/xmlenc#sha256"/>
        <DigestValue>HpRm5jpPeciNm4YNe4Q+E7bkGRi4Yi0V9WjxfNZ7x+w=</DigestValue>
      </Reference>
      <Reference URI="/xl/sharedStrings.xml?ContentType=application/vnd.openxmlformats-officedocument.spreadsheetml.sharedStrings+xml">
        <DigestMethod Algorithm="http://www.w3.org/2001/04/xmlenc#sha256"/>
        <DigestValue>CLpcal7x8zKGYnk2Y/wuU1VRds5YIPPABOWNBKTnTrU=</DigestValue>
      </Reference>
      <Reference URI="/xl/styles.xml?ContentType=application/vnd.openxmlformats-officedocument.spreadsheetml.styles+xml">
        <DigestMethod Algorithm="http://www.w3.org/2001/04/xmlenc#sha256"/>
        <DigestValue>563AYFJhogqDllLcQb1tDODDD0zG281Cg5NBq74wbbc=</DigestValue>
      </Reference>
      <Reference URI="/xl/theme/theme1.xml?ContentType=application/vnd.openxmlformats-officedocument.theme+xml">
        <DigestMethod Algorithm="http://www.w3.org/2001/04/xmlenc#sha256"/>
        <DigestValue>YNeH5J+J9RxutazRnaWBrYU5Xm5oQzBJ7Lrr3bNNcJw=</DigestValue>
      </Reference>
      <Reference URI="/xl/workbook.xml?ContentType=application/vnd.openxmlformats-officedocument.spreadsheetml.sheet.main+xml">
        <DigestMethod Algorithm="http://www.w3.org/2001/04/xmlenc#sha256"/>
        <DigestValue>YRTQRnVXoOa402D43YPYogFATSX9lFZ7bXm/q2+NJug=</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tAw0CM4ccbE0LI7BZe2RQojB2vCAlZVSovckU6XQgKA=</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ch/7Fy21MMu+BePE7V2u7g75sbQp0A/Jxw0Bq56y7z8=</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QSYMNFtFM/We0x/y91OmLCZOt/Fg9jrJRLrG/1nsbrY=</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Tli28rN8igOjzPasqezpYxpfwxhNMdfjzhfnghEdtVc=</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iCVOH+dXPW5Yow03OFzE3KFxd7gLMdb90NF1eBlmABk=</DigestValue>
      </Reference>
      <Reference URI="/xl/worksheets/_rels/sheet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cHSaoSNm5nCotqUe+dTLnc1pBKvYzluxU+g0Bl3uMr8=</DigestValue>
      </Reference>
      <Reference URI="/xl/worksheets/_rels/sheet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yc48oc/QmVpCKOyTQC/b+mtn1WuyjRR/gC7AuLuMWdI=</DigestValue>
      </Reference>
      <Reference URI="/xl/worksheets/sheet1.xml?ContentType=application/vnd.openxmlformats-officedocument.spreadsheetml.worksheet+xml">
        <DigestMethod Algorithm="http://www.w3.org/2001/04/xmlenc#sha256"/>
        <DigestValue>PckkFY31W5dFBAyMy3OOhguI1hhspCVlBRXI9iEtdfk=</DigestValue>
      </Reference>
      <Reference URI="/xl/worksheets/sheet2.xml?ContentType=application/vnd.openxmlformats-officedocument.spreadsheetml.worksheet+xml">
        <DigestMethod Algorithm="http://www.w3.org/2001/04/xmlenc#sha256"/>
        <DigestValue>MVg0qhlL+p2dCV4Gy5CaxjSvPAYhJm7qsoawUzqz92c=</DigestValue>
      </Reference>
      <Reference URI="/xl/worksheets/sheet3.xml?ContentType=application/vnd.openxmlformats-officedocument.spreadsheetml.worksheet+xml">
        <DigestMethod Algorithm="http://www.w3.org/2001/04/xmlenc#sha256"/>
        <DigestValue>hzaFYndUvfZRJsklMsXYoAsKVid5oGxkABMm6C1v3Tk=</DigestValue>
      </Reference>
      <Reference URI="/xl/worksheets/sheet4.xml?ContentType=application/vnd.openxmlformats-officedocument.spreadsheetml.worksheet+xml">
        <DigestMethod Algorithm="http://www.w3.org/2001/04/xmlenc#sha256"/>
        <DigestValue>/6qWX3WkI8Ia1j9OgcSnf/DVUC405GzukYpv3gTXBvE=</DigestValue>
      </Reference>
      <Reference URI="/xl/worksheets/sheet5.xml?ContentType=application/vnd.openxmlformats-officedocument.spreadsheetml.worksheet+xml">
        <DigestMethod Algorithm="http://www.w3.org/2001/04/xmlenc#sha256"/>
        <DigestValue>/BcRBlshstztjY0agk1OCHJEqIMCviu88aY/SuaZ1KY=</DigestValue>
      </Reference>
      <Reference URI="/xl/worksheets/sheet6.xml?ContentType=application/vnd.openxmlformats-officedocument.spreadsheetml.worksheet+xml">
        <DigestMethod Algorithm="http://www.w3.org/2001/04/xmlenc#sha256"/>
        <DigestValue>hMp0+CDZv5Rl9M91HjvyV4cvwX+6s62VL+BfJlYGJmw=</DigestValue>
      </Reference>
      <Reference URI="/xl/worksheets/sheet7.xml?ContentType=application/vnd.openxmlformats-officedocument.spreadsheetml.worksheet+xml">
        <DigestMethod Algorithm="http://www.w3.org/2001/04/xmlenc#sha256"/>
        <DigestValue>S0saPbAiw9trQznOgDrmhVAZVf5qBg7Her9n3MXsvyU=</DigestValue>
      </Reference>
      <Reference URI="/xl/worksheets/sheet8.xml?ContentType=application/vnd.openxmlformats-officedocument.spreadsheetml.worksheet+xml">
        <DigestMethod Algorithm="http://www.w3.org/2001/04/xmlenc#sha256"/>
        <DigestValue>H1cf7ROLuoPYvtqeEhNIzzZALMXbQ4VWLHi5L4fA6s8=</DigestValue>
      </Reference>
    </Manifest>
    <SignatureProperties>
      <SignatureProperty Id="idSignatureTime" Target="#idPackageSignature">
        <mdssi:SignatureTime xmlns:mdssi="http://schemas.openxmlformats.org/package/2006/digital-signature">
          <mdssi:Format>YYYY-MM-DDThh:mm:ssTZD</mdssi:Format>
          <mdssi:Value>2026-01-22T17:26:02Z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16.0.18227/26</OfficeVersion>
          <ApplicationVersion>16.0.18227</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2026-01-22T17:26:02Z</xd:SigningTime>
          <xd:SigningCertificate>
            <xd:Cert>
              <xd:CertDigest>
                <DigestMethod Algorithm="http://www.w3.org/2001/04/xmlenc#sha256"/>
                <DigestValue>Y2IUyoCO7nF7u34MGFdB5mL6HsuRLm/LrRdXwoztgY8=</DigestValue>
              </xd:CertDigest>
              <xd:IssuerSerial>
                <X509IssuerName>C=BR, E=MATHEUSMTVT@GMAIL.COM, OU="", O="", CN=FELIPE MATHEUS LOPES DOS ANJOS - 136.354.876-00</X509IssuerName>
                <X509SerialNumber>1011746666237783748438753</X509SerialNumber>
              </xd:IssuerSerial>
            </xd:Cert>
          </xd:SigningCertificate>
          <xd:SignaturePolicyIdentifier>
            <xd:SignaturePolicyImplied/>
          </xd:SignaturePolicyIdentifier>
        </xd:SignedSignatureProperties>
        <xd:SignedDataObjectProperties>
          <xd:CommitmentTypeIndication>
            <xd:CommitmentTypeId>
              <xd:Identifier>http://uri.etsi.org/01903/v1.2.2#ProofOfCreation</xd:Identifier>
              <xd:Description>Criou este documento</xd:Description>
            </xd:CommitmentTypeId>
            <xd:AllSignedDataObjects/>
          </xd:CommitmentTypeIndication>
        </xd:SignedDataObjectProperties>
      </xd:SignedProperties>
    </xd:QualifyingProperties>
  </Object>
</Signature>
</file>

<file path=_xmlsignatures/sig2.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iIA5SvCwkNPkmpjpGXa2Vu++t1YVLWqdc1wk1zKs8ok=</DigestValue>
    </Reference>
    <Reference Type="http://www.w3.org/2000/09/xmldsig#Object" URI="#idOfficeObject">
      <DigestMethod Algorithm="http://www.w3.org/2001/04/xmlenc#sha256"/>
      <DigestValue>+knhtkniEhS0IyqnHYBzM5NTkzyRW9p4EKnIfwFBfOU=</DigestValue>
    </Reference>
    <Reference Type="http://uri.etsi.org/01903#SignedProperties" URI="#idSignedProperties">
      <Transforms>
        <Transform Algorithm="http://www.w3.org/TR/2001/REC-xml-c14n-20010315"/>
      </Transforms>
      <DigestMethod Algorithm="http://www.w3.org/2001/04/xmlenc#sha256"/>
      <DigestValue>UJt15dzlWpA0WG0e+SZjI/ddwbxTBYxgjSCKFdubHJY=</DigestValue>
    </Reference>
  </SignedInfo>
  <SignatureValue>qy1k764TYUKgxMuYa4AkyMneymsVixR7awF2s1oFj46aA1WyFT442u4LHRM0eNFEpC7D91nYL5Jq
kVftJvpbcyQ5LH8ocS8irjOr1BIbxA6R5mmB2hL/B0CpQUfX9P9NiAIumHYNE3KmFBpW4IvbO+J+
Ou/MuhoFtvTQAuHicGwpVxjsRqhFqfXoxjm7XWgFQLa5k7rHGfSRZ4TA8ReUBF0GZ5bDR9572O8r
uv5wXNKgi4UL8clMrTyxY2FWx2R6Z2xneB6+dtlNf6O5HVt06JaphCpIUG+YrOVR5q5AWBUK8AFN
z4YuVZ7Wa63x5NEbZuZWIqDCMx4mUyYTD0P0nw==</SignatureValue>
  <KeyInfo>
    <X509Data>
      <X509Certificate>MIIHTzCCBTegAwIBAgIITuCyZbHHwx8wDQYJKoZIhvcNAQELBQAwczELMAkGA1UEBhMCQlIxEzARBgNVBAoTCklDUC1CcmFzaWwxNjA0BgNVBAsTLVNlY3JldGFyaWEgZGEgUmVjZWl0YSBGZWRlcmFsIGRvIEJyYXNpbCAtIFJGQjEXMBUGA1UEAxMOQUMgTElOSyBSRkIgdjIwHhcNMjUwNjE3MTkxNDUyWhcNMjYwNjE3MTkxNDUyWjCB3DELMAkGA1UEBhMCQlIxEzARBgNVBAoTCklDUC1CcmFzaWwxFzAVBgNVBAsTDjE3MDI0NzYzMDAwMTc1MTYwNAYDVQQLEy1TZWNyZXRhcmlhIGRhIFJlY2VpdGEgRmVkZXJhbCBkbyBCcmFzaWwgLSBSRkIxETAPBgNVBAsTCGUtQ1BGIEExMRQwEgYDVQQLEwsoRU0gQlJBTkNPKTETMBEGA1UECxMKcHJlc2VuY2lhbDEpMCcGA1UEAxMgRlJFRFNPTiBMT1BFUyBGUkFOQ0E6MTk5NTc2NzI4MDAwggEiMA0GCSqGSIb3DQEBAQUAA4IBDwAwggEKAoIBAQDZjKGUO8b2aaG1inxNkO65QhpX0gh9RK4sUJTNcuJM9YBc+ix32ExbQYkdYLMv44jyQxEb/RPgxz2+RmOGbbIGtz/9h4oxGPuGwvHFTKrpCRayXOKQJ7yQRIWjLs/QfnoBq1pehEKE64fmRxFbfvcdOvgTHJA+i/R6I1bzc1HddM8CGTYHQDhhlWzuFk7hSYbg6TARPkrb/GWAM3aBOPQnwllUsNdb/PNEHP6eqookHsFq641pB6MUBs0TadLIUk1L4uY7pFJQ1zmv6/w623jP1Z48M7tz6x/FglpPDYX6e3fuCCoqdq3pBNkiCLh0xtlaleHR1YonV0FhcEX4tSSJAgMBAAGjggJ7MIICdzAfBgNVHSMEGDAWgBQN39ZH9BNO5SJYMixmpucu5Fe8AjAOBgNVHQ8BAf8EBAMCBeAwbAYDVR0gBGUwYzBhBgZgTAECATswVzBVBggrBgEFBQcCARZJaHR0cDovL3JlcG9zaXRvcmlvLmxpbmtjZXJ0aWZpY2FjYW8uY29tLmJyL2FjLWxpbmtyZmIvYWMtbGluay1yZmItZHBjLnBkZjCBsAYDVR0fBIGoMIGlMFCgTqBMhkpodHRwOi8vcmVwb3NpdG9yaW8ubGlua2NlcnRpZmljYWNhby5jb20uYnIvYWMtbGlua3JmYi9sY3ItYWMtbGlua3JmYnY1LmNybDBRoE+gTYZLaHR0cDovL3JlcG9zaXRvcmlvMi5saW5rY2VydGlmaWNhY2FvLmNvbS5ici9hYy1saW5rcmZiL2xjci1hYy1saW5rcmZidjUuY3JsMGIGCCsGAQUFBwEBBFYwVDBSBggrBgEFBQcwAoZGaHR0cDovL3JlcG9zaXRvcmlvLmxpbmtjZXJ0aWZpY2FjYW8uY29tLmJyL2FjLWxpbmtyZmIvYWMtbGlua3JmYnY1LnA3YjCBlAYDVR0RBIGMMIGJgRRGUkFOQ0FGUkVEQEdNQUlMLkNPTaA4BgVgTAEDAaAvEy0xMTA5MTk2NzE5OTU3NjcyODAwMDAwMDAwMDAwMDAwMDAwMDAwMDAwMDAwMDCgHgYFYEwBAwWgFRMTMDAwMDAwMDAwMDAwMDAwMDAwMKAXBgVgTAEDBqAOEwwwMDAwMDAwMDAwMDAwHQYDVR0lBBYwFAYIKwYBBQUHAwIGCCsGAQUFBwMEMAkGA1UdEwQCMAAwDQYJKoZIhvcNAQELBQADggIBAEDJ4gJQEeEY/+Q1FamHlxt/ETuPH6hVMqc6R4zfXgAsOq++l8qHKwKJVj0Z9bjhAsypfETOT7d7NCUJf98+L9j2P/lpK22tbhXdVdzpUSObppzQX3ZOu7/kUxWGZYA5l11dJ0QSqgGL6QbxHiptJnY5enGjUj3NLYW9p3x/6PjTBLaFQjlrXh2QSidkfAMx+tofZryJNa3LQkrOFATMt15AcuwoWV3FH8uhtfz/WlKWQkBB5JQkrsllLsixEOZ2cVCvwq+epPIeGRQMj6GFbweNHZsUZrFABPHuLITDRjy3/rm7dULkDNivlgIo0GGdU+3pElQ/Mv4xzPPFwoEAqVls28L/sG2lnsKy4Kf0JJ8dW2J9LIWALq4hPIWvuFmL1k4WypAD/Pxb270AmzTYZQmb5ThLf3WnfIXmhSMA105XeBeRZtlwTeiFonJcJbRT/XKNc0CklRamq4dnja6pr2gaclPhMoOj3HauZkQhC4qEoTzpIMnb/NMmRtCx7DJYNXMTq2cR1X13M7B2s677GKqSCRt9QZiBIPjo/FF4rF6w3FCYlOCGTr8YSPVqp2wIdkjnm1OQdmeVtbIjiy+yAZLEG9uuOEGSOnAbdW27ABse/puI8FDFfnHIWhIN7PRU4lfcM6rKcfWzfcxMfwXnWfIOpdzvAgjHDiOca9tDRwnd</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11"/>
            <mdssi:RelationshipReference xmlns:mdssi="http://schemas.openxmlformats.org/package/2006/digital-signature" SourceId="rId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13"/>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12"/>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Transform>
          <Transform Algorithm="http://www.w3.org/TR/2001/REC-xml-c14n-20010315"/>
        </Transforms>
        <DigestMethod Algorithm="http://www.w3.org/2001/04/xmlenc#sha256"/>
        <DigestValue>+ildauKHvl6e1LaayAWQoyexGD+BgWs68Qb5LUyUREg=</DigestValue>
      </Reference>
      <Reference URI="/xl/calcChain.xml?ContentType=application/vnd.openxmlformats-officedocument.spreadsheetml.calcChain+xml">
        <DigestMethod Algorithm="http://www.w3.org/2001/04/xmlenc#sha256"/>
        <DigestValue>aDweY53RpinBNspYL8JnLZuOFvzfQh1M3pJkam8oWKE=</DigestValue>
      </Reference>
      <Reference URI="/xl/comments1.xml?ContentType=application/vnd.openxmlformats-officedocument.spreadsheetml.comments+xml">
        <DigestMethod Algorithm="http://www.w3.org/2001/04/xmlenc#sha256"/>
        <DigestValue>lpnQkTW7tDO6INLBa3725uTIQ8BgnyIchP8nn2iAbn0=</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Y+3wJOMP3JY16bEUtgml2qEIrlc/vWMqGQ/VOkXiOUI=</DigestValue>
      </Reference>
      <Reference URI="/xl/drawings/_rels/drawing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Y+3wJOMP3JY16bEUtgml2qEIrlc/vWMqGQ/VOkXiOUI=</DigestValue>
      </Reference>
      <Reference URI="/xl/drawings/drawing1.xml?ContentType=application/vnd.openxmlformats-officedocument.drawing+xml">
        <DigestMethod Algorithm="http://www.w3.org/2001/04/xmlenc#sha256"/>
        <DigestValue>frkL6pPJzQjjUwIwaJrH2BC4+r3BoMxH7auCczpS9ec=</DigestValue>
      </Reference>
      <Reference URI="/xl/drawings/drawing2.xml?ContentType=application/vnd.openxmlformats-officedocument.drawing+xml">
        <DigestMethod Algorithm="http://www.w3.org/2001/04/xmlenc#sha256"/>
        <DigestValue>Ffb7Xr5K4VtXsiUVcVLsZyajp1Q5/C2m+YXjJkK+qqc=</DigestValue>
      </Reference>
      <Reference URI="/xl/drawings/drawing3.xml?ContentType=application/vnd.openxmlformats-officedocument.drawing+xml">
        <DigestMethod Algorithm="http://www.w3.org/2001/04/xmlenc#sha256"/>
        <DigestValue>9fQuJxSG9CIqXBFuYOG8rfawe9xv8kycr0UG7G8SPFc=</DigestValue>
      </Reference>
      <Reference URI="/xl/drawings/vmlDrawing1.vml?ContentType=application/vnd.openxmlformats-officedocument.vmlDrawing">
        <DigestMethod Algorithm="http://www.w3.org/2001/04/xmlenc#sha256"/>
        <DigestValue>Y3REeT8cIOKDPomMtPyWUOOb+5bzxYhcEUnyGV36qNg=</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HqSQ5LgZcDp+bfuRHoJ71HdnMDPhReqqlmUNSM7ZQc8=</DigestValue>
      </Reference>
      <Reference URI="/xl/externalLinks/externalLink1.xml?ContentType=application/vnd.openxmlformats-officedocument.spreadsheetml.externalLink+xml">
        <DigestMethod Algorithm="http://www.w3.org/2001/04/xmlenc#sha256"/>
        <DigestValue>Jd47kKhoHA7gf2joI738mthhm6knOakuHJHrast7XhE=</DigestValue>
      </Reference>
      <Reference URI="/xl/media/image1.jpeg?ContentType=image/jpeg">
        <DigestMethod Algorithm="http://www.w3.org/2001/04/xmlenc#sha256"/>
        <DigestValue>yDdIRoo2eIL70FM8Y6+28s28PirwzHFShmR1JXO/VUY=</DigestValue>
      </Reference>
      <Reference URI="/xl/printerSettings/printerSettings1.bin?ContentType=application/vnd.openxmlformats-officedocument.spreadsheetml.printerSettings">
        <DigestMethod Algorithm="http://www.w3.org/2001/04/xmlenc#sha256"/>
        <DigestValue>4PE8sTDDMja6Dp+0Rv7CwoBfUyzZ5NgN6LSGT1Zrbe8=</DigestValue>
      </Reference>
      <Reference URI="/xl/printerSettings/printerSettings2.bin?ContentType=application/vnd.openxmlformats-officedocument.spreadsheetml.printerSettings">
        <DigestMethod Algorithm="http://www.w3.org/2001/04/xmlenc#sha256"/>
        <DigestValue>2kMt3vazwx/IErYe0bHxCactIxOV7bLfmGRDLu10sp0=</DigestValue>
      </Reference>
      <Reference URI="/xl/printerSettings/printerSettings3.bin?ContentType=application/vnd.openxmlformats-officedocument.spreadsheetml.printerSettings">
        <DigestMethod Algorithm="http://www.w3.org/2001/04/xmlenc#sha256"/>
        <DigestValue>MaC/IBJu2rspPcGeuPUXM92YjKlUb5R3iE4G61iWVws=</DigestValue>
      </Reference>
      <Reference URI="/xl/printerSettings/printerSettings4.bin?ContentType=application/vnd.openxmlformats-officedocument.spreadsheetml.printerSettings">
        <DigestMethod Algorithm="http://www.w3.org/2001/04/xmlenc#sha256"/>
        <DigestValue>qBnnYXM4TiNg/ZWynDiTErl7lf/Gpw816OkbDqxB2h0=</DigestValue>
      </Reference>
      <Reference URI="/xl/printerSettings/printerSettings5.bin?ContentType=application/vnd.openxmlformats-officedocument.spreadsheetml.printerSettings">
        <DigestMethod Algorithm="http://www.w3.org/2001/04/xmlenc#sha256"/>
        <DigestValue>DI8mdEmk8iuls8NqYlcjf0toxbWp378sdTpqkbe4mog=</DigestValue>
      </Reference>
      <Reference URI="/xl/printerSettings/printerSettings6.bin?ContentType=application/vnd.openxmlformats-officedocument.spreadsheetml.printerSettings">
        <DigestMethod Algorithm="http://www.w3.org/2001/04/xmlenc#sha256"/>
        <DigestValue>7bEMCraUyiZRC/8EWl+q89vHgzfUciRzr9U84xTQTtM=</DigestValue>
      </Reference>
      <Reference URI="/xl/printerSettings/printerSettings7.bin?ContentType=application/vnd.openxmlformats-officedocument.spreadsheetml.printerSettings">
        <DigestMethod Algorithm="http://www.w3.org/2001/04/xmlenc#sha256"/>
        <DigestValue>HpRm5jpPeciNm4YNe4Q+E7bkGRi4Yi0V9WjxfNZ7x+w=</DigestValue>
      </Reference>
      <Reference URI="/xl/sharedStrings.xml?ContentType=application/vnd.openxmlformats-officedocument.spreadsheetml.sharedStrings+xml">
        <DigestMethod Algorithm="http://www.w3.org/2001/04/xmlenc#sha256"/>
        <DigestValue>CLpcal7x8zKGYnk2Y/wuU1VRds5YIPPABOWNBKTnTrU=</DigestValue>
      </Reference>
      <Reference URI="/xl/styles.xml?ContentType=application/vnd.openxmlformats-officedocument.spreadsheetml.styles+xml">
        <DigestMethod Algorithm="http://www.w3.org/2001/04/xmlenc#sha256"/>
        <DigestValue>563AYFJhogqDllLcQb1tDODDD0zG281Cg5NBq74wbbc=</DigestValue>
      </Reference>
      <Reference URI="/xl/theme/theme1.xml?ContentType=application/vnd.openxmlformats-officedocument.theme+xml">
        <DigestMethod Algorithm="http://www.w3.org/2001/04/xmlenc#sha256"/>
        <DigestValue>YNeH5J+J9RxutazRnaWBrYU5Xm5oQzBJ7Lrr3bNNcJw=</DigestValue>
      </Reference>
      <Reference URI="/xl/workbook.xml?ContentType=application/vnd.openxmlformats-officedocument.spreadsheetml.sheet.main+xml">
        <DigestMethod Algorithm="http://www.w3.org/2001/04/xmlenc#sha256"/>
        <DigestValue>YRTQRnVXoOa402D43YPYogFATSX9lFZ7bXm/q2+NJug=</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tAw0CM4ccbE0LI7BZe2RQojB2vCAlZVSovckU6XQgKA=</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ch/7Fy21MMu+BePE7V2u7g75sbQp0A/Jxw0Bq56y7z8=</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QSYMNFtFM/We0x/y91OmLCZOt/Fg9jrJRLrG/1nsbrY=</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Tli28rN8igOjzPasqezpYxpfwxhNMdfjzhfnghEdtVc=</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iCVOH+dXPW5Yow03OFzE3KFxd7gLMdb90NF1eBlmABk=</DigestValue>
      </Reference>
      <Reference URI="/xl/worksheets/_rels/sheet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cHSaoSNm5nCotqUe+dTLnc1pBKvYzluxU+g0Bl3uMr8=</DigestValue>
      </Reference>
      <Reference URI="/xl/worksheets/_rels/sheet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yc48oc/QmVpCKOyTQC/b+mtn1WuyjRR/gC7AuLuMWdI=</DigestValue>
      </Reference>
      <Reference URI="/xl/worksheets/sheet1.xml?ContentType=application/vnd.openxmlformats-officedocument.spreadsheetml.worksheet+xml">
        <DigestMethod Algorithm="http://www.w3.org/2001/04/xmlenc#sha256"/>
        <DigestValue>PckkFY31W5dFBAyMy3OOhguI1hhspCVlBRXI9iEtdfk=</DigestValue>
      </Reference>
      <Reference URI="/xl/worksheets/sheet2.xml?ContentType=application/vnd.openxmlformats-officedocument.spreadsheetml.worksheet+xml">
        <DigestMethod Algorithm="http://www.w3.org/2001/04/xmlenc#sha256"/>
        <DigestValue>MVg0qhlL+p2dCV4Gy5CaxjSvPAYhJm7qsoawUzqz92c=</DigestValue>
      </Reference>
      <Reference URI="/xl/worksheets/sheet3.xml?ContentType=application/vnd.openxmlformats-officedocument.spreadsheetml.worksheet+xml">
        <DigestMethod Algorithm="http://www.w3.org/2001/04/xmlenc#sha256"/>
        <DigestValue>hzaFYndUvfZRJsklMsXYoAsKVid5oGxkABMm6C1v3Tk=</DigestValue>
      </Reference>
      <Reference URI="/xl/worksheets/sheet4.xml?ContentType=application/vnd.openxmlformats-officedocument.spreadsheetml.worksheet+xml">
        <DigestMethod Algorithm="http://www.w3.org/2001/04/xmlenc#sha256"/>
        <DigestValue>/6qWX3WkI8Ia1j9OgcSnf/DVUC405GzukYpv3gTXBvE=</DigestValue>
      </Reference>
      <Reference URI="/xl/worksheets/sheet5.xml?ContentType=application/vnd.openxmlformats-officedocument.spreadsheetml.worksheet+xml">
        <DigestMethod Algorithm="http://www.w3.org/2001/04/xmlenc#sha256"/>
        <DigestValue>/BcRBlshstztjY0agk1OCHJEqIMCviu88aY/SuaZ1KY=</DigestValue>
      </Reference>
      <Reference URI="/xl/worksheets/sheet6.xml?ContentType=application/vnd.openxmlformats-officedocument.spreadsheetml.worksheet+xml">
        <DigestMethod Algorithm="http://www.w3.org/2001/04/xmlenc#sha256"/>
        <DigestValue>hMp0+CDZv5Rl9M91HjvyV4cvwX+6s62VL+BfJlYGJmw=</DigestValue>
      </Reference>
      <Reference URI="/xl/worksheets/sheet7.xml?ContentType=application/vnd.openxmlformats-officedocument.spreadsheetml.worksheet+xml">
        <DigestMethod Algorithm="http://www.w3.org/2001/04/xmlenc#sha256"/>
        <DigestValue>S0saPbAiw9trQznOgDrmhVAZVf5qBg7Her9n3MXsvyU=</DigestValue>
      </Reference>
      <Reference URI="/xl/worksheets/sheet8.xml?ContentType=application/vnd.openxmlformats-officedocument.spreadsheetml.worksheet+xml">
        <DigestMethod Algorithm="http://www.w3.org/2001/04/xmlenc#sha256"/>
        <DigestValue>H1cf7ROLuoPYvtqeEhNIzzZALMXbQ4VWLHi5L4fA6s8=</DigestValue>
      </Reference>
    </Manifest>
    <SignatureProperties>
      <SignatureProperty Id="idSignatureTime" Target="#idPackageSignature">
        <mdssi:SignatureTime xmlns:mdssi="http://schemas.openxmlformats.org/package/2006/digital-signature">
          <mdssi:Format>YYYY-MM-DDThh:mm:ssTZD</mdssi:Format>
          <mdssi:Value>2026-01-27T10:32:57Z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16.0.19127/27</OfficeVersion>
          <ApplicationVersion>16.0.19127</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2026-01-27T10:32:57Z</xd:SigningTime>
          <xd:SigningCertificate>
            <xd:Cert>
              <xd:CertDigest>
                <DigestMethod Algorithm="http://www.w3.org/2001/04/xmlenc#sha256"/>
                <DigestValue>kRpGOTnYQ+9VFov48KaSCvVTHrwYR89QjrWGe+1/h2k=</DigestValue>
              </xd:CertDigest>
              <xd:IssuerSerial>
                <X509IssuerName>CN=AC LINK RFB v2, OU=Secretaria da Receita Federal do Brasil - RFB, O=ICP-Brasil, C=BR</X509IssuerName>
                <X509SerialNumber>5683738879585665823</X509SerialNumber>
              </xd:IssuerSerial>
            </xd:Cert>
          </xd:SigningCertificate>
          <xd:SignaturePolicyIdentifier>
            <xd:SignaturePolicyImplied/>
          </xd:SignaturePolicyIdentifier>
        </xd:SignedSignatureProperties>
        <xd:SignedDataObjectProperties>
          <xd:CommitmentTypeIndication>
            <xd:CommitmentTypeId>
              <xd:Identifier>http://uri.etsi.org/01903/v1.2.2#ProofOfApproval</xd:Identifier>
              <xd:Description>Aprovou este documento</xd:Description>
            </xd:CommitmentTypeId>
            <xd:AllSignedDataObjects/>
          </xd:CommitmentTypeIndication>
        </xd:SignedDataObjectProperties>
      </xd:SignedProperties>
      <xd:UnsignedProperties>
        <xd:UnsignedSignatureProperties>
          <xd:CertificateValues>
            <xd:EncapsulatedX509Certificate>MIIG1jCCBL6gAwIBAgIBFjANBgkqhkiG9w0BAQ0FADCBkDELMAkGA1UEBhMCQlIxEzARBgNVBAoMCklDUC1CcmFzaWwxNDAyBgNVBAsMK0F1dG9yaWRhZGUgQ2VydGlmaWNhZG9yYSBSYWl6IEJyYXNpbGVpcmEgdjUxNjA0BgNVBAMMLUFDIFNlY3JldGFyaWEgZGEgUmVjZWl0YSBGZWRlcmFsIGRvIEJyYXNpbCB2NDAeFw0xODAyMjcxMzQyNDBaFw0yOTAyMjAxMjAwMDRaMHMxCzAJBgNVBAYTAkJSMRMwEQYDVQQKEwpJQ1AtQnJhc2lsMTYwNAYDVQQLEy1TZWNyZXRhcmlhIGRhIFJlY2VpdGEgRmVkZXJhbCBkbyBCcmFzaWwgLSBSRkIxFzAVBgNVBAMTDkFDIExJTksgUkZCIHYyMIICIjANBgkqhkiG9w0BAQEFAAOCAg8AMIICCgKCAgEAiSglOWWKSbm3JTm+yZ1EioJ6gfv1IJvafMW5fM9Xj/3KL1v+hEgAY9a2h8K1KXZJ3Vtt+7V4Tx44Dwtdp7Pkr5FQUo4yFhnruYfu4gQFW5xr8E1soJr13hbE7oElWujsaVPXlv7GAhxHKuFyPhyRmHMhsb/JrOmb/+4vOE/3P9OOEGgr/vZ7cv3nKvMEqhOh21W/7/f8Wk93IPSgs59GLVecr+Cmc0yu3fYmxhrf2LqNhru5QoeL4QNjlXQjWPdgVf9QbEU1SwO90fOybPvcziLQIv6jdyRjPJofdKbhsgEvaA+CAPme/WMkBo9AZ+kDN4I1Lyx5d+m6kkGiAOCluHsL6xhV45xzvnjNd9n3EJxDd6ms4py0a5ynVvkaVBCvfnQw46AVjMdIW4HUA0YS7CMSZUe8jY7jthz76cCBwrAjFIuj5Zt1MWQju+LeDA9Mg3kQxOcE9rD26FpJknBmTiMcSZPBqP4d8TsOqcTuEIWxRlusKf1d97daggPsmgY4NtnUyNF+OZKdWCWLLoF1ofjVRPmjRKIfoiurJGd8FvXiK1gS/kUeOaU0Z9gsv/PboF2lU0OoXeRPDQSLxH/aRLevtRJGy1Y/v4loOKhfh29yZrZp6qswRPAfuAMxgTQqr/W78WKlcgboiCHSA/4QQpU3ph+iYJSrZJSCtx3WCaECAwEAAaOCAVUwggFRMIGnBgNVHSAEgZ8wgZwwTAYGYEwBAgE7MEIwQAYIKwYBBQUHAgEWNGh0dHA6Ly93d3cucmVjZWl0YS5mYXplbmRhLmdvdi5ici9hY3JmYi9kcGNhY3JmYi5wZGYwTAYGYEwBAgM4MEIwQAYIKwYBBQUHAgEWNGh0dHA6Ly93d3cucmVjZWl0YS5mYXplbmRhLmdvdi5ici9hY3JmYi9kcGNhY3JmYi5wZGYwRAYDVR0fBD0wOzA5oDegNYYzaHR0cDovL3d3dy5yZWNlaXRhLmZhemVuZGEuZ292LmJyL2FjcmZiL2FjcmZidjQuY3JsMB8GA1UdIwQYMBaAFBqY5kPKHN2SnpljRVoq6R+HIM01MB0GA1UdDgQWBBQN39ZH9BNO5SJYMixmpucu5Fe8AjAPBgNVHRMBAf8EBTADAQH/MA4GA1UdDwEB/wQEAwIBBjANBgkqhkiG9w0BAQ0FAAOCAgEAQa/CcUbwxj7LFydJBwLGPvn3bXmgoqIADDSra8PZoklFhjazOkhn6qnMR+8K2piYxN0c7A9YZvAeFt0Y1eSSkCbvQxhFgv97i2C/MZpsjXR+WbNhq11eUwGbAMe/4QE5KbQXzJ2L5Htrvg+GCp4+dtjUIWoVgadJwThE1XdaFlYoMRY+ARmZt/+BYr3kfd9WTt32cevUD05rh/1AgWLQwE3drBhehCg5ApLP1UHVkjU4tM4bUa+J0vwbgodnSKJoVCZQnev6g+tjjZxGQOD3hpG4DiOIDa4lhDuqv7A9yLmpeolTY000WPbnMY3EccwxrqPavmt41tIAKy5jIDRID8o8nRurWbsX509YV05M9vmHbSwBSC2qg6nIOSyWUywl+lyhmw1Hgis3ZSLLHSzM+P0IPOeWNaDv1b4oxQrn+Xd2gw8BVrAri4P6Lp/RiCfVEPqXHRZXFg9WXIq6ggftMoRMZysKrMpQtFhrZ6YvKF1qyh66IveBX1iLcz671HBcHO3LYp/uS0RWJJxDlzIxnQBY3a0UnoAKg4eleQPxIbcM8lLFgj0k3vPgjfhGsScwBqfMWo3XjBo2HTvmXaN/Myo0aWBp9SWfxtZofXwGp9GsuZnQp/yXd1TDvZHAILhkJQIoPw0NP1QukpnaoUqSO4LVGpJEiMRrDsNXnMj2Yjk=</xd:EncapsulatedX509Certificate>
            <xd:EncapsulatedX509Certificate>MIIGYDCCBEigAwIBAgIBBDANBgkqhkiG9w0BAQ0FADCBlzELMAkGA1UEBhMCQlIxEzARBgNVBAoMCklDUC1CcmFzaWwxPTA7BgNVBAsMNEluc3RpdHV0byBOYWNpb25hbCBkZSBUZWNub2xvZ2lhIGRhIEluZm9ybWFjYW8gLSBJVEkxNDAyBgNVBAMMK0F1dG9yaWRhZGUgQ2VydGlmaWNhZG9yYSBSYWl6IEJyYXNpbGVpcmEgdjUwHhcNMTYwNzIwMTMzMjA0WhcNMjkwMzAyMTIwMDA0WjCBkDELMAkGA1UEBhMCQlIxEzARBgNVBAoMCklDUC1CcmFzaWwxNDAyBgNVBAsMK0F1dG9yaWRhZGUgQ2VydGlmaWNhZG9yYSBSYWl6IEJyYXNpbGVpcmEgdjUxNjA0BgNVBAMMLUFDIFNlY3JldGFyaWEgZGEgUmVjZWl0YSBGZWRlcmFsIGRvIEJyYXNpbCB2NDCCAiIwDQYJKoZIhvcNAQEBBQADggIPADCCAgoCggIBAJ1gd6oPyvAvYC0B5fUItXFU/csX2yNEOVJjr/SeuSv5bE0gIc/kUjoYVNMuUe+CTBY/gkoIiwR7qr7Dsp9jn8FTLnALrn6j1sbbkoD4ytTI3WHUuiefz/oApv+H5zPswj3JqUyXaK7bzN5Akc3PNFUzRb3+UbtYA2fXinBAewxrpZidGX0A+ioC++qPq06APTio9SWSBBGEZgmLOAHpkdHhNUAaP9MJXRcQ9k4kilOt3uewRP7EKMyMGDyNPeqDtWCWCEif7vZiLScrKSY3l25nCW9wVN8qQ0G8mJwMTFhntZfG7098kRN0fIVAstyT4KsyVIOWgj8r2pZ913yJfobMROyl89X5leR298gzwDhN2UKJXHmf7XFzqOTg0Hl4dK5LzSg07Ry2DqooFwdvxjBXlWdAVkTdZo5lM5FQGr5uNDFyL2DQwDtmpMrQ7QrVA4saXfwBsMWMel20siX8t2bOFIXHc1HiUDxETgCQw4542pwOtFPj8+UFag+ypZhyk8voAaXQjw3qGubWI68jFNZTrNXjQThIlJWI83OWjcvmIr4SPgbf9hIIHzznSdzqPXXdAZRNS9fxrxmgoTcG4I7cu1hZgBv9HHIaUKr2MwXAdNiqoe71wDkLCKUx8/fVJnhswqHBHYAj+KjBwyoJW1JliL91QOT3Bjz2epj7kj7tAgMBAAGjgbswgbgwHQYDVR0OBBYEFBqY5kPKHN2SnpljRVoq6R+HIM01MA8GA1UdEwEB/wQFMAMBAf8wDgYDVR0PAQH/BAQDAgEGMBQGA1UdIAQNMAswCQYFYEwBAQgwADA/BgNVHR8EODA2MDSgMqAwhi5odHRwOi8vYWNyYWl6LmljcGJyYXNpbC5nb3YuYnIvTENSYWNyYWl6djUuY3JsMB8GA1UdIwQYMBaAFGmovnXZxO9s5xNF5GFu5Wj4tkBeMA0GCSqGSIb3DQEBDQUAA4ICAQBrQuAL6TWbdnOpHbgSzAd9Pkc+vr5uTd7ml4xfPPs/I+BNCGT9Q6OTx/26m6q9rOrl6/9AASYDE5esiwBlaQ4OPzQQ37zrf5d4FnGxnsRMdjEL2pjks7ull66LZX8k5HOfnxy5iYo1hTy46UYg28PXdL55qTljilj4LueNFlTCmK2m9Vo1E6F/Ss79D31uwVBadgoK/i95dFONNlSj/w3/sa9Pbkq3JCJ10ET01GmBSTrtired+zzcj26QT0hjQQ5PUB6wV2+bhUx+WN/rXiLph/DPvy7gg8hrn4mVHBYOEPPoq7qBsX77cswycENKXrlq+gHA2Lj8hkrbfQt4pZQzT+6nLOSOyqMI21ql781eErJySwJ0R9LdPQNm3MUS/ifoRPdjFGWUktBRue/03QrVYtwFBMaIjF/p93Bmb/42xfkL/TG/W6EicBcGLms2SU4pBtw+NDFMQ1YXxNJQoNJ2uzxnzBSqdr5bF5qZth4EHob+I8uUFYylIoCHWvMD1pAxTu8fC9366lkt7cpBARiOdB2MN31JQK3nxjeQeXHiudm8twSzNp0wbJViUiRfNZbqH3yNe8ZTYUQds7hCCcZh3pZbe4PNWS2WDiifF9uXRdfAL3qsEubQOrA/s+EvZha6afCs4d4BlGKQsf64r0iPnX6hFxR4h4sXRI9x5xRMtA==</xd:EncapsulatedX509Certificate>
            <xd:EncapsulatedX509Certificate>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gUXw/6YODeF2XkqEyfk3VehdsIx+3/ERgdjCS/ouxYR0Epi2hdoMUVJDNf3XQfjAWXJyCoTneHYAl2McMdvoqtLB2ileQlJiis0fTtYTJayee9BAIdIrCor1Lc0vozXCpDtq5nTwhjIocaZtcuFsdrkl+nbfYxl5m7vjTkTMS6j8ffjmFzbNPDlJuV3Vy7AzapPVJrMl6UHPXCHMYMzl0KxR/47S5XGgmLYkYt8bNCHA3fg07y+Gtvgu+SNhMPwWKIgwhYw+9vErOnavRhOimYo4M2AwNpNK0OKLI7Im5V094jFp4Ty+mlmfQH00k8nkSUEN+1TGGkhv16c2hukbx9iCfbmk7im2hGKjQA8eH64VPYoS2qdKbPbd3xDDHN2croYKpy2U2oQTVBSf9hC3o6fKo3zp0U3dNiw7ZgWKS9UwP31Q0gwgB1orZgLuF+LIppHYwxcTG/AovNWa4sTPukMiX2L+p7uIHExTZJJU4YoDacQh/mfbPIz3261He4YFmQ35sfw3eKHQSOLyiVfev/n0l/r308PijEd+d+Hz5RmqIzS8jYXZIeJxym4mEjE1fKpeP56Ea52LlIJ8ZqsJ3xzHWu3WkAVz4hMqrX6BPMGW2IxOuEUQyIaCBg1lI6QLiPMHvo2/J7gu4YfqRcH6i27W3HyzamEQIDAQABo4H1MIHyME4GA1UdIARHMEUwQwYFYEwBAQAwOjA4BggrBgEFBQcCARYsaHR0cDovL2FjcmFpei5pY3BicmFzaWwuZ292LmJyL0RQQ2FjcmFpei5wZGYwPwYDVR0fBDgwNjA0oDKgMIYuaHR0cDovL2FjcmFpei5pY3BicmFzaWwuZ292LmJyL0xDUmFjcmFpenY1LmNybDAfBgNVHSMEGDAWgBRpqL512cTvbOcTReRhbuVo+LZAXjAdBgNVHQ4EFgQUaai+ddnE72znE0XkYW7laPi2QF4wDwYDVR0TAQH/BAUwAwEB/zAOBgNVHQ8BAf8EBAMCAQYwDQYJKoZIhvcNAQENBQADggIBABRt2/JiWapef7o/plhR4PxymlMIp/JeZ5F0BZ1XafmYpl5g6pRokFrIRMFXLyEhlgo51I05InyCc9Td6UXjlsOASTc/LRavyjB/8NcQjlRYDh6xf7OdP05mFcT/0+6bYRtNgsnUbr10pfsK/UzyUvQWbumGS57hCZrAZOyd9MzukiF/azAa6JfoZk2nDkEudKOY8tRyTpMmDzN5fufPSC3v7tSJUqTqo5z7roN/FmckRzGAYyz5XulbOc5/UsAT/tk+KP/clbbqd/hhevmmdJclLr9qWZZcOgzuFU2YsgProtVu0fFNXGr6KK9fu44pOHajmMsTXK3X7r/Pwh19kFRow5F3RQMUZC6Re0YLfXh+ypnUSCzA+uL4JPtHIGyvkbWiulkustpOKUSVwBPzvA2sQUOvqdbAR7C8jcHYFJMuK2HZFji7pxcWWab/NKsFcJ3sluDjmhizpQaxbYTfAVXu3q8yd0su/BHHhBpteyHvYyyz0Eb9LUysR2cMtWvfPU6vnoPgYvOGO1CziyGEsgKULkCH4o2Vgl1gQuKWO4V68rFW8a/jvq28sbY+y/Ao0I5ohpnBcQOAawiFbz6yJtObajYMuztDDP8oY656EuuJXBJhuKAJPI/7WDtgfV8ffOh/iQGQATVMtgDN0gv8bn5NdUX8UMNX1sHhU3H1UpoW</xd:EncapsulatedX509Certificate>
          </xd:CertificateValues>
        </xd:UnsignedSignatureProperties>
      </xd:UnsignedProperties>
    </xd:QualifyingProperties>
  </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9</vt:i4>
      </vt:variant>
    </vt:vector>
  </HeadingPairs>
  <TitlesOfParts>
    <vt:vector size="17" baseType="lpstr">
      <vt:lpstr>Relatório de Compatibilidade</vt:lpstr>
      <vt:lpstr>PLANILHA DE LICITAÇÃO</vt:lpstr>
      <vt:lpstr>PLANILHA OFICIAL </vt:lpstr>
      <vt:lpstr>COTAÇÃO GRADIL TIPO BELGO</vt:lpstr>
      <vt:lpstr>MEMÓRIA DE CÁLCULO</vt:lpstr>
      <vt:lpstr>CRONOGRAMA FÍSICO -  FINANCEIRO</vt:lpstr>
      <vt:lpstr>BDI</vt:lpstr>
      <vt:lpstr>CRONOGRAMA - JANUÁRIA</vt:lpstr>
      <vt:lpstr>BDI!Area_de_impressao</vt:lpstr>
      <vt:lpstr>'COTAÇÃO GRADIL TIPO BELGO'!Area_de_impressao</vt:lpstr>
      <vt:lpstr>'CRONOGRAMA FÍSICO -  FINANCEIRO'!Area_de_impressao</vt:lpstr>
      <vt:lpstr>'MEMÓRIA DE CÁLCULO'!Area_de_impressao</vt:lpstr>
      <vt:lpstr>'PLANILHA DE LICITAÇÃO'!Area_de_impressao</vt:lpstr>
      <vt:lpstr>'PLANILHA OFICIAL '!Area_de_impressao</vt:lpstr>
      <vt:lpstr>'CRONOGRAMA - JANUÁRIA'!Titulos_de_impressao</vt:lpstr>
      <vt:lpstr>'MEMÓRIA DE CÁLCULO'!Titulos_de_impressao</vt:lpstr>
      <vt:lpstr>'PLANILHA OFICIAL '!Titulos_de_impressao</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Felipe Matheus</cp:lastModifiedBy>
  <cp:lastPrinted>2026-01-22T12:21:40Z</cp:lastPrinted>
  <dcterms:created xsi:type="dcterms:W3CDTF">2011-06-14T19:45:38Z</dcterms:created>
  <dcterms:modified xsi:type="dcterms:W3CDTF">2026-01-22T17:25:55Z</dcterms:modified>
</cp:coreProperties>
</file>