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ICITACAO_BUENOPOLIS\LICITAÇÃO 2025\Blocos, conteções e pontes\"/>
    </mc:Choice>
  </mc:AlternateContent>
  <bookViews>
    <workbookView xWindow="-120" yWindow="-120" windowWidth="29040" windowHeight="15840" activeTab="1"/>
  </bookViews>
  <sheets>
    <sheet name="COMPOSIÇÃO DO BDI" sheetId="14" r:id="rId1"/>
    <sheet name="ORÇAMENTO" sheetId="16" r:id="rId2"/>
  </sheets>
  <definedNames>
    <definedName name="_xlnm.Print_Area" localSheetId="0">'COMPOSIÇÃO DO BDI'!$A$1:$D$31</definedName>
    <definedName name="_xlnm.Print_Area" localSheetId="1">ORÇAMENTO!$A$1:$J$90</definedName>
    <definedName name="_xlnm.Print_Titles" localSheetId="1">ORÇAMENTO!$1:$8</definedName>
  </definedNames>
  <calcPr calcId="152511"/>
</workbook>
</file>

<file path=xl/calcChain.xml><?xml version="1.0" encoding="utf-8"?>
<calcChain xmlns="http://schemas.openxmlformats.org/spreadsheetml/2006/main">
  <c r="G46" i="16" l="1"/>
  <c r="G34" i="16"/>
  <c r="G77" i="16"/>
  <c r="G78" i="16" s="1"/>
  <c r="G72" i="16"/>
  <c r="H1" i="16"/>
  <c r="I76" i="16" s="1"/>
  <c r="J1" i="16"/>
  <c r="D26" i="14"/>
  <c r="D20" i="14"/>
  <c r="D31" i="14" s="1"/>
  <c r="G74" i="16"/>
  <c r="G73" i="16"/>
  <c r="G62" i="16"/>
  <c r="G37" i="16"/>
  <c r="G45" i="16"/>
  <c r="G43" i="16"/>
  <c r="G38" i="16"/>
  <c r="G39" i="16" s="1"/>
  <c r="G17" i="16"/>
  <c r="G18" i="16" s="1"/>
  <c r="G76" i="16"/>
  <c r="G75" i="16"/>
  <c r="G67" i="16"/>
  <c r="G66" i="16"/>
  <c r="G65" i="16"/>
  <c r="G58" i="16"/>
  <c r="G60" i="16" s="1"/>
  <c r="G59" i="16"/>
  <c r="G61" i="16" s="1"/>
  <c r="I30" i="16" l="1"/>
  <c r="I47" i="16"/>
  <c r="J47" i="16" s="1"/>
  <c r="I29" i="16"/>
  <c r="I41" i="16"/>
  <c r="J41" i="16" s="1"/>
  <c r="I44" i="16"/>
  <c r="I61" i="16"/>
  <c r="I77" i="16"/>
  <c r="I46" i="16"/>
  <c r="I65" i="16"/>
  <c r="I32" i="16"/>
  <c r="I48" i="16"/>
  <c r="I66" i="16"/>
  <c r="I85" i="16"/>
  <c r="I45" i="16"/>
  <c r="I14" i="16"/>
  <c r="I33" i="16"/>
  <c r="I67" i="16"/>
  <c r="I86" i="16"/>
  <c r="G52" i="16"/>
  <c r="I17" i="16"/>
  <c r="I34" i="16"/>
  <c r="I52" i="16"/>
  <c r="I68" i="16"/>
  <c r="I87" i="16"/>
  <c r="I62" i="16"/>
  <c r="I18" i="16"/>
  <c r="I37" i="16"/>
  <c r="I53" i="16"/>
  <c r="I69" i="16"/>
  <c r="I88" i="16"/>
  <c r="I21" i="16"/>
  <c r="I38" i="16"/>
  <c r="I54" i="16"/>
  <c r="I72" i="16"/>
  <c r="I22" i="16"/>
  <c r="I39" i="16"/>
  <c r="I57" i="16"/>
  <c r="I73" i="16"/>
  <c r="I23" i="16"/>
  <c r="I40" i="16"/>
  <c r="I58" i="16"/>
  <c r="I74" i="16"/>
  <c r="I13" i="16"/>
  <c r="G85" i="16"/>
  <c r="I24" i="16"/>
  <c r="I42" i="16"/>
  <c r="I59" i="16"/>
  <c r="I75" i="16"/>
  <c r="I25" i="16"/>
  <c r="J25" i="16" s="1"/>
  <c r="I78" i="16"/>
  <c r="I31" i="16"/>
  <c r="I26" i="16"/>
  <c r="I43" i="16"/>
  <c r="I60" i="16"/>
  <c r="G40" i="16"/>
  <c r="G21" i="16"/>
  <c r="G54" i="16"/>
  <c r="G53" i="16"/>
  <c r="G22" i="16" l="1"/>
  <c r="G23" i="16"/>
  <c r="G24" i="16"/>
  <c r="G88" i="16"/>
  <c r="G87" i="16"/>
  <c r="G86" i="16"/>
  <c r="N21" i="16" l="1"/>
  <c r="G30" i="16" l="1"/>
  <c r="G32" i="16"/>
  <c r="G29" i="16"/>
  <c r="G31" i="16"/>
  <c r="G33" i="16"/>
  <c r="J88" i="16"/>
  <c r="J87" i="16"/>
  <c r="J86" i="16"/>
  <c r="J85" i="16"/>
  <c r="J84" i="16" l="1"/>
  <c r="J90" i="16" s="1"/>
  <c r="H51" i="16" l="1"/>
  <c r="I51" i="16" s="1"/>
  <c r="D10" i="14"/>
  <c r="D4" i="14"/>
  <c r="D15" i="14" s="1"/>
  <c r="J52" i="16" s="1"/>
  <c r="J62" i="16" l="1"/>
  <c r="J17" i="16"/>
  <c r="J78" i="16"/>
  <c r="J53" i="16"/>
  <c r="J51" i="16"/>
  <c r="J46" i="16"/>
  <c r="J76" i="16"/>
  <c r="J45" i="16"/>
  <c r="J75" i="16"/>
  <c r="J74" i="16"/>
  <c r="J68" i="16"/>
  <c r="J43" i="16"/>
  <c r="J73" i="16"/>
  <c r="J72" i="16"/>
  <c r="J69" i="16"/>
  <c r="J65" i="16"/>
  <c r="J60" i="16"/>
  <c r="J61" i="16"/>
  <c r="J24" i="16"/>
  <c r="J59" i="16"/>
  <c r="J54" i="16"/>
  <c r="J33" i="16"/>
  <c r="J34" i="16"/>
  <c r="J23" i="16"/>
  <c r="J29" i="16"/>
  <c r="J32" i="16"/>
  <c r="J30" i="16"/>
  <c r="J31" i="16"/>
  <c r="J21" i="16"/>
  <c r="J40" i="16"/>
  <c r="J26" i="16"/>
  <c r="J42" i="16"/>
  <c r="J67" i="16"/>
  <c r="J39" i="16"/>
  <c r="J37" i="16"/>
  <c r="J38" i="16"/>
  <c r="J58" i="16"/>
  <c r="J44" i="16"/>
  <c r="J22" i="16"/>
  <c r="J18" i="16"/>
  <c r="J14" i="16"/>
  <c r="J66" i="16"/>
  <c r="J77" i="16"/>
  <c r="J13" i="16"/>
  <c r="J57" i="16"/>
  <c r="J48" i="16"/>
  <c r="J50" i="16" l="1"/>
  <c r="J71" i="16"/>
  <c r="J16" i="16"/>
  <c r="J64" i="16"/>
  <c r="J56" i="16"/>
  <c r="J28" i="16"/>
  <c r="J20" i="16"/>
  <c r="J36" i="16"/>
  <c r="J12" i="16"/>
  <c r="K79" i="16" l="1"/>
  <c r="H10" i="16" s="1"/>
  <c r="J10" i="16" s="1"/>
  <c r="J9" i="16" s="1"/>
  <c r="J79" i="16" s="1"/>
</calcChain>
</file>

<file path=xl/sharedStrings.xml><?xml version="1.0" encoding="utf-8"?>
<sst xmlns="http://schemas.openxmlformats.org/spreadsheetml/2006/main" count="401" uniqueCount="233">
  <si>
    <t>ITEM</t>
  </si>
  <si>
    <t>DESCRIÇÃO</t>
  </si>
  <si>
    <t>TOTAL</t>
  </si>
  <si>
    <t>VALOR UNIT.</t>
  </si>
  <si>
    <t>VALOR TOTAL</t>
  </si>
  <si>
    <t>1.1</t>
  </si>
  <si>
    <t>1.2</t>
  </si>
  <si>
    <t>CÓDIGO</t>
  </si>
  <si>
    <t>FONTE</t>
  </si>
  <si>
    <t>UND.</t>
  </si>
  <si>
    <t>QTD.</t>
  </si>
  <si>
    <t>SINAPI</t>
  </si>
  <si>
    <t>2.1</t>
  </si>
  <si>
    <t>2.2</t>
  </si>
  <si>
    <t>2.3</t>
  </si>
  <si>
    <t>2.4</t>
  </si>
  <si>
    <t>UNIT. C/ BDI</t>
  </si>
  <si>
    <t>VALOR TOTAL COM BDI</t>
  </si>
  <si>
    <t>BDI:</t>
  </si>
  <si>
    <t>ADMINISTRAÇÃO LOCAL</t>
  </si>
  <si>
    <t>1.3</t>
  </si>
  <si>
    <t>1.4</t>
  </si>
  <si>
    <t>1.5</t>
  </si>
  <si>
    <t>CÁLCULO DA BONIFICAÇÃO E DESPESAS INDIRETAS</t>
  </si>
  <si>
    <t>BDI GERAL</t>
  </si>
  <si>
    <t>TAXAS GERAIS: TG = (1 + (AC + R + (S + G)))*(1 + DF)*(1 + L)</t>
  </si>
  <si>
    <t>SIGLA</t>
  </si>
  <si>
    <t>Rasteio da Administração Central</t>
  </si>
  <si>
    <t>AC</t>
  </si>
  <si>
    <t>Riscos</t>
  </si>
  <si>
    <t>R</t>
  </si>
  <si>
    <t>Seguro + Garantia do Empreendimento</t>
  </si>
  <si>
    <t>S+G</t>
  </si>
  <si>
    <t>Despesas Financeiras</t>
  </si>
  <si>
    <t>DF</t>
  </si>
  <si>
    <t>Lucro</t>
  </si>
  <si>
    <t>L</t>
  </si>
  <si>
    <t>Taxas : T = (i°+i¹+i²+i³)</t>
  </si>
  <si>
    <t>T</t>
  </si>
  <si>
    <t>COFINS</t>
  </si>
  <si>
    <t>i°</t>
  </si>
  <si>
    <t>ISS</t>
  </si>
  <si>
    <t>i¹</t>
  </si>
  <si>
    <t>PIS</t>
  </si>
  <si>
    <t>i²</t>
  </si>
  <si>
    <t>CPRB</t>
  </si>
  <si>
    <t>i³</t>
  </si>
  <si>
    <t xml:space="preserve">B.D.I. presumido = { [TG / ( 1 - T)] - 1 } x 100 </t>
  </si>
  <si>
    <t>SERVIÇOS PRELIMINARES</t>
  </si>
  <si>
    <t>FORNECIMENTO E COLOCAÇÃO DE PLACA DE OBRA EM CHAPA
GALVANIZADA #26, ESP. 0,45MM, DIMENSÃO (3X1,5)M, PLOTADA COM ADESIVO VINÍLICO, AFIXADA COM REBITES 4,8X40MM, EM ESTRUTURA METÁLICA DE METALON 20X20MM, ESP. 1,25MM, INCLUSIVE SUPORTE EM EUCALIPTO AUTOCLAVADO PINTADO COM TINTA PVA DUAS (2) DEMÃOS</t>
  </si>
  <si>
    <t>UN</t>
  </si>
  <si>
    <t>ED-28427</t>
  </si>
  <si>
    <t>M2</t>
  </si>
  <si>
    <t>M3</t>
  </si>
  <si>
    <t>M</t>
  </si>
  <si>
    <t>4.1</t>
  </si>
  <si>
    <t>MÊS</t>
  </si>
  <si>
    <t>KG</t>
  </si>
  <si>
    <t>MOBILIZAÇÃO DE OBRA</t>
  </si>
  <si>
    <t>FUNDAÇÃO</t>
  </si>
  <si>
    <t>-</t>
  </si>
  <si>
    <t>PONTE METÁLICA</t>
  </si>
  <si>
    <t>CPU 01</t>
  </si>
  <si>
    <t>4.2</t>
  </si>
  <si>
    <t>4.3</t>
  </si>
  <si>
    <t>4.4</t>
  </si>
  <si>
    <t>4.5</t>
  </si>
  <si>
    <t>MOBILIZAÇÃO E DESMOBILIZAÇÃO OBRA DISTANTE DE CENTRO
URBANO COM VALOR ATÉ O VALOR DE 1.000.000,00</t>
  </si>
  <si>
    <t>ED-50389</t>
  </si>
  <si>
    <t>%</t>
  </si>
  <si>
    <t>EMENDA DE ESTACA PRÉ-MOLDADA, INCLUSIVE ANEL/LUVA
METÁLICO E SOLDA, EXCLUSIVE FORNECIMENTO DA ESTACA</t>
  </si>
  <si>
    <t>ED-49735</t>
  </si>
  <si>
    <t>CRAVAÇÃO DE ESTACA PRÉ-MOLDADA DE CONCRETO,
DIMENSÃO (20X20)CM, COMPRESSÃO ADMISSÍVEL DE 50T,
INCLUSIVE FORNECIMENTO DE ESTACA, EXCLUSIVE EMENDA</t>
  </si>
  <si>
    <t>ED-49730</t>
  </si>
  <si>
    <t>ENCARREGADO GERAL DE OBRAS COM ENCARGOS COMPLEMENTARES</t>
  </si>
  <si>
    <t>UND</t>
  </si>
  <si>
    <t>ED-21776</t>
  </si>
  <si>
    <r>
      <rPr>
        <b/>
        <sz val="12"/>
        <color theme="1"/>
        <rFont val="Calibri"/>
        <family val="2"/>
        <scheme val="minor"/>
      </rPr>
      <t>Nº registro profissional:</t>
    </r>
    <r>
      <rPr>
        <sz val="12"/>
        <color theme="1"/>
        <rFont val="Calibri"/>
        <family val="2"/>
        <scheme val="minor"/>
      </rPr>
      <t xml:space="preserve"> CREA </t>
    </r>
    <r>
      <rPr>
        <sz val="12"/>
        <color rgb="FFFF0000"/>
        <rFont val="Calibri"/>
        <family val="2"/>
        <scheme val="minor"/>
      </rPr>
      <t>xxx.xxx/D</t>
    </r>
  </si>
  <si>
    <r>
      <rPr>
        <b/>
        <sz val="12"/>
        <color theme="1"/>
        <rFont val="Calibri"/>
        <family val="2"/>
        <scheme val="minor"/>
      </rPr>
      <t>Responsável técnico: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rgb="FFFF0000"/>
        <rFont val="Calibri"/>
        <family val="2"/>
        <scheme val="minor"/>
      </rPr>
      <t>xxxxxxxxxxxxx</t>
    </r>
  </si>
  <si>
    <t>ENROCAMENTO MANUAL COM PEDRA DE MÃO ARRUMADA,
INCLUSIVE FORNECIMENTO, EXCLUSIVE REJUNTAMENTO COM
ARGAMASSA</t>
  </si>
  <si>
    <t>ED-49541</t>
  </si>
  <si>
    <t>5.1</t>
  </si>
  <si>
    <t>5.2</t>
  </si>
  <si>
    <t>5.3</t>
  </si>
  <si>
    <t>6.1</t>
  </si>
  <si>
    <t>6.2</t>
  </si>
  <si>
    <t>6.3</t>
  </si>
  <si>
    <t>7.1</t>
  </si>
  <si>
    <t>7.2</t>
  </si>
  <si>
    <t>ESTUDOS DE SOLO E LEVANTAMENTOS</t>
  </si>
  <si>
    <t>CO-28390</t>
  </si>
  <si>
    <t>MOBILIZAÇÃO E DESMOBILIZAÇÃO DE EQUIPAMENTO DE
SONDAGEM A PERCUSSÃO COM ENSAIO DE PENETRAÇÃO
PADRÃO (SPT) - (CUSTO FIXO)</t>
  </si>
  <si>
    <t>SICOR</t>
  </si>
  <si>
    <t>CO-28389</t>
  </si>
  <si>
    <t>MOBILIZAÇÃO E DESMOBILIZAÇÃO DE EQUIPAMENTO DE
SONDAGEM A PERCUSSÃO COM ENSAIO DE PENETRAÇÃO
PADRÃO (SPT) - (CUSTO VARIÁVEL), EXCLUSIVE CUSTO FIXO</t>
  </si>
  <si>
    <t>KM</t>
  </si>
  <si>
    <t>CO-28388</t>
  </si>
  <si>
    <t>SONDAGEM A PERCUSSÃO COM ENSAIO DE PENETRAÇÃO
PADRÃO (SPT), DIÂMETRO 2.1/2", EXCLUSIVE MOBILIZAÇÃO E
DESMOBILIZAÇÃO</t>
  </si>
  <si>
    <t>CO-27361</t>
  </si>
  <si>
    <t>LEVANTAMENTO PLANIALTIMÉTRICO E CADASTRAL -TERRENO
ATÉ 2.000 M2</t>
  </si>
  <si>
    <t>8.1</t>
  </si>
  <si>
    <t>8.2</t>
  </si>
  <si>
    <t>8.3</t>
  </si>
  <si>
    <t>8.4</t>
  </si>
  <si>
    <t>TRANSPORTE DE MATERIAL DE QUALQUER NATUREZA EM
CAMINHÃO, DISTÂNCIA MAIORES QUE 30KM, DENTRO DO
PERÍMETRO URBANO, EXCLUSIVE CARGA, INCLUSIVE DESCARGA</t>
  </si>
  <si>
    <t>Carga, manobra e descarga de agregados ou solos em caminhão basculante de 12 m³ - carga com carregadeira de 3,40 m³ e descargalivre</t>
  </si>
  <si>
    <t>RO-00833</t>
  </si>
  <si>
    <t>ENGENHEIRO CIVIL DE OBRA SÊNIOR COM ENCARGOS
COMPLEMENTARES</t>
  </si>
  <si>
    <t>ED-21771</t>
  </si>
  <si>
    <r>
      <rPr>
        <b/>
        <sz val="12"/>
        <color theme="1"/>
        <rFont val="Calibri"/>
        <family val="2"/>
        <scheme val="minor"/>
      </rPr>
      <t>Data referência SICOR s/ desoner:</t>
    </r>
    <r>
      <rPr>
        <sz val="12"/>
        <color theme="1"/>
        <rFont val="Calibri"/>
        <family val="2"/>
        <scheme val="minor"/>
      </rPr>
      <t xml:space="preserve"> abril/2025</t>
    </r>
  </si>
  <si>
    <t>ESCAVAÇÃO MANUAL DE TERRA (DESATERRO MANUAL),
INCLUSIVE DESCARGA LATERAL, EXCLUSIVE RETIRADA E
TRANSPORTE DO MATERIAL ESCAVADO</t>
  </si>
  <si>
    <t>ED-51110</t>
  </si>
  <si>
    <t>REATERRO MANUAL DE VALA, INCLUSIVE ESPALHAMENTO E
COMPACTAÇÃO MECANIZADA COM PLACA VIBRATÓRIA</t>
  </si>
  <si>
    <t>ED-51121</t>
  </si>
  <si>
    <t>CARGA MECÂNICA DE MATERIAL DE QUALQUER NATUREZA
SOBRE CAMINHÃO, EXCLUSIVE TRANSPORTE</t>
  </si>
  <si>
    <t>ED-51132</t>
  </si>
  <si>
    <t>TRANSPORTES</t>
  </si>
  <si>
    <t>TRANSPORTE DE MATERIAL DE QUALQUER NATUREZA EM
CAMINHÃO, DISTÂNCIA MAIOR QUE 1KM E MENOR OU IGUAL A
2KM, DENTRO DO PERÍMETRO URBANO, EXCLUSIVE CARGA,
INCLUSIVE DESCARGA</t>
  </si>
  <si>
    <t>M3xKM</t>
  </si>
  <si>
    <t>ED-29230</t>
  </si>
  <si>
    <t>TRANSPORTE DE MATERIAL DE QUALQUER NATUREZA EM
CAMINHÃO, DISTÂNCIA MAIOR QUE 2KM E MENOR OU IGUAL A
5KM, DENTRO DO PERÍMETRO URBANO, EXCLUSIVE CARGA,
INCLUSIVE DESCARGA</t>
  </si>
  <si>
    <t>ED-29231</t>
  </si>
  <si>
    <t>TRANSPORTE DE MATERIAL DE QUALQUER NATUREZA EM
CAMINHÃO, DISTÂNCIA MAIOR QUE 5KM E MENOR OU IGUAL A
10KM, DENTRO DO PERÍMETRO URBANO, EXCLUSIVE CARGA,
INCLUSIVE DESCARGA</t>
  </si>
  <si>
    <t>ED-29232</t>
  </si>
  <si>
    <t>TRANSPORTE DE MATERIAL DE QUALQUER NATUREZA EM
CAMINHÃO, DISTÂNCIA MAIOR QUE 10KM E MENOR OU IGUAL A 20KM, DENTRO DO PERÍMETRO URBANO, EXCLUSIVE CARGA,
INCLUSIVE DESCARGA</t>
  </si>
  <si>
    <t>ED-29233</t>
  </si>
  <si>
    <t>TRANSPORTE DE MATERIAL DE QUALQUER NATUREZA EM
CAMINHÃO, DISTÂNCIA MAIOR QUE 20KM E MENOR OU IGUAL A 30KM, DENTRO DO PERÍMETRO URBANO, EXCLUSIVE CARGA,
INCLUSIVE DESCARGA</t>
  </si>
  <si>
    <t>ED-29234</t>
  </si>
  <si>
    <t>ED-29235</t>
  </si>
  <si>
    <t>ESCAVAÇÃO MECÂNICA DE VALAS COM PROFUNDIDADE MENOR
OU IGUAL A 1,5M, INCLUSIVE CARGA EM CAMINHÃO, EXCLUSIVE
TRANSPORTE E DESCARGA</t>
  </si>
  <si>
    <t>ED-51115</t>
  </si>
  <si>
    <t>CORTE, DOBRA E MONTAGEM DE AÇO CA-60, DIÂMETRO 5MM,
INCLUSIVE ESPAÇADOR</t>
  </si>
  <si>
    <t>FORNECIMENTO DE CONCRETO ESTRUTURAL, USINADO, COM
FCK 25MPA, INCLUSIVE LANÇAMENTO, ADENSAMENTO E
ACABAMENTO (FUNDAÇÃO)</t>
  </si>
  <si>
    <t>ED-29548</t>
  </si>
  <si>
    <t>FÔRMA E DESFORMA PARA VIGA-CINTA/BLOCO COM TÁBUA E
SARRAFO, REAPROVEITAMENTO (3X) (FUNDAÇÃO)</t>
  </si>
  <si>
    <t>ED-49798</t>
  </si>
  <si>
    <t>ED-49810</t>
  </si>
  <si>
    <t>FÔRMA E DESFORMA DE COMPENSADO RESINADO, ESP. 14MM,
REAPROVEITAMENTO (3X), EXCLUSIVE ESCORAMENTO</t>
  </si>
  <si>
    <t>ED-49646</t>
  </si>
  <si>
    <t>FORNECIMENTO DE ESTRUTURA METÁLICA EM PERFIL SOLDADO
PARA PONTES, EM AÇO PATINÁVEL, INCLUSIVE FABRICAÇÃO,
EXCLUSIVE TRANSPORTE E LANÇAMENTO</t>
  </si>
  <si>
    <t>ED-27791</t>
  </si>
  <si>
    <t>DESCARGA DE CAMINHÃO, PARA ELEMENTOS DE VIGA OU
TABULEIRO PARA PONTE, INCLUSIVE DESCARGA DE PERFIS
LONGARINAS, TRANSVERSINAS, CHAPAS E ACESSÓRIOS,
EXCLUSIVE FORNECIMENTO E TRANSPORTE</t>
  </si>
  <si>
    <t>ED-29090</t>
  </si>
  <si>
    <t>LANÇAMENTO DE VIGA PARA PONTE, EXCLUSIVE FORNECIMENTO, DESCARGA E TRANSPORTE - PROJETO PADRÃO SEINFRA-MG</t>
  </si>
  <si>
    <t>ED-50428</t>
  </si>
  <si>
    <t xml:space="preserve">TRANSPORTE DE VIGA OU TABULEIRO PARA PONTE (CUSTO FIXO), INCLUSIVE CARGA, EXCLUSIVE FORNECIMENTO , DESCARGA E TRANSPORTE EM QUILÔMETRO RODADO (CUSTO VARIÁVEL)
</t>
  </si>
  <si>
    <t>ED-29091</t>
  </si>
  <si>
    <t>ED-29092</t>
  </si>
  <si>
    <t xml:space="preserve">TRANSPORTE DE VIGA OU TABULEIRO PARA PONTE (CUSTO
VARIÁVEL), EXCLUSIVE FORNECIMENTO , DESCARGA E CUSTO
FIXO DE TRANSPORTE
</t>
  </si>
  <si>
    <t>TxKM</t>
  </si>
  <si>
    <t>CORTE, DOBRA E MONTAGEM DE AÇO CA-50, DIÂMETRO 8MM,
INCLUSIVE ESPAÇADOR</t>
  </si>
  <si>
    <t>ED-29550</t>
  </si>
  <si>
    <t>CORTE, DOBRA E MONTAGEM DE AÇO CA-50, DIÂMETRO 10MM, INCLUSIVE ESPAÇADOR</t>
  </si>
  <si>
    <t>ED-29551</t>
  </si>
  <si>
    <t>FORNECIMENTO DE CONCRETO ESTRUTURAL, USINADO, COM
FCK 30MPA, INCLUSIVE LANÇAMENTO, ADENSAMENTO E
ACABAMENTO</t>
  </si>
  <si>
    <t>ED-49631</t>
  </si>
  <si>
    <t>FORNECIMENTO DE CONCRETO ESTRUTURAL, USINADO
BOMBEADO, COM FCK 30MPA, INCLUSIVE LANÇAMENTO,
ADENSAMENTO E ACABAMENTO</t>
  </si>
  <si>
    <t>ED-49639</t>
  </si>
  <si>
    <t>FORNECIMENTO DE CONCRETO ESTRUTURAL, USINADO
BOMBEADO, COM FCK 25MPA, INCLUSIVE LANÇAMENTO,
ADENSAMENTO E ACABAMENTO</t>
  </si>
  <si>
    <t>ED-49638</t>
  </si>
  <si>
    <t>FORNECIMENTO DE CONCRETO ESTRUTURAL, PREPARADO EM
OBRA, COM FCK 25MPA, INCLUSIVE LANÇAMENTO,
ADENSAMENTO E ACABAMENTO</t>
  </si>
  <si>
    <t>ED-49619</t>
  </si>
  <si>
    <t>ALVENARIA ESTRUTURAL COM BLOCO DE CONCRETO, ESP. 19CM, (FBK 4,5MPA), INCLUSIVE ARGAMASSA PARA ASSENTAMENTO</t>
  </si>
  <si>
    <t>ED-48202</t>
  </si>
  <si>
    <t>GUARDA-CORPO EXTERNO, ALTURA 130CM, EM TUBO
GALVANIZADO, COM COSTURA, DIÂMETRO DE 2", ESP. 3MM,
GRADIL COM QUADRO EM BARRA CHATA (1.1/4"X3/16") E DIVISÃO VERTICAL EM BARRA CHATA (1.1/2"X3/16"), EXCLUSIVE PINTURA</t>
  </si>
  <si>
    <t>ED-32063</t>
  </si>
  <si>
    <t>LASTRO DE BRITA COM PEDRA BRITADA NÚMERO 2 E 3,
INCLUSIVE ADENSAMENTO E APILOAMENTO MANUAL</t>
  </si>
  <si>
    <t>ED-49813</t>
  </si>
  <si>
    <t>GUARDA-CORPO E GUARDA RODAS</t>
  </si>
  <si>
    <t>TABULEIRO DE PONTES</t>
  </si>
  <si>
    <t>MUROS DE CONTENÇÕES E CABECEIRAS DE PONTES</t>
  </si>
  <si>
    <t>PINTURA ESMALTE BASE SOLVENTE EM GUARDA CORPO, COM
OU SEM CORRIMÃO, DUAS (2) DEMÃOS, INCLUSIVE UMA (1)
DEMÃO DE FUNDO ANTICORROSIVO</t>
  </si>
  <si>
    <t>ED-19640</t>
  </si>
  <si>
    <t>PINTURA ESMALTE BASE SOLVENTE EM SUPERFÍCIES METÁLICAS
, DUAS (2) DEMÃOS, COM APLICAÇÃO MANUAL, INCLUSIVE UMA (1) DEMÃO DE FUNDO ANTICORROSIVO</t>
  </si>
  <si>
    <t>ED-50495</t>
  </si>
  <si>
    <t>3.1</t>
  </si>
  <si>
    <t>LOCAÇÃO DE BANHEIRO QUÍMICO, DIMENSÃO (110X120X230)CM, LINHA PADRÃO, CONTENDO UMA (1) PIA/HIGIENIZADOR DE MÃOS, INCLUSIVE MANUTENÇÃO E MOBILIZAÇÃO/DESMOBILIZAÇÃO</t>
  </si>
  <si>
    <t>ED-50155</t>
  </si>
  <si>
    <t>3.2</t>
  </si>
  <si>
    <t>5.4</t>
  </si>
  <si>
    <t>5.5</t>
  </si>
  <si>
    <t>5.6</t>
  </si>
  <si>
    <t>6.4</t>
  </si>
  <si>
    <t>6.5</t>
  </si>
  <si>
    <t>6.6</t>
  </si>
  <si>
    <t>6.7</t>
  </si>
  <si>
    <t>6.8</t>
  </si>
  <si>
    <t>6.9</t>
  </si>
  <si>
    <t>6.10</t>
  </si>
  <si>
    <t>7.3</t>
  </si>
  <si>
    <t>7.4</t>
  </si>
  <si>
    <t>8.5</t>
  </si>
  <si>
    <t>8.6</t>
  </si>
  <si>
    <t>9.1</t>
  </si>
  <si>
    <t>9.2</t>
  </si>
  <si>
    <t>9.3</t>
  </si>
  <si>
    <t>9.4</t>
  </si>
  <si>
    <t>9.5</t>
  </si>
  <si>
    <t>10.1</t>
  </si>
  <si>
    <t>10.2</t>
  </si>
  <si>
    <t>10.3</t>
  </si>
  <si>
    <t>10.4</t>
  </si>
  <si>
    <t>10.5</t>
  </si>
  <si>
    <t>10.6</t>
  </si>
  <si>
    <t>10.7</t>
  </si>
  <si>
    <r>
      <rPr>
        <b/>
        <sz val="12"/>
        <color theme="1"/>
        <rFont val="Calibri"/>
        <family val="2"/>
        <scheme val="minor"/>
      </rPr>
      <t xml:space="preserve">Contrato: </t>
    </r>
    <r>
      <rPr>
        <sz val="12"/>
        <color theme="1"/>
        <rFont val="Calibri"/>
        <family val="2"/>
        <scheme val="minor"/>
      </rPr>
      <t>Fabricação de blocos pré-moldados de encaixe e execução de contenções e pontes para o Município de Buenópolis/MG.</t>
    </r>
  </si>
  <si>
    <r>
      <rPr>
        <b/>
        <sz val="12"/>
        <color theme="1"/>
        <rFont val="Calibri"/>
        <family val="2"/>
        <scheme val="minor"/>
      </rPr>
      <t>Endereço:</t>
    </r>
    <r>
      <rPr>
        <sz val="12"/>
        <color theme="1"/>
        <rFont val="Calibri"/>
        <family val="2"/>
        <scheme val="minor"/>
      </rPr>
      <t xml:space="preserve"> Avenida Ataliba Pereira, nº 99, Centro. Buenópolis. Minas Gerais.</t>
    </r>
  </si>
  <si>
    <r>
      <rPr>
        <b/>
        <sz val="12"/>
        <color theme="1"/>
        <rFont val="Calibri"/>
        <family val="2"/>
        <scheme val="minor"/>
      </rPr>
      <t>Data:</t>
    </r>
    <r>
      <rPr>
        <sz val="12"/>
        <color theme="1"/>
        <rFont val="Calibri"/>
        <family val="2"/>
        <scheme val="minor"/>
      </rPr>
      <t xml:space="preserve"> 16/07/2025</t>
    </r>
  </si>
  <si>
    <t>GEOTÊXTIL NÃO TECIDO PARA ESTABILIZAÇÃO DE SOLOS</t>
  </si>
  <si>
    <t>ED-50411</t>
  </si>
  <si>
    <t>EXECUÇÃO DE CONTENÇÃO E CABECEIRA DE PONTE COM BLOCO E BASES DE CONCRETO PRÉ-MOLDADO DE ENCAIXE - QUALQUER TIPO DE BLOCO OU BASE</t>
  </si>
  <si>
    <t>Unidade de pontes:</t>
  </si>
  <si>
    <t>Volume total</t>
  </si>
  <si>
    <t>BDI DIFERENCIADO</t>
  </si>
  <si>
    <t>BDI DIFER.:</t>
  </si>
  <si>
    <t>Escavação de vala em material de 3ª categoria - resistência a
compressão acima de 110 MPa - com escavadeira e rompedor hidráulico 1.500 kg (Exclui carga e transporte)</t>
  </si>
  <si>
    <t>RO-00227</t>
  </si>
  <si>
    <t>MOVIMENTAÇÃO DE TERRA E DEMOLIÇÕES</t>
  </si>
  <si>
    <t>4.6</t>
  </si>
  <si>
    <t>DEMOLIÇÃO MECANIZADA DE CONCRETO ARMADO, COM
EQUIPAMENTO PNEUMÁTICO, INCLUSIVE AFASTAMENTO E
EMPILHAMENTO, EXCLUSIVE TRANSPORTE E RETIRADA DO
MATERIAL DEMOLIDO</t>
  </si>
  <si>
    <t>ED-48445</t>
  </si>
  <si>
    <t>CORTE, DOBRA E MONTAGEM DE AÇO CA-50, DIÂMETRO (16,0MMA 25,0MM), INCLUSIVE ESPAÇADOR</t>
  </si>
  <si>
    <t>ED-48296</t>
  </si>
  <si>
    <t>ANCORAGEM DE BARRAS DE AÇO COM CHUMBADOR QUÍMICO À BASE DE RESINA POLIÉSTER, EXCLUSIVE FORNECIMENTO DE
BARRA</t>
  </si>
  <si>
    <t>ED-49655</t>
  </si>
  <si>
    <t>DM3</t>
  </si>
  <si>
    <t>FURO EM CONCRETO, PARA ELEMENTO ESTRUTURAL DE LAJE,
COM DIÂMETRO MAIORES QUE 25MM (1") E MENORES QUE 32MM(1.1/4"), EXCLUSIVE FORNECIMENTO DE ANDAIME OU
PLATAFORMA</t>
  </si>
  <si>
    <t>ED-29123</t>
  </si>
  <si>
    <t>ORÇAMENTO SINTÉTICO - REV 00</t>
  </si>
  <si>
    <t>6.11</t>
  </si>
  <si>
    <t>6.12</t>
  </si>
  <si>
    <t>ORÇAMENTO SINTÉTICO LOTE 1 - EXECUÇÃO DE PONTES E CONTENÇÕES</t>
  </si>
  <si>
    <t>ORÇAMENTO SINTÉTICO LOTE 2 - LEVANTAMENTOS TOPOGRÁFICOS E SONDAGENS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</si>
</sst>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R$&quot;\ #,##0.00;\-&quot;R$&quot;\ #,##0.00"/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  <numFmt numFmtId="168" formatCode="&quot;R$&quot;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2" fillId="3" borderId="1" applyBorder="0">
      <alignment horizontal="center"/>
    </xf>
    <xf numFmtId="0" fontId="1" fillId="4" borderId="0" applyNumberFormat="0" applyBorder="0" applyAlignment="0" applyProtection="0"/>
    <xf numFmtId="0" fontId="1" fillId="7" borderId="0" applyNumberFormat="0" applyBorder="0" applyAlignment="0" applyProtection="0"/>
    <xf numFmtId="44" fontId="1" fillId="0" borderId="0" applyFont="0" applyFill="0" applyBorder="0" applyAlignment="0" applyProtection="0"/>
  </cellStyleXfs>
  <cellXfs count="79">
    <xf numFmtId="0" fontId="0" fillId="0" borderId="0" xfId="0"/>
    <xf numFmtId="44" fontId="1" fillId="5" borderId="0" xfId="4" applyNumberFormat="1" applyFill="1" applyBorder="1" applyAlignment="1">
      <alignment horizontal="center" vertical="center"/>
    </xf>
    <xf numFmtId="44" fontId="1" fillId="5" borderId="0" xfId="1" applyFont="1" applyFill="1" applyBorder="1" applyAlignment="1">
      <alignment horizontal="center" vertical="center"/>
    </xf>
    <xf numFmtId="4" fontId="1" fillId="5" borderId="2" xfId="4" applyNumberFormat="1" applyFill="1" applyBorder="1" applyAlignment="1">
      <alignment horizontal="center" vertical="center"/>
    </xf>
    <xf numFmtId="44" fontId="4" fillId="5" borderId="0" xfId="2" applyNumberFormat="1" applyFont="1" applyFill="1" applyBorder="1" applyAlignment="1">
      <alignment vertical="center"/>
    </xf>
    <xf numFmtId="4" fontId="1" fillId="5" borderId="2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7" fillId="6" borderId="2" xfId="2" applyFont="1" applyFill="1" applyBorder="1" applyAlignment="1">
      <alignment horizontal="center" vertical="center"/>
    </xf>
    <xf numFmtId="0" fontId="7" fillId="6" borderId="2" xfId="2" applyFont="1" applyFill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/>
    </xf>
    <xf numFmtId="0" fontId="7" fillId="5" borderId="0" xfId="2" applyFont="1" applyFill="1" applyBorder="1" applyAlignment="1">
      <alignment horizontal="center" vertical="center"/>
    </xf>
    <xf numFmtId="0" fontId="0" fillId="5" borderId="2" xfId="4" applyFont="1" applyFill="1" applyBorder="1" applyAlignment="1">
      <alignment horizontal="center" vertical="center" wrapText="1"/>
    </xf>
    <xf numFmtId="0" fontId="0" fillId="5" borderId="2" xfId="4" applyFont="1" applyFill="1" applyBorder="1" applyAlignment="1">
      <alignment horizontal="center" vertical="center"/>
    </xf>
    <xf numFmtId="0" fontId="0" fillId="5" borderId="2" xfId="4" applyFont="1" applyFill="1" applyBorder="1" applyAlignment="1">
      <alignment horizontal="left" vertical="center" wrapText="1"/>
    </xf>
    <xf numFmtId="0" fontId="0" fillId="5" borderId="2" xfId="4" applyNumberFormat="1" applyFont="1" applyFill="1" applyBorder="1" applyAlignment="1">
      <alignment horizontal="center" vertical="center"/>
    </xf>
    <xf numFmtId="0" fontId="0" fillId="5" borderId="2" xfId="1" applyNumberFormat="1" applyFont="1" applyFill="1" applyBorder="1" applyAlignment="1">
      <alignment horizontal="center" vertical="center"/>
    </xf>
    <xf numFmtId="0" fontId="0" fillId="5" borderId="0" xfId="0" applyFill="1"/>
    <xf numFmtId="0" fontId="5" fillId="0" borderId="0" xfId="0" applyFont="1" applyAlignment="1">
      <alignment vertical="center" wrapText="1"/>
    </xf>
    <xf numFmtId="0" fontId="6" fillId="5" borderId="8" xfId="0" applyFont="1" applyFill="1" applyBorder="1" applyAlignment="1">
      <alignment horizontal="right" vertical="center" wrapText="1"/>
    </xf>
    <xf numFmtId="10" fontId="5" fillId="5" borderId="5" xfId="0" applyNumberFormat="1" applyFont="1" applyFill="1" applyBorder="1" applyAlignment="1">
      <alignment horizontal="left" vertical="center" wrapText="1"/>
    </xf>
    <xf numFmtId="0" fontId="0" fillId="5" borderId="13" xfId="4" applyFont="1" applyFill="1" applyBorder="1" applyAlignment="1">
      <alignment horizontal="center" vertical="center"/>
    </xf>
    <xf numFmtId="0" fontId="7" fillId="6" borderId="13" xfId="2" applyFont="1" applyFill="1" applyBorder="1" applyAlignment="1">
      <alignment horizontal="center" vertical="center"/>
    </xf>
    <xf numFmtId="0" fontId="4" fillId="2" borderId="13" xfId="2" applyFont="1" applyBorder="1" applyAlignment="1">
      <alignment horizontal="center" vertical="center"/>
    </xf>
    <xf numFmtId="0" fontId="4" fillId="2" borderId="8" xfId="2" applyFont="1" applyBorder="1" applyAlignment="1">
      <alignment vertical="center"/>
    </xf>
    <xf numFmtId="2" fontId="4" fillId="2" borderId="12" xfId="2" applyNumberFormat="1" applyFont="1" applyBorder="1" applyAlignment="1">
      <alignment horizontal="center" vertical="center"/>
    </xf>
    <xf numFmtId="0" fontId="0" fillId="5" borderId="8" xfId="4" applyFont="1" applyFill="1" applyBorder="1" applyAlignment="1">
      <alignment horizontal="left" vertical="center" wrapText="1"/>
    </xf>
    <xf numFmtId="10" fontId="1" fillId="5" borderId="12" xfId="4" applyNumberFormat="1" applyFill="1" applyBorder="1" applyAlignment="1">
      <alignment horizontal="center" vertical="center"/>
    </xf>
    <xf numFmtId="10" fontId="4" fillId="2" borderId="12" xfId="2" applyNumberFormat="1" applyFont="1" applyBorder="1" applyAlignment="1">
      <alignment horizontal="center" vertical="center"/>
    </xf>
    <xf numFmtId="10" fontId="4" fillId="5" borderId="18" xfId="2" applyNumberFormat="1" applyFont="1" applyFill="1" applyBorder="1" applyAlignment="1">
      <alignment horizontal="center" vertical="center"/>
    </xf>
    <xf numFmtId="0" fontId="0" fillId="0" borderId="2" xfId="4" applyFont="1" applyFill="1" applyBorder="1" applyAlignment="1">
      <alignment horizontal="left" vertical="center" wrapText="1"/>
    </xf>
    <xf numFmtId="0" fontId="0" fillId="0" borderId="2" xfId="0" applyBorder="1"/>
    <xf numFmtId="44" fontId="0" fillId="5" borderId="2" xfId="4" applyNumberFormat="1" applyFont="1" applyFill="1" applyBorder="1" applyAlignment="1">
      <alignment horizontal="center" vertical="center"/>
    </xf>
    <xf numFmtId="164" fontId="0" fillId="0" borderId="0" xfId="0" applyNumberFormat="1"/>
    <xf numFmtId="0" fontId="10" fillId="0" borderId="13" xfId="0" applyFont="1" applyBorder="1" applyAlignment="1">
      <alignment horizontal="center" vertical="center" wrapText="1"/>
    </xf>
    <xf numFmtId="0" fontId="4" fillId="8" borderId="2" xfId="2" applyFont="1" applyFill="1" applyBorder="1" applyAlignment="1">
      <alignment horizontal="center" vertical="center"/>
    </xf>
    <xf numFmtId="168" fontId="1" fillId="5" borderId="2" xfId="1" applyNumberFormat="1" applyFont="1" applyFill="1" applyBorder="1" applyAlignment="1">
      <alignment horizontal="center" vertical="center"/>
    </xf>
    <xf numFmtId="168" fontId="1" fillId="5" borderId="2" xfId="4" applyNumberFormat="1" applyFill="1" applyBorder="1" applyAlignment="1">
      <alignment horizontal="center" vertical="center"/>
    </xf>
    <xf numFmtId="168" fontId="0" fillId="0" borderId="0" xfId="0" applyNumberFormat="1"/>
    <xf numFmtId="7" fontId="1" fillId="5" borderId="2" xfId="4" applyNumberFormat="1" applyFill="1" applyBorder="1" applyAlignment="1">
      <alignment horizontal="center" vertical="center"/>
    </xf>
    <xf numFmtId="7" fontId="1" fillId="5" borderId="2" xfId="1" applyNumberFormat="1" applyFont="1" applyFill="1" applyBorder="1" applyAlignment="1">
      <alignment horizontal="center" vertical="center"/>
    </xf>
    <xf numFmtId="168" fontId="4" fillId="8" borderId="2" xfId="2" applyNumberFormat="1" applyFont="1" applyFill="1" applyBorder="1" applyAlignment="1">
      <alignment horizontal="center" vertical="center"/>
    </xf>
    <xf numFmtId="7" fontId="9" fillId="6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4" fontId="1" fillId="5" borderId="2" xfId="4" applyNumberForma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9" xfId="0" applyBorder="1" applyAlignment="1">
      <alignment horizontal="center"/>
    </xf>
    <xf numFmtId="0" fontId="7" fillId="6" borderId="8" xfId="2" applyFont="1" applyFill="1" applyBorder="1" applyAlignment="1">
      <alignment horizontal="center" vertical="center"/>
    </xf>
    <xf numFmtId="0" fontId="7" fillId="6" borderId="4" xfId="2" applyFont="1" applyFill="1" applyBorder="1" applyAlignment="1">
      <alignment horizontal="center" vertical="center"/>
    </xf>
    <xf numFmtId="0" fontId="7" fillId="6" borderId="14" xfId="2" applyFont="1" applyFill="1" applyBorder="1" applyAlignment="1">
      <alignment horizontal="center" vertical="center"/>
    </xf>
    <xf numFmtId="0" fontId="8" fillId="5" borderId="15" xfId="4" applyFont="1" applyFill="1" applyBorder="1" applyAlignment="1">
      <alignment horizontal="center" vertical="center"/>
    </xf>
    <xf numFmtId="0" fontId="8" fillId="5" borderId="16" xfId="4" applyFont="1" applyFill="1" applyBorder="1" applyAlignment="1">
      <alignment horizontal="center" vertical="center"/>
    </xf>
    <xf numFmtId="0" fontId="8" fillId="5" borderId="17" xfId="4" applyFont="1" applyFill="1" applyBorder="1" applyAlignment="1">
      <alignment horizontal="center" vertical="center"/>
    </xf>
    <xf numFmtId="0" fontId="9" fillId="6" borderId="13" xfId="2" applyFont="1" applyFill="1" applyBorder="1" applyAlignment="1">
      <alignment horizontal="center" vertical="center"/>
    </xf>
    <xf numFmtId="0" fontId="9" fillId="6" borderId="2" xfId="2" applyFont="1" applyFill="1" applyBorder="1" applyAlignment="1">
      <alignment horizontal="center" vertical="center"/>
    </xf>
    <xf numFmtId="0" fontId="9" fillId="6" borderId="12" xfId="2" applyFont="1" applyFill="1" applyBorder="1" applyAlignment="1">
      <alignment horizontal="center" vertical="center"/>
    </xf>
    <xf numFmtId="0" fontId="4" fillId="8" borderId="8" xfId="2" applyFont="1" applyFill="1" applyBorder="1" applyAlignment="1">
      <alignment horizontal="left" vertical="center"/>
    </xf>
    <xf numFmtId="0" fontId="4" fillId="8" borderId="4" xfId="2" applyFont="1" applyFill="1" applyBorder="1" applyAlignment="1">
      <alignment horizontal="left" vertical="center"/>
    </xf>
    <xf numFmtId="0" fontId="4" fillId="8" borderId="5" xfId="2" applyFont="1" applyFill="1" applyBorder="1" applyAlignment="1">
      <alignment horizontal="left" vertical="center"/>
    </xf>
    <xf numFmtId="0" fontId="4" fillId="8" borderId="8" xfId="2" applyFont="1" applyFill="1" applyBorder="1" applyAlignment="1">
      <alignment horizontal="right" vertical="center"/>
    </xf>
    <xf numFmtId="0" fontId="4" fillId="8" borderId="4" xfId="2" applyFont="1" applyFill="1" applyBorder="1" applyAlignment="1">
      <alignment horizontal="right" vertical="center"/>
    </xf>
    <xf numFmtId="0" fontId="4" fillId="8" borderId="5" xfId="2" applyFont="1" applyFill="1" applyBorder="1" applyAlignment="1">
      <alignment horizontal="right" vertical="center"/>
    </xf>
    <xf numFmtId="0" fontId="1" fillId="5" borderId="9" xfId="4" applyFill="1" applyBorder="1" applyAlignment="1">
      <alignment horizontal="center" vertical="center"/>
    </xf>
    <xf numFmtId="0" fontId="1" fillId="5" borderId="0" xfId="4" applyFill="1" applyBorder="1" applyAlignment="1">
      <alignment horizontal="center" vertical="center"/>
    </xf>
    <xf numFmtId="0" fontId="1" fillId="5" borderId="10" xfId="4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top" wrapText="1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9" fillId="6" borderId="8" xfId="2" applyFont="1" applyFill="1" applyBorder="1" applyAlignment="1">
      <alignment horizontal="right" vertical="center"/>
    </xf>
    <xf numFmtId="0" fontId="9" fillId="6" borderId="4" xfId="2" applyFont="1" applyFill="1" applyBorder="1" applyAlignment="1">
      <alignment horizontal="right" vertical="center"/>
    </xf>
    <xf numFmtId="0" fontId="9" fillId="6" borderId="5" xfId="2" applyFont="1" applyFill="1" applyBorder="1" applyAlignment="1">
      <alignment horizontal="right" vertical="center"/>
    </xf>
  </cellXfs>
  <cellStyles count="7">
    <cellStyle name="20% - Ênfase1" xfId="4" builtinId="30"/>
    <cellStyle name="40% - Ênfase3 3" xfId="5"/>
    <cellStyle name="60% - Ênfase1" xfId="2" builtinId="32"/>
    <cellStyle name="Estilo 1" xfId="3"/>
    <cellStyle name="Moeda" xfId="1" builtinId="4"/>
    <cellStyle name="Moeda 2" xf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view="pageBreakPreview" topLeftCell="A4" zoomScale="90" zoomScaleNormal="90" zoomScaleSheetLayoutView="90" workbookViewId="0">
      <selection sqref="A1:D31"/>
    </sheetView>
  </sheetViews>
  <sheetFormatPr defaultRowHeight="15" x14ac:dyDescent="0.25"/>
  <cols>
    <col min="1" max="1" width="13.7109375" customWidth="1"/>
    <col min="2" max="2" width="52.7109375" bestFit="1" customWidth="1"/>
    <col min="3" max="3" width="6.140625" bestFit="1" customWidth="1"/>
    <col min="4" max="4" width="7.42578125" bestFit="1" customWidth="1"/>
    <col min="5" max="5" width="31.7109375" customWidth="1"/>
  </cols>
  <sheetData>
    <row r="1" spans="1:4" ht="24.75" customHeight="1" x14ac:dyDescent="0.25">
      <c r="A1" s="55" t="s">
        <v>23</v>
      </c>
      <c r="B1" s="56"/>
      <c r="C1" s="56"/>
      <c r="D1" s="57"/>
    </row>
    <row r="2" spans="1:4" ht="7.5" customHeight="1" x14ac:dyDescent="0.25">
      <c r="A2" s="46"/>
      <c r="B2" s="47"/>
      <c r="C2" s="47"/>
      <c r="D2" s="48"/>
    </row>
    <row r="3" spans="1:4" ht="24.75" customHeight="1" x14ac:dyDescent="0.25">
      <c r="A3" s="21" t="s">
        <v>0</v>
      </c>
      <c r="B3" s="49" t="s">
        <v>24</v>
      </c>
      <c r="C3" s="50"/>
      <c r="D3" s="51"/>
    </row>
    <row r="4" spans="1:4" ht="19.5" customHeight="1" x14ac:dyDescent="0.25">
      <c r="A4" s="22">
        <v>1</v>
      </c>
      <c r="B4" s="23" t="s">
        <v>25</v>
      </c>
      <c r="C4" s="9" t="s">
        <v>26</v>
      </c>
      <c r="D4" s="24">
        <f>(1+(D5+D6+D7))*(1+D8)*(1+D9)</f>
        <v>1.1784838</v>
      </c>
    </row>
    <row r="5" spans="1:4" x14ac:dyDescent="0.25">
      <c r="A5" s="20" t="s">
        <v>5</v>
      </c>
      <c r="B5" s="25" t="s">
        <v>27</v>
      </c>
      <c r="C5" s="11" t="s">
        <v>28</v>
      </c>
      <c r="D5" s="26">
        <v>4.8000000000000001E-2</v>
      </c>
    </row>
    <row r="6" spans="1:4" x14ac:dyDescent="0.25">
      <c r="A6" s="20" t="s">
        <v>6</v>
      </c>
      <c r="B6" s="25" t="s">
        <v>29</v>
      </c>
      <c r="C6" s="11" t="s">
        <v>30</v>
      </c>
      <c r="D6" s="26">
        <v>1.6E-2</v>
      </c>
    </row>
    <row r="7" spans="1:4" x14ac:dyDescent="0.25">
      <c r="A7" s="20" t="s">
        <v>20</v>
      </c>
      <c r="B7" s="25" t="s">
        <v>31</v>
      </c>
      <c r="C7" s="11" t="s">
        <v>32</v>
      </c>
      <c r="D7" s="26">
        <v>1.0999999999999999E-2</v>
      </c>
    </row>
    <row r="8" spans="1:4" x14ac:dyDescent="0.25">
      <c r="A8" s="20" t="s">
        <v>21</v>
      </c>
      <c r="B8" s="25" t="s">
        <v>33</v>
      </c>
      <c r="C8" s="11" t="s">
        <v>34</v>
      </c>
      <c r="D8" s="26">
        <v>1.6E-2</v>
      </c>
    </row>
    <row r="9" spans="1:4" x14ac:dyDescent="0.25">
      <c r="A9" s="20" t="s">
        <v>22</v>
      </c>
      <c r="B9" s="25" t="s">
        <v>35</v>
      </c>
      <c r="C9" s="11" t="s">
        <v>36</v>
      </c>
      <c r="D9" s="26">
        <v>7.9000000000000001E-2</v>
      </c>
    </row>
    <row r="10" spans="1:4" ht="19.5" customHeight="1" x14ac:dyDescent="0.25">
      <c r="A10" s="22">
        <v>2</v>
      </c>
      <c r="B10" s="23" t="s">
        <v>37</v>
      </c>
      <c r="C10" s="9" t="s">
        <v>38</v>
      </c>
      <c r="D10" s="27">
        <f>SUM(D11:D14)</f>
        <v>8.6500000000000007E-2</v>
      </c>
    </row>
    <row r="11" spans="1:4" x14ac:dyDescent="0.25">
      <c r="A11" s="20" t="s">
        <v>12</v>
      </c>
      <c r="B11" s="25" t="s">
        <v>39</v>
      </c>
      <c r="C11" s="11" t="s">
        <v>40</v>
      </c>
      <c r="D11" s="26">
        <v>0.03</v>
      </c>
    </row>
    <row r="12" spans="1:4" x14ac:dyDescent="0.25">
      <c r="A12" s="20" t="s">
        <v>13</v>
      </c>
      <c r="B12" s="25" t="s">
        <v>41</v>
      </c>
      <c r="C12" s="11" t="s">
        <v>42</v>
      </c>
      <c r="D12" s="26">
        <v>0.05</v>
      </c>
    </row>
    <row r="13" spans="1:4" x14ac:dyDescent="0.25">
      <c r="A13" s="20" t="s">
        <v>14</v>
      </c>
      <c r="B13" s="25" t="s">
        <v>43</v>
      </c>
      <c r="C13" s="11" t="s">
        <v>44</v>
      </c>
      <c r="D13" s="26">
        <v>6.4999999999999997E-3</v>
      </c>
    </row>
    <row r="14" spans="1:4" x14ac:dyDescent="0.25">
      <c r="A14" s="20" t="s">
        <v>15</v>
      </c>
      <c r="B14" s="25" t="s">
        <v>45</v>
      </c>
      <c r="C14" s="11" t="s">
        <v>46</v>
      </c>
      <c r="D14" s="26">
        <v>0</v>
      </c>
    </row>
    <row r="15" spans="1:4" ht="23.25" customHeight="1" thickBot="1" x14ac:dyDescent="0.3">
      <c r="A15" s="52" t="s">
        <v>47</v>
      </c>
      <c r="B15" s="53"/>
      <c r="C15" s="54"/>
      <c r="D15" s="28">
        <f>(D4/(1-(D11+D12+D13+D14)))-1</f>
        <v>0.2900753147235906</v>
      </c>
    </row>
    <row r="17" spans="1:4" ht="18.75" x14ac:dyDescent="0.25">
      <c r="A17" s="55" t="s">
        <v>23</v>
      </c>
      <c r="B17" s="56"/>
      <c r="C17" s="56"/>
      <c r="D17" s="57"/>
    </row>
    <row r="18" spans="1:4" x14ac:dyDescent="0.25">
      <c r="A18" s="46"/>
      <c r="B18" s="47"/>
      <c r="C18" s="47"/>
      <c r="D18" s="48"/>
    </row>
    <row r="19" spans="1:4" ht="15.75" x14ac:dyDescent="0.25">
      <c r="A19" s="21" t="s">
        <v>0</v>
      </c>
      <c r="B19" s="49" t="s">
        <v>213</v>
      </c>
      <c r="C19" s="50"/>
      <c r="D19" s="51"/>
    </row>
    <row r="20" spans="1:4" x14ac:dyDescent="0.25">
      <c r="A20" s="22">
        <v>1</v>
      </c>
      <c r="B20" s="23" t="s">
        <v>25</v>
      </c>
      <c r="C20" s="9" t="s">
        <v>26</v>
      </c>
      <c r="D20" s="24">
        <f>(1+(D21+D22+D23))*(1+D24)*(1+D25)</f>
        <v>1.1299050000000002</v>
      </c>
    </row>
    <row r="21" spans="1:4" x14ac:dyDescent="0.25">
      <c r="A21" s="20" t="s">
        <v>5</v>
      </c>
      <c r="B21" s="25" t="s">
        <v>27</v>
      </c>
      <c r="C21" s="11" t="s">
        <v>28</v>
      </c>
      <c r="D21" s="26">
        <v>0.03</v>
      </c>
    </row>
    <row r="22" spans="1:4" x14ac:dyDescent="0.25">
      <c r="A22" s="20" t="s">
        <v>6</v>
      </c>
      <c r="B22" s="25" t="s">
        <v>29</v>
      </c>
      <c r="C22" s="11" t="s">
        <v>30</v>
      </c>
      <c r="D22" s="26">
        <v>1.4999999999999999E-2</v>
      </c>
    </row>
    <row r="23" spans="1:4" x14ac:dyDescent="0.25">
      <c r="A23" s="20" t="s">
        <v>20</v>
      </c>
      <c r="B23" s="25" t="s">
        <v>31</v>
      </c>
      <c r="C23" s="11" t="s">
        <v>32</v>
      </c>
      <c r="D23" s="26">
        <v>0.01</v>
      </c>
    </row>
    <row r="24" spans="1:4" x14ac:dyDescent="0.25">
      <c r="A24" s="20" t="s">
        <v>21</v>
      </c>
      <c r="B24" s="25" t="s">
        <v>33</v>
      </c>
      <c r="C24" s="11" t="s">
        <v>34</v>
      </c>
      <c r="D24" s="26">
        <v>0.02</v>
      </c>
    </row>
    <row r="25" spans="1:4" x14ac:dyDescent="0.25">
      <c r="A25" s="20" t="s">
        <v>22</v>
      </c>
      <c r="B25" s="25" t="s">
        <v>35</v>
      </c>
      <c r="C25" s="11" t="s">
        <v>36</v>
      </c>
      <c r="D25" s="26">
        <v>0.05</v>
      </c>
    </row>
    <row r="26" spans="1:4" x14ac:dyDescent="0.25">
      <c r="A26" s="22">
        <v>2</v>
      </c>
      <c r="B26" s="23" t="s">
        <v>37</v>
      </c>
      <c r="C26" s="9" t="s">
        <v>38</v>
      </c>
      <c r="D26" s="27">
        <f>SUM(D27:D30)</f>
        <v>8.6500000000000007E-2</v>
      </c>
    </row>
    <row r="27" spans="1:4" x14ac:dyDescent="0.25">
      <c r="A27" s="20" t="s">
        <v>12</v>
      </c>
      <c r="B27" s="25" t="s">
        <v>39</v>
      </c>
      <c r="C27" s="11" t="s">
        <v>40</v>
      </c>
      <c r="D27" s="26">
        <v>0.03</v>
      </c>
    </row>
    <row r="28" spans="1:4" x14ac:dyDescent="0.25">
      <c r="A28" s="20" t="s">
        <v>13</v>
      </c>
      <c r="B28" s="25" t="s">
        <v>41</v>
      </c>
      <c r="C28" s="11" t="s">
        <v>42</v>
      </c>
      <c r="D28" s="26">
        <v>0.05</v>
      </c>
    </row>
    <row r="29" spans="1:4" x14ac:dyDescent="0.25">
      <c r="A29" s="20" t="s">
        <v>14</v>
      </c>
      <c r="B29" s="25" t="s">
        <v>43</v>
      </c>
      <c r="C29" s="11" t="s">
        <v>44</v>
      </c>
      <c r="D29" s="26">
        <v>6.4999999999999997E-3</v>
      </c>
    </row>
    <row r="30" spans="1:4" x14ac:dyDescent="0.25">
      <c r="A30" s="20" t="s">
        <v>15</v>
      </c>
      <c r="B30" s="25" t="s">
        <v>45</v>
      </c>
      <c r="C30" s="11" t="s">
        <v>46</v>
      </c>
      <c r="D30" s="26">
        <v>0</v>
      </c>
    </row>
    <row r="31" spans="1:4" ht="15.75" thickBot="1" x14ac:dyDescent="0.3">
      <c r="A31" s="52" t="s">
        <v>47</v>
      </c>
      <c r="B31" s="53"/>
      <c r="C31" s="54"/>
      <c r="D31" s="28">
        <f>(D20/(1-(D27+D28+D29+D30)))-1</f>
        <v>0.23689655172413815</v>
      </c>
    </row>
  </sheetData>
  <mergeCells count="8">
    <mergeCell ref="A18:D18"/>
    <mergeCell ref="B19:D19"/>
    <mergeCell ref="A31:C31"/>
    <mergeCell ref="A1:D1"/>
    <mergeCell ref="A2:D2"/>
    <mergeCell ref="B3:D3"/>
    <mergeCell ref="A15:C15"/>
    <mergeCell ref="A17:D17"/>
  </mergeCells>
  <printOptions horizontalCentered="1"/>
  <pageMargins left="0.25" right="0.25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2"/>
  <sheetViews>
    <sheetView tabSelected="1" view="pageBreakPreview" topLeftCell="A16" zoomScale="90" zoomScaleNormal="90" zoomScaleSheetLayoutView="90" workbookViewId="0">
      <selection sqref="A1:E1"/>
    </sheetView>
  </sheetViews>
  <sheetFormatPr defaultRowHeight="15" x14ac:dyDescent="0.25"/>
  <cols>
    <col min="1" max="1" width="5.85546875" bestFit="1" customWidth="1"/>
    <col min="2" max="2" width="9.5703125" bestFit="1" customWidth="1"/>
    <col min="3" max="3" width="54.5703125" bestFit="1" customWidth="1"/>
    <col min="4" max="4" width="9.28515625" bestFit="1" customWidth="1"/>
    <col min="5" max="5" width="7.85546875" bestFit="1" customWidth="1"/>
    <col min="6" max="6" width="0.85546875" style="16" customWidth="1"/>
    <col min="7" max="7" width="12.5703125" bestFit="1" customWidth="1"/>
    <col min="8" max="8" width="17.7109375" bestFit="1" customWidth="1"/>
    <col min="9" max="9" width="13.85546875" bestFit="1" customWidth="1"/>
    <col min="10" max="10" width="22.85546875" bestFit="1" customWidth="1"/>
    <col min="11" max="11" width="31.7109375" customWidth="1"/>
  </cols>
  <sheetData>
    <row r="1" spans="1:12" ht="32.25" customHeight="1" x14ac:dyDescent="0.25">
      <c r="A1" s="71" t="s">
        <v>205</v>
      </c>
      <c r="B1" s="71"/>
      <c r="C1" s="71"/>
      <c r="D1" s="71"/>
      <c r="E1" s="71"/>
      <c r="F1" s="17"/>
      <c r="G1" s="18" t="s">
        <v>18</v>
      </c>
      <c r="H1" s="19">
        <f>'COMPOSIÇÃO DO BDI'!D15</f>
        <v>0.2900753147235906</v>
      </c>
      <c r="I1" s="18" t="s">
        <v>214</v>
      </c>
      <c r="J1" s="19">
        <f>'COMPOSIÇÃO DO BDI'!D31</f>
        <v>0.23689655172413815</v>
      </c>
    </row>
    <row r="2" spans="1:12" ht="21.75" customHeight="1" x14ac:dyDescent="0.25">
      <c r="A2" s="67" t="s">
        <v>206</v>
      </c>
      <c r="B2" s="67"/>
      <c r="C2" s="67"/>
      <c r="D2" s="67"/>
      <c r="E2" s="67"/>
      <c r="F2" s="6"/>
      <c r="G2" s="72" t="s">
        <v>228</v>
      </c>
      <c r="H2" s="73"/>
      <c r="I2" s="73"/>
      <c r="J2" s="74"/>
    </row>
    <row r="3" spans="1:12" ht="19.5" customHeight="1" x14ac:dyDescent="0.25">
      <c r="A3" s="67" t="s">
        <v>78</v>
      </c>
      <c r="B3" s="67"/>
      <c r="C3" s="67"/>
      <c r="D3" s="67"/>
      <c r="E3" s="67"/>
      <c r="F3" s="6"/>
      <c r="G3" s="67" t="s">
        <v>77</v>
      </c>
      <c r="H3" s="67"/>
      <c r="I3" s="75"/>
      <c r="J3" s="75"/>
    </row>
    <row r="4" spans="1:12" ht="18" customHeight="1" x14ac:dyDescent="0.25">
      <c r="A4" s="67" t="s">
        <v>207</v>
      </c>
      <c r="B4" s="67"/>
      <c r="C4" s="67"/>
      <c r="D4" s="67"/>
      <c r="E4" s="67"/>
      <c r="F4" s="6"/>
      <c r="G4" s="68" t="s">
        <v>109</v>
      </c>
      <c r="H4" s="68"/>
      <c r="I4" s="68"/>
      <c r="J4" s="68"/>
    </row>
    <row r="5" spans="1:12" ht="7.5" customHeight="1" x14ac:dyDescent="0.25">
      <c r="A5" s="69"/>
      <c r="B5" s="69"/>
      <c r="C5" s="69"/>
      <c r="D5" s="69"/>
      <c r="E5" s="69"/>
      <c r="F5" s="70"/>
      <c r="G5" s="69"/>
      <c r="H5" s="69"/>
      <c r="I5" s="69"/>
      <c r="J5" s="69"/>
    </row>
    <row r="6" spans="1:12" ht="24.75" customHeight="1" x14ac:dyDescent="0.25">
      <c r="A6" s="56" t="s">
        <v>231</v>
      </c>
      <c r="B6" s="56"/>
      <c r="C6" s="56"/>
      <c r="D6" s="56"/>
      <c r="E6" s="56"/>
      <c r="F6" s="56"/>
      <c r="G6" s="56"/>
      <c r="H6" s="56"/>
      <c r="I6" s="56"/>
      <c r="J6" s="56"/>
      <c r="L6" s="30"/>
    </row>
    <row r="7" spans="1:12" ht="7.5" customHeight="1" x14ac:dyDescent="0.25">
      <c r="A7" s="47"/>
      <c r="B7" s="47"/>
      <c r="C7" s="47"/>
      <c r="D7" s="47"/>
      <c r="E7" s="47"/>
      <c r="F7" s="70"/>
      <c r="G7" s="47"/>
      <c r="H7" s="47"/>
      <c r="I7" s="47"/>
      <c r="J7" s="47"/>
    </row>
    <row r="8" spans="1:12" ht="24.75" customHeight="1" x14ac:dyDescent="0.25">
      <c r="A8" s="7" t="s">
        <v>0</v>
      </c>
      <c r="B8" s="7" t="s">
        <v>7</v>
      </c>
      <c r="C8" s="7" t="s">
        <v>1</v>
      </c>
      <c r="D8" s="7" t="s">
        <v>8</v>
      </c>
      <c r="E8" s="7" t="s">
        <v>9</v>
      </c>
      <c r="F8" s="10"/>
      <c r="G8" s="8" t="s">
        <v>10</v>
      </c>
      <c r="H8" s="7" t="s">
        <v>3</v>
      </c>
      <c r="I8" s="7" t="s">
        <v>16</v>
      </c>
      <c r="J8" s="7" t="s">
        <v>4</v>
      </c>
    </row>
    <row r="9" spans="1:12" ht="19.5" customHeight="1" x14ac:dyDescent="0.25">
      <c r="A9" s="34">
        <v>1</v>
      </c>
      <c r="B9" s="58" t="s">
        <v>58</v>
      </c>
      <c r="C9" s="59"/>
      <c r="D9" s="59"/>
      <c r="E9" s="60"/>
      <c r="F9" s="4"/>
      <c r="G9" s="61" t="s">
        <v>2</v>
      </c>
      <c r="H9" s="62"/>
      <c r="I9" s="63"/>
      <c r="J9" s="40" t="e">
        <f>ROUND(SUM(J10),2)</f>
        <v>#REF!</v>
      </c>
    </row>
    <row r="10" spans="1:12" ht="45" x14ac:dyDescent="0.25">
      <c r="A10" s="12" t="s">
        <v>5</v>
      </c>
      <c r="B10" s="11" t="s">
        <v>68</v>
      </c>
      <c r="C10" s="13" t="s">
        <v>67</v>
      </c>
      <c r="D10" s="15" t="s">
        <v>92</v>
      </c>
      <c r="E10" s="14" t="s">
        <v>69</v>
      </c>
      <c r="F10" s="1"/>
      <c r="G10" s="3">
        <v>2</v>
      </c>
      <c r="H10" s="45" t="e">
        <f>K79</f>
        <v>#REF!</v>
      </c>
      <c r="I10" s="31" t="s">
        <v>60</v>
      </c>
      <c r="J10" s="38" t="e">
        <f>H10*G10/100</f>
        <v>#REF!</v>
      </c>
    </row>
    <row r="11" spans="1:12" ht="10.5" customHeight="1" x14ac:dyDescent="0.25">
      <c r="A11" s="64"/>
      <c r="B11" s="65"/>
      <c r="C11" s="65"/>
      <c r="D11" s="65"/>
      <c r="E11" s="65"/>
      <c r="F11" s="65"/>
      <c r="G11" s="65"/>
      <c r="H11" s="65"/>
      <c r="I11" s="65"/>
      <c r="J11" s="66"/>
    </row>
    <row r="12" spans="1:12" ht="19.5" customHeight="1" x14ac:dyDescent="0.25">
      <c r="A12" s="34">
        <v>2</v>
      </c>
      <c r="B12" s="58" t="s">
        <v>19</v>
      </c>
      <c r="C12" s="59"/>
      <c r="D12" s="59"/>
      <c r="E12" s="60"/>
      <c r="F12" s="4"/>
      <c r="G12" s="61" t="s">
        <v>2</v>
      </c>
      <c r="H12" s="62"/>
      <c r="I12" s="63"/>
      <c r="J12" s="40">
        <f>ROUND(SUM(J13:J14),2)</f>
        <v>394830.48</v>
      </c>
    </row>
    <row r="13" spans="1:12" ht="30" x14ac:dyDescent="0.25">
      <c r="A13" s="12" t="s">
        <v>12</v>
      </c>
      <c r="B13" s="11" t="s">
        <v>108</v>
      </c>
      <c r="C13" s="29" t="s">
        <v>107</v>
      </c>
      <c r="D13" s="15" t="s">
        <v>92</v>
      </c>
      <c r="E13" s="15" t="s">
        <v>56</v>
      </c>
      <c r="F13" s="2"/>
      <c r="G13" s="5">
        <v>6</v>
      </c>
      <c r="H13" s="39">
        <v>29799.81</v>
      </c>
      <c r="I13" s="38">
        <f>ROUND(H13+(H13*$H$1),2)</f>
        <v>38444</v>
      </c>
      <c r="J13" s="38">
        <f>ROUND(G13*I13,2)</f>
        <v>230664</v>
      </c>
    </row>
    <row r="14" spans="1:12" ht="30" x14ac:dyDescent="0.25">
      <c r="A14" s="12" t="s">
        <v>13</v>
      </c>
      <c r="B14" s="11" t="s">
        <v>76</v>
      </c>
      <c r="C14" s="29" t="s">
        <v>74</v>
      </c>
      <c r="D14" s="15" t="s">
        <v>92</v>
      </c>
      <c r="E14" s="15" t="s">
        <v>56</v>
      </c>
      <c r="F14" s="2"/>
      <c r="G14" s="5">
        <v>12</v>
      </c>
      <c r="H14" s="39">
        <v>10604.45</v>
      </c>
      <c r="I14" s="38">
        <f>ROUND(H14+(H14*$H$1),2)</f>
        <v>13680.54</v>
      </c>
      <c r="J14" s="38">
        <f>ROUND(G14*I14,2)</f>
        <v>164166.48000000001</v>
      </c>
    </row>
    <row r="15" spans="1:12" ht="10.5" customHeight="1" x14ac:dyDescent="0.25">
      <c r="A15" s="64"/>
      <c r="B15" s="65"/>
      <c r="C15" s="65"/>
      <c r="D15" s="65"/>
      <c r="E15" s="65"/>
      <c r="F15" s="65"/>
      <c r="G15" s="65"/>
      <c r="H15" s="65"/>
      <c r="I15" s="65"/>
      <c r="J15" s="66"/>
    </row>
    <row r="16" spans="1:12" ht="19.5" customHeight="1" x14ac:dyDescent="0.25">
      <c r="A16" s="34">
        <v>3</v>
      </c>
      <c r="B16" s="58" t="s">
        <v>48</v>
      </c>
      <c r="C16" s="59"/>
      <c r="D16" s="59"/>
      <c r="E16" s="60"/>
      <c r="F16" s="4"/>
      <c r="G16" s="61" t="s">
        <v>2</v>
      </c>
      <c r="H16" s="62"/>
      <c r="I16" s="63"/>
      <c r="J16" s="40">
        <f>ROUND(SUM(J17:J18),2)</f>
        <v>55116.800000000003</v>
      </c>
    </row>
    <row r="17" spans="1:14" ht="120" x14ac:dyDescent="0.25">
      <c r="A17" s="12" t="s">
        <v>175</v>
      </c>
      <c r="B17" s="11" t="s">
        <v>51</v>
      </c>
      <c r="C17" s="13" t="s">
        <v>49</v>
      </c>
      <c r="D17" s="15" t="s">
        <v>92</v>
      </c>
      <c r="E17" s="14" t="s">
        <v>50</v>
      </c>
      <c r="F17" s="1"/>
      <c r="G17" s="3">
        <f>N57*2</f>
        <v>20</v>
      </c>
      <c r="H17" s="39">
        <v>1156.19</v>
      </c>
      <c r="I17" s="38">
        <f t="shared" ref="I17:I18" si="0">ROUND(H17+(H17*$H$1),2)</f>
        <v>1491.57</v>
      </c>
      <c r="J17" s="38">
        <f>ROUND(G17*I17,2)</f>
        <v>29831.4</v>
      </c>
    </row>
    <row r="18" spans="1:14" ht="60" x14ac:dyDescent="0.25">
      <c r="A18" s="12" t="s">
        <v>178</v>
      </c>
      <c r="B18" s="11" t="s">
        <v>177</v>
      </c>
      <c r="C18" s="13" t="s">
        <v>176</v>
      </c>
      <c r="D18" s="15" t="s">
        <v>92</v>
      </c>
      <c r="E18" s="14" t="s">
        <v>56</v>
      </c>
      <c r="F18" s="1"/>
      <c r="G18" s="3">
        <f>G17</f>
        <v>20</v>
      </c>
      <c r="H18" s="39">
        <v>980</v>
      </c>
      <c r="I18" s="38">
        <f t="shared" si="0"/>
        <v>1264.27</v>
      </c>
      <c r="J18" s="38">
        <f>ROUND(G18*I18,2)</f>
        <v>25285.4</v>
      </c>
    </row>
    <row r="19" spans="1:14" ht="10.5" customHeight="1" x14ac:dyDescent="0.25">
      <c r="A19" s="64"/>
      <c r="B19" s="65"/>
      <c r="C19" s="65"/>
      <c r="D19" s="65"/>
      <c r="E19" s="65"/>
      <c r="F19" s="65"/>
      <c r="G19" s="65"/>
      <c r="H19" s="65"/>
      <c r="I19" s="65"/>
      <c r="J19" s="66"/>
    </row>
    <row r="20" spans="1:14" ht="19.5" customHeight="1" x14ac:dyDescent="0.25">
      <c r="A20" s="34">
        <v>4</v>
      </c>
      <c r="B20" s="58" t="s">
        <v>217</v>
      </c>
      <c r="C20" s="59"/>
      <c r="D20" s="59"/>
      <c r="E20" s="60"/>
      <c r="F20" s="4"/>
      <c r="G20" s="61" t="s">
        <v>2</v>
      </c>
      <c r="H20" s="62"/>
      <c r="I20" s="63"/>
      <c r="J20" s="40">
        <f>ROUND(SUM(J21:J26),2)</f>
        <v>172735.5</v>
      </c>
    </row>
    <row r="21" spans="1:14" ht="45" x14ac:dyDescent="0.25">
      <c r="A21" s="12" t="s">
        <v>55</v>
      </c>
      <c r="B21" s="11" t="s">
        <v>111</v>
      </c>
      <c r="C21" s="13" t="s">
        <v>110</v>
      </c>
      <c r="D21" s="15" t="s">
        <v>92</v>
      </c>
      <c r="E21" s="15" t="s">
        <v>53</v>
      </c>
      <c r="F21" s="2"/>
      <c r="G21" s="5">
        <f>G51/2</f>
        <v>750</v>
      </c>
      <c r="H21" s="39">
        <v>45.28</v>
      </c>
      <c r="I21" s="38">
        <f t="shared" ref="I21:I26" si="1">ROUND(H21+(H21*$H$1),2)</f>
        <v>58.41</v>
      </c>
      <c r="J21" s="38">
        <f t="shared" ref="J21:J26" si="2">ROUND(G21*I21,2)</f>
        <v>43807.5</v>
      </c>
      <c r="L21" s="43" t="s">
        <v>212</v>
      </c>
      <c r="N21" s="44">
        <f>G21+G23+G26+G24+G22+G40+G51</f>
        <v>5375</v>
      </c>
    </row>
    <row r="22" spans="1:14" ht="45" x14ac:dyDescent="0.25">
      <c r="A22" s="12" t="s">
        <v>63</v>
      </c>
      <c r="B22" s="11" t="s">
        <v>106</v>
      </c>
      <c r="C22" s="13" t="s">
        <v>105</v>
      </c>
      <c r="D22" s="15" t="s">
        <v>92</v>
      </c>
      <c r="E22" s="15" t="s">
        <v>38</v>
      </c>
      <c r="F22" s="2"/>
      <c r="G22" s="5">
        <f>G21*1.6</f>
        <v>1200</v>
      </c>
      <c r="H22" s="39">
        <v>2.69</v>
      </c>
      <c r="I22" s="38">
        <f t="shared" si="1"/>
        <v>3.47</v>
      </c>
      <c r="J22" s="38">
        <f t="shared" si="2"/>
        <v>4164</v>
      </c>
    </row>
    <row r="23" spans="1:14" ht="30" x14ac:dyDescent="0.25">
      <c r="A23" s="12" t="s">
        <v>64</v>
      </c>
      <c r="B23" s="11" t="s">
        <v>115</v>
      </c>
      <c r="C23" s="13" t="s">
        <v>114</v>
      </c>
      <c r="D23" s="15" t="s">
        <v>92</v>
      </c>
      <c r="E23" s="15" t="s">
        <v>53</v>
      </c>
      <c r="F23" s="2"/>
      <c r="G23" s="5">
        <f>G21</f>
        <v>750</v>
      </c>
      <c r="H23" s="39">
        <v>3.42</v>
      </c>
      <c r="I23" s="38">
        <f t="shared" si="1"/>
        <v>4.41</v>
      </c>
      <c r="J23" s="38">
        <f t="shared" si="2"/>
        <v>3307.5</v>
      </c>
    </row>
    <row r="24" spans="1:14" ht="30" x14ac:dyDescent="0.25">
      <c r="A24" s="12" t="s">
        <v>65</v>
      </c>
      <c r="B24" s="11" t="s">
        <v>113</v>
      </c>
      <c r="C24" s="29" t="s">
        <v>112</v>
      </c>
      <c r="D24" s="15" t="s">
        <v>92</v>
      </c>
      <c r="E24" s="15" t="s">
        <v>53</v>
      </c>
      <c r="F24" s="2"/>
      <c r="G24" s="5">
        <f>G21</f>
        <v>750</v>
      </c>
      <c r="H24" s="39">
        <v>49.19</v>
      </c>
      <c r="I24" s="38">
        <f t="shared" si="1"/>
        <v>63.46</v>
      </c>
      <c r="J24" s="38">
        <f t="shared" si="2"/>
        <v>47595</v>
      </c>
    </row>
    <row r="25" spans="1:14" ht="60" x14ac:dyDescent="0.25">
      <c r="A25" s="12" t="s">
        <v>66</v>
      </c>
      <c r="B25" s="11" t="s">
        <v>216</v>
      </c>
      <c r="C25" s="13" t="s">
        <v>215</v>
      </c>
      <c r="D25" s="15" t="s">
        <v>92</v>
      </c>
      <c r="E25" s="15" t="s">
        <v>53</v>
      </c>
      <c r="F25" s="2"/>
      <c r="G25" s="5">
        <v>50</v>
      </c>
      <c r="H25" s="39">
        <v>780.73</v>
      </c>
      <c r="I25" s="38">
        <f t="shared" ref="I25" si="3">ROUND(H25+(H25*$H$1),2)</f>
        <v>1007.2</v>
      </c>
      <c r="J25" s="38">
        <f t="shared" si="2"/>
        <v>50360</v>
      </c>
    </row>
    <row r="26" spans="1:14" ht="60" x14ac:dyDescent="0.25">
      <c r="A26" s="12" t="s">
        <v>218</v>
      </c>
      <c r="B26" s="11" t="s">
        <v>220</v>
      </c>
      <c r="C26" s="13" t="s">
        <v>219</v>
      </c>
      <c r="D26" s="15" t="s">
        <v>92</v>
      </c>
      <c r="E26" s="15" t="s">
        <v>53</v>
      </c>
      <c r="F26" s="2"/>
      <c r="G26" s="5">
        <v>50</v>
      </c>
      <c r="H26" s="39">
        <v>364.34</v>
      </c>
      <c r="I26" s="38">
        <f t="shared" si="1"/>
        <v>470.03</v>
      </c>
      <c r="J26" s="38">
        <f t="shared" si="2"/>
        <v>23501.5</v>
      </c>
    </row>
    <row r="27" spans="1:14" ht="10.5" customHeight="1" x14ac:dyDescent="0.25">
      <c r="A27" s="64"/>
      <c r="B27" s="65"/>
      <c r="C27" s="65"/>
      <c r="D27" s="65"/>
      <c r="E27" s="65"/>
      <c r="F27" s="65"/>
      <c r="G27" s="65"/>
      <c r="H27" s="65"/>
      <c r="I27" s="65"/>
      <c r="J27" s="66"/>
    </row>
    <row r="28" spans="1:14" ht="19.5" customHeight="1" x14ac:dyDescent="0.25">
      <c r="A28" s="34">
        <v>5</v>
      </c>
      <c r="B28" s="58" t="s">
        <v>116</v>
      </c>
      <c r="C28" s="59"/>
      <c r="D28" s="59"/>
      <c r="E28" s="60"/>
      <c r="F28" s="4"/>
      <c r="G28" s="61" t="s">
        <v>2</v>
      </c>
      <c r="H28" s="62"/>
      <c r="I28" s="63"/>
      <c r="J28" s="40">
        <f>ROUND(SUM(J29:J34),2)</f>
        <v>246889.88</v>
      </c>
    </row>
    <row r="29" spans="1:14" ht="75" x14ac:dyDescent="0.25">
      <c r="A29" s="12" t="s">
        <v>81</v>
      </c>
      <c r="B29" s="11" t="s">
        <v>119</v>
      </c>
      <c r="C29" s="13" t="s">
        <v>117</v>
      </c>
      <c r="D29" s="15" t="s">
        <v>92</v>
      </c>
      <c r="E29" s="15" t="s">
        <v>118</v>
      </c>
      <c r="F29" s="2"/>
      <c r="G29" s="5">
        <f>N21*0.1*2/2</f>
        <v>537.5</v>
      </c>
      <c r="H29" s="39">
        <v>4.09</v>
      </c>
      <c r="I29" s="38">
        <f t="shared" ref="I29:I34" si="4">ROUND(H29+(H29*$H$1),2)</f>
        <v>5.28</v>
      </c>
      <c r="J29" s="38">
        <f t="shared" ref="J29:J34" si="5">ROUND(G29*I29,2)</f>
        <v>2838</v>
      </c>
    </row>
    <row r="30" spans="1:14" ht="75" x14ac:dyDescent="0.25">
      <c r="A30" s="12" t="s">
        <v>82</v>
      </c>
      <c r="B30" s="11" t="s">
        <v>121</v>
      </c>
      <c r="C30" s="13" t="s">
        <v>120</v>
      </c>
      <c r="D30" s="15" t="s">
        <v>92</v>
      </c>
      <c r="E30" s="15" t="s">
        <v>118</v>
      </c>
      <c r="F30" s="2"/>
      <c r="G30" s="5">
        <f>N21*0.2*5/2</f>
        <v>2687.5</v>
      </c>
      <c r="H30" s="39">
        <v>2.73</v>
      </c>
      <c r="I30" s="38">
        <f t="shared" si="4"/>
        <v>3.52</v>
      </c>
      <c r="J30" s="38">
        <f t="shared" si="5"/>
        <v>9460</v>
      </c>
    </row>
    <row r="31" spans="1:14" ht="90" x14ac:dyDescent="0.25">
      <c r="A31" s="12" t="s">
        <v>83</v>
      </c>
      <c r="B31" s="11" t="s">
        <v>123</v>
      </c>
      <c r="C31" s="13" t="s">
        <v>122</v>
      </c>
      <c r="D31" s="15" t="s">
        <v>92</v>
      </c>
      <c r="E31" s="15" t="s">
        <v>118</v>
      </c>
      <c r="F31" s="2"/>
      <c r="G31" s="5">
        <f>N21*0.4*10/2</f>
        <v>10750</v>
      </c>
      <c r="H31" s="39">
        <v>2.11</v>
      </c>
      <c r="I31" s="38">
        <f t="shared" si="4"/>
        <v>2.72</v>
      </c>
      <c r="J31" s="38">
        <f t="shared" si="5"/>
        <v>29240</v>
      </c>
    </row>
    <row r="32" spans="1:14" ht="75" x14ac:dyDescent="0.25">
      <c r="A32" s="12" t="s">
        <v>179</v>
      </c>
      <c r="B32" s="11" t="s">
        <v>125</v>
      </c>
      <c r="C32" s="29" t="s">
        <v>124</v>
      </c>
      <c r="D32" s="15" t="s">
        <v>92</v>
      </c>
      <c r="E32" s="15" t="s">
        <v>118</v>
      </c>
      <c r="F32" s="2"/>
      <c r="G32" s="5">
        <f>N21*0.2*20/2</f>
        <v>10750</v>
      </c>
      <c r="H32" s="39">
        <v>1.86</v>
      </c>
      <c r="I32" s="38">
        <f t="shared" si="4"/>
        <v>2.4</v>
      </c>
      <c r="J32" s="38">
        <f t="shared" si="5"/>
        <v>25800</v>
      </c>
    </row>
    <row r="33" spans="1:10" ht="75" x14ac:dyDescent="0.25">
      <c r="A33" s="12" t="s">
        <v>180</v>
      </c>
      <c r="B33" s="11" t="s">
        <v>127</v>
      </c>
      <c r="C33" s="13" t="s">
        <v>126</v>
      </c>
      <c r="D33" s="15" t="s">
        <v>92</v>
      </c>
      <c r="E33" s="15" t="s">
        <v>118</v>
      </c>
      <c r="F33" s="2"/>
      <c r="G33" s="5">
        <f>N21*0.1*30/2</f>
        <v>8062.5</v>
      </c>
      <c r="H33" s="39">
        <v>1.76</v>
      </c>
      <c r="I33" s="38">
        <f t="shared" si="4"/>
        <v>2.27</v>
      </c>
      <c r="J33" s="38">
        <f t="shared" si="5"/>
        <v>18301.88</v>
      </c>
    </row>
    <row r="34" spans="1:10" ht="60" x14ac:dyDescent="0.25">
      <c r="A34" s="12" t="s">
        <v>181</v>
      </c>
      <c r="B34" s="11" t="s">
        <v>128</v>
      </c>
      <c r="C34" s="29" t="s">
        <v>104</v>
      </c>
      <c r="D34" s="15" t="s">
        <v>92</v>
      </c>
      <c r="E34" s="15" t="s">
        <v>118</v>
      </c>
      <c r="F34" s="2"/>
      <c r="G34" s="5">
        <f>G51*50</f>
        <v>75000</v>
      </c>
      <c r="H34" s="39">
        <v>1.67</v>
      </c>
      <c r="I34" s="38">
        <f t="shared" si="4"/>
        <v>2.15</v>
      </c>
      <c r="J34" s="38">
        <f t="shared" si="5"/>
        <v>161250</v>
      </c>
    </row>
    <row r="35" spans="1:10" ht="10.5" customHeight="1" x14ac:dyDescent="0.25">
      <c r="A35" s="64"/>
      <c r="B35" s="65"/>
      <c r="C35" s="65"/>
      <c r="D35" s="65"/>
      <c r="E35" s="65"/>
      <c r="F35" s="65"/>
      <c r="G35" s="65"/>
      <c r="H35" s="65"/>
      <c r="I35" s="65"/>
      <c r="J35" s="66"/>
    </row>
    <row r="36" spans="1:10" ht="19.5" customHeight="1" x14ac:dyDescent="0.25">
      <c r="A36" s="34">
        <v>6</v>
      </c>
      <c r="B36" s="58" t="s">
        <v>59</v>
      </c>
      <c r="C36" s="59"/>
      <c r="D36" s="59"/>
      <c r="E36" s="60"/>
      <c r="F36" s="4"/>
      <c r="G36" s="61" t="s">
        <v>2</v>
      </c>
      <c r="H36" s="62"/>
      <c r="I36" s="63"/>
      <c r="J36" s="40">
        <f>ROUND(SUM(J37:J48),2)</f>
        <v>737351.95</v>
      </c>
    </row>
    <row r="37" spans="1:10" ht="75" x14ac:dyDescent="0.25">
      <c r="A37" s="12" t="s">
        <v>84</v>
      </c>
      <c r="B37" s="11" t="s">
        <v>130</v>
      </c>
      <c r="C37" s="29" t="s">
        <v>129</v>
      </c>
      <c r="D37" s="15" t="s">
        <v>11</v>
      </c>
      <c r="E37" s="15" t="s">
        <v>53</v>
      </c>
      <c r="F37" s="2"/>
      <c r="G37" s="5">
        <f>G51/2</f>
        <v>750</v>
      </c>
      <c r="H37" s="39">
        <v>10.96</v>
      </c>
      <c r="I37" s="38">
        <f t="shared" ref="I37:I48" si="6">ROUND(H37+(H37*$H$1),2)</f>
        <v>14.14</v>
      </c>
      <c r="J37" s="38">
        <f>ROUND(G37*I37,2)</f>
        <v>10605</v>
      </c>
    </row>
    <row r="38" spans="1:10" ht="60" x14ac:dyDescent="0.25">
      <c r="A38" s="12" t="s">
        <v>85</v>
      </c>
      <c r="B38" s="11" t="s">
        <v>73</v>
      </c>
      <c r="C38" s="29" t="s">
        <v>72</v>
      </c>
      <c r="D38" s="15" t="s">
        <v>92</v>
      </c>
      <c r="E38" s="15" t="s">
        <v>54</v>
      </c>
      <c r="F38" s="2"/>
      <c r="G38" s="5">
        <f>N57*120/2</f>
        <v>600</v>
      </c>
      <c r="H38" s="39">
        <v>210.89</v>
      </c>
      <c r="I38" s="38">
        <f t="shared" si="6"/>
        <v>272.06</v>
      </c>
      <c r="J38" s="38">
        <f t="shared" ref="J38:J48" si="7">ROUND(G38*I38,2)</f>
        <v>163236</v>
      </c>
    </row>
    <row r="39" spans="1:10" ht="30" x14ac:dyDescent="0.25">
      <c r="A39" s="12" t="s">
        <v>86</v>
      </c>
      <c r="B39" s="11" t="s">
        <v>71</v>
      </c>
      <c r="C39" s="29" t="s">
        <v>70</v>
      </c>
      <c r="D39" s="15" t="s">
        <v>92</v>
      </c>
      <c r="E39" s="14" t="s">
        <v>50</v>
      </c>
      <c r="F39" s="2"/>
      <c r="G39" s="5">
        <f>G38/10*2</f>
        <v>120</v>
      </c>
      <c r="H39" s="39">
        <v>72.3</v>
      </c>
      <c r="I39" s="38">
        <f t="shared" si="6"/>
        <v>93.27</v>
      </c>
      <c r="J39" s="38">
        <f t="shared" si="7"/>
        <v>11192.4</v>
      </c>
    </row>
    <row r="40" spans="1:10" ht="75" x14ac:dyDescent="0.25">
      <c r="A40" s="12" t="s">
        <v>182</v>
      </c>
      <c r="B40" s="11" t="s">
        <v>80</v>
      </c>
      <c r="C40" s="29" t="s">
        <v>79</v>
      </c>
      <c r="D40" s="15" t="s">
        <v>92</v>
      </c>
      <c r="E40" s="15" t="s">
        <v>53</v>
      </c>
      <c r="F40" s="2"/>
      <c r="G40" s="5">
        <f>G51/4</f>
        <v>375</v>
      </c>
      <c r="H40" s="39">
        <v>263.57</v>
      </c>
      <c r="I40" s="38">
        <f t="shared" si="6"/>
        <v>340.03</v>
      </c>
      <c r="J40" s="38">
        <f t="shared" si="7"/>
        <v>127511.25</v>
      </c>
    </row>
    <row r="41" spans="1:10" ht="45" x14ac:dyDescent="0.25">
      <c r="A41" s="12" t="s">
        <v>183</v>
      </c>
      <c r="B41" s="11" t="s">
        <v>133</v>
      </c>
      <c r="C41" s="29" t="s">
        <v>131</v>
      </c>
      <c r="D41" s="15" t="s">
        <v>92</v>
      </c>
      <c r="E41" s="15" t="s">
        <v>57</v>
      </c>
      <c r="F41" s="2"/>
      <c r="G41" s="5">
        <v>2000</v>
      </c>
      <c r="H41" s="39">
        <v>15.14</v>
      </c>
      <c r="I41" s="38">
        <f t="shared" ref="I41" si="8">ROUND(H41+(H41*$H$1),2)</f>
        <v>19.53</v>
      </c>
      <c r="J41" s="38">
        <f t="shared" ref="J41" si="9">ROUND(G41*I41,2)</f>
        <v>39060</v>
      </c>
    </row>
    <row r="42" spans="1:10" ht="30" x14ac:dyDescent="0.25">
      <c r="A42" s="12" t="s">
        <v>184</v>
      </c>
      <c r="B42" s="11" t="s">
        <v>222</v>
      </c>
      <c r="C42" s="29" t="s">
        <v>221</v>
      </c>
      <c r="D42" s="15" t="s">
        <v>92</v>
      </c>
      <c r="E42" s="15" t="s">
        <v>57</v>
      </c>
      <c r="F42" s="2"/>
      <c r="G42" s="5">
        <v>1500</v>
      </c>
      <c r="H42" s="39">
        <v>14.62</v>
      </c>
      <c r="I42" s="38">
        <f t="shared" si="6"/>
        <v>18.86</v>
      </c>
      <c r="J42" s="38">
        <f t="shared" si="7"/>
        <v>28290</v>
      </c>
    </row>
    <row r="43" spans="1:10" ht="60" x14ac:dyDescent="0.25">
      <c r="A43" s="12" t="s">
        <v>185</v>
      </c>
      <c r="B43" s="11" t="s">
        <v>135</v>
      </c>
      <c r="C43" s="29" t="s">
        <v>132</v>
      </c>
      <c r="D43" s="15" t="s">
        <v>92</v>
      </c>
      <c r="E43" s="15" t="s">
        <v>53</v>
      </c>
      <c r="F43" s="2"/>
      <c r="G43" s="5">
        <f>N57*12</f>
        <v>120</v>
      </c>
      <c r="H43" s="39">
        <v>712.49</v>
      </c>
      <c r="I43" s="38">
        <f t="shared" si="6"/>
        <v>919.17</v>
      </c>
      <c r="J43" s="38">
        <f>ROUND(G43*I43,2)</f>
        <v>110300.4</v>
      </c>
    </row>
    <row r="44" spans="1:10" ht="45" x14ac:dyDescent="0.25">
      <c r="A44" s="12" t="s">
        <v>186</v>
      </c>
      <c r="B44" s="11" t="s">
        <v>159</v>
      </c>
      <c r="C44" s="29" t="s">
        <v>158</v>
      </c>
      <c r="D44" s="15" t="s">
        <v>92</v>
      </c>
      <c r="E44" s="15" t="s">
        <v>53</v>
      </c>
      <c r="F44" s="2"/>
      <c r="G44" s="5">
        <v>80</v>
      </c>
      <c r="H44" s="39">
        <v>721.96</v>
      </c>
      <c r="I44" s="38">
        <f t="shared" si="6"/>
        <v>931.38</v>
      </c>
      <c r="J44" s="38">
        <f t="shared" si="7"/>
        <v>74510.399999999994</v>
      </c>
    </row>
    <row r="45" spans="1:10" ht="45" x14ac:dyDescent="0.25">
      <c r="A45" s="12" t="s">
        <v>187</v>
      </c>
      <c r="B45" s="11" t="s">
        <v>136</v>
      </c>
      <c r="C45" s="29" t="s">
        <v>134</v>
      </c>
      <c r="D45" s="15" t="s">
        <v>92</v>
      </c>
      <c r="E45" s="15" t="s">
        <v>52</v>
      </c>
      <c r="F45" s="2"/>
      <c r="G45" s="5">
        <f>N57*35</f>
        <v>350</v>
      </c>
      <c r="H45" s="39">
        <v>79.680000000000007</v>
      </c>
      <c r="I45" s="38">
        <f t="shared" si="6"/>
        <v>102.79</v>
      </c>
      <c r="J45" s="38">
        <f>ROUND(G45*I45,2)</f>
        <v>35976.5</v>
      </c>
    </row>
    <row r="46" spans="1:10" ht="30" x14ac:dyDescent="0.25">
      <c r="A46" s="12" t="s">
        <v>188</v>
      </c>
      <c r="B46" s="11" t="s">
        <v>167</v>
      </c>
      <c r="C46" s="29" t="s">
        <v>166</v>
      </c>
      <c r="D46" s="15" t="s">
        <v>92</v>
      </c>
      <c r="E46" s="15" t="s">
        <v>53</v>
      </c>
      <c r="F46" s="2"/>
      <c r="G46" s="5">
        <f>G51/6</f>
        <v>250</v>
      </c>
      <c r="H46" s="39">
        <v>191.12</v>
      </c>
      <c r="I46" s="38">
        <f t="shared" si="6"/>
        <v>246.56</v>
      </c>
      <c r="J46" s="38">
        <f>ROUND(G46*I46,2)</f>
        <v>61640</v>
      </c>
    </row>
    <row r="47" spans="1:10" ht="60" x14ac:dyDescent="0.25">
      <c r="A47" s="12" t="s">
        <v>229</v>
      </c>
      <c r="B47" s="11" t="s">
        <v>224</v>
      </c>
      <c r="C47" s="29" t="s">
        <v>223</v>
      </c>
      <c r="D47" s="15" t="s">
        <v>92</v>
      </c>
      <c r="E47" s="15" t="s">
        <v>225</v>
      </c>
      <c r="F47" s="2"/>
      <c r="G47" s="5">
        <v>50</v>
      </c>
      <c r="H47" s="39">
        <v>365.19</v>
      </c>
      <c r="I47" s="38">
        <f t="shared" ref="I47" si="10">ROUND(H47+(H47*$H$1),2)</f>
        <v>471.12</v>
      </c>
      <c r="J47" s="38">
        <f t="shared" ref="J47" si="11">ROUND(G47*I47,2)</f>
        <v>23556</v>
      </c>
    </row>
    <row r="48" spans="1:10" ht="75" x14ac:dyDescent="0.25">
      <c r="A48" s="12" t="s">
        <v>230</v>
      </c>
      <c r="B48" s="11" t="s">
        <v>227</v>
      </c>
      <c r="C48" s="29" t="s">
        <v>226</v>
      </c>
      <c r="D48" s="15" t="s">
        <v>92</v>
      </c>
      <c r="E48" s="15" t="s">
        <v>54</v>
      </c>
      <c r="F48" s="2"/>
      <c r="G48" s="5">
        <v>300</v>
      </c>
      <c r="H48" s="39">
        <v>133</v>
      </c>
      <c r="I48" s="38">
        <f t="shared" si="6"/>
        <v>171.58</v>
      </c>
      <c r="J48" s="38">
        <f t="shared" si="7"/>
        <v>51474</v>
      </c>
    </row>
    <row r="49" spans="1:14" ht="10.5" customHeight="1" x14ac:dyDescent="0.25">
      <c r="A49" s="64"/>
      <c r="B49" s="65"/>
      <c r="C49" s="65"/>
      <c r="D49" s="65"/>
      <c r="E49" s="65"/>
      <c r="F49" s="65"/>
      <c r="G49" s="65"/>
      <c r="H49" s="65"/>
      <c r="I49" s="65"/>
      <c r="J49" s="66"/>
    </row>
    <row r="50" spans="1:14" ht="19.5" customHeight="1" x14ac:dyDescent="0.25">
      <c r="A50" s="34">
        <v>7</v>
      </c>
      <c r="B50" s="58" t="s">
        <v>170</v>
      </c>
      <c r="C50" s="59"/>
      <c r="D50" s="59"/>
      <c r="E50" s="60"/>
      <c r="F50" s="4"/>
      <c r="G50" s="61" t="s">
        <v>2</v>
      </c>
      <c r="H50" s="62"/>
      <c r="I50" s="63"/>
      <c r="J50" s="40" t="e">
        <f>ROUND(SUM(J51:J54),2)</f>
        <v>#REF!</v>
      </c>
    </row>
    <row r="51" spans="1:14" ht="45" x14ac:dyDescent="0.25">
      <c r="A51" s="12" t="s">
        <v>87</v>
      </c>
      <c r="B51" s="11" t="s">
        <v>62</v>
      </c>
      <c r="C51" s="13" t="s">
        <v>210</v>
      </c>
      <c r="D51" s="15" t="s">
        <v>92</v>
      </c>
      <c r="E51" s="15" t="s">
        <v>53</v>
      </c>
      <c r="F51" s="2"/>
      <c r="G51" s="5">
        <v>1500</v>
      </c>
      <c r="H51" s="35" t="e">
        <f>#REF!</f>
        <v>#REF!</v>
      </c>
      <c r="I51" s="38" t="e">
        <f t="shared" ref="I51:I54" si="12">ROUND(H51+(H51*$H$1),2)</f>
        <v>#REF!</v>
      </c>
      <c r="J51" s="36" t="e">
        <f>ROUND(G51*I51,2)</f>
        <v>#REF!</v>
      </c>
    </row>
    <row r="52" spans="1:14" x14ac:dyDescent="0.25">
      <c r="A52" s="12" t="s">
        <v>88</v>
      </c>
      <c r="B52" s="33" t="s">
        <v>209</v>
      </c>
      <c r="C52" s="29" t="s">
        <v>208</v>
      </c>
      <c r="D52" s="15" t="s">
        <v>92</v>
      </c>
      <c r="E52" s="15" t="s">
        <v>52</v>
      </c>
      <c r="F52" s="2"/>
      <c r="G52" s="5">
        <f>G51*1.2</f>
        <v>1800</v>
      </c>
      <c r="H52" s="35">
        <v>11.63</v>
      </c>
      <c r="I52" s="38">
        <f t="shared" si="12"/>
        <v>15</v>
      </c>
      <c r="J52" s="36">
        <f>ROUND(G52*I52,2)</f>
        <v>27000</v>
      </c>
    </row>
    <row r="53" spans="1:14" ht="45" x14ac:dyDescent="0.25">
      <c r="A53" s="12" t="s">
        <v>189</v>
      </c>
      <c r="B53" s="11" t="s">
        <v>138</v>
      </c>
      <c r="C53" s="29" t="s">
        <v>137</v>
      </c>
      <c r="D53" s="15" t="s">
        <v>92</v>
      </c>
      <c r="E53" s="15" t="s">
        <v>52</v>
      </c>
      <c r="F53" s="2"/>
      <c r="G53" s="5">
        <f>G51/50</f>
        <v>30</v>
      </c>
      <c r="H53" s="35">
        <v>77.03</v>
      </c>
      <c r="I53" s="38">
        <f t="shared" si="12"/>
        <v>99.37</v>
      </c>
      <c r="J53" s="36">
        <f>ROUND(G53*I53,2)</f>
        <v>2981.1</v>
      </c>
    </row>
    <row r="54" spans="1:14" ht="45" x14ac:dyDescent="0.25">
      <c r="A54" s="12" t="s">
        <v>190</v>
      </c>
      <c r="B54" s="11" t="s">
        <v>159</v>
      </c>
      <c r="C54" s="29" t="s">
        <v>158</v>
      </c>
      <c r="D54" s="15" t="s">
        <v>92</v>
      </c>
      <c r="E54" s="15" t="s">
        <v>53</v>
      </c>
      <c r="F54" s="2"/>
      <c r="G54" s="5">
        <f>G51/50</f>
        <v>30</v>
      </c>
      <c r="H54" s="35">
        <v>721.96</v>
      </c>
      <c r="I54" s="38">
        <f t="shared" si="12"/>
        <v>931.38</v>
      </c>
      <c r="J54" s="36">
        <f>ROUND(G54*I54,2)</f>
        <v>27941.4</v>
      </c>
    </row>
    <row r="55" spans="1:14" ht="10.5" customHeight="1" x14ac:dyDescent="0.25">
      <c r="A55" s="64"/>
      <c r="B55" s="65"/>
      <c r="C55" s="65"/>
      <c r="D55" s="65"/>
      <c r="E55" s="65"/>
      <c r="F55" s="65"/>
      <c r="G55" s="65"/>
      <c r="H55" s="65"/>
      <c r="I55" s="65"/>
      <c r="J55" s="66"/>
    </row>
    <row r="56" spans="1:14" ht="19.5" customHeight="1" x14ac:dyDescent="0.25">
      <c r="A56" s="34">
        <v>8</v>
      </c>
      <c r="B56" s="58" t="s">
        <v>61</v>
      </c>
      <c r="C56" s="59"/>
      <c r="D56" s="59"/>
      <c r="E56" s="60"/>
      <c r="F56" s="4"/>
      <c r="G56" s="61" t="s">
        <v>2</v>
      </c>
      <c r="H56" s="62"/>
      <c r="I56" s="63"/>
      <c r="J56" s="40">
        <f>ROUND(SUM(J57:J62),2)</f>
        <v>1308242.3999999999</v>
      </c>
    </row>
    <row r="57" spans="1:14" ht="75" x14ac:dyDescent="0.25">
      <c r="A57" s="12" t="s">
        <v>100</v>
      </c>
      <c r="B57" s="11" t="s">
        <v>140</v>
      </c>
      <c r="C57" s="29" t="s">
        <v>139</v>
      </c>
      <c r="D57" s="15" t="s">
        <v>92</v>
      </c>
      <c r="E57" s="15" t="s">
        <v>57</v>
      </c>
      <c r="F57" s="2"/>
      <c r="G57" s="5">
        <v>50000</v>
      </c>
      <c r="H57" s="39">
        <v>16.23</v>
      </c>
      <c r="I57" s="38">
        <f t="shared" ref="I57:I62" si="13">ROUND(H57+(H57*$H$1),2)</f>
        <v>20.94</v>
      </c>
      <c r="J57" s="38">
        <f t="shared" ref="J57:J62" si="14">ROUND(G57*I57,2)</f>
        <v>1047000</v>
      </c>
      <c r="L57" t="s">
        <v>211</v>
      </c>
      <c r="N57" s="42">
        <v>10</v>
      </c>
    </row>
    <row r="58" spans="1:14" ht="60" x14ac:dyDescent="0.25">
      <c r="A58" s="12" t="s">
        <v>101</v>
      </c>
      <c r="B58" s="11" t="s">
        <v>142</v>
      </c>
      <c r="C58" s="29" t="s">
        <v>141</v>
      </c>
      <c r="D58" s="15" t="s">
        <v>92</v>
      </c>
      <c r="E58" s="14" t="s">
        <v>75</v>
      </c>
      <c r="F58" s="2"/>
      <c r="G58" s="5">
        <f>N57*1</f>
        <v>10</v>
      </c>
      <c r="H58" s="39">
        <v>3914.07</v>
      </c>
      <c r="I58" s="38">
        <f t="shared" si="13"/>
        <v>5049.45</v>
      </c>
      <c r="J58" s="38">
        <f t="shared" si="14"/>
        <v>50494.5</v>
      </c>
    </row>
    <row r="59" spans="1:14" ht="45" x14ac:dyDescent="0.25">
      <c r="A59" s="12" t="s">
        <v>102</v>
      </c>
      <c r="B59" s="11" t="s">
        <v>144</v>
      </c>
      <c r="C59" s="29" t="s">
        <v>143</v>
      </c>
      <c r="D59" s="15" t="s">
        <v>92</v>
      </c>
      <c r="E59" s="14" t="s">
        <v>57</v>
      </c>
      <c r="F59" s="2"/>
      <c r="G59" s="5">
        <f>G57</f>
        <v>50000</v>
      </c>
      <c r="H59" s="39">
        <v>1.63</v>
      </c>
      <c r="I59" s="38">
        <f t="shared" si="13"/>
        <v>2.1</v>
      </c>
      <c r="J59" s="38">
        <f t="shared" si="14"/>
        <v>105000</v>
      </c>
    </row>
    <row r="60" spans="1:14" ht="75" x14ac:dyDescent="0.25">
      <c r="A60" s="12" t="s">
        <v>103</v>
      </c>
      <c r="B60" s="11" t="s">
        <v>146</v>
      </c>
      <c r="C60" s="29" t="s">
        <v>145</v>
      </c>
      <c r="D60" s="15" t="s">
        <v>92</v>
      </c>
      <c r="E60" s="14" t="s">
        <v>75</v>
      </c>
      <c r="F60" s="2"/>
      <c r="G60" s="5">
        <f>G58</f>
        <v>10</v>
      </c>
      <c r="H60" s="39">
        <v>2476.44</v>
      </c>
      <c r="I60" s="38">
        <f t="shared" si="13"/>
        <v>3194.79</v>
      </c>
      <c r="J60" s="38">
        <f t="shared" si="14"/>
        <v>31947.9</v>
      </c>
    </row>
    <row r="61" spans="1:14" ht="75" x14ac:dyDescent="0.25">
      <c r="A61" s="12" t="s">
        <v>191</v>
      </c>
      <c r="B61" s="11" t="s">
        <v>147</v>
      </c>
      <c r="C61" s="29" t="s">
        <v>148</v>
      </c>
      <c r="D61" s="15" t="s">
        <v>92</v>
      </c>
      <c r="E61" s="14" t="s">
        <v>149</v>
      </c>
      <c r="F61" s="2"/>
      <c r="G61" s="5">
        <f>G59/1000*500</f>
        <v>25000</v>
      </c>
      <c r="H61" s="39">
        <v>0.74</v>
      </c>
      <c r="I61" s="38">
        <f t="shared" si="13"/>
        <v>0.95</v>
      </c>
      <c r="J61" s="38">
        <f t="shared" si="14"/>
        <v>23750</v>
      </c>
    </row>
    <row r="62" spans="1:14" ht="60" x14ac:dyDescent="0.25">
      <c r="A62" s="12" t="s">
        <v>192</v>
      </c>
      <c r="B62" s="11" t="s">
        <v>174</v>
      </c>
      <c r="C62" s="29" t="s">
        <v>173</v>
      </c>
      <c r="D62" s="15" t="s">
        <v>92</v>
      </c>
      <c r="E62" s="15" t="s">
        <v>52</v>
      </c>
      <c r="F62" s="2"/>
      <c r="G62" s="5">
        <f>N57*110</f>
        <v>1100</v>
      </c>
      <c r="H62" s="39">
        <v>35.270000000000003</v>
      </c>
      <c r="I62" s="38">
        <f t="shared" si="13"/>
        <v>45.5</v>
      </c>
      <c r="J62" s="38">
        <f t="shared" si="14"/>
        <v>50050</v>
      </c>
    </row>
    <row r="63" spans="1:14" ht="10.5" customHeight="1" x14ac:dyDescent="0.25">
      <c r="A63" s="64"/>
      <c r="B63" s="65"/>
      <c r="C63" s="65"/>
      <c r="D63" s="65"/>
      <c r="E63" s="65"/>
      <c r="F63" s="65"/>
      <c r="G63" s="65"/>
      <c r="H63" s="65"/>
      <c r="I63" s="65"/>
      <c r="J63" s="66"/>
    </row>
    <row r="64" spans="1:14" ht="19.5" customHeight="1" x14ac:dyDescent="0.25">
      <c r="A64" s="34">
        <v>9</v>
      </c>
      <c r="B64" s="58" t="s">
        <v>169</v>
      </c>
      <c r="C64" s="59"/>
      <c r="D64" s="59"/>
      <c r="E64" s="60"/>
      <c r="F64" s="4"/>
      <c r="G64" s="61" t="s">
        <v>2</v>
      </c>
      <c r="H64" s="62"/>
      <c r="I64" s="63"/>
      <c r="J64" s="40">
        <f>ROUND(SUM(J65:J69),2)</f>
        <v>290077.5</v>
      </c>
    </row>
    <row r="65" spans="1:11" ht="45" x14ac:dyDescent="0.25">
      <c r="A65" s="12" t="s">
        <v>193</v>
      </c>
      <c r="B65" s="11" t="s">
        <v>133</v>
      </c>
      <c r="C65" s="29" t="s">
        <v>131</v>
      </c>
      <c r="D65" s="15" t="s">
        <v>92</v>
      </c>
      <c r="E65" s="15" t="s">
        <v>57</v>
      </c>
      <c r="F65" s="2"/>
      <c r="G65" s="5">
        <f>N57*160</f>
        <v>1600</v>
      </c>
      <c r="H65" s="39">
        <v>15.14</v>
      </c>
      <c r="I65" s="38">
        <f t="shared" ref="I65:I69" si="15">ROUND(H65+(H65*$H$1),2)</f>
        <v>19.53</v>
      </c>
      <c r="J65" s="38">
        <f>ROUND(G65*I65,2)</f>
        <v>31248</v>
      </c>
    </row>
    <row r="66" spans="1:11" ht="45" x14ac:dyDescent="0.25">
      <c r="A66" s="12" t="s">
        <v>194</v>
      </c>
      <c r="B66" s="11" t="s">
        <v>151</v>
      </c>
      <c r="C66" s="29" t="s">
        <v>150</v>
      </c>
      <c r="D66" s="15" t="s">
        <v>92</v>
      </c>
      <c r="E66" s="14" t="s">
        <v>57</v>
      </c>
      <c r="F66" s="2"/>
      <c r="G66" s="5">
        <f>N57*160</f>
        <v>1600</v>
      </c>
      <c r="H66" s="39">
        <v>14.77</v>
      </c>
      <c r="I66" s="38">
        <f t="shared" si="15"/>
        <v>19.05</v>
      </c>
      <c r="J66" s="38">
        <f>ROUND(G66*I66,2)</f>
        <v>30480</v>
      </c>
    </row>
    <row r="67" spans="1:11" ht="30" x14ac:dyDescent="0.25">
      <c r="A67" s="12" t="s">
        <v>195</v>
      </c>
      <c r="B67" s="11" t="s">
        <v>153</v>
      </c>
      <c r="C67" s="29" t="s">
        <v>152</v>
      </c>
      <c r="D67" s="15" t="s">
        <v>92</v>
      </c>
      <c r="E67" s="14" t="s">
        <v>57</v>
      </c>
      <c r="F67" s="2"/>
      <c r="G67" s="5">
        <f>N57*450</f>
        <v>4500</v>
      </c>
      <c r="H67" s="39">
        <v>14.32</v>
      </c>
      <c r="I67" s="38">
        <f t="shared" si="15"/>
        <v>18.47</v>
      </c>
      <c r="J67" s="38">
        <f>ROUND(G67*I67,2)</f>
        <v>83115</v>
      </c>
    </row>
    <row r="68" spans="1:11" ht="60" x14ac:dyDescent="0.25">
      <c r="A68" s="12" t="s">
        <v>196</v>
      </c>
      <c r="B68" s="11" t="s">
        <v>155</v>
      </c>
      <c r="C68" s="29" t="s">
        <v>154</v>
      </c>
      <c r="D68" s="15" t="s">
        <v>92</v>
      </c>
      <c r="E68" s="15" t="s">
        <v>53</v>
      </c>
      <c r="F68" s="2"/>
      <c r="G68" s="5">
        <v>50</v>
      </c>
      <c r="H68" s="39">
        <v>766.57</v>
      </c>
      <c r="I68" s="38">
        <f t="shared" si="15"/>
        <v>988.93</v>
      </c>
      <c r="J68" s="38">
        <f>ROUND(G68*I68,2)</f>
        <v>49446.5</v>
      </c>
    </row>
    <row r="69" spans="1:11" ht="45" x14ac:dyDescent="0.25">
      <c r="A69" s="12" t="s">
        <v>197</v>
      </c>
      <c r="B69" s="11" t="s">
        <v>157</v>
      </c>
      <c r="C69" s="29" t="s">
        <v>156</v>
      </c>
      <c r="D69" s="15" t="s">
        <v>92</v>
      </c>
      <c r="E69" s="15" t="s">
        <v>53</v>
      </c>
      <c r="F69" s="2"/>
      <c r="G69" s="5">
        <v>100</v>
      </c>
      <c r="H69" s="39">
        <v>742.5</v>
      </c>
      <c r="I69" s="38">
        <f t="shared" si="15"/>
        <v>957.88</v>
      </c>
      <c r="J69" s="38">
        <f>ROUND(G69*I69,2)</f>
        <v>95788</v>
      </c>
    </row>
    <row r="70" spans="1:11" ht="10.5" customHeight="1" x14ac:dyDescent="0.25">
      <c r="A70" s="64"/>
      <c r="B70" s="65"/>
      <c r="C70" s="65"/>
      <c r="D70" s="65"/>
      <c r="E70" s="65"/>
      <c r="F70" s="65"/>
      <c r="G70" s="65"/>
      <c r="H70" s="65"/>
      <c r="I70" s="65"/>
      <c r="J70" s="66"/>
    </row>
    <row r="71" spans="1:11" ht="19.5" customHeight="1" x14ac:dyDescent="0.25">
      <c r="A71" s="34">
        <v>10</v>
      </c>
      <c r="B71" s="58" t="s">
        <v>168</v>
      </c>
      <c r="C71" s="59"/>
      <c r="D71" s="59"/>
      <c r="E71" s="60"/>
      <c r="F71" s="4"/>
      <c r="G71" s="61" t="s">
        <v>2</v>
      </c>
      <c r="H71" s="62"/>
      <c r="I71" s="63"/>
      <c r="J71" s="40">
        <f>ROUND(SUM(J72:J78),2)</f>
        <v>130553.1</v>
      </c>
    </row>
    <row r="72" spans="1:11" ht="45" x14ac:dyDescent="0.25">
      <c r="A72" s="12" t="s">
        <v>198</v>
      </c>
      <c r="B72" s="11" t="s">
        <v>133</v>
      </c>
      <c r="C72" s="29" t="s">
        <v>131</v>
      </c>
      <c r="D72" s="15" t="s">
        <v>92</v>
      </c>
      <c r="E72" s="15" t="s">
        <v>57</v>
      </c>
      <c r="F72" s="2"/>
      <c r="G72" s="5">
        <f>N57*14</f>
        <v>140</v>
      </c>
      <c r="H72" s="39">
        <v>15.14</v>
      </c>
      <c r="I72" s="38">
        <f t="shared" ref="I72:I78" si="16">ROUND(H72+(H72*$H$1),2)</f>
        <v>19.53</v>
      </c>
      <c r="J72" s="38">
        <f>ROUND(G72*I72,2)</f>
        <v>2734.2</v>
      </c>
    </row>
    <row r="73" spans="1:11" ht="30" x14ac:dyDescent="0.25">
      <c r="A73" s="12" t="s">
        <v>199</v>
      </c>
      <c r="B73" s="11" t="s">
        <v>153</v>
      </c>
      <c r="C73" s="29" t="s">
        <v>152</v>
      </c>
      <c r="D73" s="15" t="s">
        <v>92</v>
      </c>
      <c r="E73" s="14" t="s">
        <v>57</v>
      </c>
      <c r="F73" s="2"/>
      <c r="G73" s="5">
        <f>N57*80</f>
        <v>800</v>
      </c>
      <c r="H73" s="39">
        <v>14.32</v>
      </c>
      <c r="I73" s="38">
        <f t="shared" si="16"/>
        <v>18.47</v>
      </c>
      <c r="J73" s="38">
        <f t="shared" ref="J73:J78" si="17">ROUND(G73*I73,2)</f>
        <v>14776</v>
      </c>
    </row>
    <row r="74" spans="1:11" ht="45" x14ac:dyDescent="0.25">
      <c r="A74" s="12" t="s">
        <v>200</v>
      </c>
      <c r="B74" s="11" t="s">
        <v>138</v>
      </c>
      <c r="C74" s="29" t="s">
        <v>137</v>
      </c>
      <c r="D74" s="15" t="s">
        <v>92</v>
      </c>
      <c r="E74" s="15" t="s">
        <v>52</v>
      </c>
      <c r="F74" s="2"/>
      <c r="G74" s="5">
        <f>N57*20/2</f>
        <v>100</v>
      </c>
      <c r="H74" s="39">
        <v>77.03</v>
      </c>
      <c r="I74" s="38">
        <f t="shared" si="16"/>
        <v>99.37</v>
      </c>
      <c r="J74" s="38">
        <f t="shared" si="17"/>
        <v>9937</v>
      </c>
    </row>
    <row r="75" spans="1:11" ht="60" x14ac:dyDescent="0.25">
      <c r="A75" s="12" t="s">
        <v>201</v>
      </c>
      <c r="B75" s="11" t="s">
        <v>161</v>
      </c>
      <c r="C75" s="29" t="s">
        <v>160</v>
      </c>
      <c r="D75" s="15" t="s">
        <v>92</v>
      </c>
      <c r="E75" s="15" t="s">
        <v>53</v>
      </c>
      <c r="F75" s="2"/>
      <c r="G75" s="5">
        <f>N57</f>
        <v>10</v>
      </c>
      <c r="H75" s="39">
        <v>805.94</v>
      </c>
      <c r="I75" s="38">
        <f t="shared" si="16"/>
        <v>1039.72</v>
      </c>
      <c r="J75" s="38">
        <f>ROUND(G75*I75,2)</f>
        <v>10397.200000000001</v>
      </c>
    </row>
    <row r="76" spans="1:11" ht="45" x14ac:dyDescent="0.25">
      <c r="A76" s="12" t="s">
        <v>202</v>
      </c>
      <c r="B76" s="11" t="s">
        <v>163</v>
      </c>
      <c r="C76" s="29" t="s">
        <v>162</v>
      </c>
      <c r="D76" s="15" t="s">
        <v>92</v>
      </c>
      <c r="E76" s="15" t="s">
        <v>52</v>
      </c>
      <c r="F76" s="2"/>
      <c r="G76" s="5">
        <f>N57*30</f>
        <v>300</v>
      </c>
      <c r="H76" s="39">
        <v>99.35</v>
      </c>
      <c r="I76" s="38">
        <f t="shared" si="16"/>
        <v>128.16999999999999</v>
      </c>
      <c r="J76" s="38">
        <f>ROUND(G76*I76,2)</f>
        <v>38451</v>
      </c>
    </row>
    <row r="77" spans="1:11" ht="90" x14ac:dyDescent="0.25">
      <c r="A77" s="12" t="s">
        <v>203</v>
      </c>
      <c r="B77" s="11" t="s">
        <v>165</v>
      </c>
      <c r="C77" s="29" t="s">
        <v>164</v>
      </c>
      <c r="D77" s="15" t="s">
        <v>92</v>
      </c>
      <c r="E77" s="15" t="s">
        <v>54</v>
      </c>
      <c r="F77" s="2"/>
      <c r="G77" s="5">
        <f>N57*30/4</f>
        <v>75</v>
      </c>
      <c r="H77" s="39">
        <v>554.88</v>
      </c>
      <c r="I77" s="38">
        <f t="shared" si="16"/>
        <v>715.84</v>
      </c>
      <c r="J77" s="38">
        <f t="shared" si="17"/>
        <v>53688</v>
      </c>
    </row>
    <row r="78" spans="1:11" ht="60" x14ac:dyDescent="0.25">
      <c r="A78" s="12" t="s">
        <v>204</v>
      </c>
      <c r="B78" s="11" t="s">
        <v>172</v>
      </c>
      <c r="C78" s="29" t="s">
        <v>171</v>
      </c>
      <c r="D78" s="15" t="s">
        <v>92</v>
      </c>
      <c r="E78" s="15" t="s">
        <v>52</v>
      </c>
      <c r="F78" s="2"/>
      <c r="G78" s="5">
        <f>G77*0.15</f>
        <v>11.25</v>
      </c>
      <c r="H78" s="39">
        <v>39.25</v>
      </c>
      <c r="I78" s="38">
        <f t="shared" si="16"/>
        <v>50.64</v>
      </c>
      <c r="J78" s="38">
        <f t="shared" si="17"/>
        <v>569.70000000000005</v>
      </c>
    </row>
    <row r="79" spans="1:11" ht="18.75" x14ac:dyDescent="0.25">
      <c r="A79" s="76" t="s">
        <v>17</v>
      </c>
      <c r="B79" s="77"/>
      <c r="C79" s="77"/>
      <c r="D79" s="77"/>
      <c r="E79" s="77"/>
      <c r="F79" s="77"/>
      <c r="G79" s="77"/>
      <c r="H79" s="77"/>
      <c r="I79" s="78"/>
      <c r="J79" s="41" t="e">
        <f>J71+J64+J56+J50+J36+J28+J20+J16+J12+J9</f>
        <v>#REF!</v>
      </c>
      <c r="K79" s="32" t="e">
        <f>J12+J16+J20+J28+J36+J50+J56+J64+J71</f>
        <v>#REF!</v>
      </c>
    </row>
    <row r="80" spans="1:11" ht="10.5" customHeight="1" x14ac:dyDescent="0.25">
      <c r="A80" s="64"/>
      <c r="B80" s="65"/>
      <c r="C80" s="65"/>
      <c r="D80" s="65"/>
      <c r="E80" s="65"/>
      <c r="F80" s="65"/>
      <c r="G80" s="65"/>
      <c r="H80" s="65"/>
      <c r="I80" s="65"/>
      <c r="J80" s="66"/>
    </row>
    <row r="81" spans="1:12" ht="24.75" customHeight="1" x14ac:dyDescent="0.25">
      <c r="A81" s="56" t="s">
        <v>232</v>
      </c>
      <c r="B81" s="56"/>
      <c r="C81" s="56"/>
      <c r="D81" s="56"/>
      <c r="E81" s="56"/>
      <c r="F81" s="56"/>
      <c r="G81" s="56"/>
      <c r="H81" s="56"/>
      <c r="I81" s="56"/>
      <c r="J81" s="56"/>
      <c r="L81" s="30"/>
    </row>
    <row r="82" spans="1:12" ht="7.5" customHeight="1" x14ac:dyDescent="0.25">
      <c r="A82" s="47"/>
      <c r="B82" s="47"/>
      <c r="C82" s="47"/>
      <c r="D82" s="47"/>
      <c r="E82" s="47"/>
      <c r="F82" s="70"/>
      <c r="G82" s="47"/>
      <c r="H82" s="47"/>
      <c r="I82" s="47"/>
      <c r="J82" s="47"/>
    </row>
    <row r="83" spans="1:12" ht="24.75" customHeight="1" x14ac:dyDescent="0.25">
      <c r="A83" s="7" t="s">
        <v>0</v>
      </c>
      <c r="B83" s="7" t="s">
        <v>7</v>
      </c>
      <c r="C83" s="7" t="s">
        <v>1</v>
      </c>
      <c r="D83" s="7" t="s">
        <v>8</v>
      </c>
      <c r="E83" s="7" t="s">
        <v>9</v>
      </c>
      <c r="F83" s="10"/>
      <c r="G83" s="8" t="s">
        <v>10</v>
      </c>
      <c r="H83" s="7" t="s">
        <v>3</v>
      </c>
      <c r="I83" s="7" t="s">
        <v>16</v>
      </c>
      <c r="J83" s="7" t="s">
        <v>4</v>
      </c>
    </row>
    <row r="84" spans="1:12" ht="19.5" customHeight="1" x14ac:dyDescent="0.25">
      <c r="A84" s="34">
        <v>1</v>
      </c>
      <c r="B84" s="58" t="s">
        <v>89</v>
      </c>
      <c r="C84" s="59"/>
      <c r="D84" s="59"/>
      <c r="E84" s="60"/>
      <c r="F84" s="4"/>
      <c r="G84" s="61" t="s">
        <v>2</v>
      </c>
      <c r="H84" s="62"/>
      <c r="I84" s="63"/>
      <c r="J84" s="40">
        <f>SUM(J85:J88)</f>
        <v>114679.79999999999</v>
      </c>
    </row>
    <row r="85" spans="1:12" ht="45" x14ac:dyDescent="0.25">
      <c r="A85" s="12" t="s">
        <v>5</v>
      </c>
      <c r="B85" s="11" t="s">
        <v>90</v>
      </c>
      <c r="C85" s="29" t="s">
        <v>91</v>
      </c>
      <c r="D85" s="15" t="s">
        <v>92</v>
      </c>
      <c r="E85" s="15" t="s">
        <v>75</v>
      </c>
      <c r="F85" s="2"/>
      <c r="G85" s="5">
        <f>G17</f>
        <v>20</v>
      </c>
      <c r="H85" s="39">
        <v>915.03</v>
      </c>
      <c r="I85" s="38">
        <f t="shared" ref="I85:I88" si="18">ROUND(H85+(H85*$H$1),2)</f>
        <v>1180.46</v>
      </c>
      <c r="J85" s="38">
        <f>ROUND(G85*I85,2)</f>
        <v>23609.200000000001</v>
      </c>
    </row>
    <row r="86" spans="1:12" ht="45" x14ac:dyDescent="0.25">
      <c r="A86" s="12" t="s">
        <v>6</v>
      </c>
      <c r="B86" s="11" t="s">
        <v>93</v>
      </c>
      <c r="C86" s="29" t="s">
        <v>94</v>
      </c>
      <c r="D86" s="15" t="s">
        <v>92</v>
      </c>
      <c r="E86" s="15" t="s">
        <v>95</v>
      </c>
      <c r="F86" s="2"/>
      <c r="G86" s="5">
        <f>G85*200</f>
        <v>4000</v>
      </c>
      <c r="H86" s="39">
        <v>2.2400000000000002</v>
      </c>
      <c r="I86" s="38">
        <f t="shared" si="18"/>
        <v>2.89</v>
      </c>
      <c r="J86" s="38">
        <f>ROUND(G86*I86,2)</f>
        <v>11560</v>
      </c>
    </row>
    <row r="87" spans="1:12" ht="60" x14ac:dyDescent="0.25">
      <c r="A87" s="12" t="s">
        <v>20</v>
      </c>
      <c r="B87" s="11" t="s">
        <v>96</v>
      </c>
      <c r="C87" s="29" t="s">
        <v>97</v>
      </c>
      <c r="D87" s="15" t="s">
        <v>92</v>
      </c>
      <c r="E87" s="15" t="s">
        <v>54</v>
      </c>
      <c r="F87" s="2"/>
      <c r="G87" s="5">
        <f>G85*20</f>
        <v>400</v>
      </c>
      <c r="H87" s="39">
        <v>79.09</v>
      </c>
      <c r="I87" s="38">
        <f t="shared" si="18"/>
        <v>102.03</v>
      </c>
      <c r="J87" s="38">
        <f>ROUND(G87*I87,2)</f>
        <v>40812</v>
      </c>
    </row>
    <row r="88" spans="1:12" ht="45" x14ac:dyDescent="0.25">
      <c r="A88" s="12" t="s">
        <v>21</v>
      </c>
      <c r="B88" s="11" t="s">
        <v>98</v>
      </c>
      <c r="C88" s="29" t="s">
        <v>99</v>
      </c>
      <c r="D88" s="15" t="s">
        <v>92</v>
      </c>
      <c r="E88" s="15" t="s">
        <v>75</v>
      </c>
      <c r="F88" s="2"/>
      <c r="G88" s="5">
        <f>G85</f>
        <v>20</v>
      </c>
      <c r="H88" s="39">
        <v>1499.86</v>
      </c>
      <c r="I88" s="38">
        <f t="shared" si="18"/>
        <v>1934.93</v>
      </c>
      <c r="J88" s="38">
        <f>ROUND(G88*I88,2)</f>
        <v>38698.6</v>
      </c>
    </row>
    <row r="89" spans="1:12" ht="10.5" customHeight="1" x14ac:dyDescent="0.25">
      <c r="A89" s="64"/>
      <c r="B89" s="65"/>
      <c r="C89" s="65"/>
      <c r="D89" s="65"/>
      <c r="E89" s="65"/>
      <c r="F89" s="65"/>
      <c r="G89" s="65"/>
      <c r="H89" s="65"/>
      <c r="I89" s="65"/>
      <c r="J89" s="66"/>
    </row>
    <row r="90" spans="1:12" ht="18.75" x14ac:dyDescent="0.25">
      <c r="A90" s="76" t="s">
        <v>17</v>
      </c>
      <c r="B90" s="77"/>
      <c r="C90" s="77"/>
      <c r="D90" s="77"/>
      <c r="E90" s="77"/>
      <c r="F90" s="77"/>
      <c r="G90" s="77"/>
      <c r="H90" s="77"/>
      <c r="I90" s="78"/>
      <c r="J90" s="41">
        <f>J84</f>
        <v>114679.79999999999</v>
      </c>
      <c r="K90" s="32"/>
    </row>
    <row r="92" spans="1:12" x14ac:dyDescent="0.25">
      <c r="J92" s="37"/>
    </row>
  </sheetData>
  <mergeCells count="47">
    <mergeCell ref="A89:J89"/>
    <mergeCell ref="A90:I90"/>
    <mergeCell ref="B84:E84"/>
    <mergeCell ref="A81:J81"/>
    <mergeCell ref="A82:J82"/>
    <mergeCell ref="B56:E56"/>
    <mergeCell ref="G56:I56"/>
    <mergeCell ref="A80:J80"/>
    <mergeCell ref="A63:J63"/>
    <mergeCell ref="A79:I79"/>
    <mergeCell ref="G50:I50"/>
    <mergeCell ref="B28:E28"/>
    <mergeCell ref="G28:I28"/>
    <mergeCell ref="A35:J35"/>
    <mergeCell ref="A55:J55"/>
    <mergeCell ref="A1:E1"/>
    <mergeCell ref="A2:E2"/>
    <mergeCell ref="G2:J2"/>
    <mergeCell ref="A3:E3"/>
    <mergeCell ref="G3:J3"/>
    <mergeCell ref="A15:J15"/>
    <mergeCell ref="A4:E4"/>
    <mergeCell ref="G4:J4"/>
    <mergeCell ref="A5:J5"/>
    <mergeCell ref="A6:J6"/>
    <mergeCell ref="A7:J7"/>
    <mergeCell ref="B9:E9"/>
    <mergeCell ref="G9:I9"/>
    <mergeCell ref="A11:J11"/>
    <mergeCell ref="B12:E12"/>
    <mergeCell ref="G12:I12"/>
    <mergeCell ref="B16:E16"/>
    <mergeCell ref="G84:I84"/>
    <mergeCell ref="B64:E64"/>
    <mergeCell ref="G64:I64"/>
    <mergeCell ref="A70:J70"/>
    <mergeCell ref="B71:E71"/>
    <mergeCell ref="G71:I71"/>
    <mergeCell ref="A19:J19"/>
    <mergeCell ref="B20:E20"/>
    <mergeCell ref="G20:I20"/>
    <mergeCell ref="G16:I16"/>
    <mergeCell ref="A49:J49"/>
    <mergeCell ref="A27:J27"/>
    <mergeCell ref="B36:E36"/>
    <mergeCell ref="G36:I36"/>
    <mergeCell ref="B50:E50"/>
  </mergeCells>
  <phoneticPr fontId="1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COMPOSIÇÃO DO BDI</vt:lpstr>
      <vt:lpstr>ORÇAMENTO</vt:lpstr>
      <vt:lpstr>'COMPOSIÇÃO DO BDI'!Area_de_impressao</vt:lpstr>
      <vt:lpstr>ORÇAMENTO!Area_de_impressao</vt:lpstr>
      <vt:lpstr>ORÇAMENTO!Titulos_de_impressao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Usuario01</dc:creator>
  <cp:lastModifiedBy>Dinopc</cp:lastModifiedBy>
  <cp:lastPrinted>2025-07-16T20:18:14Z</cp:lastPrinted>
  <dcterms:created xsi:type="dcterms:W3CDTF">2017-02-13T13:40:48Z</dcterms:created>
  <dcterms:modified xsi:type="dcterms:W3CDTF">2025-10-06T17:51:01Z</dcterms:modified>
</cp:coreProperties>
</file>