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336" windowHeight="7680" activeTab="1"/>
  </bookViews>
  <sheets>
    <sheet name="PO" sheetId="1" r:id="rId1"/>
    <sheet name="CRO" sheetId="2" r:id="rId2"/>
    <sheet name="BDI E DECLARAÇÃO - OK" sheetId="4" r:id="rId3"/>
  </sheets>
  <externalReferences>
    <externalReference r:id="rId4"/>
    <externalReference r:id="rId5"/>
    <externalReference r:id="rId6"/>
  </externalReferences>
  <definedNames>
    <definedName name="BDI.Opcao" hidden="1">[1]DADOS!$C$18</definedName>
    <definedName name="BDI.TipoObra" hidden="1">[1]BDI!$A$138:$A$146</definedName>
    <definedName name="BDI_1.Título" hidden="1">'BDI E DECLARAÇÃO - OK'!$J$14</definedName>
    <definedName name="BDI_2.Título" hidden="1">'BDI E DECLARAÇÃO - OK'!$J$54</definedName>
    <definedName name="BDI_3.Título" hidden="1">'BDI E DECLARAÇÃO - OK'!$J$94</definedName>
    <definedName name="Col.Custo" hidden="1">'[2]Composição Adaptadas'!$G$1</definedName>
    <definedName name="CRONO.Lista.AdmLocal" hidden="1">[3]CRONO!$A$13:$A$47</definedName>
    <definedName name="DESONERACAO" hidden="1">IF(OR(Import.Desoneracao="DESONERADO",Import.Desoneracao="SIM"),"SIM","NÃO")</definedName>
    <definedName name="Import.Apelido" hidden="1">[1]DADOS!$C$16</definedName>
    <definedName name="Import.BDI.Tipo1" hidden="1">'BDI E DECLARAÇÃO - OK'!$J$17</definedName>
    <definedName name="Import.BDI.Tipo2" hidden="1">'BDI E DECLARAÇÃO - OK'!$J$57</definedName>
    <definedName name="Import.BDI.Tipo3" hidden="1">'BDI E DECLARAÇÃO - OK'!$J$97</definedName>
    <definedName name="Import.CR" hidden="1">[1]DADOS!$C$7</definedName>
    <definedName name="Import.DataBase" hidden="1">OFFSET([1]DADOS!$D$19,0,-1)</definedName>
    <definedName name="Import.DescLote" hidden="1">[1]DADOS!$C$17</definedName>
    <definedName name="Import.Desoneracao" hidden="1">OFFSET([1]DADOS!$D$18,0,-1)</definedName>
    <definedName name="Import.Município" hidden="1">[1]DADOS!$C$6</definedName>
    <definedName name="Import.Proponente" hidden="1">[1]DADOS!$C$5</definedName>
    <definedName name="Import.RespOrçamento" hidden="1">[1]DADOS!$C$22:$C$24</definedName>
    <definedName name="Import.TransfereGOV" hidden="1">[1]DADOS!$C$8</definedName>
    <definedName name="PO.Desoneração" hidden="1">PO!$B$4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3" i="1" l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11" i="1"/>
  <c r="F12" i="1"/>
  <c r="F10" i="1"/>
  <c r="S25" i="2" l="1"/>
  <c r="R25" i="2"/>
  <c r="Q25" i="2"/>
  <c r="P25" i="2"/>
  <c r="O25" i="2"/>
  <c r="N25" i="2"/>
  <c r="S22" i="2"/>
  <c r="R22" i="2"/>
  <c r="Q22" i="2"/>
  <c r="P22" i="2"/>
  <c r="O22" i="2"/>
  <c r="N22" i="2"/>
  <c r="M25" i="2"/>
  <c r="L25" i="2"/>
  <c r="K25" i="2"/>
  <c r="J25" i="2"/>
  <c r="I25" i="2"/>
  <c r="H25" i="2"/>
  <c r="M22" i="2"/>
  <c r="L22" i="2"/>
  <c r="K22" i="2"/>
  <c r="J22" i="2"/>
  <c r="I22" i="2"/>
  <c r="H22" i="2"/>
  <c r="S10" i="2"/>
  <c r="R10" i="2"/>
  <c r="Q10" i="2"/>
  <c r="P10" i="2"/>
  <c r="O10" i="2"/>
  <c r="N10" i="2"/>
  <c r="M10" i="2"/>
  <c r="L10" i="2"/>
  <c r="K10" i="2"/>
  <c r="J10" i="2"/>
  <c r="I10" i="2"/>
  <c r="H10" i="2"/>
  <c r="K130" i="4" l="1" a="1"/>
  <c r="K132" i="4" s="1"/>
  <c r="P125" i="4"/>
  <c r="J125" i="4"/>
  <c r="J120" i="4" a="1"/>
  <c r="J120" i="4" s="1"/>
  <c r="J118" i="4"/>
  <c r="N115" i="4"/>
  <c r="S108" i="4" a="1"/>
  <c r="S108" i="4" s="1"/>
  <c r="S107" i="4"/>
  <c r="Y106" i="4"/>
  <c r="X106" i="4" s="1"/>
  <c r="R105" i="4"/>
  <c r="J105" i="4"/>
  <c r="R104" i="4"/>
  <c r="R103" i="4"/>
  <c r="R102" i="4"/>
  <c r="J102" i="4"/>
  <c r="R101" i="4"/>
  <c r="J101" i="4"/>
  <c r="K90" i="4" a="1"/>
  <c r="K92" i="4" s="1"/>
  <c r="P85" i="4"/>
  <c r="J85" i="4"/>
  <c r="J78" i="4"/>
  <c r="N75" i="4"/>
  <c r="S68" i="4" a="1"/>
  <c r="S68" i="4" s="1"/>
  <c r="S67" i="4"/>
  <c r="U67" i="4" s="1"/>
  <c r="Z66" i="4"/>
  <c r="Y66" i="4"/>
  <c r="X66" i="4"/>
  <c r="R65" i="4"/>
  <c r="J65" i="4"/>
  <c r="R64" i="4"/>
  <c r="R63" i="4"/>
  <c r="R62" i="4"/>
  <c r="J62" i="4"/>
  <c r="R61" i="4"/>
  <c r="J61" i="4"/>
  <c r="K50" i="4" a="1"/>
  <c r="K51" i="4" s="1"/>
  <c r="A46" i="4"/>
  <c r="A47" i="4" s="1"/>
  <c r="J45" i="4"/>
  <c r="C45" i="4"/>
  <c r="A45" i="4"/>
  <c r="C44" i="4"/>
  <c r="C43" i="4"/>
  <c r="C42" i="4"/>
  <c r="C41" i="4"/>
  <c r="C40" i="4"/>
  <c r="C39" i="4"/>
  <c r="J38" i="4"/>
  <c r="C38" i="4"/>
  <c r="A36" i="4"/>
  <c r="A37" i="4" s="1"/>
  <c r="C37" i="4" s="1"/>
  <c r="N35" i="4"/>
  <c r="A35" i="4"/>
  <c r="C35" i="4" s="1"/>
  <c r="A34" i="4"/>
  <c r="C34" i="4" s="1"/>
  <c r="C33" i="4"/>
  <c r="A33" i="4"/>
  <c r="C32" i="4"/>
  <c r="A28" i="4"/>
  <c r="A29" i="4" s="1"/>
  <c r="S27" i="4"/>
  <c r="S29" i="4" s="1"/>
  <c r="C27" i="4"/>
  <c r="A27" i="4"/>
  <c r="Y26" i="4"/>
  <c r="Z26" i="4" s="1"/>
  <c r="C26" i="4"/>
  <c r="R25" i="4"/>
  <c r="J25" i="4"/>
  <c r="R24" i="4"/>
  <c r="R23" i="4"/>
  <c r="R22" i="4"/>
  <c r="J22" i="4"/>
  <c r="R21" i="4"/>
  <c r="J21" i="4"/>
  <c r="A21" i="4"/>
  <c r="C21" i="4" s="1"/>
  <c r="C20" i="4"/>
  <c r="A15" i="4"/>
  <c r="C14" i="4"/>
  <c r="C13" i="4"/>
  <c r="C12" i="4"/>
  <c r="U11" i="4"/>
  <c r="C11" i="4"/>
  <c r="U10" i="4"/>
  <c r="C10" i="4"/>
  <c r="C9" i="4"/>
  <c r="J8" i="4"/>
  <c r="C8" i="4"/>
  <c r="N5" i="4"/>
  <c r="L5" i="4"/>
  <c r="J5" i="4"/>
  <c r="A4" i="4"/>
  <c r="C3" i="4"/>
  <c r="A3" i="4"/>
  <c r="C2" i="4"/>
  <c r="O1" i="4"/>
  <c r="K52" i="4" l="1"/>
  <c r="K50" i="4"/>
  <c r="K90" i="4"/>
  <c r="K91" i="4"/>
  <c r="S110" i="4"/>
  <c r="Y68" i="4"/>
  <c r="X68" i="4"/>
  <c r="Z68" i="4"/>
  <c r="Z28" i="4"/>
  <c r="Y28" i="4"/>
  <c r="U107" i="4"/>
  <c r="U27" i="4"/>
  <c r="X23" i="4"/>
  <c r="Z22" i="4"/>
  <c r="A48" i="4"/>
  <c r="C47" i="4"/>
  <c r="Y22" i="4"/>
  <c r="A30" i="4"/>
  <c r="C29" i="4"/>
  <c r="A5" i="4"/>
  <c r="C4" i="4"/>
  <c r="Z23" i="4" s="1"/>
  <c r="A16" i="4"/>
  <c r="C15" i="4"/>
  <c r="Z108" i="4"/>
  <c r="Y108" i="4"/>
  <c r="X108" i="4"/>
  <c r="Z21" i="4"/>
  <c r="A22" i="4"/>
  <c r="X22" i="4"/>
  <c r="Z106" i="4"/>
  <c r="S109" i="4"/>
  <c r="K130" i="4"/>
  <c r="X26" i="4"/>
  <c r="X28" i="4"/>
  <c r="U28" i="4" s="1"/>
  <c r="S30" i="4"/>
  <c r="S69" i="4"/>
  <c r="S70" i="4"/>
  <c r="K131" i="4"/>
  <c r="X21" i="4"/>
  <c r="Y23" i="4"/>
  <c r="C28" i="4"/>
  <c r="C36" i="4"/>
  <c r="C46" i="4"/>
  <c r="Y21" i="4"/>
  <c r="U68" i="4" l="1"/>
  <c r="U108" i="4"/>
  <c r="A31" i="4"/>
  <c r="C31" i="4" s="1"/>
  <c r="C30" i="4"/>
  <c r="A6" i="4"/>
  <c r="C5" i="4"/>
  <c r="A49" i="4"/>
  <c r="C49" i="4" s="1"/>
  <c r="C48" i="4"/>
  <c r="Z24" i="4"/>
  <c r="I91" i="4"/>
  <c r="I89" i="4"/>
  <c r="I85" i="4"/>
  <c r="I76" i="4"/>
  <c r="I63" i="4"/>
  <c r="I59" i="4"/>
  <c r="I55" i="4"/>
  <c r="I87" i="4"/>
  <c r="I83" i="4"/>
  <c r="I79" i="4"/>
  <c r="I75" i="4"/>
  <c r="I71" i="4"/>
  <c r="I67" i="4"/>
  <c r="I66" i="4"/>
  <c r="I62" i="4"/>
  <c r="I54" i="4"/>
  <c r="I88" i="4"/>
  <c r="I84" i="4"/>
  <c r="I80" i="4"/>
  <c r="I72" i="4"/>
  <c r="I58" i="4"/>
  <c r="I86" i="4"/>
  <c r="I82" i="4"/>
  <c r="I74" i="4"/>
  <c r="I93" i="4"/>
  <c r="I81" i="4"/>
  <c r="I78" i="4"/>
  <c r="I73" i="4"/>
  <c r="I70" i="4"/>
  <c r="I69" i="4"/>
  <c r="I65" i="4"/>
  <c r="I61" i="4"/>
  <c r="I57" i="4"/>
  <c r="I92" i="4"/>
  <c r="I90" i="4"/>
  <c r="I77" i="4"/>
  <c r="I68" i="4"/>
  <c r="I64" i="4"/>
  <c r="I60" i="4"/>
  <c r="I56" i="4"/>
  <c r="A23" i="4"/>
  <c r="C22" i="4"/>
  <c r="I132" i="4"/>
  <c r="I130" i="4"/>
  <c r="I117" i="4"/>
  <c r="I108" i="4"/>
  <c r="I104" i="4"/>
  <c r="I100" i="4"/>
  <c r="I96" i="4"/>
  <c r="I131" i="4"/>
  <c r="I129" i="4"/>
  <c r="I125" i="4"/>
  <c r="I116" i="4"/>
  <c r="I103" i="4"/>
  <c r="I99" i="4"/>
  <c r="I95" i="4"/>
  <c r="I128" i="4"/>
  <c r="I124" i="4"/>
  <c r="I120" i="4"/>
  <c r="I112" i="4"/>
  <c r="I98" i="4"/>
  <c r="I127" i="4"/>
  <c r="I123" i="4"/>
  <c r="I119" i="4"/>
  <c r="I115" i="4"/>
  <c r="I111" i="4"/>
  <c r="I107" i="4"/>
  <c r="I106" i="4"/>
  <c r="I102" i="4"/>
  <c r="I94" i="4"/>
  <c r="I126" i="4"/>
  <c r="I122" i="4"/>
  <c r="I114" i="4"/>
  <c r="I121" i="4"/>
  <c r="I118" i="4"/>
  <c r="I113" i="4"/>
  <c r="I110" i="4"/>
  <c r="I109" i="4"/>
  <c r="I105" i="4"/>
  <c r="I101" i="4"/>
  <c r="I97" i="4"/>
  <c r="A17" i="4"/>
  <c r="C16" i="4"/>
  <c r="C23" i="4" l="1"/>
  <c r="A24" i="4"/>
  <c r="X24" i="4"/>
  <c r="X25" i="4"/>
  <c r="Y24" i="4"/>
  <c r="A18" i="4"/>
  <c r="C17" i="4"/>
  <c r="T66" i="4"/>
  <c r="U66" i="4" s="1"/>
  <c r="T62" i="4"/>
  <c r="T64" i="4"/>
  <c r="T61" i="4"/>
  <c r="T63" i="4"/>
  <c r="T65" i="4"/>
  <c r="Y25" i="4"/>
  <c r="C6" i="4"/>
  <c r="A7" i="4"/>
  <c r="C7" i="4" s="1"/>
  <c r="T101" i="4"/>
  <c r="T103" i="4"/>
  <c r="T102" i="4"/>
  <c r="T104" i="4"/>
  <c r="T105" i="4"/>
  <c r="T106" i="4"/>
  <c r="U106" i="4" s="1"/>
  <c r="U22" i="4"/>
  <c r="U21" i="4"/>
  <c r="U23" i="4"/>
  <c r="U26" i="4"/>
  <c r="U24" i="4"/>
  <c r="Y109" i="4" l="1"/>
  <c r="X63" i="4"/>
  <c r="U63" i="4" s="1"/>
  <c r="Z25" i="4"/>
  <c r="X29" i="4"/>
  <c r="Y105" i="4"/>
  <c r="Z102" i="4"/>
  <c r="U25" i="4"/>
  <c r="X105" i="4"/>
  <c r="A19" i="4"/>
  <c r="C19" i="4" s="1"/>
  <c r="Z62" i="4" s="1"/>
  <c r="C18" i="4"/>
  <c r="Z61" i="4" s="1"/>
  <c r="Y29" i="4"/>
  <c r="Z63" i="4"/>
  <c r="Y103" i="4"/>
  <c r="A25" i="4"/>
  <c r="C25" i="4" s="1"/>
  <c r="C24" i="4"/>
  <c r="Y101" i="4"/>
  <c r="Y62" i="4"/>
  <c r="Z29" i="4"/>
  <c r="Z101" i="4"/>
  <c r="Z65" i="4" l="1"/>
  <c r="Y69" i="4"/>
  <c r="Y64" i="4"/>
  <c r="U29" i="4"/>
  <c r="K32" i="4" s="1"/>
  <c r="X64" i="4"/>
  <c r="Y61" i="4"/>
  <c r="Z109" i="4"/>
  <c r="Z105" i="4"/>
  <c r="U105" i="4" s="1"/>
  <c r="Y104" i="4"/>
  <c r="X101" i="4"/>
  <c r="U101" i="4" s="1"/>
  <c r="X109" i="4"/>
  <c r="X104" i="4"/>
  <c r="U104" i="4" s="1"/>
  <c r="Y63" i="4"/>
  <c r="X65" i="4"/>
  <c r="U65" i="4" s="1"/>
  <c r="Z69" i="4"/>
  <c r="Y102" i="4"/>
  <c r="Y65" i="4"/>
  <c r="Z103" i="4"/>
  <c r="X62" i="4"/>
  <c r="U62" i="4" s="1"/>
  <c r="X69" i="4"/>
  <c r="U69" i="4" s="1"/>
  <c r="X102" i="4"/>
  <c r="U102" i="4" s="1"/>
  <c r="X103" i="4"/>
  <c r="U103" i="4" s="1"/>
  <c r="Z104" i="4"/>
  <c r="Z64" i="4"/>
  <c r="X61" i="4"/>
  <c r="U61" i="4" s="1"/>
  <c r="J72" i="4" l="1"/>
  <c r="K72" i="4"/>
  <c r="U109" i="4"/>
  <c r="U8" i="4" s="1"/>
  <c r="U64" i="4"/>
  <c r="J32" i="4"/>
  <c r="K112" i="4" l="1"/>
  <c r="J112" i="4"/>
  <c r="D28" i="2" l="1"/>
  <c r="N29" i="2" l="1"/>
  <c r="N31" i="2" s="1"/>
  <c r="S29" i="2"/>
  <c r="S31" i="2" s="1"/>
  <c r="R29" i="2"/>
  <c r="R31" i="2" s="1"/>
  <c r="Q29" i="2"/>
  <c r="Q31" i="2" s="1"/>
  <c r="P29" i="2"/>
  <c r="P31" i="2" s="1"/>
  <c r="O29" i="2"/>
  <c r="O31" i="2" s="1"/>
  <c r="I29" i="2"/>
  <c r="M29" i="2"/>
  <c r="J29" i="2"/>
  <c r="K29" i="2"/>
  <c r="L29" i="2"/>
  <c r="H29" i="2"/>
  <c r="H31" i="2" s="1"/>
  <c r="M31" i="2" l="1"/>
  <c r="I31" i="2"/>
  <c r="J31" i="2"/>
  <c r="L31" i="2"/>
  <c r="K31" i="2"/>
  <c r="I9" i="1" l="1"/>
  <c r="J9" i="1" l="1"/>
  <c r="F11" i="2" l="1"/>
  <c r="T11" i="2" s="1"/>
  <c r="F14" i="2"/>
  <c r="T14" i="2" s="1"/>
  <c r="F19" i="2" l="1"/>
  <c r="T19" i="2" s="1"/>
  <c r="F16" i="2"/>
  <c r="T16" i="2" s="1"/>
  <c r="F15" i="2"/>
  <c r="T15" i="2" s="1"/>
  <c r="F17" i="2"/>
  <c r="T17" i="2" s="1"/>
  <c r="I8" i="1" l="1"/>
  <c r="J8" i="1" l="1"/>
  <c r="F13" i="2"/>
  <c r="T13" i="2" s="1"/>
  <c r="F12" i="2"/>
  <c r="T12" i="2" s="1"/>
  <c r="F18" i="2" l="1"/>
  <c r="T18" i="2" s="1"/>
  <c r="F20" i="2" l="1"/>
  <c r="T20" i="2" s="1"/>
  <c r="F10" i="2"/>
  <c r="T10" i="2" l="1"/>
</calcChain>
</file>

<file path=xl/comments1.xml><?xml version="1.0" encoding="utf-8"?>
<comments xmlns="http://schemas.openxmlformats.org/spreadsheetml/2006/main">
  <authors>
    <author/>
  </authors>
  <commentList>
    <comment ref="I6" authorId="0">
      <text>
        <r>
          <rPr>
            <b/>
            <sz val="9"/>
            <color indexed="8"/>
            <rFont val="Tahoma"/>
            <family val="2"/>
          </rPr>
          <t xml:space="preserve">FILTRO:
</t>
        </r>
        <r>
          <rPr>
            <sz val="9"/>
            <color indexed="8"/>
            <rFont val="Tahoma"/>
            <family val="2"/>
          </rPr>
          <t>Após a conclusão do Orçamento, utilize o filtro nessa coluna com o valor "F" para ocultar linhas não utilizadas.</t>
        </r>
      </text>
    </comment>
  </commentList>
</comments>
</file>

<file path=xl/sharedStrings.xml><?xml version="1.0" encoding="utf-8"?>
<sst xmlns="http://schemas.openxmlformats.org/spreadsheetml/2006/main" count="1163" uniqueCount="598">
  <si>
    <t>FNHIS SUB 50</t>
  </si>
  <si>
    <t>Projeto:</t>
  </si>
  <si>
    <t>Data-base:</t>
  </si>
  <si>
    <t>Enc sociais:</t>
  </si>
  <si>
    <t>Com Desoneração</t>
  </si>
  <si>
    <t>Item</t>
  </si>
  <si>
    <t>Macro-Serviço</t>
  </si>
  <si>
    <t>SINAPI</t>
  </si>
  <si>
    <t>Descrição</t>
  </si>
  <si>
    <t>Und.</t>
  </si>
  <si>
    <t>Quant.</t>
  </si>
  <si>
    <t>Preço Unt.
(R$)</t>
  </si>
  <si>
    <t>Custo
(R$)</t>
  </si>
  <si>
    <t xml:space="preserve">CONSTRUÇÃO DE HABITAÇÃO DE INTERESSE SOCIAL - HIS - PADRÃO POPULAR               </t>
  </si>
  <si>
    <t>01</t>
  </si>
  <si>
    <t>SERVIÇOS PRELIMINARES</t>
  </si>
  <si>
    <t>01.01</t>
  </si>
  <si>
    <t>02</t>
  </si>
  <si>
    <t>FUNDAÇÕES E CONTENÇÕES</t>
  </si>
  <si>
    <t>02.01</t>
  </si>
  <si>
    <t>FUNDAÇÕES</t>
  </si>
  <si>
    <t>02.01.01</t>
  </si>
  <si>
    <t>RADIER</t>
  </si>
  <si>
    <t>02.01.01.01</t>
  </si>
  <si>
    <t>ESCAVAÇÃO MECANIZADA PARA BLOCO DE COROAMENTO OU SAPATA COM RETROESCAVADEIRA (INCLUINDO ESCAVAÇÃO PARA COLOCAÇÃO DE FÔRMAS). AF_01/2024</t>
  </si>
  <si>
    <t>M3</t>
  </si>
  <si>
    <t>02.01.01.02</t>
  </si>
  <si>
    <t>COMPACTAÇÃO MECÂNICA DE SOLO PARA EXECUÇÃO DE RADIER, PISO DE CONCRETO OU LAJE SOBRE SOLO, COM COMPACTADOR DE SOLOS A PERCUSSÃO. AF_09/2021</t>
  </si>
  <si>
    <t>M2</t>
  </si>
  <si>
    <t>02.01.01.03</t>
  </si>
  <si>
    <t>CAMADA SEPARADORA PARA EXECUÇÃO DE RADIER, PISO DE CONCRETO OU LAJE SOBRE SOLO, EM LONA PLÁSTICA. AF_09/2021</t>
  </si>
  <si>
    <t>02.01.01.04</t>
  </si>
  <si>
    <t>LASTRO COM MATERIAL GRANULAR, APLICADO EM PISOS OU LAJES SOBRE SOLO, ESPESSURA DE *5 CM*. AF_01/2024</t>
  </si>
  <si>
    <t>02.01.01.05</t>
  </si>
  <si>
    <t>FABRICAÇÃO, MONTAGEM E DESMONTAGEM DE FORMA PARA RADIER, PISO DE CONCRETO OU LAJE SOBRE SOLO, EM MADEIRA SERRADA, 4 UTILIZAÇÕES. AF_09/2021</t>
  </si>
  <si>
    <t>02.01.01.06</t>
  </si>
  <si>
    <t>ARMAÇÃO DE LAJE DE ESTRUTURA CONVENCIONAL DE CONCRETO ARMADO UTILIZANDO AÇO CA-50 DE 6,3 MM - MONTAGEM. AF_06/2022</t>
  </si>
  <si>
    <t>KG</t>
  </si>
  <si>
    <t>02.01.01.07</t>
  </si>
  <si>
    <t>ARMAÇÃO DE PILAR OU VIGA DE ESTRUTURA CONVENCIONAL DE CONCRETO ARMADO UTILIZANDO AÇO CA-50 DE 10,0 MM - MONTAGEM. AF_06/2022</t>
  </si>
  <si>
    <t>02.01.01.08</t>
  </si>
  <si>
    <t>ARMAÇÃO DE PILAR OU VIGA DE ESTRUTURA CONVENCIONAL DE CONCRETO ARMADO UTILIZANDO AÇO CA-60 DE 5,0 MM - MONTAGEM. AF_06/2022</t>
  </si>
  <si>
    <t>02.01.01.09</t>
  </si>
  <si>
    <t>02.01.01.10</t>
  </si>
  <si>
    <t>REATERRO MANUAL DE VALAS, COM COMPACTADOR DE SOLOS DE PERCUSSÃO. AF_08/2023</t>
  </si>
  <si>
    <t>02.01.02</t>
  </si>
  <si>
    <t>IMPERMEABILIZAÇÃO</t>
  </si>
  <si>
    <t>02.01.02.01</t>
  </si>
  <si>
    <t>IMPERMEABILIZAÇÃO DE SUPERFÍCIE COM ARGAMASSA POLIMÉRICA / MEMBRANA ACRÍLICA, 3 DEMÃOS. AF_09/2023</t>
  </si>
  <si>
    <t>02.01.02.02</t>
  </si>
  <si>
    <t>4030_ADP-01</t>
  </si>
  <si>
    <t>VEU DE POLIESTER PARA IMPERMEABILIZACAO</t>
  </si>
  <si>
    <t>03</t>
  </si>
  <si>
    <t>SUPRAESTRUTURA</t>
  </si>
  <si>
    <t>03.01</t>
  </si>
  <si>
    <t>PILARES, VIGAS E LAJES</t>
  </si>
  <si>
    <t>03.01.01</t>
  </si>
  <si>
    <t>MONTAGEM E DESMONTAGEM DE FÔRMA DE PILARES RETANGULARES E ESTRUTURAS SIMILARES, PÉ-DIREITO SIMPLES, EM CHAPA DE MADEIRA COMPENSADA RESINADA, 8 UTILIZAÇÕES. AF_09/2020</t>
  </si>
  <si>
    <t>03.01.02</t>
  </si>
  <si>
    <t>92463_ADP-01</t>
  </si>
  <si>
    <t xml:space="preserve">MONTAGEM E DESMONTAGEM DE FÔRMA DE VIGA, SEM ESCORAMENTO, PÉ-DIREITO SIMPLES, EM CHAPA DE MADEIRA RESINADA, 8 UTILIZAÇÕES. </t>
  </si>
  <si>
    <t>03.01.03</t>
  </si>
  <si>
    <t>MONTAGEM E DESMONTAGEM DE FÔRMA DE VIGA, ESCORAMENTO COM GARFO DE MADEIRA, PÉ-DIREITO SIMPLES, EM CHAPA DE MADEIRA RESINADA, 8 UTILIZAÇÕES. AF_09/2020</t>
  </si>
  <si>
    <t>03.01.04</t>
  </si>
  <si>
    <t>03.01.05</t>
  </si>
  <si>
    <t>ARMAÇÃO DE PILAR OU VIGA DE ESTRUTURA CONVENCIONAL DE CONCRETO ARMADO UTILIZANDO AÇO CA-50 DE 6,3 MM - MONTAGEM. AF_06/2022</t>
  </si>
  <si>
    <t>03.01.06</t>
  </si>
  <si>
    <t>ARMAÇÃO DE PILAR OU VIGA DE ESTRUTURA CONVENCIONAL DE CONCRETO ARMADO UTILIZANDO AÇO CA-50 DE 8,0 MM - MONTAGEM. AF_06/2022</t>
  </si>
  <si>
    <t>03.01.07</t>
  </si>
  <si>
    <t>03.01.08</t>
  </si>
  <si>
    <t>LAJE PRÉ-MOLDADA UNIDIRECIONAL, BIAPOIADA, PARA PISO, ENCHIMENTO EM CERÂMICA, VIGOTA CONVENCIONAL, ALTURA TOTAL DA LAJE "LT" = 12 CM (ENCHIMENTO+CAPA) = (8+4). AF_08/2025</t>
  </si>
  <si>
    <t>03.01.09</t>
  </si>
  <si>
    <t>103669_ADP-01</t>
  </si>
  <si>
    <t>CONCRETAGEM DE PILARES, FCK = 20 MPA,  COM USO DE BALDES - LANÇAMENTO, ADENSAMENTO E ACABAMENTO.</t>
  </si>
  <si>
    <t>03.01.10</t>
  </si>
  <si>
    <t>103682_ADP-01</t>
  </si>
  <si>
    <t>CONCRETAGEM DE VIGAS E LAJES, FCK=20 MPA, PARA QUALQUER TIPO DE LAJE COM BALDES EM EDIFICAÇÃO TÉRREA - LANÇAMENTO, ADENSAMENTO E ACABAMENTO.</t>
  </si>
  <si>
    <t>04</t>
  </si>
  <si>
    <t>PAREDES E PAINÉIS</t>
  </si>
  <si>
    <t>04.01</t>
  </si>
  <si>
    <t>ALVENARIA/FECHAMENTOS</t>
  </si>
  <si>
    <t>04.01.01</t>
  </si>
  <si>
    <t>ALVENARIA DE VEDAÇÃO DE BLOCOS CERÂMICOS FURADOS NA HORIZONTAL DE 9X19X19 CM (ESPESSURA 9 CM) E ARGAMASSA DE ASSENTAMENTO COM PREPARO EM BETONEIRA. AF_12/2021</t>
  </si>
  <si>
    <t>04.01.02</t>
  </si>
  <si>
    <t>VERGA PRÉ-MOLDADA COM ATÉ 1,5 M DE VÃO, ESPESSURA DE *10* CM. AF_03/2024</t>
  </si>
  <si>
    <t>M</t>
  </si>
  <si>
    <t>04.01.03</t>
  </si>
  <si>
    <t>CONTRAVERGA PRÉ-MOLDADA, ESPESSURA DE *10* CM. AF_03/2024</t>
  </si>
  <si>
    <t>04.02</t>
  </si>
  <si>
    <t>ESQUADRIAS METÁLICAS</t>
  </si>
  <si>
    <t>04.02.01</t>
  </si>
  <si>
    <t>PORTA DE ALUMÍNIO DE ABRIR COM LAMBRI, COM GUARNIÇÃO, FIXAÇÃO COM PARAFUSOS - FORNECIMENTO E INSTALAÇÃO. AF_12/2019</t>
  </si>
  <si>
    <t>04.02.02</t>
  </si>
  <si>
    <t>JANELA DE ALUMÍNIO DE CORRER COM 2 FOLHAS PARA VIDROS (VIDROS INCLUSOS), BATENTE/ REQUADRO 6 A 14 CM, ACABAMENTO COM ACETATO OU BRILHANTE, FIXAÇÃO COM PARAFUSO, SEM GUARNIÇÃO/ ALIZAR, DIMENSÕES 100X120 CM, VEDAÇÃO COM SILICONE, EXCLUSIVE CONTRAMARCO - FORNECIMENTO E INSTALAÇÃO. AF_11/2024</t>
  </si>
  <si>
    <t>04.02.03</t>
  </si>
  <si>
    <t>JANELA DE ALUMÍNIO DE CORRER COM 3 FOLHAS (2 VENEZIANAS E 1 FOLHA PARA VIDRO,VIDRO INCLUSO), BATENTE/ REQUADRO 6 A 14 CM, SEM ACABAMENTO, FIXAÇÃO COM PARAFUSO, SEM GUARNIÇÃO/ ALIZAR, DIMENSÕES 100X120 CM, VEDAÇÃO COM SILICONE, EXCLUSIVE CONTRAMARCO - FORNECIMENTO E INSTALAÇÃO. AF_11/2024</t>
  </si>
  <si>
    <t>04.02.04</t>
  </si>
  <si>
    <t>JANELA DE ALUMÍNIO TIPO MAXIM-AR, BATENTE/ REQUADRO 3 A 14 CM, VIDRO INCLUSO, FIXAÇÃO COM PARAFUSO, SEM GUARNIÇÃO/ ALIZAR, DIMENSÕES 60X80 (A X L) CM, SEM ACABAMENTO, VEDAÇÃO COM SILICONE, EXCLUSIVE CONTRAMARCO - FORNECIMENTO E INSTALAÇÃO. AF_11/2024</t>
  </si>
  <si>
    <t>04.02.05</t>
  </si>
  <si>
    <t>CONTRAMARCO DE ALUMÍNIO, FIXAÇÃO COM ARGAMASSA - FORNECIMENTO E INSTALAÇÃO. AF_11/2024</t>
  </si>
  <si>
    <t>04.02.06</t>
  </si>
  <si>
    <t>GUARNIÇÃO DE ALUMÍNIO. AF_11/2024</t>
  </si>
  <si>
    <t>04.03</t>
  </si>
  <si>
    <t>ESQUADRIAS DE MADEIRAS</t>
  </si>
  <si>
    <t>04.03.01</t>
  </si>
  <si>
    <t>KIT DE PORTA DE MADEIRA PARA PINTURA, SEMI-OCA (LEVE OU MÉDIA), PADRÃO POPULAR, 80X210CM, ESPESSURA DE 3,5CM, ITENS INCLUSOS: DOBRADIÇAS, MONTAGEM E INSTALAÇÃO DO BATENTE, FECHADURA COM EXECUÇÃO DO FURO - FORNECIMENTO E INSTALAÇÃO. AF_12/2019</t>
  </si>
  <si>
    <t>UN</t>
  </si>
  <si>
    <t>05</t>
  </si>
  <si>
    <t>COBERTURA E PROTEÇÕES</t>
  </si>
  <si>
    <t>05.01</t>
  </si>
  <si>
    <t>TELHADOS</t>
  </si>
  <si>
    <t>05.01.01</t>
  </si>
  <si>
    <t>TRAMA DE MADEIRA COMPOSTA POR RIPAS, CAIBROS E TERÇAS PARA TELHADOS DE ATÉ 2 ÁGUAS PARA TELHA CERÂMICA CAPA-CANAL, INCLUSO TRANSPORTE VERTICAL. AF_07/2019</t>
  </si>
  <si>
    <t>05.01.02</t>
  </si>
  <si>
    <t>TELHAMENTO COM TELHA CERÂMICA CAPA-CANAL, TIPO PAULISTA, COM ATÉ 2 ÁGUAS, INCLUSO TRANSPORTE VERTICAL. AF_07/2019</t>
  </si>
  <si>
    <t>05.01.03</t>
  </si>
  <si>
    <t>PINTURA IMUNIZANTE PARA MADEIRA, 1 DEMÃO. AF_01/2021</t>
  </si>
  <si>
    <t>05.01.04</t>
  </si>
  <si>
    <t>AMARRAÇÃO DE TELHAS CERÂMICAS OU DE CONCRETO. AF_07/2019</t>
  </si>
  <si>
    <t>05.01.05</t>
  </si>
  <si>
    <t>CUMEEIRA PARA TELHA CERÂMICA EMBOÇADA COM ARGAMASSA TRAÇO 1:2:9 (CIMENTO, CAL E AREIA) PARA TELHADOS COM ATÉ 2 ÁGUAS, INCLUSO TRANSPORTE VERTICAL. AF_07/2019</t>
  </si>
  <si>
    <t>05.01.06</t>
  </si>
  <si>
    <t>FABRICAÇÃO E INSTALAÇÃO DE TESOURA INTEIRA EM MADEIRA NÃO APARELHADA, VÃO DE 6 M, PARA TELHA CERÂMICA OU DE CONCRETO, INCLUSO IÇAMENTO. AF_07/2019</t>
  </si>
  <si>
    <t>05.02</t>
  </si>
  <si>
    <t>IMPERMEBILIZAÇÕES</t>
  </si>
  <si>
    <t>06</t>
  </si>
  <si>
    <t>REVESTIMENTOS</t>
  </si>
  <si>
    <t>06.01</t>
  </si>
  <si>
    <t>REVESTIMENTOS INTERNOS</t>
  </si>
  <si>
    <t>06.01.01</t>
  </si>
  <si>
    <t>CHAPISCO APLICADO EM ALVENARIAS E ESTRUTURAS DE CONCRETO INTERNAS, COM COLHER DE PEDREIRO. ARGAMASSA TRAÇO 1:3 COM PREPARO EM BETONEIRA 400L. AF_10/2022</t>
  </si>
  <si>
    <t>06.01.02</t>
  </si>
  <si>
    <t>CHAPISCO APLICADO NO TETO OU EM ALVENARIA E ESTRUTURA, COM ROLO PARA TEXTURA ACRÍLICA. ARGAMASSA TRAÇO 1:4 E EMULSÃO POLIMÉRICA (ADESIVO) COM PREPARO EM BETONEIRA 400L. AF_10/2022</t>
  </si>
  <si>
    <t>06.01.03</t>
  </si>
  <si>
    <t>EMBOÇO, EM ARGAMASSA TRAÇO 1:2:8, PREPARO MECÂNICO, APLICADO MANUALMENTE EM PAREDES INTERNAS, PARA AMBIENTES COM ÁREA MENOR QUE 5M², E = 10MM, COM TALISCAS. AF_03/2024</t>
  </si>
  <si>
    <t>06.01.04</t>
  </si>
  <si>
    <t>MASSA ÚNICA, EM ARGAMASSA TRAÇO 1:2:8, PREPARO MECÂNICO, APLICADA MANUALMENTE EM PAREDES INTERNAS DE AMBIENTES COM ÁREA ENTRE 5M² E 10M², E = 10MM, COM TALISCAS. AF_03/2024</t>
  </si>
  <si>
    <t>06.01.05</t>
  </si>
  <si>
    <t>MASSA ÚNICA, EM ARGAMASSA TRAÇO 1:2:8 PREPARO MECÂNICO, APLICADA MANUALMENTE EM PAREDES INTERNAS DE AMBIENTES COM ÁREA MAIOR QUE 10M², E = 10MM, COM TALISCAS. AF_03/2024</t>
  </si>
  <si>
    <t>06.01.06</t>
  </si>
  <si>
    <t>MASSA ÚNICA, EM ARGAMASSA TRAÇO 1:2:8, PREPARO MECÂNICO, APLICADA MANUALMENTE EM TETO, E = 10MM, COM TALISCAS. AF_03/2024</t>
  </si>
  <si>
    <t>06.02</t>
  </si>
  <si>
    <t>REVESTIMENTOS CERÂMICOS</t>
  </si>
  <si>
    <t>06.02.01</t>
  </si>
  <si>
    <t>REVESTIMENTO CERÂMICO PARA PAREDES INTERNAS COM PLACAS TIPO ESMALTADA DE DIMENSÕES 20X20 CM APLICADAS A MEIA ALTURA DAS PAREDES. AF_02/2023_PE</t>
  </si>
  <si>
    <t>06.02.02</t>
  </si>
  <si>
    <t>REVESTIMENTO CERÂMICO PARA PAREDES INTERNAS COM PLACAS TIPO ESMALTADA DE DIMENSÕES 20X20 CM APLICADAS NA ALTURA INTEIRA DAS PAREDES. AF_02/2023_PE</t>
  </si>
  <si>
    <t>06.03</t>
  </si>
  <si>
    <t>REVESTIMENTOS EXTERNOS</t>
  </si>
  <si>
    <t>06.03.01</t>
  </si>
  <si>
    <t>CHAPISCO APLICADO EM ALVENARIA (COM PRESENÇA DE VÃOS) E ESTRUTURAS DE CONCRETO DE FACHADA, COM COLHER DE PEDREIRO. ARGAMASSA TRAÇO 1:3 COM PREPARO EM BETONEIRA 400L. AF_10/2022</t>
  </si>
  <si>
    <t>06.03.02</t>
  </si>
  <si>
    <t>CHAPISCO APLICADO EM ALVENARIA (SEM PRESENÇA DE VÃOS) E ESTRUTURAS DE CONCRETO DE FACHADA, COM COLHER DE PEDREIRO. ARGAMASSA TRAÇO 1:3 COM PREPARO EM BETONEIRA 400L. AF_10/2022</t>
  </si>
  <si>
    <t>06.03.03</t>
  </si>
  <si>
    <t>EMBOÇO OU MASSA ÚNICA EM ARGAMASSA TRAÇO 1:2:8, PREPARO MECÂNICO COM BETONEIRA 400 L, APLICADA MANUALMENTE EM PANOS CEGOS DE FACHADA (SEM PRESENÇA DE VÃOS), ESPESSURA DE 25 MM. AF_08/2022</t>
  </si>
  <si>
    <t>06.03.04</t>
  </si>
  <si>
    <t>EMBOÇO OU MASSA ÚNICA EM ARGAMASSA TRAÇO 1:2:8, PREPARO MECÂNICO COM BETONEIRA 400 L, APLICADA MANUALMENTE EM PANOS DE FACHADA COM PRESENÇA DE VÃOS, ESPESSURA DE 25 MM. AF_08/2022</t>
  </si>
  <si>
    <t>06.04</t>
  </si>
  <si>
    <t>FORROS</t>
  </si>
  <si>
    <t>06.04.01</t>
  </si>
  <si>
    <t>FORRO EM RÉGUAS DE PVC, FRISADO, PARA AMBIENTES RESIDENCIAIS, INCLUSIVE ESTRUTURA UNIDIRECIONAL DE FIXAÇÃO. AF_08/2023_PS</t>
  </si>
  <si>
    <t>06.05</t>
  </si>
  <si>
    <t>PINTURA</t>
  </si>
  <si>
    <t>06.05.01</t>
  </si>
  <si>
    <t>PINTURAS INTERNAS</t>
  </si>
  <si>
    <t>06.05.01.01</t>
  </si>
  <si>
    <t>FUNDO SELADOR ACRÍLICO, APLICAÇÃO MANUAL EM PAREDE, UMA DEMÃO. AF_04/2023</t>
  </si>
  <si>
    <t>06.05.01.02</t>
  </si>
  <si>
    <t>FUNDO SELADOR ACRÍLICO, APLICAÇÃO MANUAL EM TETO, UMA DEMÃO. AF_04/2023</t>
  </si>
  <si>
    <t>06.05.01.03</t>
  </si>
  <si>
    <t>PINTURA LÁTEX ACRÍLICA STANDARD, APLICAÇÃO MANUAL EM TETO, DUAS DEMÃOS. AF_04/2023</t>
  </si>
  <si>
    <t>06.05.01.04</t>
  </si>
  <si>
    <t>PINTURA LÁTEX ACRÍLICA STANDARD, APLICAÇÃO MANUAL EM PAREDES, DUAS DEMÃOS. AF_04/2023</t>
  </si>
  <si>
    <t>06.05.02</t>
  </si>
  <si>
    <t>PINTURAS EXTERNAS</t>
  </si>
  <si>
    <t>06.05.02.01</t>
  </si>
  <si>
    <t>APLICAÇÃO MANUAL DE FUNDO SELADOR ACRÍLICO EM PAREDES EXTERNAS DE CASAS. AF_03/2024</t>
  </si>
  <si>
    <t>06.05.02.02</t>
  </si>
  <si>
    <t>06.05.03</t>
  </si>
  <si>
    <t>PINTURA ESQUADRIAS</t>
  </si>
  <si>
    <t>06.05.03.01</t>
  </si>
  <si>
    <t>LIXAMENTO DE MADEIRA PARA APLICAÇÃO DE FUNDO OU PINTURA. AF_01/2021</t>
  </si>
  <si>
    <t>06.05.03.02</t>
  </si>
  <si>
    <t>PINTURA FUNDO NIVELADOR ALQUÍDICO BRANCO EM MADEIRA. AF_01/2021</t>
  </si>
  <si>
    <t>06.05.03.03</t>
  </si>
  <si>
    <t>PINTURA TINTA DE ACABAMENTO (PIGMENTADA) ESMALTE SINTÉTICO ACETINADO EM MADEIRA, 2 DEMÃOS. AF_01/2021</t>
  </si>
  <si>
    <t>07</t>
  </si>
  <si>
    <t>PAVIMENTAÇÕES</t>
  </si>
  <si>
    <t>07.01</t>
  </si>
  <si>
    <t>07.02</t>
  </si>
  <si>
    <t>PISO CERÂMICO</t>
  </si>
  <si>
    <t>07.02.01</t>
  </si>
  <si>
    <t>REVESTIMENTO CERÂMICO PARA PISO COM PLACAS TIPO ESMALTADA DE DIMENSÕES 35X35 CM APLICADA EM AMBIENTES DE ÁREA ENTRE 5 M2 E 10 M2. AF_02/2023_PE</t>
  </si>
  <si>
    <t>07.02.02</t>
  </si>
  <si>
    <t>REVESTIMENTO CERÂMICO PARA PISO COM PLACAS TIPO ESMALTADA DE DIMENSÕES 35X35 CM APLICADA EM AMBIENTES DE ÁREA MAIOR QUE 10 M2. AF_02/2023_PE</t>
  </si>
  <si>
    <t>REVESTIMENTO CERÂMICO PARA PISO COM PLACAS TIPO ESMALTADA DE DIMENSÕES 35X35 CM APLICADA EM AMBIENTES DE ÁREA MENOR QUE 5 M2. AF_02/2023_PE</t>
  </si>
  <si>
    <t>07.03</t>
  </si>
  <si>
    <t>PISOS CIMENTADOS</t>
  </si>
  <si>
    <t>COMPACTAÇÃO MECÂNICA DE SOLO PARA EXECUÇÃO DE RADIER, PISO DE CONCRETO OU LAJE SOBRE SOLO, COM COMPACTADOR DE SOLOS TIPO PLACA VIBRATÓRIA. AF_09/2021</t>
  </si>
  <si>
    <t>EXECUÇÃO DE PASSEIO (CALÇADA) OU PISO DE CONCRETO COM CONCRETO MOLDADO IN LOCO, FEITO EM OBRA, ACABAMENTO CONVENCIONAL, NÃO ARMADO. AF_08/2022</t>
  </si>
  <si>
    <t>RODAPÉS, SOLEIRAS E PEITORIS</t>
  </si>
  <si>
    <t>SOLEIRA EM MÁRMORE, LARGURA 15 CM, ESPESSURA 2,0 CM. AF_09/2020</t>
  </si>
  <si>
    <t>RODAPÉ CERÂMICO DE 7CM DE ALTURA COM PLACAS TIPO ESMALTADA DE DIMENSÕES 35X35CM. AF_02/2023</t>
  </si>
  <si>
    <t>PEITORIL LINEAR EM GRANITO OU MÁRMORE, L = 15CM, ASSENTADO COM ARGAMASSA 1:6 COM ADITIVO. AF_11/2020</t>
  </si>
  <si>
    <t>08</t>
  </si>
  <si>
    <t>INSTALAÇÕES</t>
  </si>
  <si>
    <t>08.01</t>
  </si>
  <si>
    <t>ELÉTRICAS / TELEFÔNICAS</t>
  </si>
  <si>
    <t>08.01.01</t>
  </si>
  <si>
    <t>CENTRO DE DISTRIBUIÇÃO ELÉTRICA</t>
  </si>
  <si>
    <t>08.01.01.01</t>
  </si>
  <si>
    <t>DISJUNTOR MONOPOLAR TIPO DIN, CORRENTE NOMINAL DE 10A - FORNECIMENTO E INSTALAÇÃO. AF_07/2025</t>
  </si>
  <si>
    <t>08.01.01.02</t>
  </si>
  <si>
    <t>DISJUNTOR MONOPOLAR TIPO DIN, CORRENTE NOMINAL DE 25A - FORNECIMENTO E INSTALAÇÃO. AF_07/2025</t>
  </si>
  <si>
    <t>08.01.01.03</t>
  </si>
  <si>
    <t>DISJUNTOR MONOPOLAR TIPO DIN, CORRENTE NOMINAL DE 50A - FORNECIMENTO E INSTALAÇÃO. AF_07/2025</t>
  </si>
  <si>
    <t>08.01.01.04</t>
  </si>
  <si>
    <t>93659_ADP-01</t>
  </si>
  <si>
    <t>DISJUNTOR MONOPOLAR TIPO DIN, CORRENTE NOMINAL DE 80A - FORNECIMENTO E INSTALAÇÃO.</t>
  </si>
  <si>
    <t>08.01.01.05</t>
  </si>
  <si>
    <t>DISJUNTOR BIPOLAR TIPO DR, CORRENTE NOMINAL DE 40A - FORNECIMENTO E INSTALAÇÃO. AF_07/2025</t>
  </si>
  <si>
    <t>08.01.01.06</t>
  </si>
  <si>
    <t>DISJUNTOR BIPOLAR DR 63A - FORNECIMENTO E INSTALAÇÃO. AF_07/2025</t>
  </si>
  <si>
    <t>08.01.01.07</t>
  </si>
  <si>
    <t>ENTRADA DE ENERGIA ELÉTRICA, AÉREA, MONOFÁSICA, COM CAIXA DE EMBUTIR, CABO DE 16 MM2 E DISJUNTOR DIN 50A (NÃO INCLUSO O POSTE DE CONCRETO). AF_07/2020_PS</t>
  </si>
  <si>
    <t>08.01.01.08</t>
  </si>
  <si>
    <t>101873_ADP-01</t>
  </si>
  <si>
    <t>QUADRO DE DISTRIBUIÇÃO DE LUZ EM PVC PARA 12 DISJUNTORES - FORNECIMENTO E INSTALAÇÃO.</t>
  </si>
  <si>
    <t>08.01.02</t>
  </si>
  <si>
    <t>ILUMINAÇÃO, TOMADAS E INTERRUPTORES</t>
  </si>
  <si>
    <t>08.01.02.01</t>
  </si>
  <si>
    <t>LUMINÁRIA TIPO PLAFON CIRCULAR, DE SOBREPOR, COM LED DE 12/13 W - FORNECIMENTO E INSTALAÇÃO. AF_09/2024</t>
  </si>
  <si>
    <t>08.01.02.02</t>
  </si>
  <si>
    <t>INTERRUPTOR SIMPLES (1 MÓDULO), 10A/250V, INCLUINDO SUPORTE E PLACA - FORNECIMENTO E INSTALAÇÃO. AF_03/2023</t>
  </si>
  <si>
    <t>08.01.02.03</t>
  </si>
  <si>
    <t>INTERRUPTOR SIMPLES (2 MÓDULOS), 10A/250V, INCLUINDO SUPORTE E PLACA - FORNECIMENTO E INSTALAÇÃO. AF_03/2023</t>
  </si>
  <si>
    <t>08.01.02.04</t>
  </si>
  <si>
    <t>TOMADA BAIXA DE EMBUTIR (1 MÓDULO), 2P+T 10 A, INCLUINDO SUPORTE E PLACA - FORNECIMENTO E INSTALAÇÃO. AF_03/2023</t>
  </si>
  <si>
    <t>08.01.02.05</t>
  </si>
  <si>
    <t>TOMADA MÉDIA DE EMBUTIR (1 MÓDULO), 2P+T 10 A, INCLUINDO SUPORTE E PLACA - FORNECIMENTO E INSTALAÇÃO. AF_03/2023</t>
  </si>
  <si>
    <t>08.01.02.06</t>
  </si>
  <si>
    <t>TOMADA ALTA DE EMBUTIR (1 MÓDULO), 2P+T 20 A, INCLUINDO SUPORTE E PLACA - FORNECIMENTO E INSTALAÇÃO. AF_03/2023</t>
  </si>
  <si>
    <t>08.01.02.07</t>
  </si>
  <si>
    <t>INTERRUPTOR PULSADOR CAMPAINHA (1 MÓDULO), 10A/250V, INCLUINDO SUPORTE E PLACA - FORNECIMENTO E INSTALAÇÃO. AF_03/2023</t>
  </si>
  <si>
    <t>08.01.02.08</t>
  </si>
  <si>
    <t>CAMPAINHA CIGARRA (1 MÓDULO), 10A/250V, INCLUINDO SUPORTE E PLACA - FORNECIMENTO E INSTALAÇÃO. AF_03/2023</t>
  </si>
  <si>
    <t>08.01.02.09</t>
  </si>
  <si>
    <t>91947_ADP-01</t>
  </si>
  <si>
    <t xml:space="preserve">SUPORTE PARAFUSADO COM ESPELHO / PLACA DE ENCAIXE 4" X 2" BAIXO PARA PONTO ELÉTRICO - FORNECIMENTO E INSTALAÇÃO. </t>
  </si>
  <si>
    <t>08.01.02.10</t>
  </si>
  <si>
    <t>CAIXA RETANGULAR 4" X 2" BAIXA (0,30 M DO PISO), PVC, INSTALADA EM PAREDE - FORNECIMENTO E INSTALAÇÃO. AF_03/2023</t>
  </si>
  <si>
    <t>08.01.02.11</t>
  </si>
  <si>
    <t>CAIXA RETANGULAR 4" X 2" MÉDIA (1,30 M DO PISO), PVC, INSTALADA EM PAREDE - FORNECIMENTO E INSTALAÇÃO. AF_03/2023</t>
  </si>
  <si>
    <t>08.01.02.12</t>
  </si>
  <si>
    <t>CAIXA RETANGULAR 4" X 2" ALTA (2,00 M DO PISO), PVC, INSTALADA EM PAREDE - FORNECIMENTO E INSTALAÇÃO. AF_03/2023</t>
  </si>
  <si>
    <t>08.01.02.13</t>
  </si>
  <si>
    <t>CAIXA OCTOGONAL 3" X 3", PVC, INSTALADA EM LAJE - FORNECIMENTO E INSTALAÇÃO. AF_03/2023</t>
  </si>
  <si>
    <t>08.01.03</t>
  </si>
  <si>
    <t>FIOS E CABOS</t>
  </si>
  <si>
    <t>08.01.03.01</t>
  </si>
  <si>
    <t>CABO DE COBRE FLEXÍVEL ISOLADO, 1,5 MM², ANTI-CHAMA 450/750 V, PARA CIRCUITOS TERMINAIS - FORNECIMENTO E INSTALAÇÃO. AF_03/2023</t>
  </si>
  <si>
    <t>08.01.03.02</t>
  </si>
  <si>
    <t>CABO DE COBRE FLEXÍVEL ISOLADO, 2,5 MM², ANTI-CHAMA 450/750 V, PARA CIRCUITOS TERMINAIS - FORNECIMENTO E INSTALAÇÃO. AF_03/2023</t>
  </si>
  <si>
    <t>08.01.03.03</t>
  </si>
  <si>
    <t>CABO DE COBRE FLEXÍVEL ISOLADO, 4 MM², ANTI-CHAMA 450/750 V, PARA CIRCUITOS TERMINAIS - FORNECIMENTO E INSTALAÇÃO. AF_03/2023</t>
  </si>
  <si>
    <t>08.01.03.04</t>
  </si>
  <si>
    <t>CABO DE COBRE ISOLADO, 10 MM², ANTI-CHAMA 450/750 V, INSTALADO EM ELETROCALHA OU PERFILADO - FORNECIMENTO E INSTALAÇÃO. AF_07/2025</t>
  </si>
  <si>
    <t>08.01.03.05</t>
  </si>
  <si>
    <t>CABO DE COBRE FLEXÍVEL ISOLADO, 16 MM², 0,6/1,0 KV, PARA REDE AÉREA DE DISTRIBUIÇÃO DE ENERGIA ELÉTRICA DE BAIXA TENSÃO - FORNECIMENTO E INSTALAÇÃO. AF_07/2020</t>
  </si>
  <si>
    <t>08.01.03.06</t>
  </si>
  <si>
    <t>ELETRODUTO FLEXÍVEL CORRUGADO, PVC, DN 25 MM (3/4"), PARA CIRCUITOS TERMINAIS, INSTALADO EM FORRO - FORNECIMENTO E INSTALAÇÃO. AF_03/2023</t>
  </si>
  <si>
    <t>08.01.03.07</t>
  </si>
  <si>
    <t>ELETRODUTO FLEXÍVEL CORRUGADO, PVC, DN 25 MM (3/4"), PARA CIRCUITOS TERMINAIS, INSTALADO EM PAREDE - FORNECIMENTO E INSTALAÇÃO. AF_03/2023</t>
  </si>
  <si>
    <t>08.01.03.08</t>
  </si>
  <si>
    <t>ELETRODUTO FLEXÍVEL CORRUGADO REFORÇADO, PVC, DN 25 MM (3/4"), PARA CIRCUITOS TERMINAIS, INSTALADO EM LAJE - FORNECIMENTO E INSTALAÇÃO. AF_03/2023</t>
  </si>
  <si>
    <t>08.01.03.09</t>
  </si>
  <si>
    <t>RASGO LINEAR MANUAL EM ALVENARIA, PARA ELETRODUTOS, DIÂMETROS MENORES OU IGUAIS A 40 MM. AF_09/2023</t>
  </si>
  <si>
    <t>08.02</t>
  </si>
  <si>
    <t>HIDRÁULICAS / GÁS / INCÊNCIO</t>
  </si>
  <si>
    <t>08.02.01</t>
  </si>
  <si>
    <t>TUBULAÇÕES E CONEXÕES HIDRÁULICAS</t>
  </si>
  <si>
    <t>08.02.01.01</t>
  </si>
  <si>
    <t>JOELHO 90 GRAUS COM BUCHA DE LATÃO, PVC, SOLDÁVEL, DN 25MM, X 1/2 INSTALADO EM RAMAL OU SUB-RAMAL DE ÁGUA - FORNECIMENTO E INSTALAÇÃO. AF_06/2022</t>
  </si>
  <si>
    <t>08.02.01.02</t>
  </si>
  <si>
    <t>JOELHO 90 GRAUS, PVC, SOLDÁVEL, DN 25MM, INSTALADO EM RAMAL DE DISTRIBUIÇÃO DE ÁGUA - FORNECIMENTO E INSTALAÇÃO. AF_06/2022</t>
  </si>
  <si>
    <t>08.02.01.03</t>
  </si>
  <si>
    <t>TE, PVC, SOLDÁVEL, DN 25MM, INSTALADO EM RAMAL OU SUB-RAMAL DE ÁGUA - FORNECIMENTO E INSTALAÇÃO. AF_06/2022</t>
  </si>
  <si>
    <t>08.02.01.04</t>
  </si>
  <si>
    <t>ADAPTADOR CURTO COM BOLSA E ROSCA PARA REGISTRO, PVC, SOLDÁVEL, DN 25MM X 3/4, INSTALADO EM RAMAL OU SUB-RAMAL DE ÁGUA - FORNECIMENTO E INSTALAÇÃO. AF_06/2022</t>
  </si>
  <si>
    <t>08.02.01.05</t>
  </si>
  <si>
    <t>TUBO, PVC, SOLDÁVEL, DE 25MM, INSTALADO EM PRUMADA DE ÁGUA - FORNECIMENTO E INSTALAÇÃO. AF_06/2022</t>
  </si>
  <si>
    <t>08.02.01.06</t>
  </si>
  <si>
    <t>TUBO, PVC, SOLDÁVEL, DE 25MM, INSTALADO EM RAMAL OU SUB-RAMAL DE ÁGUA - FORNECIMENTO E INSTALAÇÃO. AF_06/2022</t>
  </si>
  <si>
    <t>08.02.01.07</t>
  </si>
  <si>
    <t>CPU-02</t>
  </si>
  <si>
    <t>FORNECIMENTO E INSTALAÇÃO DE PRESSURIZADOR ACOPLADO AO CHUVEIRO (TENSÃO: 110V - PRESSÃO MINIMA: 0,7MCA / PRESSÃO MÁXIMA: 2,5MCA - ENTRADA 1/2" / SAÍDA 1/2")</t>
  </si>
  <si>
    <t>08.02.02</t>
  </si>
  <si>
    <t xml:space="preserve">REGISTROS </t>
  </si>
  <si>
    <t>08.02.02.01</t>
  </si>
  <si>
    <t>REGISTRO DE PRESSÃO BRUTO, LATÃO, ROSCÁVEL, 3/4", COM ACABAMENTO E CANOPLA CROMADOS - FORNECIMENTO E INSTALAÇÃO. AF_08/2021</t>
  </si>
  <si>
    <t>08.02.02.02</t>
  </si>
  <si>
    <t>REGISTRO DE GAVETA BRUTO, LATÃO, ROSCÁVEL, 3/4", COM ACABAMENTO E CANOPLA CROMADOS - FORNECIMENTO E INSTALAÇÃO. AF_08/2021</t>
  </si>
  <si>
    <t>08.02.02.03</t>
  </si>
  <si>
    <t>REGISTRO DE ESFERA, PVC, SOLDÁVEL, COM VOLANTE, DN 32 MM - FORNECIMENTO E INSTALAÇÃO. AF_08/2021</t>
  </si>
  <si>
    <t>08.02.02.04</t>
  </si>
  <si>
    <t>ENGATE FLEXÍVEL EM PLÁSTICO BRANCO, 1/2" X 40CM - FORNECIMENTO E INSTALAÇÃO. AF_01/2020</t>
  </si>
  <si>
    <t>08.02.03</t>
  </si>
  <si>
    <t>ENTRADA / ALIMENTAÇÃO HIDRÁULICA</t>
  </si>
  <si>
    <t>08.02.03.01</t>
  </si>
  <si>
    <t>KIT CAVALETE PARA MEDIÇÃO DE ÁGUA - ENTRADA INDIVIDUALIZADA, EM PVC 25 MM (3/4"), PARA 1 MEDIDOR - FORNECIMENTO E INSTALAÇÃO (EXCLUSIVE HIDRÔMETRO). AF_03/2024</t>
  </si>
  <si>
    <t>08.02.03.02</t>
  </si>
  <si>
    <t>104994_ADP-01</t>
  </si>
  <si>
    <t xml:space="preserve">CAIXA DE EMBUTIR EM POLICARBONATO PARA ABRIGO DE HIDRÔMETRO - FORNECIMENTO E INSTALAÇÃO (EXCLUSIVE HIDRÔMETRO). </t>
  </si>
  <si>
    <t>08.02.03.03</t>
  </si>
  <si>
    <t>REGISTRO DE GAVETA BRUTO, LATÃO, ROSCÁVEL, 3/4" - FORNECIMENTO E INSTALAÇÃO. AF_08/2021</t>
  </si>
  <si>
    <t>08.02.03.04</t>
  </si>
  <si>
    <t>TUBO, PVC, SOLDÁVEL, DE 25MM, INSTALADO EM RAMAL DE DISTRIBUIÇÃO DE ÁGUA - FORNECIMENTO E INSTALAÇÃO. AF_06/2022</t>
  </si>
  <si>
    <t>08.02.03.05</t>
  </si>
  <si>
    <t>08.02.03.06</t>
  </si>
  <si>
    <t>08.02.03.07</t>
  </si>
  <si>
    <t>TE, PVC, SOLDÁVEL, DN 25MM, INSTALADO EM RAMAL DE DISTRIBUIÇÃO DE ÁGUA - FORNECIMENTO E INSTALAÇÃO. AF_06/2022</t>
  </si>
  <si>
    <t>08.02.04</t>
  </si>
  <si>
    <t>CAIXA D'ÁGUA E BARRILETE</t>
  </si>
  <si>
    <t>08.02.04.01</t>
  </si>
  <si>
    <t>CAIXA D´ÁGUA EM POLIETILENO, 500 LITROS - FORNECIMENTO E INSTALAÇÃO. AF_06/2021</t>
  </si>
  <si>
    <t>08.02.04.02</t>
  </si>
  <si>
    <t>FURO EM CAIXA D'ÁGUA COM ESPESSURA DE 2 ATÉ 5 MM E DIÂMETRO DE 25 MM. AF_06/2021</t>
  </si>
  <si>
    <t>08.02.04.03</t>
  </si>
  <si>
    <t>FURO EM CAIXA D'ÁGUA COM ESPESSURA DE 2 ATÉ 5 MM E DIÂMETRO DE 32 MM. AF_06/2021</t>
  </si>
  <si>
    <t>08.02.04.04</t>
  </si>
  <si>
    <t>ADAPTADOR COM FLANGE E ANEL DE VEDAÇÃO, PVC, SOLDÁVEL, DN 25 MM X 3/4", INSTALADO EM RESERVAÇÃO PREDIAL DE ÁGUA - FORNECIMENTO E INSTALAÇÃO. AF_04/2024</t>
  </si>
  <si>
    <t>08.02.04.05</t>
  </si>
  <si>
    <t>ADAPTADOR COM FLANGE E ANEL DE VEDAÇÃO, PVC, SOLDÁVEL, DN 32 MM X 1", INSTALADO EM RESERVAÇÃO PREDIAL DE ÁGUA - FORNECIMENTO E INSTALAÇÃO. AF_04/2024</t>
  </si>
  <si>
    <t>08.02.04.06</t>
  </si>
  <si>
    <t>TORNEIRA DE BOIA PARA CAIXA D'ÁGUA, ROSCÁVEL, 3/4" - FORNECIMENTO E INSTALAÇÃO. AF_08/2021</t>
  </si>
  <si>
    <t>08.02.04.07</t>
  </si>
  <si>
    <t>08.02.04.08</t>
  </si>
  <si>
    <t>JOELHO 90 GRAUS, PVC, SOLDÁVEL, DN 32MM, INSTALADO EM RAMAL DE DISTRIBUIÇÃO DE ÁGUA - FORNECIMENTO E INSTALAÇÃO. AF_06/2022</t>
  </si>
  <si>
    <t>08.02.04.09</t>
  </si>
  <si>
    <t>JOELHO 45 GRAUS, PVC, SOLDÁVEL, DN 32MM, INSTALADO EM RAMAL DE DISTRIBUIÇÃO DE ÁGUA - FORNECIMENTO E INSTALAÇÃO. AF_06/2022</t>
  </si>
  <si>
    <t>08.02.04.10</t>
  </si>
  <si>
    <t>BUCHA DE REDUÇÃO, CURTA, PVC, SOLDÁVEL, DN 32 X 25 MM, INSTALADO EM RAMAL DE DISTRIBUIÇÃO DE ÁGUA - FORNECIMENTO E INSTALAÇÃO. AF_06/2022</t>
  </si>
  <si>
    <t>08.02.04.11</t>
  </si>
  <si>
    <t>TE, PVC, SOLDÁVEL, DN 32MM, INSTALADO EM RAMAL DE DISTRIBUIÇÃO DE ÁGUA - FORNECIMENTO E INSTALAÇÃO. AF_06/2022</t>
  </si>
  <si>
    <t>08.02.04.12</t>
  </si>
  <si>
    <t>TÊ DE REDUÇÃO, PVC, SOLDÁVEL, DN 32MM X 25MM, INSTALADO EM RAMAL DE DISTRIBUIÇÃO DE ÁGUA - FORNECIMENTO E INSTALAÇÃO. AF_06/2022</t>
  </si>
  <si>
    <t>08.02.04.13</t>
  </si>
  <si>
    <t>08.02.04.14</t>
  </si>
  <si>
    <t>TUBO, PVC, SOLDÁVEL, DE 32MM, INSTALADO EM RAMAL DE DISTRIBUIÇÃO DE ÁGUA - FORNECIMENTO E INSTALAÇÃO. AF_06/2022</t>
  </si>
  <si>
    <t>08.03</t>
  </si>
  <si>
    <t>SANITÁRIAS / PLUVIAL</t>
  </si>
  <si>
    <t>08.03.01</t>
  </si>
  <si>
    <t>TUBULAÇÕES E CONEXÕES SANITÁRIAS</t>
  </si>
  <si>
    <t>08.03.01.01</t>
  </si>
  <si>
    <t>JOELHO 45 GRAUS, PVC, SERIE NORMAL, ESGOTO PREDIAL, DN 40 MM, JUNTA SOLDÁVEL, FORNECIDO E INSTALADO EM RAMAL DE DESCARGA OU RAMAL DE ESGOTO SANITÁRIO. AF_08/2022</t>
  </si>
  <si>
    <t>08.03.01.02</t>
  </si>
  <si>
    <t>JOELHO 45 GRAUS, PVC, SERIE NORMAL, ESGOTO PREDIAL, DN 50 MM, JUNTA ELÁSTICA, FORNECIDO E INSTALADO EM RAMAL DE DESCARGA OU RAMAL DE ESGOTO SANITÁRIO. AF_08/2022</t>
  </si>
  <si>
    <t>08.03.01.03</t>
  </si>
  <si>
    <t>JOELHO 90 GRAUS, PVC, SERIE NORMAL, ESGOTO PREDIAL, DN 40 MM, JUNTA SOLDÁVEL, FORNECIDO E INSTALADO EM RAMAL DE DESCARGA OU RAMAL DE ESGOTO SANITÁRIO. AF_08/2022</t>
  </si>
  <si>
    <t>08.03.01.04</t>
  </si>
  <si>
    <t>JOELHO 90 GRAUS, PVC, SERIE NORMAL, ESGOTO PREDIAL, DN 50 MM, JUNTA ELÁSTICA, FORNECIDO E INSTALADO EM RAMAL DE DESCARGA OU RAMAL DE ESGOTO SANITÁRIO. AF_08/2022</t>
  </si>
  <si>
    <t>08.03.01.05</t>
  </si>
  <si>
    <t>JOELHO 90 GRAUS, PVC, SERIE NORMAL, ESGOTO PREDIAL, DN 100 MM, JUNTA ELÁSTICA, FORNECIDO E INSTALADO EM RAMAL DE DESCARGA OU RAMAL DE ESGOTO SANITÁRIO. AF_08/2022</t>
  </si>
  <si>
    <t>08.03.01.06</t>
  </si>
  <si>
    <t>TE, PVC, SERIE NORMAL, ESGOTO PREDIAL, DN 50 X 50 MM, JUNTA ELÁSTICA, FORNECIDO E INSTALADO EM RAMAL DE DESCARGA OU RAMAL DE ESGOTO SANITÁRIO. AF_08/2022</t>
  </si>
  <si>
    <t>08.03.01.07</t>
  </si>
  <si>
    <t>JUNÇÃO DE REDUÇÃO INVERTIDA, PVC, SÉRIE NORMAL, ESGOTO PREDIAL, DN 100 X 50 MM, JUNTA ELÁSTICA, FORNECIDO E INSTALADO EM RAMAL DE DESCARGA OU RAMAL DE ESGOTO SANITÁRIO. AF_08/2022</t>
  </si>
  <si>
    <t>08.03.01.08</t>
  </si>
  <si>
    <t>TERMINAL DE VENTILAÇÃO, PVC, SÉRIE NORMAL, ESGOTO PREDIAL, DN 50 MM, JUNTA SOLDÁVEL, FORNECIDO E INSTALADO EM PRUMADA DE ESGOTO SANITÁRIO OU VENTILAÇÃO. AF_08/2022</t>
  </si>
  <si>
    <t>08.03.01.09</t>
  </si>
  <si>
    <t>TUBO PVC, SERIE NORMAL, ESGOTO PREDIAL, DN 40 MM, FORNECIDO E INSTALADO EM RAMAL DE DESCARGA OU RAMAL DE ESGOTO SANITÁRIO. AF_08/2022</t>
  </si>
  <si>
    <t>08.03.01.10</t>
  </si>
  <si>
    <t>TUBO PVC, SERIE NORMAL, ESGOTO PREDIAL, DN 50 MM, FORNECIDO E INSTALADO EM RAMAL DE DESCARGA OU RAMAL DE ESGOTO SANITÁRIO. AF_08/2022</t>
  </si>
  <si>
    <t>08.03.01.11</t>
  </si>
  <si>
    <t>TUBO PVC, SERIE NORMAL, ESGOTO PREDIAL, DN 50 MM, FORNECIDO E INSTALADO EM PRUMADA DE ESGOTO SANITÁRIO OU VENTILAÇÃO. AF_08/2022</t>
  </si>
  <si>
    <t>08.03.01.12</t>
  </si>
  <si>
    <t>TUBO PVC, SERIE NORMAL, ESGOTO PREDIAL, DN 100 MM, FORNECIDO E INSTALADO EM RAMAL DE DESCARGA OU RAMAL DE ESGOTO SANITÁRIO. AF_08/2022</t>
  </si>
  <si>
    <t>08.03.02</t>
  </si>
  <si>
    <t>ACESSÓRIOS / CAIXAS SANITÁRIAS</t>
  </si>
  <si>
    <t>08.03.02.01</t>
  </si>
  <si>
    <t>CAIXA ENTERRADA HIDRÁULICA RETANGULAR EM ALVENARIA COM TIJOLOS CERÂMICOS MACIÇOS, DIMENSÕES INTERNAS: 0,6X0,6X0,6 M PARA REDE DE ESGOTO. AF_12/2020</t>
  </si>
  <si>
    <t>08.03.02.02</t>
  </si>
  <si>
    <t>CAIXA SIFONADA, PVC, DN 100 X 100 X 50 MM, JUNTA ELÁSTICA, FORNECIDA E INSTALADA EM RAMAL DE DESCARGA OU EM RAMAL DE ESGOTO SANITÁRIO. AF_08/2022</t>
  </si>
  <si>
    <t>08.03.02.03</t>
  </si>
  <si>
    <t>RALO SIFONADO REDONDO, PVC, DN 100 X 40 MM, JUNTA SOLDÁVEL, FORNECIDO E INSTALADO EM RAMAL DE DESCARGA OU EM RAMAL DE ESGOTO SANITÁRIO. AF_08/2022</t>
  </si>
  <si>
    <t>08.03.02.04</t>
  </si>
  <si>
    <t>RALO SECO CÔNICO, PVC, DN 100 X 40 MM, JUNTA SOLDÁVEL, FORNECIDO E INSTALADO EM RAMAL DE DESCARGA OU EM RAMAL DE ESGOTO SANITÁRIO. AF_08/2022</t>
  </si>
  <si>
    <t>08.03.02.05</t>
  </si>
  <si>
    <t>CAIXA DE GORDURA SIMPLES (CAPACIDADE: 36L), RETANGULAR, EM ALVENARIA COM TIJOLOS CERÂMICOS MACIÇOS, DIMENSÕES INTERNAS = 0,2X0,4 M, ALTURA INTERNA = 0,8 M. AF_12/2020</t>
  </si>
  <si>
    <t>08.04</t>
  </si>
  <si>
    <t>APARELHOS, METAIS E BANCADAS</t>
  </si>
  <si>
    <t>08.04.01</t>
  </si>
  <si>
    <t>VASO SANITÁRIO SIFONADO COM CAIXA ACOPLADA LOUÇA BRANCA, INCLUSO ENGATE FLEXÍVEL EM PLÁSTICO BRANCO, 1/2 X 40CM - FORNECIMENTO E INSTALAÇÃO. AF_01/2020</t>
  </si>
  <si>
    <t>08.04.02</t>
  </si>
  <si>
    <t>LAVATÓRIO LOUÇA BRANCA SUSPENSO, 29,5 X 39CM OU EQUIVALENTE, PADRÃO POPULAR, INCLUSO SIFÃO FLEXÍVEL EM PVC, VÁLVULA E ENGATE FLEXÍVEL 30CM EM PLÁSTICO E TORNEIRA CROMADA DE MESA, PADRÃO POPULAR - FORNECIMENTO E INSTALAÇÃO. AF_01/2020</t>
  </si>
  <si>
    <t>08.04.03</t>
  </si>
  <si>
    <t>BANCADA DE MÁRMORE SINTÉTICO 120 X 60CM, COM CUBA INTEGRADA, INCLUSO SIFÃO TIPO FLEXÍVEL EM PVC, VÁLVULA EM PLÁSTICO CROMADO TIPO AMERICANA E TORNEIRA CROMADA LONGA, DE PAREDE, PADRÃO POPULAR - FORNECIMENTO E INSTALAÇÃO. AF_01/2020</t>
  </si>
  <si>
    <t>08.04.04</t>
  </si>
  <si>
    <t>TANQUE DE MÁRMORE SINTÉTICO COM COLUNA, 22L OU EQUIVALENTE, INCLUSO SIFÃO FLEXÍVEL EM PVC, VÁLVULA PLÁSTICA E TORNEIRA DE METAL CROMADO PADRÃO POPULAR - FORNECIMENTO E INSTALAÇÃO. AF_01/2020</t>
  </si>
  <si>
    <t>08.04.05</t>
  </si>
  <si>
    <t>CHUVEIRO ELÉTRICO COMUM CORPO PLÁSTICO, TIPO DUCHA - FORNECIMENTO E INSTALAÇÃO. AF_01/2020</t>
  </si>
  <si>
    <t>08.04.06</t>
  </si>
  <si>
    <t>KIT DE ACESSORIOS PARA BANHEIRO EM METAL CROMADO, 5 PECAS, INCLUSO FIXAÇÃO. AF_01/2020</t>
  </si>
  <si>
    <t>09</t>
  </si>
  <si>
    <t>COMPLEMENTAÇÕES</t>
  </si>
  <si>
    <t>09.01</t>
  </si>
  <si>
    <t>CALAFETE / LIMPEZA</t>
  </si>
  <si>
    <t>09.01.01</t>
  </si>
  <si>
    <t>LIMPEZA DE BACIA SANITÁRIA, BIDÊ OU MICTÓRIO EM LOUÇA, INCLUSIVE METAIS CORRESPONDENTES. AF_04/2019</t>
  </si>
  <si>
    <t>09.01.02</t>
  </si>
  <si>
    <t>LIMPEZA DE BANCADA DE PEDRA (MÁRMORE OU GRANITO). AF_04/2019</t>
  </si>
  <si>
    <t>09.01.03</t>
  </si>
  <si>
    <t>LIMPEZA DE CONTRAPISO COM VASSOURA A SECO. AF_04/2019</t>
  </si>
  <si>
    <t>09.01.04</t>
  </si>
  <si>
    <t>LIMPEZA DE FORRO REMOVÍVEL COM PANO ÚMIDO. AF_04/2019</t>
  </si>
  <si>
    <t>09.01.05</t>
  </si>
  <si>
    <t>LIMPEZA DE JANELA DE VIDRO COM CAIXILHO EM AÇO/ALUMÍNIO/PVC. AF_04/2019</t>
  </si>
  <si>
    <t>09.01.06</t>
  </si>
  <si>
    <t>LIMPEZA DE PISO CERÂMICO OU PORCELANATO UTILIZANDO DETERGENTE NEUTRO E ESCOVAÇÃO MANUAL. AF_04/2019</t>
  </si>
  <si>
    <t>09.01.07</t>
  </si>
  <si>
    <t>LIMPEZA DE PORTA DE MADEIRA. AF_04/2019</t>
  </si>
  <si>
    <t>09.01.08</t>
  </si>
  <si>
    <t>LIMPEZA DE REVESTIMENTO CERÂMICO EM PAREDE UTILIZANDO DETERGENTE NEUTRO E ESCOVAÇÃO MANUAL. AF_04/2019</t>
  </si>
  <si>
    <t>09.01.09</t>
  </si>
  <si>
    <t>LIMPEZA DE TANQUE OU LAVATÓRIO DE LOUÇA ISOLADO, INCLUSIVE METAIS CORRESPONDENTES. AF_04/2019</t>
  </si>
  <si>
    <t>09.02</t>
  </si>
  <si>
    <t>09.03</t>
  </si>
  <si>
    <t>.</t>
  </si>
  <si>
    <t>MG</t>
  </si>
  <si>
    <t>Proponente:</t>
  </si>
  <si>
    <t>Municipio de Capetinga - MG</t>
  </si>
  <si>
    <t xml:space="preserve">CONSTRUÇÃO DE 20 UNIDADES HABITACIONAIS MCMV, Área toral a construir: 53,86 m² </t>
  </si>
  <si>
    <t>VALOR TOTAL ( 20 CASAS ) + BDI</t>
  </si>
  <si>
    <t>LOCAÇÃO CONVENCIONAL DE OBRA, UTILIZANDO GABARITO DE TÁBUAS CORRIDAS PONTALETADAS A CADA 2,00M - 2 UTILIZAÇÕES. AF_03/2024</t>
  </si>
  <si>
    <t xml:space="preserve">FORNECIMENTO E INSTALAÇÃO DE PLACA DE OBRA COM CHAPA GALVANIZADA E ESTRUTURA DE MADEIRA. AF_03/2022_PS                                                                                                                                     </t>
  </si>
  <si>
    <t xml:space="preserve">LOCAÇÃO </t>
  </si>
  <si>
    <t>01.05</t>
  </si>
  <si>
    <t>CRONOGRAMA</t>
  </si>
  <si>
    <t>PROPONENTE:</t>
  </si>
  <si>
    <t>MUNICIPIO DE CAPETINGA</t>
  </si>
  <si>
    <t xml:space="preserve">OBJETO: </t>
  </si>
  <si>
    <t>CONSTRUÇÃO DE 20 UNIDADES HABITACIONAIS MCMV</t>
  </si>
  <si>
    <t>RESPONSÁVEL TECNICO:</t>
  </si>
  <si>
    <t>LUCAS CUSTODIO DE LIMA CAMPOS</t>
  </si>
  <si>
    <t>CREA:</t>
  </si>
  <si>
    <t>241547/D</t>
  </si>
  <si>
    <t>Falta distribuir:</t>
  </si>
  <si>
    <t>Parcelas:</t>
  </si>
  <si>
    <t>Linha</t>
  </si>
  <si>
    <t>1.</t>
  </si>
  <si>
    <t>(CONSTRUÇÃO DE 20 UNIDADES HABITACIONAIS MCMV)</t>
  </si>
  <si>
    <t>% Período:</t>
  </si>
  <si>
    <t>1.1</t>
  </si>
  <si>
    <t>(SERVIÇOS PRELIMINARES)</t>
  </si>
  <si>
    <t>1.2</t>
  </si>
  <si>
    <t>(FUNDAÇÕES)</t>
  </si>
  <si>
    <t>1.3</t>
  </si>
  <si>
    <t>(SUPRAESTRUTURA)</t>
  </si>
  <si>
    <t>1.4</t>
  </si>
  <si>
    <t>(PAREDES E PAINEIS)</t>
  </si>
  <si>
    <t>1.5</t>
  </si>
  <si>
    <t>(COBERTURA E PROTEÇÕES)</t>
  </si>
  <si>
    <t>1.6</t>
  </si>
  <si>
    <t>(REVESTIMENTOS)</t>
  </si>
  <si>
    <t>1.7</t>
  </si>
  <si>
    <t>(PAVIMENTAÇÕES)</t>
  </si>
  <si>
    <t>1.8</t>
  </si>
  <si>
    <t>(INSTALAÇÕES)</t>
  </si>
  <si>
    <t>1.9</t>
  </si>
  <si>
    <t>(COMPLEMENTAÇÕES)</t>
  </si>
  <si>
    <t>%:</t>
  </si>
  <si>
    <t>Repasse:</t>
  </si>
  <si>
    <t>VALOR L.</t>
  </si>
  <si>
    <t>Período:</t>
  </si>
  <si>
    <t>Contrapartida:</t>
  </si>
  <si>
    <t>VALOR CONTRAP.</t>
  </si>
  <si>
    <t>Outros:</t>
  </si>
  <si>
    <t>Investimento:</t>
  </si>
  <si>
    <t>Acumulado:</t>
  </si>
  <si>
    <t/>
  </si>
  <si>
    <t>Contrap. Per.:</t>
  </si>
  <si>
    <t>Repasse Ac.:</t>
  </si>
  <si>
    <t>Contrapartida Ac.:</t>
  </si>
  <si>
    <t>Custo
(R$) +BDI</t>
  </si>
  <si>
    <t>VALOR TOTAL (UNIDADE)</t>
  </si>
  <si>
    <t>Valor 20 Casas (R$)</t>
  </si>
  <si>
    <t>Valor Unit. (R$)</t>
  </si>
  <si>
    <t>(VALOR UNIDADE)</t>
  </si>
  <si>
    <t>LIMPEZA</t>
  </si>
  <si>
    <t>TERRAPLENAGEM - ESCAVAÇÃO</t>
  </si>
  <si>
    <t>TERRAPLENAGEM - REATERRO</t>
  </si>
  <si>
    <t>07.01.01</t>
  </si>
  <si>
    <t>07.01.02</t>
  </si>
  <si>
    <t>07.01.03</t>
  </si>
  <si>
    <t>07.03.01</t>
  </si>
  <si>
    <t>07.03.02</t>
  </si>
  <si>
    <t>07.03.03</t>
  </si>
  <si>
    <t>CONCRETAGEM DE RADIER, PISO DE CONCRETO OU LAJE SOBRE SOLO, FCK 30 MPA - LANÇAMENTO, ADENSAMENTO E ACABAMENTO. AF_09/2021</t>
  </si>
  <si>
    <t>FORNECIMENTO E INSTALAÇÃO DE PLACA</t>
  </si>
  <si>
    <t>01.02</t>
  </si>
  <si>
    <t>01.03</t>
  </si>
  <si>
    <t>01.04</t>
  </si>
  <si>
    <t>Itens</t>
  </si>
  <si>
    <t>Siglas</t>
  </si>
  <si>
    <t>% Adotado</t>
  </si>
  <si>
    <t>AC</t>
  </si>
  <si>
    <t>SG</t>
  </si>
  <si>
    <t>Risco</t>
  </si>
  <si>
    <t>R</t>
  </si>
  <si>
    <t>Despesas Financeiras</t>
  </si>
  <si>
    <t>DF</t>
  </si>
  <si>
    <t>L</t>
  </si>
  <si>
    <t>CP</t>
  </si>
  <si>
    <t>ISS</t>
  </si>
  <si>
    <t>CPRB</t>
  </si>
  <si>
    <t>Os valores de BDI foram calculados com o emprego da fórmula:</t>
  </si>
  <si>
    <t>MIN</t>
  </si>
  <si>
    <t>MED</t>
  </si>
  <si>
    <t>MAX</t>
  </si>
  <si>
    <t>Grau de Sigilo</t>
  </si>
  <si>
    <t>Construção e Reforma de Edifícios</t>
  </si>
  <si>
    <t>#PUBLICO</t>
  </si>
  <si>
    <t>Nº OPERAÇÃO</t>
  </si>
  <si>
    <t>Nº TRANSFEREGOV</t>
  </si>
  <si>
    <t>PROPONENTE / TOMADOR</t>
  </si>
  <si>
    <t>FILTRO</t>
  </si>
  <si>
    <t>BDI PAD</t>
  </si>
  <si>
    <t>APELIDO DO EMPREENDIMENTO / DESCRIÇÃO DO LOTE</t>
  </si>
  <si>
    <t>Construção de Praças Urbanas, Rodovias, Ferrovias e recapeamento e pavimentação de vias urbanas</t>
  </si>
  <si>
    <t>Conforme legislação tributária municipal, definir estimativa de percentual da base de cálculo para o ISS:</t>
  </si>
  <si>
    <t>↓</t>
  </si>
  <si>
    <t>Sobre a base de cálculo, definir a respectiva alíquota do ISS (entre 2% e 5%):</t>
  </si>
  <si>
    <t>F</t>
  </si>
  <si>
    <t>Construção de Redes de Abastecimento de Água, Coleta de Esgoto</t>
  </si>
  <si>
    <t>BDI 1</t>
  </si>
  <si>
    <t>TIPO DE OBRA</t>
  </si>
  <si>
    <t>Situação</t>
  </si>
  <si>
    <t>1º Quartil</t>
  </si>
  <si>
    <t>Médio</t>
  </si>
  <si>
    <t>3º Quartil</t>
  </si>
  <si>
    <t>Construção e Manutenção de Estações e Redes de Distribuição de Energia Elétrica</t>
  </si>
  <si>
    <t>Obras Portuárias, Marítimas e Fluviais</t>
  </si>
  <si>
    <t>Tributos (impostos COFINS 3%, e  PIS 0,65%)</t>
  </si>
  <si>
    <t>Tributos (ISS, variável de acordo com o município)</t>
  </si>
  <si>
    <t>Tributos (Contribuição Previdenciária sobre a Receita Bruta - Lei 12.546 de 14/12/2011 - Desoneração)</t>
  </si>
  <si>
    <t>BDI SEM desoneração (Fórmula Acórdão TCU)</t>
  </si>
  <si>
    <t>BDI COM desoneração</t>
  </si>
  <si>
    <t>BDI DES</t>
  </si>
  <si>
    <t>Fornecimento de Materiais e Equipamentos (aquisição indireta - em conjunto com licitação de obras)</t>
  </si>
  <si>
    <t>BDI =</t>
  </si>
  <si>
    <t xml:space="preserve"> - 1</t>
  </si>
  <si>
    <t>(1-CP-ISS-CRPB)</t>
  </si>
  <si>
    <t>Fornecimento de Materiais e Equipamentos (aquisição direta)</t>
  </si>
  <si>
    <t>-</t>
  </si>
  <si>
    <t>Observações:</t>
  </si>
  <si>
    <t>Estudos e Projetos, Planos e Gerenciamento e outros correlatos</t>
  </si>
  <si>
    <t>K1</t>
  </si>
  <si>
    <t>K2</t>
  </si>
  <si>
    <t>Local</t>
  </si>
  <si>
    <t>Data</t>
  </si>
  <si>
    <t>K3</t>
  </si>
  <si>
    <t>Responsável Técnico</t>
  </si>
  <si>
    <t>Nome:</t>
  </si>
  <si>
    <t>CREA/CAU:</t>
  </si>
  <si>
    <t>ART/RRT:</t>
  </si>
  <si>
    <t>BDI 2</t>
  </si>
  <si>
    <t>(SELECIONAR)</t>
  </si>
  <si>
    <t>BDI 3</t>
  </si>
  <si>
    <t>DECLARAÇÃO DA COMPOSIÇÃO ANALÍTICA</t>
  </si>
  <si>
    <t>LIMPEZA MECANIZADA DE CAMADA VEGETAL, VEGETAÇÃO E PEQUENAS ARVORES ( DIÂMETRO DE TRONCO MENOR QUE 0,20M), COM TRATOR DE ESTEIRAS</t>
  </si>
  <si>
    <t>ESCAVAÇÃO MECANIZADA DE VALA COM PROF. ATÉ 1,5 M (MÉDIA MONTANTE E JUSANTE/UMA COMPOSIÇÃO POR TRECHO), ESCAVADEIRA (0,8 M3), LARG. DE 1,5 M A 2,5 M, EM SOLO DE 1A CATEGORIA, LOCAIS COM BAIXO NÍVEL DE INTERFERÊNCIA. AF_09/2024</t>
  </si>
  <si>
    <t>EXECUÇÃO E COMPACTAÇÃO DE CORPO DE ATERRO DE ATERRO (95% DE ENERGIA DO PROCTOR NORMAL) COM SOLO PREDOMINANTEMENTE ARGILOSO, EM CAMADAS COM ESPESSURA DE 20 CM - EXCLUSIVE ESCAVAÇÃO, CARGA E TRANSPORTE E SOLO. AF_09/2024</t>
  </si>
  <si>
    <t>01.06</t>
  </si>
  <si>
    <t>01.07</t>
  </si>
  <si>
    <t>ADM LOCAL / CANTEIRO</t>
  </si>
  <si>
    <t>ADM LOCAL / ENGENHARIA</t>
  </si>
  <si>
    <t>LOCACAO DE CONTAINER 2,30 X 6,00 M PARA OBRA</t>
  </si>
  <si>
    <t>ENGENHEIRO CIVIL DE OBRA PLENO COM ENCARGOS COMPLEMENTARES (HORISTA)</t>
  </si>
  <si>
    <t>H</t>
  </si>
  <si>
    <t>MÊS</t>
  </si>
  <si>
    <t>BDI = 25,47%</t>
  </si>
  <si>
    <t>Total:    R$ 2.838.154,47</t>
  </si>
  <si>
    <t xml:space="preserve">MÊS 1 </t>
  </si>
  <si>
    <t>MÊS 2</t>
  </si>
  <si>
    <t>MÊS 3</t>
  </si>
  <si>
    <t>MÊS 4</t>
  </si>
  <si>
    <t>MÊS 5</t>
  </si>
  <si>
    <t>MÊS 6</t>
  </si>
  <si>
    <t>MÊS 7</t>
  </si>
  <si>
    <t>MÊS 8</t>
  </si>
  <si>
    <t>MÊS 9</t>
  </si>
  <si>
    <t>MÊS 10</t>
  </si>
  <si>
    <t>MÊS 11</t>
  </si>
  <si>
    <t>"Declaro para os devidos fins que o regime de Contribuição Previdenciária sobre a Receita Bruta adotado para elaboração do orçamento foi COM Desoneração, e que esta é a alternativa mais adequada para a Administração Pública."</t>
  </si>
  <si>
    <t>08.04.07</t>
  </si>
  <si>
    <t>BARRA DE APOIO RETA, EM ACO INOX POLIDO, COMPRIMENTO 80 CM, FIXADA NA PAREDE - FORNECIMENTO E INSTALAÇÃO. AF_01/2020</t>
  </si>
  <si>
    <t>UM</t>
  </si>
  <si>
    <t>Preço Unt. Com BDI
(R$)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</si>
</sst>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* #,##0.00_-;\-* #,##0.00_-;_-* \-??_-;_-@_-"/>
    <numFmt numFmtId="165" formatCode="_(\ #,##0.00_);_(&quot; (&quot;#,##0.00\);_(&quot; -&quot;??_);_(@_)"/>
    <numFmt numFmtId="166" formatCode="0\."/>
    <numFmt numFmtId="167" formatCode="_(&quot;R$ &quot;* #,##0.00_);_(&quot;R$ &quot;* \(#,##0.00\);_(&quot;R$ &quot;* &quot;-&quot;??_);_(@_)"/>
    <numFmt numFmtId="168" formatCode="General;General"/>
    <numFmt numFmtId="169" formatCode="[$-F800]dddd\,\ mmmm\ dd\,\ yyyy"/>
    <numFmt numFmtId="170" formatCode="dd&quot; de &quot;mmmm&quot; de &quot;yyyy"/>
    <numFmt numFmtId="171" formatCode="_-&quot;R$&quot;\ * #,##0.0000_-;\-&quot;R$&quot;\ * #,##0.0000_-;_-&quot;R$&quot;\ * &quot;-&quot;??_-;_-@_-"/>
  </numFmts>
  <fonts count="4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0"/>
      <name val="Arial"/>
      <family val="2"/>
    </font>
    <font>
      <sz val="8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2"/>
      <color theme="1"/>
      <name val="Arial"/>
      <family val="2"/>
    </font>
    <font>
      <b/>
      <sz val="9"/>
      <color theme="0"/>
      <name val="Arial"/>
      <family val="2"/>
    </font>
    <font>
      <b/>
      <sz val="9"/>
      <color theme="1"/>
      <name val="Arial"/>
      <family val="2"/>
    </font>
    <font>
      <b/>
      <i/>
      <sz val="9"/>
      <color theme="1"/>
      <name val="Arial"/>
      <family val="2"/>
    </font>
    <font>
      <b/>
      <i/>
      <sz val="8"/>
      <color theme="1"/>
      <name val="Arial"/>
      <family val="2"/>
    </font>
    <font>
      <i/>
      <sz val="8"/>
      <color theme="1"/>
      <name val="Arial"/>
      <family val="2"/>
    </font>
    <font>
      <sz val="8"/>
      <color theme="0" tint="-0.34998626667073579"/>
      <name val="Arial"/>
      <family val="2"/>
    </font>
    <font>
      <sz val="8"/>
      <name val="Arial"/>
      <family val="2"/>
    </font>
    <font>
      <b/>
      <i/>
      <sz val="9"/>
      <name val="Arial"/>
      <family val="2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color indexed="9"/>
      <name val="Arial"/>
      <family val="2"/>
    </font>
    <font>
      <b/>
      <sz val="12"/>
      <color indexed="8"/>
      <name val="Arial"/>
      <family val="2"/>
    </font>
    <font>
      <sz val="8"/>
      <name val="Calibri"/>
      <family val="2"/>
      <scheme val="minor"/>
    </font>
    <font>
      <sz val="10"/>
      <color rgb="FF000000"/>
      <name val="Times New Roman"/>
      <family val="1"/>
    </font>
    <font>
      <sz val="11"/>
      <color indexed="8"/>
      <name val="Calibri"/>
      <family val="2"/>
      <scheme val="minor"/>
    </font>
    <font>
      <sz val="11"/>
      <name val="Arial"/>
      <family val="2"/>
    </font>
    <font>
      <b/>
      <sz val="12"/>
      <name val="Arial"/>
      <family val="2"/>
    </font>
    <font>
      <b/>
      <sz val="10"/>
      <color indexed="12"/>
      <name val="Arial"/>
      <family val="2"/>
    </font>
    <font>
      <sz val="9"/>
      <name val="Arial"/>
      <family val="2"/>
    </font>
    <font>
      <sz val="10"/>
      <name val="Calibri"/>
      <family val="2"/>
    </font>
    <font>
      <b/>
      <sz val="12"/>
      <color rgb="FFFF0000"/>
      <name val="Arial"/>
      <family val="2"/>
    </font>
    <font>
      <b/>
      <sz val="10"/>
      <color rgb="FFFF0000"/>
      <name val="Arial"/>
      <family val="2"/>
    </font>
    <font>
      <sz val="8"/>
      <name val="Calibri"/>
      <family val="2"/>
    </font>
    <font>
      <sz val="10"/>
      <color rgb="FFFF0000"/>
      <name val="Arial"/>
      <family val="2"/>
    </font>
    <font>
      <b/>
      <sz val="11"/>
      <color rgb="FFFF0000"/>
      <name val="Arial"/>
      <family val="2"/>
    </font>
    <font>
      <b/>
      <sz val="11"/>
      <name val="Arial"/>
      <family val="2"/>
    </font>
    <font>
      <b/>
      <sz val="12"/>
      <color indexed="10"/>
      <name val="Arial"/>
      <family val="2"/>
    </font>
    <font>
      <sz val="10"/>
      <color indexed="10"/>
      <name val="Arial"/>
      <family val="2"/>
    </font>
    <font>
      <i/>
      <sz val="12"/>
      <name val="Calibri"/>
      <family val="2"/>
    </font>
    <font>
      <i/>
      <u/>
      <sz val="12"/>
      <name val="Calibri"/>
      <family val="2"/>
    </font>
    <font>
      <u/>
      <sz val="10"/>
      <name val="Arial"/>
      <family val="2"/>
    </font>
    <font>
      <b/>
      <sz val="9"/>
      <color indexed="8"/>
      <name val="Tahoma"/>
      <family val="2"/>
    </font>
    <font>
      <sz val="9"/>
      <color indexed="8"/>
      <name val="Tahoma"/>
      <family val="2"/>
    </font>
    <font>
      <b/>
      <sz val="11"/>
      <color theme="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lightUp">
        <fgColor indexed="22"/>
      </patternFill>
    </fill>
    <fill>
      <patternFill patternType="solid">
        <fgColor indexed="22"/>
        <bgColor indexed="44"/>
      </patternFill>
    </fill>
    <fill>
      <patternFill patternType="solid">
        <fgColor rgb="FFC0C0C0"/>
        <bgColor indexed="64"/>
      </patternFill>
    </fill>
    <fill>
      <patternFill patternType="solid">
        <fgColor indexed="31"/>
        <bgColor indexed="42"/>
      </patternFill>
    </fill>
    <fill>
      <patternFill patternType="solid">
        <fgColor indexed="43"/>
        <bgColor indexed="26"/>
      </patternFill>
    </fill>
  </fills>
  <borders count="4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 style="hair">
        <color indexed="8"/>
      </left>
      <right style="hair">
        <color indexed="8"/>
      </right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 style="thin">
        <color indexed="8"/>
      </top>
      <bottom style="hair">
        <color indexed="55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/>
      <right/>
      <top style="hair">
        <color indexed="8"/>
      </top>
      <bottom style="thin">
        <color indexed="64"/>
      </bottom>
      <diagonal/>
    </border>
    <border>
      <left/>
      <right style="hair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1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7" fillId="0" borderId="0"/>
    <xf numFmtId="164" fontId="20" fillId="0" borderId="0" applyFill="0" applyBorder="0" applyAlignment="0" applyProtection="0"/>
    <xf numFmtId="9" fontId="20" fillId="0" borderId="0" applyFill="0" applyBorder="0" applyAlignment="0" applyProtection="0"/>
    <xf numFmtId="0" fontId="20" fillId="0" borderId="0"/>
    <xf numFmtId="0" fontId="25" fillId="0" borderId="0"/>
    <xf numFmtId="0" fontId="26" fillId="0" borderId="0"/>
    <xf numFmtId="167" fontId="20" fillId="0" borderId="0" applyFont="0" applyFill="0" applyBorder="0" applyAlignment="0" applyProtection="0"/>
    <xf numFmtId="0" fontId="30" fillId="0" borderId="0"/>
  </cellStyleXfs>
  <cellXfs count="244">
    <xf numFmtId="0" fontId="0" fillId="0" borderId="0" xfId="0"/>
    <xf numFmtId="0" fontId="2" fillId="2" borderId="1" xfId="0" applyFont="1" applyFill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vertical="center"/>
    </xf>
    <xf numFmtId="0" fontId="3" fillId="3" borderId="0" xfId="0" applyFont="1" applyFill="1"/>
    <xf numFmtId="0" fontId="4" fillId="3" borderId="0" xfId="0" applyFont="1" applyFill="1"/>
    <xf numFmtId="0" fontId="4" fillId="0" borderId="0" xfId="0" applyFont="1"/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vertical="center" wrapText="1"/>
    </xf>
    <xf numFmtId="0" fontId="5" fillId="3" borderId="0" xfId="0" applyFont="1" applyFill="1" applyAlignment="1">
      <alignment horizontal="center" vertical="center"/>
    </xf>
    <xf numFmtId="43" fontId="5" fillId="3" borderId="0" xfId="1" applyFont="1" applyFill="1" applyAlignment="1">
      <alignment horizontal="center" vertical="center"/>
    </xf>
    <xf numFmtId="44" fontId="4" fillId="3" borderId="0" xfId="2" applyFont="1" applyFill="1" applyAlignment="1">
      <alignment horizontal="right" vertical="center"/>
    </xf>
    <xf numFmtId="0" fontId="5" fillId="3" borderId="0" xfId="0" applyFont="1" applyFill="1"/>
    <xf numFmtId="17" fontId="4" fillId="3" borderId="0" xfId="0" quotePrefix="1" applyNumberFormat="1" applyFont="1" applyFill="1" applyAlignment="1">
      <alignment horizontal="left"/>
    </xf>
    <xf numFmtId="0" fontId="5" fillId="3" borderId="0" xfId="0" applyFont="1" applyFill="1" applyAlignment="1">
      <alignment horizontal="right" vertical="center"/>
    </xf>
    <xf numFmtId="0" fontId="5" fillId="3" borderId="0" xfId="0" applyFont="1" applyFill="1" applyAlignment="1">
      <alignment vertical="center" wrapText="1"/>
    </xf>
    <xf numFmtId="44" fontId="5" fillId="3" borderId="0" xfId="2" applyFont="1" applyFill="1" applyAlignment="1">
      <alignment vertical="center"/>
    </xf>
    <xf numFmtId="44" fontId="4" fillId="0" borderId="0" xfId="2" applyFont="1" applyFill="1" applyAlignment="1">
      <alignment horizontal="right" vertical="center"/>
    </xf>
    <xf numFmtId="0" fontId="6" fillId="4" borderId="4" xfId="0" applyFont="1" applyFill="1" applyBorder="1" applyAlignment="1" applyProtection="1">
      <alignment horizontal="center" vertical="center"/>
      <protection locked="0"/>
    </xf>
    <xf numFmtId="0" fontId="3" fillId="3" borderId="0" xfId="0" applyFont="1" applyFill="1" applyAlignment="1">
      <alignment horizontal="right" vertical="center"/>
    </xf>
    <xf numFmtId="0" fontId="3" fillId="3" borderId="0" xfId="0" applyFont="1" applyFill="1" applyAlignment="1">
      <alignment vertical="center" wrapText="1"/>
    </xf>
    <xf numFmtId="0" fontId="3" fillId="3" borderId="0" xfId="0" applyFont="1" applyFill="1" applyAlignment="1">
      <alignment horizontal="center" vertical="center"/>
    </xf>
    <xf numFmtId="43" fontId="3" fillId="3" borderId="0" xfId="1" applyFont="1" applyFill="1" applyAlignment="1">
      <alignment horizontal="center" vertical="center"/>
    </xf>
    <xf numFmtId="44" fontId="3" fillId="3" borderId="0" xfId="2" applyFont="1" applyFill="1" applyAlignment="1">
      <alignment vertical="center"/>
    </xf>
    <xf numFmtId="0" fontId="7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 wrapText="1"/>
    </xf>
    <xf numFmtId="43" fontId="7" fillId="2" borderId="0" xfId="1" applyFont="1" applyFill="1" applyBorder="1" applyAlignment="1">
      <alignment horizontal="center" vertical="center"/>
    </xf>
    <xf numFmtId="44" fontId="7" fillId="2" borderId="0" xfId="2" applyFont="1" applyFill="1" applyBorder="1" applyAlignment="1">
      <alignment horizontal="center" vertical="center" wrapText="1"/>
    </xf>
    <xf numFmtId="0" fontId="8" fillId="3" borderId="0" xfId="0" applyFont="1" applyFill="1" applyAlignment="1">
      <alignment horizontal="center" vertical="center"/>
    </xf>
    <xf numFmtId="0" fontId="9" fillId="5" borderId="0" xfId="0" applyFont="1" applyFill="1"/>
    <xf numFmtId="0" fontId="9" fillId="5" borderId="0" xfId="0" applyFont="1" applyFill="1" applyAlignment="1">
      <alignment horizontal="right" vertical="center"/>
    </xf>
    <xf numFmtId="0" fontId="9" fillId="5" borderId="0" xfId="0" applyFont="1" applyFill="1" applyAlignment="1">
      <alignment vertical="center" wrapText="1"/>
    </xf>
    <xf numFmtId="0" fontId="9" fillId="5" borderId="0" xfId="0" applyFont="1" applyFill="1" applyAlignment="1">
      <alignment horizontal="center" vertical="center"/>
    </xf>
    <xf numFmtId="43" fontId="9" fillId="5" borderId="0" xfId="1" applyFont="1" applyFill="1" applyBorder="1" applyAlignment="1">
      <alignment horizontal="center" vertical="center"/>
    </xf>
    <xf numFmtId="0" fontId="9" fillId="3" borderId="0" xfId="0" applyFont="1" applyFill="1"/>
    <xf numFmtId="0" fontId="9" fillId="4" borderId="0" xfId="0" applyFont="1" applyFill="1"/>
    <xf numFmtId="0" fontId="9" fillId="4" borderId="0" xfId="0" applyFont="1" applyFill="1" applyAlignment="1">
      <alignment horizontal="right" vertical="center"/>
    </xf>
    <xf numFmtId="0" fontId="9" fillId="4" borderId="0" xfId="0" applyFont="1" applyFill="1" applyAlignment="1">
      <alignment vertical="center" wrapText="1"/>
    </xf>
    <xf numFmtId="0" fontId="9" fillId="4" borderId="0" xfId="0" applyFont="1" applyFill="1" applyAlignment="1">
      <alignment horizontal="center" vertical="center"/>
    </xf>
    <xf numFmtId="43" fontId="9" fillId="4" borderId="0" xfId="1" applyFont="1" applyFill="1" applyBorder="1" applyAlignment="1">
      <alignment horizontal="center" vertical="center"/>
    </xf>
    <xf numFmtId="0" fontId="10" fillId="3" borderId="5" xfId="0" applyFont="1" applyFill="1" applyBorder="1"/>
    <xf numFmtId="0" fontId="10" fillId="3" borderId="6" xfId="0" applyFont="1" applyFill="1" applyBorder="1"/>
    <xf numFmtId="0" fontId="10" fillId="3" borderId="6" xfId="0" applyFont="1" applyFill="1" applyBorder="1" applyAlignment="1">
      <alignment horizontal="right" vertical="center"/>
    </xf>
    <xf numFmtId="0" fontId="10" fillId="3" borderId="6" xfId="0" applyFont="1" applyFill="1" applyBorder="1" applyAlignment="1">
      <alignment vertical="center" wrapText="1"/>
    </xf>
    <xf numFmtId="0" fontId="10" fillId="3" borderId="6" xfId="0" applyFont="1" applyFill="1" applyBorder="1" applyAlignment="1">
      <alignment horizontal="center" vertical="center"/>
    </xf>
    <xf numFmtId="43" fontId="10" fillId="3" borderId="6" xfId="1" applyFont="1" applyFill="1" applyBorder="1" applyAlignment="1">
      <alignment horizontal="center" vertical="center"/>
    </xf>
    <xf numFmtId="0" fontId="10" fillId="3" borderId="0" xfId="0" applyFont="1" applyFill="1"/>
    <xf numFmtId="0" fontId="9" fillId="4" borderId="2" xfId="0" applyFont="1" applyFill="1" applyBorder="1"/>
    <xf numFmtId="0" fontId="9" fillId="4" borderId="2" xfId="0" applyFont="1" applyFill="1" applyBorder="1" applyAlignment="1">
      <alignment horizontal="right" vertical="center"/>
    </xf>
    <xf numFmtId="0" fontId="9" fillId="4" borderId="2" xfId="0" applyFont="1" applyFill="1" applyBorder="1" applyAlignment="1">
      <alignment vertical="center" wrapText="1"/>
    </xf>
    <xf numFmtId="0" fontId="9" fillId="4" borderId="2" xfId="0" applyFont="1" applyFill="1" applyBorder="1" applyAlignment="1">
      <alignment horizontal="center" vertical="center"/>
    </xf>
    <xf numFmtId="43" fontId="9" fillId="4" borderId="2" xfId="1" applyFont="1" applyFill="1" applyBorder="1" applyAlignment="1">
      <alignment horizontal="center" vertical="center"/>
    </xf>
    <xf numFmtId="0" fontId="3" fillId="3" borderId="5" xfId="0" applyFont="1" applyFill="1" applyBorder="1"/>
    <xf numFmtId="0" fontId="3" fillId="3" borderId="6" xfId="0" applyFont="1" applyFill="1" applyBorder="1"/>
    <xf numFmtId="0" fontId="3" fillId="3" borderId="6" xfId="0" applyFont="1" applyFill="1" applyBorder="1" applyAlignment="1">
      <alignment horizontal="right" vertical="center"/>
    </xf>
    <xf numFmtId="0" fontId="3" fillId="3" borderId="6" xfId="0" applyFont="1" applyFill="1" applyBorder="1" applyAlignment="1">
      <alignment vertical="center" wrapText="1"/>
    </xf>
    <xf numFmtId="0" fontId="3" fillId="3" borderId="6" xfId="0" applyFont="1" applyFill="1" applyBorder="1" applyAlignment="1">
      <alignment horizontal="center" vertical="center"/>
    </xf>
    <xf numFmtId="43" fontId="3" fillId="3" borderId="6" xfId="1" applyFont="1" applyFill="1" applyBorder="1" applyAlignment="1">
      <alignment horizontal="center" vertical="center"/>
    </xf>
    <xf numFmtId="0" fontId="11" fillId="3" borderId="0" xfId="0" applyFont="1" applyFill="1"/>
    <xf numFmtId="0" fontId="12" fillId="3" borderId="7" xfId="0" applyFont="1" applyFill="1" applyBorder="1" applyAlignment="1">
      <alignment vertical="center"/>
    </xf>
    <xf numFmtId="0" fontId="12" fillId="3" borderId="0" xfId="0" applyFont="1" applyFill="1"/>
    <xf numFmtId="43" fontId="3" fillId="3" borderId="0" xfId="1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right" vertical="center"/>
    </xf>
    <xf numFmtId="43" fontId="13" fillId="3" borderId="8" xfId="1" applyFont="1" applyFill="1" applyBorder="1" applyAlignment="1">
      <alignment horizontal="center" vertical="center"/>
    </xf>
    <xf numFmtId="0" fontId="11" fillId="3" borderId="5" xfId="0" applyFont="1" applyFill="1" applyBorder="1"/>
    <xf numFmtId="0" fontId="11" fillId="3" borderId="6" xfId="0" applyFont="1" applyFill="1" applyBorder="1"/>
    <xf numFmtId="0" fontId="11" fillId="3" borderId="6" xfId="0" applyFont="1" applyFill="1" applyBorder="1" applyAlignment="1">
      <alignment horizontal="right" vertical="center"/>
    </xf>
    <xf numFmtId="0" fontId="11" fillId="3" borderId="6" xfId="0" applyFont="1" applyFill="1" applyBorder="1" applyAlignment="1">
      <alignment vertical="center" wrapText="1"/>
    </xf>
    <xf numFmtId="0" fontId="11" fillId="3" borderId="6" xfId="0" applyFont="1" applyFill="1" applyBorder="1" applyAlignment="1">
      <alignment horizontal="center" vertical="center"/>
    </xf>
    <xf numFmtId="43" fontId="11" fillId="3" borderId="6" xfId="1" applyFont="1" applyFill="1" applyBorder="1" applyAlignment="1">
      <alignment horizontal="center" vertical="center"/>
    </xf>
    <xf numFmtId="0" fontId="12" fillId="3" borderId="0" xfId="0" applyFont="1" applyFill="1" applyAlignment="1">
      <alignment horizontal="left" vertical="center"/>
    </xf>
    <xf numFmtId="0" fontId="10" fillId="3" borderId="1" xfId="0" applyFont="1" applyFill="1" applyBorder="1"/>
    <xf numFmtId="0" fontId="10" fillId="3" borderId="2" xfId="0" applyFont="1" applyFill="1" applyBorder="1"/>
    <xf numFmtId="0" fontId="10" fillId="3" borderId="2" xfId="0" applyFont="1" applyFill="1" applyBorder="1" applyAlignment="1">
      <alignment horizontal="right" vertical="center"/>
    </xf>
    <xf numFmtId="0" fontId="10" fillId="3" borderId="2" xfId="0" applyFont="1" applyFill="1" applyBorder="1" applyAlignment="1">
      <alignment vertical="center" wrapText="1"/>
    </xf>
    <xf numFmtId="0" fontId="10" fillId="3" borderId="2" xfId="0" applyFont="1" applyFill="1" applyBorder="1" applyAlignment="1">
      <alignment horizontal="center" vertical="center"/>
    </xf>
    <xf numFmtId="43" fontId="10" fillId="3" borderId="2" xfId="1" applyFont="1" applyFill="1" applyBorder="1" applyAlignment="1">
      <alignment horizontal="center" vertical="center"/>
    </xf>
    <xf numFmtId="44" fontId="10" fillId="3" borderId="2" xfId="2" applyFont="1" applyFill="1" applyBorder="1" applyAlignment="1">
      <alignment vertical="center"/>
    </xf>
    <xf numFmtId="0" fontId="12" fillId="3" borderId="8" xfId="0" applyFont="1" applyFill="1" applyBorder="1" applyAlignment="1">
      <alignment horizontal="left" vertical="center"/>
    </xf>
    <xf numFmtId="43" fontId="3" fillId="3" borderId="8" xfId="1" applyFont="1" applyFill="1" applyBorder="1" applyAlignment="1">
      <alignment horizontal="center" vertical="center"/>
    </xf>
    <xf numFmtId="0" fontId="3" fillId="3" borderId="8" xfId="0" applyFont="1" applyFill="1" applyBorder="1" applyAlignment="1">
      <alignment vertical="center" wrapText="1"/>
    </xf>
    <xf numFmtId="0" fontId="3" fillId="3" borderId="8" xfId="0" applyFont="1" applyFill="1" applyBorder="1" applyAlignment="1">
      <alignment horizontal="center" vertical="center"/>
    </xf>
    <xf numFmtId="0" fontId="10" fillId="3" borderId="0" xfId="0" applyFont="1" applyFill="1" applyAlignment="1">
      <alignment horizontal="right" vertical="center"/>
    </xf>
    <xf numFmtId="0" fontId="10" fillId="3" borderId="0" xfId="0" applyFont="1" applyFill="1" applyAlignment="1">
      <alignment vertical="center" wrapText="1"/>
    </xf>
    <xf numFmtId="0" fontId="10" fillId="3" borderId="0" xfId="0" applyFont="1" applyFill="1" applyAlignment="1">
      <alignment horizontal="center" vertical="center"/>
    </xf>
    <xf numFmtId="43" fontId="10" fillId="3" borderId="0" xfId="1" applyFont="1" applyFill="1" applyBorder="1" applyAlignment="1">
      <alignment horizontal="center" vertical="center"/>
    </xf>
    <xf numFmtId="0" fontId="3" fillId="3" borderId="0" xfId="0" applyFont="1" applyFill="1" applyAlignment="1">
      <alignment horizontal="right" vertical="center" wrapText="1"/>
    </xf>
    <xf numFmtId="0" fontId="3" fillId="0" borderId="8" xfId="0" applyFont="1" applyBorder="1" applyAlignment="1">
      <alignment horizontal="right" vertical="center"/>
    </xf>
    <xf numFmtId="0" fontId="10" fillId="2" borderId="6" xfId="0" applyFont="1" applyFill="1" applyBorder="1"/>
    <xf numFmtId="0" fontId="10" fillId="2" borderId="6" xfId="0" applyFont="1" applyFill="1" applyBorder="1" applyAlignment="1">
      <alignment horizontal="right" vertical="center"/>
    </xf>
    <xf numFmtId="0" fontId="10" fillId="2" borderId="6" xfId="0" applyFont="1" applyFill="1" applyBorder="1" applyAlignment="1">
      <alignment vertical="center" wrapText="1"/>
    </xf>
    <xf numFmtId="0" fontId="10" fillId="2" borderId="6" xfId="0" applyFont="1" applyFill="1" applyBorder="1" applyAlignment="1">
      <alignment horizontal="center" vertical="center"/>
    </xf>
    <xf numFmtId="43" fontId="10" fillId="2" borderId="6" xfId="1" applyFont="1" applyFill="1" applyBorder="1" applyAlignment="1">
      <alignment horizontal="center" vertical="center"/>
    </xf>
    <xf numFmtId="44" fontId="10" fillId="2" borderId="6" xfId="2" applyFont="1" applyFill="1" applyBorder="1" applyAlignment="1">
      <alignment vertical="center"/>
    </xf>
    <xf numFmtId="0" fontId="10" fillId="0" borderId="0" xfId="0" applyFont="1"/>
    <xf numFmtId="0" fontId="10" fillId="0" borderId="0" xfId="0" applyFont="1" applyAlignment="1">
      <alignment horizontal="right" vertical="center"/>
    </xf>
    <xf numFmtId="0" fontId="10" fillId="0" borderId="0" xfId="0" applyFont="1" applyAlignment="1">
      <alignment vertical="center" wrapText="1"/>
    </xf>
    <xf numFmtId="0" fontId="10" fillId="0" borderId="0" xfId="0" applyFont="1" applyAlignment="1">
      <alignment horizontal="center" vertical="center"/>
    </xf>
    <xf numFmtId="43" fontId="10" fillId="0" borderId="0" xfId="1" applyFont="1" applyFill="1" applyBorder="1" applyAlignment="1">
      <alignment horizontal="center" vertical="center"/>
    </xf>
    <xf numFmtId="44" fontId="10" fillId="0" borderId="0" xfId="2" applyFont="1" applyFill="1" applyBorder="1" applyAlignment="1">
      <alignment vertical="center"/>
    </xf>
    <xf numFmtId="0" fontId="13" fillId="3" borderId="6" xfId="0" applyFont="1" applyFill="1" applyBorder="1" applyAlignment="1">
      <alignment vertical="center" wrapText="1"/>
    </xf>
    <xf numFmtId="0" fontId="13" fillId="3" borderId="6" xfId="0" applyFont="1" applyFill="1" applyBorder="1"/>
    <xf numFmtId="0" fontId="13" fillId="3" borderId="6" xfId="0" applyFont="1" applyFill="1" applyBorder="1" applyAlignment="1">
      <alignment horizontal="right" vertical="center"/>
    </xf>
    <xf numFmtId="0" fontId="16" fillId="0" borderId="0" xfId="0" applyFont="1"/>
    <xf numFmtId="0" fontId="15" fillId="0" borderId="0" xfId="0" applyFont="1"/>
    <xf numFmtId="0" fontId="19" fillId="0" borderId="12" xfId="3" applyFont="1" applyBorder="1" applyAlignment="1">
      <alignment horizontal="left" vertical="center" wrapText="1"/>
    </xf>
    <xf numFmtId="0" fontId="19" fillId="0" borderId="14" xfId="3" applyFont="1" applyBorder="1" applyAlignment="1" applyProtection="1">
      <alignment horizontal="center"/>
      <protection locked="0"/>
    </xf>
    <xf numFmtId="0" fontId="19" fillId="0" borderId="15" xfId="3" applyFont="1" applyBorder="1" applyAlignment="1">
      <alignment horizontal="center"/>
    </xf>
    <xf numFmtId="0" fontId="19" fillId="0" borderId="16" xfId="3" applyFont="1" applyBorder="1" applyAlignment="1">
      <alignment horizontal="left" vertical="center" wrapText="1"/>
    </xf>
    <xf numFmtId="10" fontId="18" fillId="0" borderId="17" xfId="3" applyNumberFormat="1" applyFont="1" applyBorder="1" applyAlignment="1">
      <alignment horizontal="center"/>
    </xf>
    <xf numFmtId="166" fontId="18" fillId="0" borderId="18" xfId="3" applyNumberFormat="1" applyFont="1" applyBorder="1" applyAlignment="1">
      <alignment horizontal="left"/>
    </xf>
    <xf numFmtId="10" fontId="18" fillId="0" borderId="19" xfId="3" applyNumberFormat="1" applyFont="1" applyBorder="1" applyAlignment="1">
      <alignment horizontal="left"/>
    </xf>
    <xf numFmtId="165" fontId="1" fillId="0" borderId="20" xfId="1" applyNumberFormat="1" applyFill="1" applyBorder="1" applyAlignment="1" applyProtection="1">
      <alignment horizontal="right" shrinkToFit="1"/>
    </xf>
    <xf numFmtId="165" fontId="0" fillId="0" borderId="17" xfId="1" applyNumberFormat="1" applyFont="1" applyFill="1" applyBorder="1" applyAlignment="1" applyProtection="1">
      <alignment horizontal="center" vertical="center"/>
    </xf>
    <xf numFmtId="10" fontId="22" fillId="0" borderId="21" xfId="5" applyNumberFormat="1" applyFont="1" applyFill="1" applyBorder="1" applyAlignment="1" applyProtection="1">
      <alignment horizontal="center"/>
    </xf>
    <xf numFmtId="165" fontId="0" fillId="0" borderId="20" xfId="1" applyNumberFormat="1" applyFont="1" applyFill="1" applyBorder="1" applyAlignment="1" applyProtection="1">
      <alignment horizontal="right" shrinkToFit="1"/>
    </xf>
    <xf numFmtId="0" fontId="18" fillId="6" borderId="9" xfId="3" applyFont="1" applyFill="1" applyBorder="1" applyAlignment="1">
      <alignment horizontal="center"/>
    </xf>
    <xf numFmtId="0" fontId="18" fillId="6" borderId="10" xfId="3" applyFont="1" applyFill="1" applyBorder="1"/>
    <xf numFmtId="0" fontId="18" fillId="6" borderId="11" xfId="3" applyFont="1" applyFill="1" applyBorder="1"/>
    <xf numFmtId="164" fontId="0" fillId="6" borderId="11" xfId="4" applyFont="1" applyFill="1" applyBorder="1" applyAlignment="1" applyProtection="1">
      <alignment horizontal="center"/>
    </xf>
    <xf numFmtId="0" fontId="18" fillId="0" borderId="0" xfId="3" applyFont="1" applyAlignment="1">
      <alignment horizontal="center"/>
    </xf>
    <xf numFmtId="0" fontId="18" fillId="7" borderId="17" xfId="3" applyFont="1" applyFill="1" applyBorder="1"/>
    <xf numFmtId="164" fontId="0" fillId="7" borderId="23" xfId="4" applyFont="1" applyFill="1" applyBorder="1" applyAlignment="1" applyProtection="1">
      <alignment horizontal="center"/>
    </xf>
    <xf numFmtId="164" fontId="0" fillId="7" borderId="24" xfId="4" applyFont="1" applyFill="1" applyBorder="1" applyAlignment="1" applyProtection="1">
      <alignment horizontal="right"/>
    </xf>
    <xf numFmtId="0" fontId="18" fillId="7" borderId="25" xfId="3" applyFont="1" applyFill="1" applyBorder="1"/>
    <xf numFmtId="164" fontId="0" fillId="0" borderId="26" xfId="4" applyFont="1" applyFill="1" applyBorder="1" applyAlignment="1" applyProtection="1">
      <alignment horizontal="center"/>
    </xf>
    <xf numFmtId="164" fontId="0" fillId="0" borderId="27" xfId="4" applyFont="1" applyFill="1" applyBorder="1" applyAlignment="1" applyProtection="1">
      <alignment horizontal="right"/>
    </xf>
    <xf numFmtId="43" fontId="1" fillId="0" borderId="28" xfId="1" applyFill="1" applyBorder="1" applyAlignment="1" applyProtection="1">
      <alignment shrinkToFit="1"/>
    </xf>
    <xf numFmtId="0" fontId="19" fillId="0" borderId="0" xfId="3" applyFont="1" applyAlignment="1">
      <alignment horizontal="left"/>
    </xf>
    <xf numFmtId="4" fontId="18" fillId="0" borderId="0" xfId="3" applyNumberFormat="1" applyFont="1"/>
    <xf numFmtId="0" fontId="18" fillId="0" borderId="0" xfId="3" applyFont="1"/>
    <xf numFmtId="0" fontId="18" fillId="7" borderId="25" xfId="3" applyFont="1" applyFill="1" applyBorder="1" applyAlignment="1">
      <alignment horizontal="center"/>
    </xf>
    <xf numFmtId="164" fontId="0" fillId="7" borderId="26" xfId="4" applyFont="1" applyFill="1" applyBorder="1" applyAlignment="1" applyProtection="1">
      <alignment horizontal="center"/>
    </xf>
    <xf numFmtId="164" fontId="0" fillId="7" borderId="27" xfId="4" applyFont="1" applyFill="1" applyBorder="1" applyAlignment="1" applyProtection="1">
      <alignment horizontal="right"/>
    </xf>
    <xf numFmtId="43" fontId="1" fillId="8" borderId="28" xfId="1" applyFill="1" applyBorder="1" applyAlignment="1" applyProtection="1">
      <alignment shrinkToFit="1"/>
    </xf>
    <xf numFmtId="164" fontId="0" fillId="0" borderId="18" xfId="4" applyFont="1" applyFill="1" applyBorder="1" applyAlignment="1" applyProtection="1">
      <alignment horizontal="center"/>
    </xf>
    <xf numFmtId="164" fontId="0" fillId="0" borderId="20" xfId="4" applyFont="1" applyFill="1" applyBorder="1" applyAlignment="1" applyProtection="1">
      <alignment horizontal="right"/>
    </xf>
    <xf numFmtId="11" fontId="18" fillId="0" borderId="0" xfId="3" applyNumberFormat="1" applyFont="1" applyAlignment="1">
      <alignment horizontal="center"/>
    </xf>
    <xf numFmtId="0" fontId="18" fillId="7" borderId="29" xfId="3" applyFont="1" applyFill="1" applyBorder="1"/>
    <xf numFmtId="164" fontId="21" fillId="7" borderId="30" xfId="4" applyFont="1" applyFill="1" applyBorder="1" applyAlignment="1" applyProtection="1">
      <alignment horizontal="center"/>
    </xf>
    <xf numFmtId="164" fontId="21" fillId="7" borderId="31" xfId="4" applyFont="1" applyFill="1" applyBorder="1" applyAlignment="1" applyProtection="1">
      <alignment horizontal="right"/>
    </xf>
    <xf numFmtId="43" fontId="1" fillId="0" borderId="32" xfId="1" applyFill="1" applyBorder="1" applyAlignment="1" applyProtection="1">
      <alignment shrinkToFit="1"/>
    </xf>
    <xf numFmtId="0" fontId="0" fillId="0" borderId="0" xfId="0" applyAlignment="1">
      <alignment vertical="top"/>
    </xf>
    <xf numFmtId="164" fontId="21" fillId="7" borderId="33" xfId="4" applyFont="1" applyFill="1" applyBorder="1" applyAlignment="1" applyProtection="1">
      <alignment horizontal="right"/>
    </xf>
    <xf numFmtId="43" fontId="21" fillId="8" borderId="34" xfId="1" applyFont="1" applyFill="1" applyBorder="1" applyAlignment="1" applyProtection="1">
      <alignment shrinkToFit="1"/>
    </xf>
    <xf numFmtId="164" fontId="0" fillId="0" borderId="38" xfId="4" applyFont="1" applyFill="1" applyBorder="1" applyAlignment="1" applyProtection="1">
      <alignment horizontal="center"/>
    </xf>
    <xf numFmtId="164" fontId="20" fillId="0" borderId="39" xfId="4" applyFill="1" applyBorder="1" applyAlignment="1" applyProtection="1">
      <alignment horizontal="right"/>
    </xf>
    <xf numFmtId="10" fontId="20" fillId="0" borderId="40" xfId="5" applyNumberFormat="1" applyFill="1" applyBorder="1" applyAlignment="1" applyProtection="1">
      <alignment shrinkToFit="1"/>
    </xf>
    <xf numFmtId="10" fontId="27" fillId="10" borderId="41" xfId="6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6" applyFont="1"/>
    <xf numFmtId="0" fontId="21" fillId="0" borderId="0" xfId="6" applyFont="1" applyAlignment="1">
      <alignment horizontal="center"/>
    </xf>
    <xf numFmtId="0" fontId="28" fillId="0" borderId="0" xfId="6" applyFont="1" applyAlignment="1">
      <alignment horizontal="center"/>
    </xf>
    <xf numFmtId="0" fontId="21" fillId="0" borderId="41" xfId="6" applyFont="1" applyBorder="1" applyAlignment="1">
      <alignment horizontal="center"/>
    </xf>
    <xf numFmtId="10" fontId="29" fillId="0" borderId="41" xfId="6" applyNumberFormat="1" applyFont="1" applyBorder="1" applyAlignment="1">
      <alignment horizontal="center"/>
    </xf>
    <xf numFmtId="0" fontId="21" fillId="0" borderId="0" xfId="6" applyFont="1"/>
    <xf numFmtId="0" fontId="21" fillId="0" borderId="41" xfId="6" applyFont="1" applyBorder="1" applyAlignment="1">
      <alignment horizontal="center" vertical="center" wrapText="1"/>
    </xf>
    <xf numFmtId="0" fontId="32" fillId="0" borderId="0" xfId="0" applyFont="1"/>
    <xf numFmtId="0" fontId="33" fillId="0" borderId="0" xfId="0" applyFont="1"/>
    <xf numFmtId="1" fontId="34" fillId="0" borderId="0" xfId="0" applyNumberFormat="1" applyFont="1" applyAlignment="1">
      <alignment horizontal="center" vertical="center"/>
    </xf>
    <xf numFmtId="0" fontId="30" fillId="0" borderId="0" xfId="6" applyFont="1" applyAlignment="1">
      <alignment horizontal="left"/>
    </xf>
    <xf numFmtId="0" fontId="35" fillId="0" borderId="0" xfId="0" applyFont="1"/>
    <xf numFmtId="0" fontId="36" fillId="0" borderId="0" xfId="0" applyFont="1"/>
    <xf numFmtId="0" fontId="27" fillId="0" borderId="41" xfId="6" applyFont="1" applyBorder="1" applyAlignment="1">
      <alignment horizontal="center" vertical="center"/>
    </xf>
    <xf numFmtId="0" fontId="35" fillId="0" borderId="0" xfId="0" applyFont="1" applyAlignment="1">
      <alignment vertical="center"/>
    </xf>
    <xf numFmtId="10" fontId="27" fillId="0" borderId="41" xfId="6" applyNumberFormat="1" applyFont="1" applyBorder="1" applyAlignment="1">
      <alignment horizontal="center" vertical="center"/>
    </xf>
    <xf numFmtId="10" fontId="27" fillId="0" borderId="41" xfId="6" applyNumberFormat="1" applyFont="1" applyBorder="1" applyAlignment="1">
      <alignment horizontal="center" vertical="center" wrapText="1"/>
    </xf>
    <xf numFmtId="0" fontId="27" fillId="0" borderId="41" xfId="6" applyFont="1" applyBorder="1" applyAlignment="1">
      <alignment horizontal="center" vertical="center" wrapText="1"/>
    </xf>
    <xf numFmtId="0" fontId="27" fillId="7" borderId="41" xfId="6" applyFont="1" applyFill="1" applyBorder="1" applyAlignment="1">
      <alignment horizontal="center" vertical="center" wrapText="1"/>
    </xf>
    <xf numFmtId="10" fontId="37" fillId="7" borderId="41" xfId="6" applyNumberFormat="1" applyFont="1" applyFill="1" applyBorder="1" applyAlignment="1">
      <alignment horizontal="center" vertical="center"/>
    </xf>
    <xf numFmtId="0" fontId="38" fillId="0" borderId="0" xfId="6" applyFont="1" applyAlignment="1">
      <alignment horizontal="right" vertical="center"/>
    </xf>
    <xf numFmtId="0" fontId="0" fillId="0" borderId="0" xfId="6" applyFont="1" applyAlignment="1">
      <alignment horizontal="center" vertical="top"/>
    </xf>
    <xf numFmtId="0" fontId="42" fillId="0" borderId="0" xfId="6" applyFont="1" applyAlignment="1">
      <alignment horizontal="center" vertical="top"/>
    </xf>
    <xf numFmtId="170" fontId="0" fillId="0" borderId="0" xfId="6" applyNumberFormat="1" applyFont="1"/>
    <xf numFmtId="0" fontId="21" fillId="0" borderId="12" xfId="6" applyFont="1" applyBorder="1" applyAlignment="1">
      <alignment horizontal="left"/>
    </xf>
    <xf numFmtId="0" fontId="0" fillId="0" borderId="12" xfId="6" applyFont="1" applyBorder="1"/>
    <xf numFmtId="0" fontId="27" fillId="0" borderId="0" xfId="6" applyFont="1"/>
    <xf numFmtId="0" fontId="21" fillId="0" borderId="0" xfId="10" applyFont="1" applyAlignment="1">
      <alignment horizontal="left" vertical="top"/>
    </xf>
    <xf numFmtId="0" fontId="0" fillId="0" borderId="0" xfId="6" applyFont="1" applyAlignment="1">
      <alignment vertical="top"/>
    </xf>
    <xf numFmtId="168" fontId="0" fillId="0" borderId="0" xfId="6" applyNumberFormat="1" applyFont="1"/>
    <xf numFmtId="168" fontId="0" fillId="0" borderId="0" xfId="6" applyNumberFormat="1" applyFont="1" applyAlignment="1">
      <alignment vertical="top"/>
    </xf>
    <xf numFmtId="0" fontId="40" fillId="0" borderId="0" xfId="0" applyFont="1" applyAlignment="1">
      <alignment horizontal="right" vertical="center"/>
    </xf>
    <xf numFmtId="0" fontId="40" fillId="0" borderId="0" xfId="0" applyFont="1" applyAlignment="1">
      <alignment horizontal="center" vertical="top"/>
    </xf>
    <xf numFmtId="0" fontId="40" fillId="0" borderId="0" xfId="0" applyFont="1" applyAlignment="1">
      <alignment horizontal="left" vertical="center"/>
    </xf>
    <xf numFmtId="0" fontId="45" fillId="0" borderId="0" xfId="6" applyFont="1"/>
    <xf numFmtId="0" fontId="34" fillId="0" borderId="0" xfId="0" applyFont="1" applyAlignment="1">
      <alignment wrapText="1"/>
    </xf>
    <xf numFmtId="0" fontId="13" fillId="0" borderId="0" xfId="0" applyFont="1" applyAlignment="1">
      <alignment wrapText="1"/>
    </xf>
    <xf numFmtId="0" fontId="19" fillId="0" borderId="12" xfId="3" applyFont="1" applyBorder="1" applyAlignment="1">
      <alignment horizontal="center"/>
    </xf>
    <xf numFmtId="10" fontId="22" fillId="0" borderId="0" xfId="5" applyNumberFormat="1" applyFont="1" applyFill="1" applyBorder="1" applyAlignment="1" applyProtection="1">
      <alignment horizontal="center"/>
    </xf>
    <xf numFmtId="0" fontId="18" fillId="6" borderId="0" xfId="3" applyFont="1" applyFill="1" applyBorder="1"/>
    <xf numFmtId="43" fontId="0" fillId="8" borderId="28" xfId="1" applyFont="1" applyFill="1" applyBorder="1" applyAlignment="1" applyProtection="1">
      <alignment shrinkToFit="1"/>
    </xf>
    <xf numFmtId="171" fontId="3" fillId="3" borderId="6" xfId="2" applyNumberFormat="1" applyFont="1" applyFill="1" applyBorder="1" applyAlignment="1">
      <alignment vertical="center"/>
    </xf>
    <xf numFmtId="171" fontId="9" fillId="5" borderId="0" xfId="2" applyNumberFormat="1" applyFont="1" applyFill="1" applyBorder="1" applyAlignment="1">
      <alignment vertical="center"/>
    </xf>
    <xf numFmtId="171" fontId="9" fillId="4" borderId="0" xfId="2" applyNumberFormat="1" applyFont="1" applyFill="1" applyBorder="1" applyAlignment="1">
      <alignment vertical="center"/>
    </xf>
    <xf numFmtId="171" fontId="9" fillId="4" borderId="2" xfId="2" applyNumberFormat="1" applyFont="1" applyFill="1" applyBorder="1" applyAlignment="1">
      <alignment vertical="center"/>
    </xf>
    <xf numFmtId="171" fontId="10" fillId="3" borderId="6" xfId="2" applyNumberFormat="1" applyFont="1" applyFill="1" applyBorder="1" applyAlignment="1">
      <alignment vertical="center"/>
    </xf>
    <xf numFmtId="171" fontId="3" fillId="3" borderId="0" xfId="2" applyNumberFormat="1" applyFont="1" applyFill="1" applyBorder="1" applyAlignment="1">
      <alignment vertical="center"/>
    </xf>
    <xf numFmtId="171" fontId="3" fillId="3" borderId="8" xfId="2" applyNumberFormat="1" applyFont="1" applyFill="1" applyBorder="1" applyAlignment="1">
      <alignment vertical="center"/>
    </xf>
    <xf numFmtId="171" fontId="11" fillId="3" borderId="6" xfId="2" applyNumberFormat="1" applyFont="1" applyFill="1" applyBorder="1" applyAlignment="1">
      <alignment vertical="center"/>
    </xf>
    <xf numFmtId="171" fontId="10" fillId="3" borderId="2" xfId="2" applyNumberFormat="1" applyFont="1" applyFill="1" applyBorder="1" applyAlignment="1">
      <alignment vertical="center"/>
    </xf>
    <xf numFmtId="171" fontId="14" fillId="4" borderId="0" xfId="2" applyNumberFormat="1" applyFont="1" applyFill="1" applyBorder="1" applyAlignment="1">
      <alignment vertical="center"/>
    </xf>
    <xf numFmtId="171" fontId="3" fillId="3" borderId="8" xfId="1" applyNumberFormat="1" applyFont="1" applyFill="1" applyBorder="1" applyAlignment="1">
      <alignment horizontal="center" vertical="center"/>
    </xf>
    <xf numFmtId="171" fontId="10" fillId="3" borderId="0" xfId="2" applyNumberFormat="1" applyFont="1" applyFill="1" applyBorder="1" applyAlignment="1">
      <alignment vertical="center"/>
    </xf>
    <xf numFmtId="0" fontId="3" fillId="3" borderId="0" xfId="0" applyFont="1" applyFill="1" applyAlignment="1">
      <alignment horizontal="left" wrapText="1"/>
    </xf>
    <xf numFmtId="164" fontId="21" fillId="0" borderId="13" xfId="4" applyFont="1" applyFill="1" applyBorder="1" applyAlignment="1" applyProtection="1">
      <alignment horizontal="center" vertical="center" wrapText="1"/>
    </xf>
    <xf numFmtId="165" fontId="21" fillId="0" borderId="9" xfId="1" applyNumberFormat="1" applyFont="1" applyFill="1" applyBorder="1" applyAlignment="1" applyProtection="1">
      <alignment horizontal="center" vertical="center"/>
    </xf>
    <xf numFmtId="0" fontId="23" fillId="0" borderId="22" xfId="3" applyFont="1" applyBorder="1" applyAlignment="1">
      <alignment horizontal="left" vertical="top"/>
    </xf>
    <xf numFmtId="0" fontId="0" fillId="9" borderId="35" xfId="0" applyFill="1" applyBorder="1" applyAlignment="1" applyProtection="1">
      <alignment horizontal="left" vertical="center"/>
      <protection locked="0"/>
    </xf>
    <xf numFmtId="0" fontId="0" fillId="9" borderId="36" xfId="0" applyFill="1" applyBorder="1" applyAlignment="1" applyProtection="1">
      <alignment horizontal="left" vertical="center"/>
      <protection locked="0"/>
    </xf>
    <xf numFmtId="0" fontId="0" fillId="9" borderId="37" xfId="0" applyFill="1" applyBorder="1" applyAlignment="1" applyProtection="1">
      <alignment horizontal="left" vertical="center"/>
      <protection locked="0"/>
    </xf>
    <xf numFmtId="0" fontId="18" fillId="0" borderId="9" xfId="3" applyFont="1" applyBorder="1" applyAlignment="1">
      <alignment horizontal="center" wrapText="1"/>
    </xf>
    <xf numFmtId="0" fontId="19" fillId="0" borderId="10" xfId="3" applyFont="1" applyBorder="1" applyAlignment="1">
      <alignment horizontal="center" vertical="center" wrapText="1"/>
    </xf>
    <xf numFmtId="0" fontId="19" fillId="0" borderId="11" xfId="3" applyFont="1" applyBorder="1" applyAlignment="1">
      <alignment horizontal="left" vertical="center" wrapText="1"/>
    </xf>
    <xf numFmtId="0" fontId="31" fillId="0" borderId="0" xfId="0" applyFont="1" applyAlignment="1">
      <alignment horizontal="center" textRotation="90"/>
    </xf>
    <xf numFmtId="0" fontId="21" fillId="0" borderId="25" xfId="10" applyFont="1" applyBorder="1" applyAlignment="1">
      <alignment horizontal="left" vertical="top"/>
    </xf>
    <xf numFmtId="0" fontId="30" fillId="0" borderId="29" xfId="9" applyNumberFormat="1" applyFont="1" applyFill="1" applyBorder="1" applyAlignment="1" applyProtection="1">
      <alignment horizontal="left" wrapText="1"/>
    </xf>
    <xf numFmtId="0" fontId="30" fillId="0" borderId="41" xfId="6" applyFont="1" applyBorder="1" applyAlignment="1">
      <alignment horizontal="left" wrapText="1"/>
    </xf>
    <xf numFmtId="10" fontId="30" fillId="10" borderId="41" xfId="6" applyNumberFormat="1" applyFont="1" applyFill="1" applyBorder="1" applyAlignment="1" applyProtection="1">
      <alignment horizontal="center"/>
      <protection locked="0"/>
    </xf>
    <xf numFmtId="0" fontId="30" fillId="0" borderId="41" xfId="6" applyFont="1" applyBorder="1" applyAlignment="1">
      <alignment horizontal="left"/>
    </xf>
    <xf numFmtId="0" fontId="0" fillId="0" borderId="25" xfId="0" applyBorder="1" applyAlignment="1">
      <alignment horizontal="center"/>
    </xf>
    <xf numFmtId="0" fontId="21" fillId="0" borderId="29" xfId="0" applyFont="1" applyBorder="1" applyAlignment="1">
      <alignment horizontal="center"/>
    </xf>
    <xf numFmtId="0" fontId="0" fillId="0" borderId="29" xfId="6" applyFont="1" applyBorder="1" applyAlignment="1">
      <alignment horizontal="left" vertical="top" wrapText="1"/>
    </xf>
    <xf numFmtId="0" fontId="21" fillId="0" borderId="41" xfId="6" applyFont="1" applyBorder="1" applyAlignment="1">
      <alignment horizontal="center" vertical="center"/>
    </xf>
    <xf numFmtId="0" fontId="0" fillId="0" borderId="41" xfId="6" applyFont="1" applyBorder="1" applyAlignment="1">
      <alignment horizontal="center" vertical="center" wrapText="1"/>
    </xf>
    <xf numFmtId="4" fontId="27" fillId="0" borderId="41" xfId="6" applyNumberFormat="1" applyFont="1" applyBorder="1" applyAlignment="1">
      <alignment horizontal="center" vertical="center"/>
    </xf>
    <xf numFmtId="0" fontId="28" fillId="0" borderId="41" xfId="6" applyFont="1" applyBorder="1" applyAlignment="1">
      <alignment horizontal="center"/>
    </xf>
    <xf numFmtId="167" fontId="30" fillId="9" borderId="29" xfId="9" applyFont="1" applyFill="1" applyBorder="1" applyAlignment="1" applyProtection="1">
      <alignment horizontal="left"/>
      <protection locked="0"/>
    </xf>
    <xf numFmtId="0" fontId="37" fillId="0" borderId="41" xfId="6" applyFont="1" applyBorder="1" applyAlignment="1">
      <alignment horizontal="center" vertical="center"/>
    </xf>
    <xf numFmtId="4" fontId="37" fillId="0" borderId="41" xfId="6" applyNumberFormat="1" applyFont="1" applyBorder="1" applyAlignment="1">
      <alignment horizontal="center" vertical="center" wrapText="1"/>
    </xf>
    <xf numFmtId="0" fontId="27" fillId="7" borderId="41" xfId="6" applyFont="1" applyFill="1" applyBorder="1" applyAlignment="1">
      <alignment horizontal="center" vertical="center" wrapText="1"/>
    </xf>
    <xf numFmtId="0" fontId="39" fillId="0" borderId="0" xfId="6" applyFont="1" applyAlignment="1">
      <alignment horizontal="left" vertical="center" indent="1"/>
    </xf>
    <xf numFmtId="0" fontId="30" fillId="0" borderId="41" xfId="6" applyFont="1" applyBorder="1" applyAlignment="1">
      <alignment horizontal="left" vertical="center" wrapText="1"/>
    </xf>
    <xf numFmtId="49" fontId="0" fillId="10" borderId="41" xfId="6" applyNumberFormat="1" applyFont="1" applyFill="1" applyBorder="1" applyAlignment="1" applyProtection="1">
      <alignment horizontal="left" vertical="top" wrapText="1"/>
      <protection locked="0"/>
    </xf>
    <xf numFmtId="168" fontId="0" fillId="0" borderId="16" xfId="6" applyNumberFormat="1" applyFont="1" applyBorder="1" applyAlignment="1">
      <alignment horizontal="left"/>
    </xf>
    <xf numFmtId="169" fontId="0" fillId="0" borderId="16" xfId="6" applyNumberFormat="1" applyFont="1" applyBorder="1" applyAlignment="1">
      <alignment horizontal="left"/>
    </xf>
    <xf numFmtId="0" fontId="21" fillId="0" borderId="0" xfId="6" applyFont="1" applyAlignment="1">
      <alignment horizontal="left" vertical="center"/>
    </xf>
    <xf numFmtId="0" fontId="37" fillId="0" borderId="0" xfId="6" applyFont="1" applyAlignment="1">
      <alignment horizontal="left" vertical="center"/>
    </xf>
    <xf numFmtId="0" fontId="0" fillId="0" borderId="0" xfId="6" applyFont="1" applyAlignment="1">
      <alignment horizontal="center" vertical="center"/>
    </xf>
    <xf numFmtId="0" fontId="40" fillId="0" borderId="0" xfId="0" applyFont="1" applyAlignment="1">
      <alignment horizontal="right" vertical="center"/>
    </xf>
    <xf numFmtId="0" fontId="41" fillId="0" borderId="0" xfId="0" applyFont="1" applyAlignment="1">
      <alignment horizontal="center"/>
    </xf>
    <xf numFmtId="0" fontId="40" fillId="0" borderId="0" xfId="0" applyFont="1" applyAlignment="1">
      <alignment horizontal="left" vertical="center"/>
    </xf>
    <xf numFmtId="0" fontId="40" fillId="0" borderId="0" xfId="0" applyFont="1" applyAlignment="1">
      <alignment horizontal="center" vertical="top"/>
    </xf>
    <xf numFmtId="0" fontId="0" fillId="0" borderId="12" xfId="6" applyFont="1" applyBorder="1" applyAlignment="1">
      <alignment horizontal="left" vertical="center"/>
    </xf>
  </cellXfs>
  <cellStyles count="11">
    <cellStyle name="Moeda" xfId="2" builtinId="4"/>
    <cellStyle name="Moeda_Composicao BDI v2.1" xfId="9"/>
    <cellStyle name="Normal" xfId="0" builtinId="0"/>
    <cellStyle name="Normal 2 2 10" xfId="6"/>
    <cellStyle name="Normal 3" xfId="3"/>
    <cellStyle name="Normal 3 3 2" xfId="7"/>
    <cellStyle name="Normal 66" xfId="8"/>
    <cellStyle name="Normal_FICHA DE VERIFICAÇÃO PRELIMINAR - Plano R" xfId="10"/>
    <cellStyle name="Porcentagem 2" xfId="5"/>
    <cellStyle name="Vírgula" xfId="1" builtinId="3"/>
    <cellStyle name="Vírgula 2" xfId="4"/>
  </cellStyles>
  <dxfs count="48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ndense val="0"/>
        <extend val="0"/>
      </font>
    </dxf>
    <dxf>
      <font>
        <b val="0"/>
        <condense val="0"/>
        <extend val="0"/>
        <color indexed="17"/>
      </font>
      <border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</border>
    </dxf>
    <dxf>
      <font>
        <b val="0"/>
        <condense val="0"/>
        <extend val="0"/>
        <color indexed="10"/>
      </font>
      <border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</border>
    </dxf>
    <dxf>
      <font>
        <b/>
        <i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 style="thin">
          <color indexed="64"/>
        </top>
        <bottom/>
      </border>
    </dxf>
    <dxf>
      <font>
        <color rgb="FFC0C0C0"/>
      </font>
    </dxf>
    <dxf>
      <font>
        <b val="0"/>
        <condense val="0"/>
        <extend val="0"/>
        <color indexed="9"/>
      </font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b/>
        <i val="0"/>
        <color rgb="FFFF0000"/>
      </font>
    </dxf>
    <dxf>
      <font>
        <b val="0"/>
        <condense val="0"/>
        <extend val="0"/>
        <color indexed="9"/>
      </font>
    </dxf>
    <dxf>
      <font>
        <color rgb="FFC0C0C0"/>
      </font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ont>
        <b/>
        <i val="0"/>
        <color rgb="FFFF0000"/>
      </font>
    </dxf>
    <dxf>
      <font>
        <b val="0"/>
        <condense val="0"/>
        <extend val="0"/>
        <color indexed="9"/>
      </font>
    </dxf>
    <dxf>
      <font>
        <color rgb="FFC0C0C0"/>
      </font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ill>
        <patternFill patternType="solid">
          <fgColor indexed="26"/>
          <bgColor indexed="43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b/>
        <i val="0"/>
        <color auto="1"/>
      </font>
      <fill>
        <patternFill>
          <bgColor rgb="FFFF0000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5" Type="http://schemas.openxmlformats.org/officeDocument/2006/relationships/externalLink" Target="externalLinks/externalLink2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OR&#199;AMENTO!M13"/><Relationship Id="rId2" Type="http://schemas.openxmlformats.org/officeDocument/2006/relationships/hyperlink" Target="#Menu!E6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211455</xdr:colOff>
      <xdr:row>0</xdr:row>
      <xdr:rowOff>62865</xdr:rowOff>
    </xdr:from>
    <xdr:to>
      <xdr:col>11</xdr:col>
      <xdr:colOff>584835</xdr:colOff>
      <xdr:row>2</xdr:row>
      <xdr:rowOff>85725</xdr:rowOff>
    </xdr:to>
    <xdr:pic>
      <xdr:nvPicPr>
        <xdr:cNvPr id="2" name="Logo1">
          <a:extLst>
            <a:ext uri="{FF2B5EF4-FFF2-40B4-BE49-F238E27FC236}">
              <a16:creationId xmlns="" xmlns:a16="http://schemas.microsoft.com/office/drawing/2014/main" id="{00000000-0008-0000-0300-0000F0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4430" y="62865"/>
          <a:ext cx="1783080" cy="41338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7</xdr:col>
      <xdr:colOff>176741</xdr:colOff>
      <xdr:row>0</xdr:row>
      <xdr:rowOff>50923</xdr:rowOff>
    </xdr:from>
    <xdr:to>
      <xdr:col>8</xdr:col>
      <xdr:colOff>28575</xdr:colOff>
      <xdr:row>1</xdr:row>
      <xdr:rowOff>152400</xdr:rowOff>
    </xdr:to>
    <xdr:sp macro="" textlink="">
      <xdr:nvSpPr>
        <xdr:cNvPr id="3" name="AutoShape 67">
          <a:hlinkClick xmlns:r="http://schemas.openxmlformats.org/officeDocument/2006/relationships" r:id="rId2"/>
          <a:extLst>
            <a:ext uri="{FF2B5EF4-FFF2-40B4-BE49-F238E27FC236}">
              <a16:creationId xmlns="" xmlns:a16="http://schemas.microsoft.com/office/drawing/2014/main" id="{00000000-0008-0000-0300-000002100000}"/>
            </a:ext>
          </a:extLst>
        </xdr:cNvPr>
        <xdr:cNvSpPr>
          <a:spLocks noChangeArrowheads="1"/>
        </xdr:cNvSpPr>
      </xdr:nvSpPr>
      <xdr:spPr bwMode="auto">
        <a:xfrm>
          <a:off x="176741" y="50923"/>
          <a:ext cx="556684" cy="301502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MENU</a:t>
          </a:r>
        </a:p>
      </xdr:txBody>
    </xdr:sp>
    <xdr:clientData fPrintsWithSheet="0"/>
  </xdr:twoCellAnchor>
  <xdr:twoCellAnchor>
    <xdr:from>
      <xdr:col>7</xdr:col>
      <xdr:colOff>176741</xdr:colOff>
      <xdr:row>2</xdr:row>
      <xdr:rowOff>14817</xdr:rowOff>
    </xdr:from>
    <xdr:to>
      <xdr:col>8</xdr:col>
      <xdr:colOff>28575</xdr:colOff>
      <xdr:row>4</xdr:row>
      <xdr:rowOff>0</xdr:rowOff>
    </xdr:to>
    <xdr:sp macro="" textlink="">
      <xdr:nvSpPr>
        <xdr:cNvPr id="4" name="AutoShape 67">
          <a:hlinkClick xmlns:r="http://schemas.openxmlformats.org/officeDocument/2006/relationships" r:id="rId3"/>
          <a:extLst>
            <a:ext uri="{FF2B5EF4-FFF2-40B4-BE49-F238E27FC236}">
              <a16:creationId xmlns="" xmlns:a16="http://schemas.microsoft.com/office/drawing/2014/main" id="{00000000-0008-0000-0300-000005000000}"/>
            </a:ext>
          </a:extLst>
        </xdr:cNvPr>
        <xdr:cNvSpPr>
          <a:spLocks noChangeArrowheads="1"/>
        </xdr:cNvSpPr>
      </xdr:nvSpPr>
      <xdr:spPr bwMode="auto">
        <a:xfrm>
          <a:off x="176741" y="376767"/>
          <a:ext cx="556684" cy="309033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 pitchFamily="34" charset="0"/>
            </a:rPr>
            <a:t>PO</a:t>
          </a:r>
          <a:endParaRPr lang="pt-BR" sz="1100" b="1" i="0" u="none" strike="noStrike" baseline="0">
            <a:solidFill>
              <a:srgbClr val="000000"/>
            </a:solidFill>
            <a:latin typeface="Calibri"/>
          </a:endParaRPr>
        </a:p>
      </xdr:txBody>
    </xdr:sp>
    <xdr:clientData fPrintsWithSheet="0"/>
  </xdr:twoCellAnchor>
  <xdr:twoCellAnchor>
    <xdr:from>
      <xdr:col>7</xdr:col>
      <xdr:colOff>148166</xdr:colOff>
      <xdr:row>6</xdr:row>
      <xdr:rowOff>0</xdr:rowOff>
    </xdr:from>
    <xdr:to>
      <xdr:col>8</xdr:col>
      <xdr:colOff>0</xdr:colOff>
      <xdr:row>6</xdr:row>
      <xdr:rowOff>270000</xdr:rowOff>
    </xdr:to>
    <xdr:sp macro="[1]!IrPara_BDI_1" textlink="">
      <xdr:nvSpPr>
        <xdr:cNvPr id="5" name="AutoShape 67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SpPr>
          <a:spLocks noChangeArrowheads="1"/>
        </xdr:cNvSpPr>
      </xdr:nvSpPr>
      <xdr:spPr bwMode="auto">
        <a:xfrm>
          <a:off x="148166" y="1009650"/>
          <a:ext cx="556684" cy="27000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 pitchFamily="34" charset="0"/>
            </a:rPr>
            <a:t>BDI 1</a:t>
          </a:r>
          <a:endParaRPr lang="pt-BR" sz="1100" b="1" i="0" u="none" strike="noStrike" baseline="0">
            <a:solidFill>
              <a:srgbClr val="000000"/>
            </a:solidFill>
            <a:latin typeface="Calibri"/>
          </a:endParaRPr>
        </a:p>
      </xdr:txBody>
    </xdr:sp>
    <xdr:clientData fPrintsWithSheet="0"/>
  </xdr:twoCellAnchor>
  <xdr:twoCellAnchor>
    <xdr:from>
      <xdr:col>7</xdr:col>
      <xdr:colOff>148166</xdr:colOff>
      <xdr:row>7</xdr:row>
      <xdr:rowOff>0</xdr:rowOff>
    </xdr:from>
    <xdr:to>
      <xdr:col>8</xdr:col>
      <xdr:colOff>0</xdr:colOff>
      <xdr:row>8</xdr:row>
      <xdr:rowOff>108075</xdr:rowOff>
    </xdr:to>
    <xdr:sp macro="[1]!IrPara_BDI_2" textlink="">
      <xdr:nvSpPr>
        <xdr:cNvPr id="6" name="AutoShape 67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SpPr>
          <a:spLocks noChangeArrowheads="1"/>
        </xdr:cNvSpPr>
      </xdr:nvSpPr>
      <xdr:spPr bwMode="auto">
        <a:xfrm>
          <a:off x="148166" y="1333500"/>
          <a:ext cx="556684" cy="30810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 pitchFamily="34" charset="0"/>
            </a:rPr>
            <a:t>BDI 2</a:t>
          </a:r>
          <a:endParaRPr lang="pt-BR" sz="1100" b="1" i="0" u="none" strike="noStrike" baseline="0">
            <a:solidFill>
              <a:srgbClr val="000000"/>
            </a:solidFill>
            <a:latin typeface="Calibri"/>
          </a:endParaRPr>
        </a:p>
      </xdr:txBody>
    </xdr:sp>
    <xdr:clientData fPrintsWithSheet="0"/>
  </xdr:twoCellAnchor>
  <xdr:twoCellAnchor>
    <xdr:from>
      <xdr:col>7</xdr:col>
      <xdr:colOff>148166</xdr:colOff>
      <xdr:row>8</xdr:row>
      <xdr:rowOff>158625</xdr:rowOff>
    </xdr:from>
    <xdr:to>
      <xdr:col>8</xdr:col>
      <xdr:colOff>0</xdr:colOff>
      <xdr:row>10</xdr:row>
      <xdr:rowOff>104775</xdr:rowOff>
    </xdr:to>
    <xdr:sp macro="[1]!IrPara_BDI_3" textlink="">
      <xdr:nvSpPr>
        <xdr:cNvPr id="7" name="AutoShape 67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SpPr>
          <a:spLocks noChangeArrowheads="1"/>
        </xdr:cNvSpPr>
      </xdr:nvSpPr>
      <xdr:spPr bwMode="auto">
        <a:xfrm>
          <a:off x="148166" y="1692150"/>
          <a:ext cx="556684" cy="27000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 pitchFamily="34" charset="0"/>
            </a:rPr>
            <a:t>BDI 3</a:t>
          </a:r>
          <a:endParaRPr lang="pt-BR" sz="1100" b="1" i="0" u="none" strike="noStrike" baseline="0">
            <a:solidFill>
              <a:srgbClr val="000000"/>
            </a:solidFill>
            <a:latin typeface="Calibri"/>
          </a:endParaRP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OMPOSI&#199;&#195;O%20BDI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ENGENH~1\AppData\Local\Temp\Rar$DIa3924.49710\DB2025-09_FNHIS_SUB50_Or&#231;amento_CD_RAD_110V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ENGENHARIA%2001\OneDrive\Desktop\CONSTRU&#199;&#195;O%20DE%2020%20CASAS%20POPULARES-OneDrive_1_20-08-2025\PEDRO%20PLANILHAS\Planilha_Multipla_v3_1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VO"/>
      <sheetName val="MENU"/>
      <sheetName val="DADOS"/>
      <sheetName val="BDI"/>
      <sheetName val="ORÇAMENTO"/>
      <sheetName val="EVENTOS"/>
      <sheetName val="CÁLCULO"/>
      <sheetName val="CRONOPLE"/>
      <sheetName val="CRONO"/>
      <sheetName val="QCI"/>
      <sheetName val="PLE"/>
      <sheetName val="BM"/>
      <sheetName val="RRE"/>
      <sheetName val="OFÍCIO"/>
      <sheetName val="PO-PLE"/>
      <sheetName val="CFF-PLE"/>
      <sheetName val="PO-BM"/>
      <sheetName val="CFF-BM"/>
      <sheetName val="COMPOSIÇÃO BDI"/>
    </sheetNames>
    <definedNames>
      <definedName name="IrPara_BDI_1"/>
      <definedName name="IrPara_BDI_2"/>
      <definedName name="IrPara_BDI_3"/>
    </definedNames>
    <sheetDataSet>
      <sheetData sheetId="0"/>
      <sheetData sheetId="1"/>
      <sheetData sheetId="2">
        <row r="5">
          <cell r="C5">
            <v>0</v>
          </cell>
        </row>
        <row r="6">
          <cell r="C6" t="str">
            <v>CAPETINGA</v>
          </cell>
        </row>
        <row r="7">
          <cell r="C7">
            <v>0</v>
          </cell>
        </row>
        <row r="8">
          <cell r="C8" t="str">
            <v>39766/2025</v>
          </cell>
        </row>
        <row r="16">
          <cell r="C16" t="str">
            <v>CONSTRUÇÃO DE 20 UNIDADES HABITACIONAIS MCMV</v>
          </cell>
        </row>
        <row r="17">
          <cell r="C17">
            <v>0</v>
          </cell>
        </row>
        <row r="18">
          <cell r="C18" t="str">
            <v>DESONERADO</v>
          </cell>
          <cell r="D18" t="str">
            <v/>
          </cell>
        </row>
        <row r="19">
          <cell r="D19" t="str">
            <v/>
          </cell>
        </row>
        <row r="22">
          <cell r="C22" t="str">
            <v>LUCAS CUSTODIO DE LIMA CAMPOS</v>
          </cell>
        </row>
        <row r="23">
          <cell r="C23" t="str">
            <v>2415/47</v>
          </cell>
        </row>
        <row r="24">
          <cell r="C24">
            <v>0</v>
          </cell>
        </row>
        <row r="25">
          <cell r="C25">
            <v>46080</v>
          </cell>
        </row>
      </sheetData>
      <sheetData sheetId="3">
        <row r="138">
          <cell r="A138" t="str">
            <v>(SELECIONAR)</v>
          </cell>
        </row>
        <row r="139">
          <cell r="A139" t="str">
            <v>Construção e Reforma de Edifícios</v>
          </cell>
        </row>
        <row r="140">
          <cell r="A140" t="str">
            <v>Construção de Praças Urbanas, Rodovias, Ferrovias e recapeamento e pavimentação de vias urbanas</v>
          </cell>
        </row>
        <row r="141">
          <cell r="A141" t="str">
            <v>Construção de Redes de Abastecimento de Água, Coleta de Esgoto</v>
          </cell>
        </row>
        <row r="142">
          <cell r="A142" t="str">
            <v>Construção e Manutenção de Estações e Redes de Distribuição de Energia Elétrica</v>
          </cell>
        </row>
        <row r="143">
          <cell r="A143" t="str">
            <v>Obras Portuárias, Marítimas e Fluviais</v>
          </cell>
        </row>
        <row r="144">
          <cell r="A144" t="str">
            <v>Fornecimento de Materiais e Equipamentos (aquisição indireta - em conjunto com licitação de obras)</v>
          </cell>
        </row>
        <row r="145">
          <cell r="A145" t="str">
            <v>Fornecimento de Materiais e Equipamentos (aquisição direta)</v>
          </cell>
        </row>
        <row r="146">
          <cell r="A146" t="str">
            <v>Estudos e Projetos, Planos e Gerenciamento e outros correlatos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TRUÇÕES"/>
      <sheetName val="Controle de Versões"/>
      <sheetName val="PO"/>
      <sheetName val="Cotações"/>
      <sheetName val="Composição Adaptadas"/>
      <sheetName val="ICD"/>
      <sheetName val="ISD"/>
      <sheetName val="CCD"/>
      <sheetName val="CSD"/>
    </sheetNames>
    <sheetDataSet>
      <sheetData sheetId="0"/>
      <sheetData sheetId="1"/>
      <sheetData sheetId="2"/>
      <sheetData sheetId="3"/>
      <sheetData sheetId="4">
        <row r="1">
          <cell r="C1">
            <v>2</v>
          </cell>
          <cell r="G1">
            <v>4</v>
          </cell>
        </row>
      </sheetData>
      <sheetData sheetId="5"/>
      <sheetData sheetId="6"/>
      <sheetData sheetId="7">
        <row r="1">
          <cell r="A1">
            <v>45901</v>
          </cell>
        </row>
      </sheetData>
      <sheetData sheetId="8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VO"/>
      <sheetName val="MENU"/>
      <sheetName val="DADOS"/>
      <sheetName val="BDI"/>
      <sheetName val="ORÇAMENTO"/>
      <sheetName val="EVENTOS"/>
      <sheetName val="CÁLCULO"/>
      <sheetName val="CRONOPLE"/>
      <sheetName val="CRONO"/>
      <sheetName val="QCI"/>
      <sheetName val="PLE"/>
      <sheetName val="BM"/>
      <sheetName val="RRE"/>
      <sheetName val="OFÍCIO"/>
      <sheetName val="PO-PLE"/>
      <sheetName val="CFF-PLE"/>
      <sheetName val="PO-BM"/>
      <sheetName val="CFF-BM"/>
      <sheetName val="Planilha_Multipla_v3_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14">
          <cell r="A14" t="str">
            <v/>
          </cell>
        </row>
        <row r="17">
          <cell r="A17" t="str">
            <v>1.1. (SERVIÇOS PRELIMINARES)</v>
          </cell>
        </row>
        <row r="20">
          <cell r="A20" t="str">
            <v>1.2. (ADMINISTRAÇÃO LOCAL)</v>
          </cell>
        </row>
        <row r="23">
          <cell r="A23" t="str">
            <v>1.3. (FUNDAÇÕES)</v>
          </cell>
        </row>
        <row r="26">
          <cell r="A26" t="str">
            <v>1.4. (SUPRAESTRUTURA)</v>
          </cell>
        </row>
        <row r="29">
          <cell r="A29" t="str">
            <v>1.5. (PAREDES E PAINEIS)</v>
          </cell>
        </row>
        <row r="32">
          <cell r="A32" t="str">
            <v>1.6. (COBERTURA E PROTEÇÕES)</v>
          </cell>
        </row>
        <row r="35">
          <cell r="A35" t="str">
            <v>1.7. (REVESTIMENTOS)</v>
          </cell>
        </row>
        <row r="38">
          <cell r="A38" t="str">
            <v>1.8. (PAVIMENTAÇÕES)</v>
          </cell>
        </row>
        <row r="41">
          <cell r="A41" t="str">
            <v>1.9. (INSTALAÇÕES)</v>
          </cell>
        </row>
        <row r="44">
          <cell r="A44" t="str">
            <v>1.10. (COMPLEMENTAÇÕES)</v>
          </cell>
        </row>
        <row r="47">
          <cell r="A47" t="str">
            <v/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28"/>
  <sheetViews>
    <sheetView zoomScaleNormal="100" workbookViewId="0">
      <selection activeCell="L6" sqref="L6"/>
    </sheetView>
  </sheetViews>
  <sheetFormatPr defaultColWidth="10.109375" defaultRowHeight="10.199999999999999" x14ac:dyDescent="0.2"/>
  <cols>
    <col min="1" max="1" width="16" style="5" customWidth="1"/>
    <col min="2" max="2" width="38.33203125" style="5" customWidth="1"/>
    <col min="3" max="3" width="13.44140625" style="20" customWidth="1"/>
    <col min="4" max="4" width="69.44140625" style="21" customWidth="1"/>
    <col min="5" max="5" width="10" style="22" customWidth="1"/>
    <col min="6" max="6" width="10" style="23" customWidth="1"/>
    <col min="7" max="7" width="12.109375" style="24" customWidth="1"/>
    <col min="8" max="8" width="13" style="24" customWidth="1"/>
    <col min="9" max="9" width="18.88671875" style="24" customWidth="1"/>
    <col min="10" max="10" width="18" style="5" bestFit="1" customWidth="1"/>
    <col min="11" max="16384" width="10.109375" style="5"/>
  </cols>
  <sheetData>
    <row r="1" spans="1:13" ht="18" x14ac:dyDescent="0.2">
      <c r="A1" s="1"/>
      <c r="B1" s="2"/>
      <c r="C1" s="2"/>
      <c r="D1" s="3" t="s">
        <v>0</v>
      </c>
      <c r="E1" s="2"/>
      <c r="F1" s="2"/>
      <c r="G1" s="2"/>
      <c r="H1" s="2"/>
      <c r="I1" s="4"/>
    </row>
    <row r="2" spans="1:13" s="13" customFormat="1" ht="13.2" x14ac:dyDescent="0.25">
      <c r="A2" s="6" t="s">
        <v>1</v>
      </c>
      <c r="B2" s="7" t="s">
        <v>431</v>
      </c>
      <c r="C2" s="8"/>
      <c r="D2" s="9"/>
      <c r="E2" s="10"/>
      <c r="F2" s="11"/>
      <c r="G2" s="12"/>
      <c r="H2" s="12"/>
      <c r="I2" s="12"/>
    </row>
    <row r="3" spans="1:13" s="13" customFormat="1" ht="12.75" x14ac:dyDescent="0.2">
      <c r="A3" s="6" t="s">
        <v>2</v>
      </c>
      <c r="B3" s="14">
        <v>45901</v>
      </c>
      <c r="C3" s="15"/>
      <c r="D3" s="16"/>
      <c r="E3" s="10"/>
      <c r="F3" s="11"/>
      <c r="G3" s="17"/>
      <c r="H3" s="17"/>
      <c r="I3" s="18"/>
    </row>
    <row r="4" spans="1:13" s="13" customFormat="1" ht="13.8" thickBot="1" x14ac:dyDescent="0.3">
      <c r="A4" s="6" t="s">
        <v>3</v>
      </c>
      <c r="B4" s="7" t="s">
        <v>4</v>
      </c>
      <c r="C4" s="15"/>
      <c r="D4" s="16"/>
      <c r="E4" s="10"/>
    </row>
    <row r="5" spans="1:13" ht="17.25" thickTop="1" thickBot="1" x14ac:dyDescent="0.25">
      <c r="A5" s="19" t="s">
        <v>428</v>
      </c>
    </row>
    <row r="6" spans="1:13" ht="15" customHeight="1" thickTop="1" x14ac:dyDescent="0.2">
      <c r="A6" s="6" t="s">
        <v>429</v>
      </c>
      <c r="B6" s="6" t="s">
        <v>430</v>
      </c>
    </row>
    <row r="7" spans="1:13" s="29" customFormat="1" ht="36" x14ac:dyDescent="0.3">
      <c r="A7" s="25" t="s">
        <v>5</v>
      </c>
      <c r="B7" s="25" t="s">
        <v>6</v>
      </c>
      <c r="C7" s="25" t="s">
        <v>7</v>
      </c>
      <c r="D7" s="26" t="s">
        <v>8</v>
      </c>
      <c r="E7" s="25" t="s">
        <v>9</v>
      </c>
      <c r="F7" s="27" t="s">
        <v>10</v>
      </c>
      <c r="G7" s="28" t="s">
        <v>11</v>
      </c>
      <c r="H7" s="28" t="s">
        <v>597</v>
      </c>
      <c r="I7" s="28" t="s">
        <v>12</v>
      </c>
      <c r="J7" s="28" t="s">
        <v>483</v>
      </c>
    </row>
    <row r="8" spans="1:13" s="35" customFormat="1" ht="11.4" x14ac:dyDescent="0.2">
      <c r="A8" s="30" t="s">
        <v>13</v>
      </c>
      <c r="B8" s="30"/>
      <c r="C8" s="31"/>
      <c r="D8" s="32"/>
      <c r="E8" s="33"/>
      <c r="F8" s="34"/>
      <c r="G8" s="193"/>
      <c r="H8" s="193"/>
      <c r="I8" s="193">
        <f ca="1">SUMIFS(OFFSET($I$8,1,0):$I$223,OFFSET($A$8,1,0):$A$223,"&lt;&gt;"&amp;"-",OFFSET($C$8,1,0):$C$223,"&lt;&gt;"&amp;"")</f>
        <v>0</v>
      </c>
      <c r="J8" s="193">
        <f ca="1">I8*1.2547</f>
        <v>0</v>
      </c>
    </row>
    <row r="9" spans="1:13" s="35" customFormat="1" ht="11.4" x14ac:dyDescent="0.2">
      <c r="A9" s="36" t="s">
        <v>14</v>
      </c>
      <c r="B9" s="36" t="s">
        <v>15</v>
      </c>
      <c r="C9" s="37"/>
      <c r="D9" s="38"/>
      <c r="E9" s="39"/>
      <c r="F9" s="40"/>
      <c r="G9" s="194"/>
      <c r="H9" s="194"/>
      <c r="I9" s="194">
        <f>IF($A9="-",0,IF($C9&lt;&gt;"",ROUND(ROUND($F9,2)*$G9,2),SUMIFS($I10:I$223,A10:A$223,$A9&amp;".*",$C10:C$223,"&lt;&gt;"&amp;"")))</f>
        <v>0</v>
      </c>
      <c r="J9" s="194">
        <f>I9*1.2547</f>
        <v>0</v>
      </c>
    </row>
    <row r="10" spans="1:13" s="47" customFormat="1" ht="20.399999999999999" x14ac:dyDescent="0.2">
      <c r="A10" s="41" t="s">
        <v>16</v>
      </c>
      <c r="B10" s="102" t="s">
        <v>435</v>
      </c>
      <c r="C10" s="103">
        <v>99059</v>
      </c>
      <c r="D10" s="101" t="s">
        <v>433</v>
      </c>
      <c r="E10" s="57" t="s">
        <v>85</v>
      </c>
      <c r="F10" s="58">
        <f>M10*20</f>
        <v>766</v>
      </c>
      <c r="G10" s="192"/>
      <c r="H10" s="192"/>
      <c r="I10" s="192"/>
      <c r="J10" s="192"/>
      <c r="M10" s="58">
        <v>38.299999999999997</v>
      </c>
    </row>
    <row r="11" spans="1:13" s="47" customFormat="1" ht="20.399999999999999" x14ac:dyDescent="0.2">
      <c r="A11" s="41" t="s">
        <v>499</v>
      </c>
      <c r="B11" s="102" t="s">
        <v>498</v>
      </c>
      <c r="C11" s="103">
        <v>103689</v>
      </c>
      <c r="D11" s="101" t="s">
        <v>434</v>
      </c>
      <c r="E11" s="57" t="s">
        <v>28</v>
      </c>
      <c r="F11" s="58">
        <f t="shared" ref="F11:F74" si="0">M11*20</f>
        <v>6</v>
      </c>
      <c r="G11" s="192"/>
      <c r="H11" s="192"/>
      <c r="I11" s="192"/>
      <c r="J11" s="192"/>
      <c r="M11" s="58">
        <v>0.3</v>
      </c>
    </row>
    <row r="12" spans="1:13" s="47" customFormat="1" ht="20.399999999999999" x14ac:dyDescent="0.2">
      <c r="A12" s="41" t="s">
        <v>500</v>
      </c>
      <c r="B12" s="102" t="s">
        <v>488</v>
      </c>
      <c r="C12" s="103">
        <v>98525</v>
      </c>
      <c r="D12" s="101" t="s">
        <v>569</v>
      </c>
      <c r="E12" s="57" t="s">
        <v>28</v>
      </c>
      <c r="F12" s="58">
        <f t="shared" si="0"/>
        <v>6000</v>
      </c>
      <c r="G12" s="192"/>
      <c r="H12" s="192"/>
      <c r="I12" s="192"/>
      <c r="J12" s="192"/>
      <c r="M12" s="58">
        <v>300</v>
      </c>
    </row>
    <row r="13" spans="1:13" s="47" customFormat="1" ht="30.6" x14ac:dyDescent="0.2">
      <c r="A13" s="41" t="s">
        <v>501</v>
      </c>
      <c r="B13" s="102" t="s">
        <v>489</v>
      </c>
      <c r="C13" s="103">
        <v>90091</v>
      </c>
      <c r="D13" s="187" t="s">
        <v>570</v>
      </c>
      <c r="E13" s="57" t="s">
        <v>25</v>
      </c>
      <c r="F13" s="58">
        <f t="shared" si="0"/>
        <v>1815</v>
      </c>
      <c r="G13" s="192"/>
      <c r="H13" s="192"/>
      <c r="I13" s="192"/>
      <c r="J13" s="192"/>
      <c r="M13" s="58">
        <v>90.75</v>
      </c>
    </row>
    <row r="14" spans="1:13" s="47" customFormat="1" ht="30.6" x14ac:dyDescent="0.2">
      <c r="A14" s="41" t="s">
        <v>436</v>
      </c>
      <c r="B14" s="102" t="s">
        <v>490</v>
      </c>
      <c r="C14" s="103">
        <v>105559</v>
      </c>
      <c r="D14" s="187" t="s">
        <v>571</v>
      </c>
      <c r="E14" s="57" t="s">
        <v>25</v>
      </c>
      <c r="F14" s="58">
        <f t="shared" si="0"/>
        <v>1815</v>
      </c>
      <c r="G14" s="192"/>
      <c r="H14" s="192"/>
      <c r="I14" s="192"/>
      <c r="J14" s="192"/>
      <c r="M14" s="58">
        <v>90.75</v>
      </c>
    </row>
    <row r="15" spans="1:13" s="47" customFormat="1" x14ac:dyDescent="0.2">
      <c r="A15" s="42" t="s">
        <v>572</v>
      </c>
      <c r="B15" s="102" t="s">
        <v>574</v>
      </c>
      <c r="C15" s="103">
        <v>10775</v>
      </c>
      <c r="D15" s="186" t="s">
        <v>576</v>
      </c>
      <c r="E15" s="57" t="s">
        <v>579</v>
      </c>
      <c r="F15" s="58">
        <f t="shared" si="0"/>
        <v>6</v>
      </c>
      <c r="G15" s="192"/>
      <c r="H15" s="192"/>
      <c r="I15" s="192"/>
      <c r="J15" s="192"/>
      <c r="M15" s="58">
        <v>0.3</v>
      </c>
    </row>
    <row r="16" spans="1:13" s="47" customFormat="1" ht="11.25" x14ac:dyDescent="0.2">
      <c r="A16" s="42" t="s">
        <v>573</v>
      </c>
      <c r="B16" s="102" t="s">
        <v>575</v>
      </c>
      <c r="C16" s="103">
        <v>90778</v>
      </c>
      <c r="D16" s="187" t="s">
        <v>577</v>
      </c>
      <c r="E16" s="57" t="s">
        <v>578</v>
      </c>
      <c r="F16" s="58">
        <f t="shared" si="0"/>
        <v>126</v>
      </c>
      <c r="G16" s="192"/>
      <c r="H16" s="192"/>
      <c r="I16" s="192"/>
      <c r="J16" s="192"/>
      <c r="M16" s="58">
        <v>6.3</v>
      </c>
    </row>
    <row r="17" spans="1:13" s="35" customFormat="1" ht="11.4" x14ac:dyDescent="0.2">
      <c r="A17" s="48" t="s">
        <v>17</v>
      </c>
      <c r="B17" s="48" t="s">
        <v>18</v>
      </c>
      <c r="C17" s="49"/>
      <c r="D17" s="50"/>
      <c r="E17" s="51"/>
      <c r="F17" s="58">
        <f t="shared" si="0"/>
        <v>0</v>
      </c>
      <c r="G17" s="195"/>
      <c r="H17" s="192"/>
      <c r="I17" s="195"/>
      <c r="J17" s="195"/>
      <c r="M17" s="52"/>
    </row>
    <row r="18" spans="1:13" s="47" customFormat="1" x14ac:dyDescent="0.2">
      <c r="A18" s="41" t="s">
        <v>19</v>
      </c>
      <c r="B18" s="42" t="s">
        <v>20</v>
      </c>
      <c r="C18" s="43"/>
      <c r="D18" s="44"/>
      <c r="E18" s="45"/>
      <c r="F18" s="58">
        <f t="shared" si="0"/>
        <v>0</v>
      </c>
      <c r="G18" s="196"/>
      <c r="H18" s="192"/>
      <c r="I18" s="196"/>
      <c r="J18" s="196"/>
      <c r="M18" s="46"/>
    </row>
    <row r="19" spans="1:13" s="59" customFormat="1" ht="11.25" x14ac:dyDescent="0.2">
      <c r="A19" s="53" t="s">
        <v>21</v>
      </c>
      <c r="B19" s="54" t="s">
        <v>22</v>
      </c>
      <c r="C19" s="55"/>
      <c r="D19" s="56"/>
      <c r="E19" s="57"/>
      <c r="F19" s="58">
        <f t="shared" si="0"/>
        <v>0</v>
      </c>
      <c r="G19" s="192"/>
      <c r="H19" s="192"/>
      <c r="I19" s="192"/>
      <c r="J19" s="192"/>
      <c r="M19" s="58"/>
    </row>
    <row r="20" spans="1:13" s="59" customFormat="1" ht="20.399999999999999" x14ac:dyDescent="0.2">
      <c r="A20" s="60" t="s">
        <v>23</v>
      </c>
      <c r="B20" s="61" t="s">
        <v>22</v>
      </c>
      <c r="C20" s="20">
        <v>96521</v>
      </c>
      <c r="D20" s="21" t="s">
        <v>24</v>
      </c>
      <c r="E20" s="22" t="s">
        <v>25</v>
      </c>
      <c r="F20" s="58">
        <f t="shared" si="0"/>
        <v>250.6</v>
      </c>
      <c r="G20" s="197"/>
      <c r="H20" s="192"/>
      <c r="I20" s="197"/>
      <c r="J20" s="197"/>
      <c r="M20" s="62">
        <v>12.53</v>
      </c>
    </row>
    <row r="21" spans="1:13" s="59" customFormat="1" ht="20.399999999999999" x14ac:dyDescent="0.2">
      <c r="A21" s="60" t="s">
        <v>26</v>
      </c>
      <c r="B21" s="61" t="s">
        <v>22</v>
      </c>
      <c r="C21" s="20">
        <v>97083</v>
      </c>
      <c r="D21" s="21" t="s">
        <v>27</v>
      </c>
      <c r="E21" s="22" t="s">
        <v>28</v>
      </c>
      <c r="F21" s="58">
        <f t="shared" si="0"/>
        <v>1077.2</v>
      </c>
      <c r="G21" s="197"/>
      <c r="H21" s="192"/>
      <c r="I21" s="197"/>
      <c r="J21" s="197"/>
      <c r="M21" s="62">
        <v>53.86</v>
      </c>
    </row>
    <row r="22" spans="1:13" s="59" customFormat="1" ht="20.399999999999999" x14ac:dyDescent="0.2">
      <c r="A22" s="60" t="s">
        <v>29</v>
      </c>
      <c r="B22" s="61" t="s">
        <v>22</v>
      </c>
      <c r="C22" s="20">
        <v>97087</v>
      </c>
      <c r="D22" s="21" t="s">
        <v>30</v>
      </c>
      <c r="E22" s="22" t="s">
        <v>28</v>
      </c>
      <c r="F22" s="58">
        <f t="shared" si="0"/>
        <v>1077.2</v>
      </c>
      <c r="G22" s="197"/>
      <c r="H22" s="192"/>
      <c r="I22" s="197"/>
      <c r="J22" s="197"/>
      <c r="M22" s="62">
        <v>53.86</v>
      </c>
    </row>
    <row r="23" spans="1:13" s="59" customFormat="1" ht="22.5" x14ac:dyDescent="0.2">
      <c r="A23" s="60" t="s">
        <v>31</v>
      </c>
      <c r="B23" s="61" t="s">
        <v>22</v>
      </c>
      <c r="C23" s="20">
        <v>96622</v>
      </c>
      <c r="D23" s="21" t="s">
        <v>32</v>
      </c>
      <c r="E23" s="22" t="s">
        <v>25</v>
      </c>
      <c r="F23" s="58">
        <f t="shared" si="0"/>
        <v>53.8</v>
      </c>
      <c r="G23" s="197"/>
      <c r="H23" s="192"/>
      <c r="I23" s="197"/>
      <c r="J23" s="197"/>
      <c r="M23" s="62">
        <v>2.69</v>
      </c>
    </row>
    <row r="24" spans="1:13" s="59" customFormat="1" ht="20.399999999999999" x14ac:dyDescent="0.2">
      <c r="A24" s="60" t="s">
        <v>33</v>
      </c>
      <c r="B24" s="61" t="s">
        <v>22</v>
      </c>
      <c r="C24" s="20">
        <v>97086</v>
      </c>
      <c r="D24" s="21" t="s">
        <v>34</v>
      </c>
      <c r="E24" s="22" t="s">
        <v>28</v>
      </c>
      <c r="F24" s="58">
        <f t="shared" si="0"/>
        <v>133.4</v>
      </c>
      <c r="G24" s="197"/>
      <c r="H24" s="192"/>
      <c r="I24" s="197"/>
      <c r="J24" s="197"/>
      <c r="M24" s="62">
        <v>6.67</v>
      </c>
    </row>
    <row r="25" spans="1:13" s="59" customFormat="1" ht="20.399999999999999" x14ac:dyDescent="0.2">
      <c r="A25" s="60" t="s">
        <v>35</v>
      </c>
      <c r="B25" s="61" t="s">
        <v>22</v>
      </c>
      <c r="C25" s="20">
        <v>92769</v>
      </c>
      <c r="D25" s="21" t="s">
        <v>36</v>
      </c>
      <c r="E25" s="22" t="s">
        <v>37</v>
      </c>
      <c r="F25" s="58">
        <f t="shared" si="0"/>
        <v>7240</v>
      </c>
      <c r="G25" s="197"/>
      <c r="H25" s="192"/>
      <c r="I25" s="197"/>
      <c r="J25" s="197"/>
      <c r="M25" s="62">
        <v>362</v>
      </c>
    </row>
    <row r="26" spans="1:13" s="59" customFormat="1" ht="20.399999999999999" x14ac:dyDescent="0.2">
      <c r="A26" s="60" t="s">
        <v>38</v>
      </c>
      <c r="B26" s="61" t="s">
        <v>22</v>
      </c>
      <c r="C26" s="20">
        <v>92762</v>
      </c>
      <c r="D26" s="21" t="s">
        <v>39</v>
      </c>
      <c r="E26" s="22" t="s">
        <v>37</v>
      </c>
      <c r="F26" s="58">
        <f t="shared" si="0"/>
        <v>572</v>
      </c>
      <c r="G26" s="197"/>
      <c r="H26" s="192"/>
      <c r="I26" s="197"/>
      <c r="J26" s="197"/>
      <c r="M26" s="62">
        <v>28.6</v>
      </c>
    </row>
    <row r="27" spans="1:13" s="59" customFormat="1" ht="20.399999999999999" x14ac:dyDescent="0.2">
      <c r="A27" s="60" t="s">
        <v>40</v>
      </c>
      <c r="B27" s="61" t="s">
        <v>22</v>
      </c>
      <c r="C27" s="20">
        <v>92759</v>
      </c>
      <c r="D27" s="21" t="s">
        <v>41</v>
      </c>
      <c r="E27" s="22" t="s">
        <v>37</v>
      </c>
      <c r="F27" s="58">
        <f t="shared" si="0"/>
        <v>78</v>
      </c>
      <c r="G27" s="197"/>
      <c r="H27" s="192"/>
      <c r="I27" s="197"/>
      <c r="J27" s="197"/>
      <c r="M27" s="62">
        <v>3.9</v>
      </c>
    </row>
    <row r="28" spans="1:13" s="59" customFormat="1" ht="20.399999999999999" x14ac:dyDescent="0.2">
      <c r="A28" s="60" t="s">
        <v>42</v>
      </c>
      <c r="B28" s="61" t="s">
        <v>22</v>
      </c>
      <c r="C28" s="20">
        <v>97096</v>
      </c>
      <c r="D28" s="21" t="s">
        <v>497</v>
      </c>
      <c r="E28" s="22" t="s">
        <v>25</v>
      </c>
      <c r="F28" s="58">
        <f t="shared" si="0"/>
        <v>181.6</v>
      </c>
      <c r="G28" s="197"/>
      <c r="H28" s="192"/>
      <c r="I28" s="197"/>
      <c r="J28" s="197"/>
      <c r="M28" s="62">
        <v>9.08</v>
      </c>
    </row>
    <row r="29" spans="1:13" s="59" customFormat="1" x14ac:dyDescent="0.2">
      <c r="A29" s="60" t="s">
        <v>43</v>
      </c>
      <c r="B29" s="61" t="s">
        <v>22</v>
      </c>
      <c r="C29" s="63">
        <v>93382</v>
      </c>
      <c r="D29" s="21" t="s">
        <v>44</v>
      </c>
      <c r="E29" s="22" t="s">
        <v>25</v>
      </c>
      <c r="F29" s="58">
        <f t="shared" si="0"/>
        <v>13.600000000000001</v>
      </c>
      <c r="G29" s="198"/>
      <c r="H29" s="192"/>
      <c r="I29" s="197"/>
      <c r="J29" s="197"/>
      <c r="M29" s="64">
        <v>0.68</v>
      </c>
    </row>
    <row r="30" spans="1:13" s="59" customFormat="1" x14ac:dyDescent="0.2">
      <c r="A30" s="65" t="s">
        <v>45</v>
      </c>
      <c r="B30" s="66" t="s">
        <v>46</v>
      </c>
      <c r="C30" s="67"/>
      <c r="D30" s="68"/>
      <c r="E30" s="69"/>
      <c r="F30" s="58">
        <f t="shared" si="0"/>
        <v>0</v>
      </c>
      <c r="G30" s="199"/>
      <c r="H30" s="192"/>
      <c r="I30" s="199"/>
      <c r="J30" s="199"/>
      <c r="M30" s="70"/>
    </row>
    <row r="31" spans="1:13" ht="20.399999999999999" x14ac:dyDescent="0.2">
      <c r="A31" s="60" t="s">
        <v>47</v>
      </c>
      <c r="B31" s="71" t="s">
        <v>46</v>
      </c>
      <c r="C31" s="20">
        <v>98555</v>
      </c>
      <c r="D31" s="21" t="s">
        <v>48</v>
      </c>
      <c r="E31" s="22" t="s">
        <v>28</v>
      </c>
      <c r="F31" s="58">
        <f t="shared" si="0"/>
        <v>632.4</v>
      </c>
      <c r="G31" s="197"/>
      <c r="H31" s="192"/>
      <c r="I31" s="197"/>
      <c r="J31" s="197"/>
      <c r="M31" s="62">
        <v>31.62</v>
      </c>
    </row>
    <row r="32" spans="1:13" x14ac:dyDescent="0.2">
      <c r="A32" s="60" t="s">
        <v>49</v>
      </c>
      <c r="B32" s="71" t="s">
        <v>46</v>
      </c>
      <c r="C32" s="20" t="s">
        <v>50</v>
      </c>
      <c r="D32" s="21" t="s">
        <v>51</v>
      </c>
      <c r="E32" s="22" t="s">
        <v>28</v>
      </c>
      <c r="F32" s="58">
        <f t="shared" si="0"/>
        <v>92.4</v>
      </c>
      <c r="G32" s="197"/>
      <c r="H32" s="192"/>
      <c r="I32" s="197"/>
      <c r="J32" s="197"/>
      <c r="M32" s="62">
        <v>4.62</v>
      </c>
    </row>
    <row r="33" spans="1:13" s="35" customFormat="1" ht="11.4" x14ac:dyDescent="0.2">
      <c r="A33" s="36" t="s">
        <v>52</v>
      </c>
      <c r="B33" s="36" t="s">
        <v>53</v>
      </c>
      <c r="C33" s="37"/>
      <c r="D33" s="38"/>
      <c r="E33" s="39"/>
      <c r="F33" s="58">
        <f t="shared" si="0"/>
        <v>0</v>
      </c>
      <c r="G33" s="194"/>
      <c r="H33" s="192"/>
      <c r="I33" s="194"/>
      <c r="J33" s="194"/>
      <c r="M33" s="40"/>
    </row>
    <row r="34" spans="1:13" s="47" customFormat="1" x14ac:dyDescent="0.2">
      <c r="A34" s="41" t="s">
        <v>54</v>
      </c>
      <c r="B34" s="42" t="s">
        <v>55</v>
      </c>
      <c r="C34" s="43"/>
      <c r="D34" s="44"/>
      <c r="E34" s="45"/>
      <c r="F34" s="58">
        <f t="shared" si="0"/>
        <v>0</v>
      </c>
      <c r="G34" s="196"/>
      <c r="H34" s="192"/>
      <c r="I34" s="196"/>
      <c r="J34" s="196"/>
      <c r="M34" s="46"/>
    </row>
    <row r="35" spans="1:13" ht="30.6" x14ac:dyDescent="0.2">
      <c r="A35" s="60" t="s">
        <v>56</v>
      </c>
      <c r="B35" s="71" t="s">
        <v>55</v>
      </c>
      <c r="C35" s="20">
        <v>92427</v>
      </c>
      <c r="D35" s="21" t="s">
        <v>57</v>
      </c>
      <c r="E35" s="22" t="s">
        <v>28</v>
      </c>
      <c r="F35" s="58">
        <f t="shared" si="0"/>
        <v>287.8</v>
      </c>
      <c r="G35" s="197"/>
      <c r="H35" s="192"/>
      <c r="I35" s="197"/>
      <c r="J35" s="197"/>
      <c r="M35" s="62">
        <v>14.39</v>
      </c>
    </row>
    <row r="36" spans="1:13" ht="20.399999999999999" x14ac:dyDescent="0.2">
      <c r="A36" s="60" t="s">
        <v>58</v>
      </c>
      <c r="B36" s="71" t="s">
        <v>55</v>
      </c>
      <c r="C36" s="20" t="s">
        <v>59</v>
      </c>
      <c r="D36" s="21" t="s">
        <v>60</v>
      </c>
      <c r="E36" s="22" t="s">
        <v>28</v>
      </c>
      <c r="F36" s="58">
        <f t="shared" si="0"/>
        <v>410.79999999999995</v>
      </c>
      <c r="G36" s="197"/>
      <c r="H36" s="192"/>
      <c r="I36" s="197"/>
      <c r="J36" s="197"/>
      <c r="M36" s="62">
        <v>20.54</v>
      </c>
    </row>
    <row r="37" spans="1:13" ht="30.6" x14ac:dyDescent="0.2">
      <c r="A37" s="60" t="s">
        <v>61</v>
      </c>
      <c r="B37" s="71" t="s">
        <v>55</v>
      </c>
      <c r="C37" s="20">
        <v>92463</v>
      </c>
      <c r="D37" s="21" t="s">
        <v>62</v>
      </c>
      <c r="E37" s="22" t="s">
        <v>28</v>
      </c>
      <c r="F37" s="58">
        <f t="shared" si="0"/>
        <v>82.6</v>
      </c>
      <c r="G37" s="197"/>
      <c r="H37" s="192"/>
      <c r="I37" s="197"/>
      <c r="J37" s="197"/>
      <c r="M37" s="62">
        <v>4.13</v>
      </c>
    </row>
    <row r="38" spans="1:13" ht="20.399999999999999" x14ac:dyDescent="0.2">
      <c r="A38" s="60" t="s">
        <v>63</v>
      </c>
      <c r="B38" s="71" t="s">
        <v>55</v>
      </c>
      <c r="C38" s="20">
        <v>92759</v>
      </c>
      <c r="D38" s="21" t="s">
        <v>41</v>
      </c>
      <c r="E38" s="22" t="s">
        <v>37</v>
      </c>
      <c r="F38" s="58">
        <f t="shared" si="0"/>
        <v>1408</v>
      </c>
      <c r="G38" s="197"/>
      <c r="H38" s="192"/>
      <c r="I38" s="197"/>
      <c r="J38" s="197"/>
      <c r="M38" s="62">
        <v>70.400000000000006</v>
      </c>
    </row>
    <row r="39" spans="1:13" ht="20.399999999999999" x14ac:dyDescent="0.2">
      <c r="A39" s="60" t="s">
        <v>64</v>
      </c>
      <c r="B39" s="71" t="s">
        <v>55</v>
      </c>
      <c r="C39" s="20">
        <v>92760</v>
      </c>
      <c r="D39" s="21" t="s">
        <v>65</v>
      </c>
      <c r="E39" s="22" t="s">
        <v>37</v>
      </c>
      <c r="F39" s="58">
        <f t="shared" si="0"/>
        <v>300</v>
      </c>
      <c r="G39" s="197"/>
      <c r="H39" s="192"/>
      <c r="I39" s="197"/>
      <c r="J39" s="197"/>
      <c r="M39" s="62">
        <v>15</v>
      </c>
    </row>
    <row r="40" spans="1:13" ht="20.399999999999999" x14ac:dyDescent="0.2">
      <c r="A40" s="60" t="s">
        <v>66</v>
      </c>
      <c r="B40" s="71" t="s">
        <v>55</v>
      </c>
      <c r="C40" s="20">
        <v>92761</v>
      </c>
      <c r="D40" s="21" t="s">
        <v>67</v>
      </c>
      <c r="E40" s="22" t="s">
        <v>37</v>
      </c>
      <c r="F40" s="58">
        <f t="shared" si="0"/>
        <v>1306</v>
      </c>
      <c r="G40" s="197"/>
      <c r="H40" s="192"/>
      <c r="I40" s="197"/>
      <c r="J40" s="197"/>
      <c r="M40" s="62">
        <v>65.3</v>
      </c>
    </row>
    <row r="41" spans="1:13" ht="20.399999999999999" x14ac:dyDescent="0.2">
      <c r="A41" s="60" t="s">
        <v>68</v>
      </c>
      <c r="B41" s="71" t="s">
        <v>55</v>
      </c>
      <c r="C41" s="20">
        <v>92762</v>
      </c>
      <c r="D41" s="21" t="s">
        <v>39</v>
      </c>
      <c r="E41" s="22" t="s">
        <v>37</v>
      </c>
      <c r="F41" s="58">
        <f t="shared" si="0"/>
        <v>1712</v>
      </c>
      <c r="G41" s="197"/>
      <c r="H41" s="192"/>
      <c r="I41" s="197"/>
      <c r="J41" s="197"/>
      <c r="M41" s="62">
        <v>85.6</v>
      </c>
    </row>
    <row r="42" spans="1:13" ht="30.6" x14ac:dyDescent="0.2">
      <c r="A42" s="60" t="s">
        <v>69</v>
      </c>
      <c r="B42" s="71" t="s">
        <v>55</v>
      </c>
      <c r="C42" s="20">
        <v>101963</v>
      </c>
      <c r="D42" s="21" t="s">
        <v>70</v>
      </c>
      <c r="E42" s="22" t="s">
        <v>28</v>
      </c>
      <c r="F42" s="58">
        <f t="shared" si="0"/>
        <v>115.39999999999999</v>
      </c>
      <c r="G42" s="197"/>
      <c r="H42" s="192"/>
      <c r="I42" s="197"/>
      <c r="J42" s="197"/>
      <c r="M42" s="62">
        <v>5.77</v>
      </c>
    </row>
    <row r="43" spans="1:13" ht="20.399999999999999" x14ac:dyDescent="0.2">
      <c r="A43" s="60" t="s">
        <v>71</v>
      </c>
      <c r="B43" s="71" t="s">
        <v>55</v>
      </c>
      <c r="C43" s="20" t="s">
        <v>72</v>
      </c>
      <c r="D43" s="21" t="s">
        <v>73</v>
      </c>
      <c r="E43" s="22" t="s">
        <v>25</v>
      </c>
      <c r="F43" s="58">
        <f t="shared" si="0"/>
        <v>25.6</v>
      </c>
      <c r="G43" s="197"/>
      <c r="H43" s="192"/>
      <c r="I43" s="197"/>
      <c r="J43" s="197"/>
      <c r="M43" s="62">
        <v>1.28</v>
      </c>
    </row>
    <row r="44" spans="1:13" ht="20.399999999999999" x14ac:dyDescent="0.2">
      <c r="A44" s="60" t="s">
        <v>74</v>
      </c>
      <c r="B44" s="71" t="s">
        <v>55</v>
      </c>
      <c r="C44" s="20" t="s">
        <v>75</v>
      </c>
      <c r="D44" s="21" t="s">
        <v>76</v>
      </c>
      <c r="E44" s="22" t="s">
        <v>25</v>
      </c>
      <c r="F44" s="58">
        <f t="shared" si="0"/>
        <v>35.6</v>
      </c>
      <c r="G44" s="197"/>
      <c r="H44" s="192"/>
      <c r="I44" s="197"/>
      <c r="J44" s="197"/>
      <c r="M44" s="62">
        <v>1.78</v>
      </c>
    </row>
    <row r="45" spans="1:13" s="35" customFormat="1" ht="11.4" x14ac:dyDescent="0.2">
      <c r="A45" s="48" t="s">
        <v>77</v>
      </c>
      <c r="B45" s="48" t="s">
        <v>78</v>
      </c>
      <c r="C45" s="49"/>
      <c r="D45" s="50"/>
      <c r="E45" s="51"/>
      <c r="F45" s="58">
        <f t="shared" si="0"/>
        <v>0</v>
      </c>
      <c r="G45" s="195"/>
      <c r="H45" s="192"/>
      <c r="I45" s="195"/>
      <c r="J45" s="195"/>
      <c r="M45" s="52"/>
    </row>
    <row r="46" spans="1:13" s="47" customFormat="1" x14ac:dyDescent="0.2">
      <c r="A46" s="41" t="s">
        <v>79</v>
      </c>
      <c r="B46" s="42" t="s">
        <v>80</v>
      </c>
      <c r="C46" s="43"/>
      <c r="D46" s="44"/>
      <c r="E46" s="45"/>
      <c r="F46" s="58">
        <f t="shared" si="0"/>
        <v>0</v>
      </c>
      <c r="G46" s="196"/>
      <c r="H46" s="192"/>
      <c r="I46" s="196"/>
      <c r="J46" s="196"/>
      <c r="M46" s="46"/>
    </row>
    <row r="47" spans="1:13" ht="30.6" x14ac:dyDescent="0.2">
      <c r="A47" s="60" t="s">
        <v>81</v>
      </c>
      <c r="B47" s="71" t="s">
        <v>80</v>
      </c>
      <c r="C47" s="20">
        <v>103328</v>
      </c>
      <c r="D47" s="21" t="s">
        <v>82</v>
      </c>
      <c r="E47" s="22" t="s">
        <v>28</v>
      </c>
      <c r="F47" s="58">
        <f t="shared" si="0"/>
        <v>1730</v>
      </c>
      <c r="G47" s="197"/>
      <c r="H47" s="192"/>
      <c r="I47" s="197"/>
      <c r="J47" s="197"/>
      <c r="M47" s="62">
        <v>86.5</v>
      </c>
    </row>
    <row r="48" spans="1:13" x14ac:dyDescent="0.2">
      <c r="A48" s="60" t="s">
        <v>83</v>
      </c>
      <c r="B48" s="71" t="s">
        <v>80</v>
      </c>
      <c r="C48" s="20">
        <v>105022</v>
      </c>
      <c r="D48" s="21" t="s">
        <v>84</v>
      </c>
      <c r="E48" s="22" t="s">
        <v>85</v>
      </c>
      <c r="F48" s="58">
        <f t="shared" si="0"/>
        <v>324</v>
      </c>
      <c r="G48" s="197"/>
      <c r="H48" s="192"/>
      <c r="I48" s="197"/>
      <c r="J48" s="197"/>
      <c r="M48" s="62">
        <v>16.2</v>
      </c>
    </row>
    <row r="49" spans="1:13" x14ac:dyDescent="0.2">
      <c r="A49" s="60" t="s">
        <v>86</v>
      </c>
      <c r="B49" s="79" t="s">
        <v>80</v>
      </c>
      <c r="C49" s="63">
        <v>105028</v>
      </c>
      <c r="D49" s="21" t="s">
        <v>87</v>
      </c>
      <c r="E49" s="22" t="s">
        <v>85</v>
      </c>
      <c r="F49" s="58">
        <f t="shared" si="0"/>
        <v>184</v>
      </c>
      <c r="G49" s="198"/>
      <c r="H49" s="192"/>
      <c r="I49" s="197"/>
      <c r="J49" s="197"/>
      <c r="M49" s="80">
        <v>9.1999999999999993</v>
      </c>
    </row>
    <row r="50" spans="1:13" s="47" customFormat="1" x14ac:dyDescent="0.2">
      <c r="A50" s="41" t="s">
        <v>88</v>
      </c>
      <c r="B50" s="42" t="s">
        <v>89</v>
      </c>
      <c r="C50" s="43"/>
      <c r="D50" s="44"/>
      <c r="E50" s="45"/>
      <c r="F50" s="58">
        <f t="shared" si="0"/>
        <v>0</v>
      </c>
      <c r="G50" s="196"/>
      <c r="H50" s="192"/>
      <c r="I50" s="196"/>
      <c r="J50" s="196"/>
      <c r="M50" s="46"/>
    </row>
    <row r="51" spans="1:13" s="47" customFormat="1" ht="20.399999999999999" x14ac:dyDescent="0.2">
      <c r="A51" s="60" t="s">
        <v>90</v>
      </c>
      <c r="B51" s="71" t="s">
        <v>89</v>
      </c>
      <c r="C51" s="20">
        <v>91338</v>
      </c>
      <c r="D51" s="21" t="s">
        <v>91</v>
      </c>
      <c r="E51" s="22" t="s">
        <v>28</v>
      </c>
      <c r="F51" s="58">
        <f t="shared" si="0"/>
        <v>67.2</v>
      </c>
      <c r="G51" s="197"/>
      <c r="H51" s="192"/>
      <c r="I51" s="197"/>
      <c r="J51" s="197"/>
      <c r="M51" s="62">
        <v>3.3600000000000003</v>
      </c>
    </row>
    <row r="52" spans="1:13" ht="40.799999999999997" x14ac:dyDescent="0.2">
      <c r="A52" s="60" t="s">
        <v>92</v>
      </c>
      <c r="B52" s="71" t="s">
        <v>89</v>
      </c>
      <c r="C52" s="20">
        <v>94570</v>
      </c>
      <c r="D52" s="21" t="s">
        <v>93</v>
      </c>
      <c r="E52" s="22" t="s">
        <v>28</v>
      </c>
      <c r="F52" s="58">
        <f t="shared" si="0"/>
        <v>52</v>
      </c>
      <c r="G52" s="197"/>
      <c r="H52" s="192"/>
      <c r="I52" s="197"/>
      <c r="J52" s="197"/>
      <c r="M52" s="62">
        <v>2.6</v>
      </c>
    </row>
    <row r="53" spans="1:13" ht="40.799999999999997" x14ac:dyDescent="0.2">
      <c r="A53" s="60" t="s">
        <v>94</v>
      </c>
      <c r="B53" s="71" t="s">
        <v>89</v>
      </c>
      <c r="C53" s="20">
        <v>94572</v>
      </c>
      <c r="D53" s="21" t="s">
        <v>95</v>
      </c>
      <c r="E53" s="22" t="s">
        <v>28</v>
      </c>
      <c r="F53" s="58">
        <f t="shared" si="0"/>
        <v>56</v>
      </c>
      <c r="G53" s="197"/>
      <c r="H53" s="192"/>
      <c r="I53" s="197"/>
      <c r="J53" s="197"/>
      <c r="M53" s="62">
        <v>2.8</v>
      </c>
    </row>
    <row r="54" spans="1:13" ht="40.799999999999997" x14ac:dyDescent="0.2">
      <c r="A54" s="60" t="s">
        <v>96</v>
      </c>
      <c r="B54" s="71" t="s">
        <v>89</v>
      </c>
      <c r="C54" s="20">
        <v>94569</v>
      </c>
      <c r="D54" s="21" t="s">
        <v>97</v>
      </c>
      <c r="E54" s="22" t="s">
        <v>28</v>
      </c>
      <c r="F54" s="58">
        <f t="shared" si="0"/>
        <v>9.6</v>
      </c>
      <c r="G54" s="197"/>
      <c r="H54" s="192"/>
      <c r="I54" s="197"/>
      <c r="J54" s="197"/>
      <c r="M54" s="62">
        <v>0.48</v>
      </c>
    </row>
    <row r="55" spans="1:13" ht="20.399999999999999" x14ac:dyDescent="0.2">
      <c r="A55" s="60" t="s">
        <v>98</v>
      </c>
      <c r="B55" s="71" t="s">
        <v>89</v>
      </c>
      <c r="C55" s="20">
        <v>94589</v>
      </c>
      <c r="D55" s="21" t="s">
        <v>99</v>
      </c>
      <c r="E55" s="22" t="s">
        <v>85</v>
      </c>
      <c r="F55" s="58">
        <f t="shared" si="0"/>
        <v>432</v>
      </c>
      <c r="G55" s="197"/>
      <c r="H55" s="192"/>
      <c r="I55" s="197"/>
      <c r="J55" s="197"/>
      <c r="M55" s="62">
        <v>21.6</v>
      </c>
    </row>
    <row r="56" spans="1:13" ht="22.2" customHeight="1" x14ac:dyDescent="0.2">
      <c r="A56" s="60" t="s">
        <v>100</v>
      </c>
      <c r="B56" s="71" t="s">
        <v>89</v>
      </c>
      <c r="C56" s="20">
        <v>105812</v>
      </c>
      <c r="D56" s="21" t="s">
        <v>101</v>
      </c>
      <c r="E56" s="22" t="s">
        <v>85</v>
      </c>
      <c r="F56" s="58">
        <f t="shared" si="0"/>
        <v>864</v>
      </c>
      <c r="G56" s="197"/>
      <c r="H56" s="192"/>
      <c r="I56" s="197"/>
      <c r="J56" s="197"/>
      <c r="M56" s="62">
        <v>43.2</v>
      </c>
    </row>
    <row r="57" spans="1:13" s="47" customFormat="1" x14ac:dyDescent="0.2">
      <c r="A57" s="41" t="s">
        <v>102</v>
      </c>
      <c r="B57" s="42" t="s">
        <v>103</v>
      </c>
      <c r="C57" s="43"/>
      <c r="D57" s="44"/>
      <c r="E57" s="45"/>
      <c r="F57" s="58">
        <f t="shared" si="0"/>
        <v>0</v>
      </c>
      <c r="G57" s="196"/>
      <c r="H57" s="192"/>
      <c r="I57" s="196"/>
      <c r="J57" s="196"/>
      <c r="M57" s="46"/>
    </row>
    <row r="58" spans="1:13" ht="40.799999999999997" x14ac:dyDescent="0.2">
      <c r="A58" s="60" t="s">
        <v>104</v>
      </c>
      <c r="B58" s="71" t="s">
        <v>103</v>
      </c>
      <c r="C58" s="20">
        <v>91314</v>
      </c>
      <c r="D58" s="21" t="s">
        <v>105</v>
      </c>
      <c r="E58" s="22" t="s">
        <v>106</v>
      </c>
      <c r="F58" s="58">
        <f t="shared" si="0"/>
        <v>60</v>
      </c>
      <c r="G58" s="197"/>
      <c r="H58" s="192"/>
      <c r="I58" s="197"/>
      <c r="J58" s="197"/>
      <c r="M58" s="62">
        <v>3</v>
      </c>
    </row>
    <row r="59" spans="1:13" s="35" customFormat="1" ht="11.4" x14ac:dyDescent="0.2">
      <c r="A59" s="36" t="s">
        <v>107</v>
      </c>
      <c r="B59" s="36" t="s">
        <v>108</v>
      </c>
      <c r="C59" s="37"/>
      <c r="D59" s="38"/>
      <c r="E59" s="39"/>
      <c r="F59" s="58">
        <f t="shared" si="0"/>
        <v>0</v>
      </c>
      <c r="G59" s="194"/>
      <c r="H59" s="192"/>
      <c r="I59" s="194"/>
      <c r="J59" s="194"/>
      <c r="M59" s="40"/>
    </row>
    <row r="60" spans="1:13" s="47" customFormat="1" x14ac:dyDescent="0.2">
      <c r="A60" s="41" t="s">
        <v>109</v>
      </c>
      <c r="B60" s="42" t="s">
        <v>110</v>
      </c>
      <c r="C60" s="43"/>
      <c r="D60" s="44"/>
      <c r="E60" s="45"/>
      <c r="F60" s="58">
        <f t="shared" si="0"/>
        <v>0</v>
      </c>
      <c r="G60" s="196"/>
      <c r="H60" s="192"/>
      <c r="I60" s="196"/>
      <c r="J60" s="196"/>
      <c r="M60" s="46"/>
    </row>
    <row r="61" spans="1:13" ht="20.399999999999999" x14ac:dyDescent="0.2">
      <c r="A61" s="60" t="s">
        <v>111</v>
      </c>
      <c r="B61" s="71" t="s">
        <v>110</v>
      </c>
      <c r="C61" s="20">
        <v>92541</v>
      </c>
      <c r="D61" s="21" t="s">
        <v>112</v>
      </c>
      <c r="E61" s="22" t="s">
        <v>28</v>
      </c>
      <c r="F61" s="58">
        <f t="shared" si="0"/>
        <v>1469.8</v>
      </c>
      <c r="G61" s="197"/>
      <c r="H61" s="192"/>
      <c r="I61" s="197"/>
      <c r="J61" s="197"/>
      <c r="M61" s="62">
        <v>73.489999999999995</v>
      </c>
    </row>
    <row r="62" spans="1:13" ht="20.399999999999999" x14ac:dyDescent="0.2">
      <c r="A62" s="60" t="s">
        <v>113</v>
      </c>
      <c r="B62" s="71" t="s">
        <v>110</v>
      </c>
      <c r="C62" s="20">
        <v>94447</v>
      </c>
      <c r="D62" s="21" t="s">
        <v>114</v>
      </c>
      <c r="E62" s="22" t="s">
        <v>28</v>
      </c>
      <c r="F62" s="58">
        <f t="shared" si="0"/>
        <v>1469.8</v>
      </c>
      <c r="G62" s="197"/>
      <c r="H62" s="192"/>
      <c r="I62" s="197"/>
      <c r="J62" s="197"/>
      <c r="M62" s="62">
        <v>73.489999999999995</v>
      </c>
    </row>
    <row r="63" spans="1:13" x14ac:dyDescent="0.2">
      <c r="A63" s="60" t="s">
        <v>115</v>
      </c>
      <c r="B63" s="71" t="s">
        <v>110</v>
      </c>
      <c r="C63" s="20">
        <v>102233</v>
      </c>
      <c r="D63" s="21" t="s">
        <v>116</v>
      </c>
      <c r="E63" s="22" t="s">
        <v>28</v>
      </c>
      <c r="F63" s="58">
        <f t="shared" si="0"/>
        <v>2076</v>
      </c>
      <c r="G63" s="197"/>
      <c r="H63" s="192"/>
      <c r="I63" s="197"/>
      <c r="J63" s="197"/>
      <c r="M63" s="62">
        <v>103.8</v>
      </c>
    </row>
    <row r="64" spans="1:13" x14ac:dyDescent="0.2">
      <c r="A64" s="60" t="s">
        <v>117</v>
      </c>
      <c r="B64" s="71" t="s">
        <v>110</v>
      </c>
      <c r="C64" s="20">
        <v>94232</v>
      </c>
      <c r="D64" s="21" t="s">
        <v>118</v>
      </c>
      <c r="E64" s="22" t="s">
        <v>106</v>
      </c>
      <c r="F64" s="58">
        <f t="shared" si="0"/>
        <v>10520</v>
      </c>
      <c r="G64" s="197"/>
      <c r="H64" s="192"/>
      <c r="I64" s="197"/>
      <c r="J64" s="197"/>
      <c r="M64" s="62">
        <v>526</v>
      </c>
    </row>
    <row r="65" spans="1:13" ht="30.6" x14ac:dyDescent="0.2">
      <c r="A65" s="60" t="s">
        <v>119</v>
      </c>
      <c r="B65" s="71" t="s">
        <v>110</v>
      </c>
      <c r="C65" s="20">
        <v>94221</v>
      </c>
      <c r="D65" s="21" t="s">
        <v>120</v>
      </c>
      <c r="E65" s="22" t="s">
        <v>85</v>
      </c>
      <c r="F65" s="58">
        <f t="shared" si="0"/>
        <v>213</v>
      </c>
      <c r="G65" s="197"/>
      <c r="H65" s="192"/>
      <c r="I65" s="197"/>
      <c r="J65" s="197"/>
      <c r="M65" s="62">
        <v>10.65</v>
      </c>
    </row>
    <row r="66" spans="1:13" ht="20.399999999999999" x14ac:dyDescent="0.2">
      <c r="A66" s="60" t="s">
        <v>121</v>
      </c>
      <c r="B66" s="71" t="s">
        <v>110</v>
      </c>
      <c r="C66" s="20">
        <v>92548</v>
      </c>
      <c r="D66" s="21" t="s">
        <v>122</v>
      </c>
      <c r="E66" s="22" t="s">
        <v>106</v>
      </c>
      <c r="F66" s="58">
        <f t="shared" si="0"/>
        <v>80</v>
      </c>
      <c r="G66" s="197"/>
      <c r="H66" s="192"/>
      <c r="I66" s="197"/>
      <c r="J66" s="197"/>
      <c r="M66" s="62">
        <v>4</v>
      </c>
    </row>
    <row r="67" spans="1:13" s="47" customFormat="1" x14ac:dyDescent="0.2">
      <c r="A67" s="72" t="s">
        <v>123</v>
      </c>
      <c r="B67" s="73" t="s">
        <v>124</v>
      </c>
      <c r="C67" s="74"/>
      <c r="D67" s="75"/>
      <c r="E67" s="76"/>
      <c r="F67" s="58">
        <f t="shared" si="0"/>
        <v>0</v>
      </c>
      <c r="G67" s="200"/>
      <c r="H67" s="192"/>
      <c r="I67" s="200"/>
      <c r="J67" s="200"/>
      <c r="M67" s="77"/>
    </row>
    <row r="68" spans="1:13" s="35" customFormat="1" ht="11.4" x14ac:dyDescent="0.2">
      <c r="A68" s="36" t="s">
        <v>125</v>
      </c>
      <c r="B68" s="36" t="s">
        <v>126</v>
      </c>
      <c r="C68" s="37"/>
      <c r="D68" s="38"/>
      <c r="E68" s="39"/>
      <c r="F68" s="58">
        <f t="shared" si="0"/>
        <v>0</v>
      </c>
      <c r="G68" s="194"/>
      <c r="H68" s="192"/>
      <c r="I68" s="201"/>
      <c r="J68" s="201"/>
      <c r="M68" s="40"/>
    </row>
    <row r="69" spans="1:13" s="47" customFormat="1" x14ac:dyDescent="0.2">
      <c r="A69" s="41" t="s">
        <v>127</v>
      </c>
      <c r="B69" s="42" t="s">
        <v>128</v>
      </c>
      <c r="C69" s="43"/>
      <c r="D69" s="44"/>
      <c r="E69" s="45"/>
      <c r="F69" s="58">
        <f t="shared" si="0"/>
        <v>0</v>
      </c>
      <c r="G69" s="196"/>
      <c r="H69" s="192"/>
      <c r="I69" s="196"/>
      <c r="J69" s="196"/>
      <c r="M69" s="46"/>
    </row>
    <row r="70" spans="1:13" ht="30.6" x14ac:dyDescent="0.2">
      <c r="A70" s="60" t="s">
        <v>129</v>
      </c>
      <c r="B70" s="71" t="s">
        <v>128</v>
      </c>
      <c r="C70" s="20">
        <v>87879</v>
      </c>
      <c r="D70" s="21" t="s">
        <v>130</v>
      </c>
      <c r="E70" s="22" t="s">
        <v>28</v>
      </c>
      <c r="F70" s="58">
        <f t="shared" si="0"/>
        <v>2731.5999999999995</v>
      </c>
      <c r="G70" s="197"/>
      <c r="H70" s="192"/>
      <c r="I70" s="197"/>
      <c r="J70" s="197"/>
      <c r="M70" s="62">
        <v>136.57999999999998</v>
      </c>
    </row>
    <row r="71" spans="1:13" ht="30.6" x14ac:dyDescent="0.2">
      <c r="A71" s="60" t="s">
        <v>131</v>
      </c>
      <c r="B71" s="71" t="s">
        <v>128</v>
      </c>
      <c r="C71" s="20">
        <v>87882</v>
      </c>
      <c r="D71" s="21" t="s">
        <v>132</v>
      </c>
      <c r="E71" s="22" t="s">
        <v>28</v>
      </c>
      <c r="F71" s="58">
        <f t="shared" si="0"/>
        <v>88.800000000000011</v>
      </c>
      <c r="G71" s="197"/>
      <c r="H71" s="192"/>
      <c r="I71" s="197"/>
      <c r="J71" s="197"/>
      <c r="M71" s="62">
        <v>4.4400000000000004</v>
      </c>
    </row>
    <row r="72" spans="1:13" ht="30.6" x14ac:dyDescent="0.2">
      <c r="A72" s="60" t="s">
        <v>133</v>
      </c>
      <c r="B72" s="71" t="s">
        <v>128</v>
      </c>
      <c r="C72" s="20">
        <v>87545</v>
      </c>
      <c r="D72" s="21" t="s">
        <v>134</v>
      </c>
      <c r="E72" s="22" t="s">
        <v>28</v>
      </c>
      <c r="F72" s="58">
        <f t="shared" si="0"/>
        <v>479.4</v>
      </c>
      <c r="G72" s="197"/>
      <c r="H72" s="192"/>
      <c r="I72" s="197"/>
      <c r="J72" s="197"/>
      <c r="M72" s="62">
        <v>23.97</v>
      </c>
    </row>
    <row r="73" spans="1:13" ht="30.6" x14ac:dyDescent="0.2">
      <c r="A73" s="60" t="s">
        <v>135</v>
      </c>
      <c r="B73" s="71" t="s">
        <v>128</v>
      </c>
      <c r="C73" s="20">
        <v>87547</v>
      </c>
      <c r="D73" s="21" t="s">
        <v>136</v>
      </c>
      <c r="E73" s="22" t="s">
        <v>28</v>
      </c>
      <c r="F73" s="58">
        <f t="shared" si="0"/>
        <v>1601</v>
      </c>
      <c r="G73" s="197"/>
      <c r="H73" s="192"/>
      <c r="I73" s="197"/>
      <c r="J73" s="197"/>
      <c r="M73" s="62">
        <v>80.05</v>
      </c>
    </row>
    <row r="74" spans="1:13" ht="30.6" x14ac:dyDescent="0.2">
      <c r="A74" s="60" t="s">
        <v>137</v>
      </c>
      <c r="B74" s="71" t="s">
        <v>128</v>
      </c>
      <c r="C74" s="20">
        <v>104958</v>
      </c>
      <c r="D74" s="21" t="s">
        <v>138</v>
      </c>
      <c r="E74" s="22" t="s">
        <v>28</v>
      </c>
      <c r="F74" s="58">
        <f t="shared" si="0"/>
        <v>651.20000000000005</v>
      </c>
      <c r="G74" s="197"/>
      <c r="H74" s="192"/>
      <c r="I74" s="197"/>
      <c r="J74" s="197"/>
      <c r="M74" s="62">
        <v>32.56</v>
      </c>
    </row>
    <row r="75" spans="1:13" ht="20.399999999999999" x14ac:dyDescent="0.2">
      <c r="A75" s="60" t="s">
        <v>139</v>
      </c>
      <c r="B75" s="71" t="s">
        <v>128</v>
      </c>
      <c r="C75" s="20">
        <v>90408</v>
      </c>
      <c r="D75" s="21" t="s">
        <v>140</v>
      </c>
      <c r="E75" s="22" t="s">
        <v>28</v>
      </c>
      <c r="F75" s="58">
        <f t="shared" ref="F75:F138" si="1">M75*20</f>
        <v>88.800000000000011</v>
      </c>
      <c r="G75" s="197"/>
      <c r="H75" s="192"/>
      <c r="I75" s="197"/>
      <c r="J75" s="197"/>
      <c r="M75" s="62">
        <v>4.4400000000000004</v>
      </c>
    </row>
    <row r="76" spans="1:13" s="47" customFormat="1" x14ac:dyDescent="0.2">
      <c r="A76" s="41" t="s">
        <v>141</v>
      </c>
      <c r="B76" s="42" t="s">
        <v>142</v>
      </c>
      <c r="C76" s="43"/>
      <c r="D76" s="44"/>
      <c r="E76" s="45"/>
      <c r="F76" s="58">
        <f t="shared" si="1"/>
        <v>0</v>
      </c>
      <c r="G76" s="196"/>
      <c r="H76" s="192"/>
      <c r="I76" s="196"/>
      <c r="J76" s="196"/>
      <c r="M76" s="46"/>
    </row>
    <row r="77" spans="1:13" ht="20.399999999999999" x14ac:dyDescent="0.2">
      <c r="A77" s="60" t="s">
        <v>143</v>
      </c>
      <c r="B77" s="71" t="s">
        <v>142</v>
      </c>
      <c r="C77" s="20">
        <v>87267</v>
      </c>
      <c r="D77" s="21" t="s">
        <v>144</v>
      </c>
      <c r="E77" s="22" t="s">
        <v>28</v>
      </c>
      <c r="F77" s="58">
        <f t="shared" si="1"/>
        <v>393</v>
      </c>
      <c r="G77" s="197"/>
      <c r="H77" s="192"/>
      <c r="I77" s="197"/>
      <c r="J77" s="197"/>
      <c r="M77" s="62">
        <v>19.649999999999999</v>
      </c>
    </row>
    <row r="78" spans="1:13" ht="20.399999999999999" x14ac:dyDescent="0.2">
      <c r="A78" s="60" t="s">
        <v>145</v>
      </c>
      <c r="B78" s="79" t="s">
        <v>142</v>
      </c>
      <c r="C78" s="63">
        <v>87265</v>
      </c>
      <c r="D78" s="21" t="s">
        <v>146</v>
      </c>
      <c r="E78" s="22" t="s">
        <v>28</v>
      </c>
      <c r="F78" s="58">
        <f t="shared" si="1"/>
        <v>86.4</v>
      </c>
      <c r="G78" s="198"/>
      <c r="H78" s="192"/>
      <c r="I78" s="197"/>
      <c r="J78" s="197"/>
      <c r="M78" s="80">
        <v>4.32</v>
      </c>
    </row>
    <row r="79" spans="1:13" s="47" customFormat="1" x14ac:dyDescent="0.2">
      <c r="A79" s="41" t="s">
        <v>147</v>
      </c>
      <c r="B79" s="42" t="s">
        <v>148</v>
      </c>
      <c r="C79" s="43"/>
      <c r="D79" s="44"/>
      <c r="E79" s="45"/>
      <c r="F79" s="58">
        <f t="shared" si="1"/>
        <v>0</v>
      </c>
      <c r="G79" s="196"/>
      <c r="H79" s="192"/>
      <c r="I79" s="196"/>
      <c r="J79" s="196"/>
      <c r="M79" s="46"/>
    </row>
    <row r="80" spans="1:13" ht="30.6" x14ac:dyDescent="0.2">
      <c r="A80" s="60" t="s">
        <v>149</v>
      </c>
      <c r="B80" s="71" t="s">
        <v>148</v>
      </c>
      <c r="C80" s="20">
        <v>87905</v>
      </c>
      <c r="D80" s="21" t="s">
        <v>150</v>
      </c>
      <c r="E80" s="22" t="s">
        <v>28</v>
      </c>
      <c r="F80" s="58">
        <f t="shared" si="1"/>
        <v>607</v>
      </c>
      <c r="G80" s="197"/>
      <c r="H80" s="192"/>
      <c r="I80" s="197"/>
      <c r="J80" s="197"/>
      <c r="M80" s="62">
        <v>30.35</v>
      </c>
    </row>
    <row r="81" spans="1:13" ht="30.6" x14ac:dyDescent="0.2">
      <c r="A81" s="60" t="s">
        <v>151</v>
      </c>
      <c r="B81" s="71" t="s">
        <v>148</v>
      </c>
      <c r="C81" s="20">
        <v>87894</v>
      </c>
      <c r="D81" s="21" t="s">
        <v>152</v>
      </c>
      <c r="E81" s="22" t="s">
        <v>28</v>
      </c>
      <c r="F81" s="58">
        <f t="shared" si="1"/>
        <v>609</v>
      </c>
      <c r="G81" s="197"/>
      <c r="H81" s="192"/>
      <c r="I81" s="197"/>
      <c r="J81" s="197"/>
      <c r="M81" s="62">
        <v>30.45</v>
      </c>
    </row>
    <row r="82" spans="1:13" ht="30.6" x14ac:dyDescent="0.2">
      <c r="A82" s="60" t="s">
        <v>153</v>
      </c>
      <c r="B82" s="71" t="s">
        <v>148</v>
      </c>
      <c r="C82" s="20">
        <v>87792</v>
      </c>
      <c r="D82" s="21" t="s">
        <v>154</v>
      </c>
      <c r="E82" s="22" t="s">
        <v>28</v>
      </c>
      <c r="F82" s="58">
        <f t="shared" si="1"/>
        <v>609</v>
      </c>
      <c r="G82" s="197"/>
      <c r="H82" s="192"/>
      <c r="I82" s="197"/>
      <c r="J82" s="197"/>
      <c r="M82" s="62">
        <v>30.45</v>
      </c>
    </row>
    <row r="83" spans="1:13" ht="30.6" x14ac:dyDescent="0.2">
      <c r="A83" s="60" t="s">
        <v>155</v>
      </c>
      <c r="B83" s="71" t="s">
        <v>148</v>
      </c>
      <c r="C83" s="20">
        <v>87775</v>
      </c>
      <c r="D83" s="21" t="s">
        <v>156</v>
      </c>
      <c r="E83" s="22" t="s">
        <v>28</v>
      </c>
      <c r="F83" s="58">
        <f t="shared" si="1"/>
        <v>607</v>
      </c>
      <c r="G83" s="197"/>
      <c r="H83" s="192"/>
      <c r="I83" s="197"/>
      <c r="J83" s="197"/>
      <c r="M83" s="62">
        <v>30.35</v>
      </c>
    </row>
    <row r="84" spans="1:13" s="47" customFormat="1" x14ac:dyDescent="0.2">
      <c r="A84" s="41" t="s">
        <v>157</v>
      </c>
      <c r="B84" s="42" t="s">
        <v>158</v>
      </c>
      <c r="C84" s="43"/>
      <c r="D84" s="44"/>
      <c r="E84" s="45"/>
      <c r="F84" s="58">
        <f t="shared" si="1"/>
        <v>0</v>
      </c>
      <c r="G84" s="196"/>
      <c r="H84" s="192"/>
      <c r="I84" s="196"/>
      <c r="J84" s="196"/>
      <c r="M84" s="46"/>
    </row>
    <row r="85" spans="1:13" ht="20.399999999999999" x14ac:dyDescent="0.2">
      <c r="A85" s="60" t="s">
        <v>159</v>
      </c>
      <c r="B85" s="79" t="s">
        <v>158</v>
      </c>
      <c r="C85" s="63">
        <v>96111</v>
      </c>
      <c r="D85" s="81" t="s">
        <v>160</v>
      </c>
      <c r="E85" s="82" t="s">
        <v>28</v>
      </c>
      <c r="F85" s="58">
        <f t="shared" si="1"/>
        <v>718.00000000000011</v>
      </c>
      <c r="G85" s="202"/>
      <c r="H85" s="192"/>
      <c r="I85" s="197"/>
      <c r="J85" s="197"/>
      <c r="M85" s="80">
        <v>35.900000000000006</v>
      </c>
    </row>
    <row r="86" spans="1:13" s="47" customFormat="1" x14ac:dyDescent="0.2">
      <c r="A86" s="47" t="s">
        <v>161</v>
      </c>
      <c r="B86" s="47" t="s">
        <v>162</v>
      </c>
      <c r="C86" s="83"/>
      <c r="D86" s="84"/>
      <c r="E86" s="85"/>
      <c r="F86" s="58">
        <f t="shared" si="1"/>
        <v>0</v>
      </c>
      <c r="G86" s="203"/>
      <c r="H86" s="192"/>
      <c r="I86" s="200"/>
      <c r="J86" s="200"/>
      <c r="M86" s="86"/>
    </row>
    <row r="87" spans="1:13" s="59" customFormat="1" x14ac:dyDescent="0.2">
      <c r="A87" s="65" t="s">
        <v>163</v>
      </c>
      <c r="B87" s="66" t="s">
        <v>164</v>
      </c>
      <c r="C87" s="67"/>
      <c r="D87" s="68"/>
      <c r="E87" s="69"/>
      <c r="F87" s="58">
        <f t="shared" si="1"/>
        <v>0</v>
      </c>
      <c r="G87" s="199"/>
      <c r="H87" s="192"/>
      <c r="I87" s="199"/>
      <c r="J87" s="199"/>
      <c r="M87" s="70"/>
    </row>
    <row r="88" spans="1:13" x14ac:dyDescent="0.2">
      <c r="A88" s="60" t="s">
        <v>165</v>
      </c>
      <c r="B88" s="71" t="s">
        <v>164</v>
      </c>
      <c r="C88" s="20">
        <v>88485</v>
      </c>
      <c r="D88" s="21" t="s">
        <v>166</v>
      </c>
      <c r="E88" s="22" t="s">
        <v>28</v>
      </c>
      <c r="F88" s="58">
        <f t="shared" si="1"/>
        <v>2252.1999999999998</v>
      </c>
      <c r="G88" s="197"/>
      <c r="H88" s="192"/>
      <c r="I88" s="197"/>
      <c r="J88" s="197"/>
      <c r="M88" s="62">
        <v>112.61</v>
      </c>
    </row>
    <row r="89" spans="1:13" x14ac:dyDescent="0.2">
      <c r="A89" s="60" t="s">
        <v>167</v>
      </c>
      <c r="B89" s="71" t="s">
        <v>164</v>
      </c>
      <c r="C89" s="20">
        <v>88484</v>
      </c>
      <c r="D89" s="21" t="s">
        <v>168</v>
      </c>
      <c r="E89" s="22" t="s">
        <v>28</v>
      </c>
      <c r="F89" s="58">
        <f t="shared" si="1"/>
        <v>88.800000000000011</v>
      </c>
      <c r="G89" s="197"/>
      <c r="H89" s="192"/>
      <c r="I89" s="197"/>
      <c r="J89" s="197"/>
      <c r="M89" s="62">
        <v>4.4400000000000004</v>
      </c>
    </row>
    <row r="90" spans="1:13" ht="20.399999999999999" x14ac:dyDescent="0.2">
      <c r="A90" s="60" t="s">
        <v>169</v>
      </c>
      <c r="B90" s="71" t="s">
        <v>164</v>
      </c>
      <c r="C90" s="20">
        <v>104640</v>
      </c>
      <c r="D90" s="21" t="s">
        <v>170</v>
      </c>
      <c r="E90" s="22" t="s">
        <v>28</v>
      </c>
      <c r="F90" s="58">
        <f t="shared" si="1"/>
        <v>88.800000000000011</v>
      </c>
      <c r="G90" s="197"/>
      <c r="H90" s="192"/>
      <c r="I90" s="197"/>
      <c r="J90" s="197"/>
      <c r="M90" s="62">
        <v>4.4400000000000004</v>
      </c>
    </row>
    <row r="91" spans="1:13" ht="20.399999999999999" x14ac:dyDescent="0.2">
      <c r="A91" s="60" t="s">
        <v>171</v>
      </c>
      <c r="B91" s="79" t="s">
        <v>164</v>
      </c>
      <c r="C91" s="63">
        <v>104642</v>
      </c>
      <c r="D91" s="21" t="s">
        <v>172</v>
      </c>
      <c r="E91" s="22" t="s">
        <v>28</v>
      </c>
      <c r="F91" s="58">
        <f t="shared" si="1"/>
        <v>2252.1999999999998</v>
      </c>
      <c r="G91" s="198"/>
      <c r="H91" s="192"/>
      <c r="I91" s="197"/>
      <c r="J91" s="197"/>
      <c r="M91" s="80">
        <v>112.61</v>
      </c>
    </row>
    <row r="92" spans="1:13" s="59" customFormat="1" x14ac:dyDescent="0.2">
      <c r="A92" s="65" t="s">
        <v>173</v>
      </c>
      <c r="B92" s="66" t="s">
        <v>174</v>
      </c>
      <c r="C92" s="67"/>
      <c r="D92" s="68"/>
      <c r="E92" s="69"/>
      <c r="F92" s="58">
        <f t="shared" si="1"/>
        <v>0</v>
      </c>
      <c r="G92" s="199"/>
      <c r="H92" s="192"/>
      <c r="I92" s="199"/>
      <c r="J92" s="199"/>
      <c r="M92" s="70"/>
    </row>
    <row r="93" spans="1:13" ht="20.399999999999999" x14ac:dyDescent="0.2">
      <c r="A93" s="60" t="s">
        <v>175</v>
      </c>
      <c r="B93" s="71" t="s">
        <v>174</v>
      </c>
      <c r="C93" s="20">
        <v>88415</v>
      </c>
      <c r="D93" s="21" t="s">
        <v>176</v>
      </c>
      <c r="E93" s="22" t="s">
        <v>28</v>
      </c>
      <c r="F93" s="58">
        <f t="shared" si="1"/>
        <v>1216</v>
      </c>
      <c r="G93" s="197"/>
      <c r="H93" s="192"/>
      <c r="I93" s="197"/>
      <c r="J93" s="197"/>
      <c r="M93" s="62">
        <v>60.8</v>
      </c>
    </row>
    <row r="94" spans="1:13" ht="20.399999999999999" x14ac:dyDescent="0.2">
      <c r="A94" s="60" t="s">
        <v>177</v>
      </c>
      <c r="B94" s="79" t="s">
        <v>174</v>
      </c>
      <c r="C94" s="63">
        <v>104642</v>
      </c>
      <c r="D94" s="21" t="s">
        <v>172</v>
      </c>
      <c r="E94" s="22" t="s">
        <v>28</v>
      </c>
      <c r="F94" s="58">
        <f t="shared" si="1"/>
        <v>1216</v>
      </c>
      <c r="G94" s="198"/>
      <c r="H94" s="192"/>
      <c r="I94" s="197"/>
      <c r="J94" s="197"/>
      <c r="M94" s="80">
        <v>60.8</v>
      </c>
    </row>
    <row r="95" spans="1:13" s="59" customFormat="1" x14ac:dyDescent="0.2">
      <c r="A95" s="65" t="s">
        <v>178</v>
      </c>
      <c r="B95" s="66" t="s">
        <v>179</v>
      </c>
      <c r="C95" s="67"/>
      <c r="D95" s="68"/>
      <c r="E95" s="69"/>
      <c r="F95" s="58">
        <f t="shared" si="1"/>
        <v>0</v>
      </c>
      <c r="G95" s="199"/>
      <c r="H95" s="192"/>
      <c r="I95" s="199"/>
      <c r="J95" s="199"/>
      <c r="M95" s="70"/>
    </row>
    <row r="96" spans="1:13" x14ac:dyDescent="0.2">
      <c r="A96" s="60" t="s">
        <v>180</v>
      </c>
      <c r="B96" s="71" t="s">
        <v>179</v>
      </c>
      <c r="C96" s="20">
        <v>102193</v>
      </c>
      <c r="D96" s="21" t="s">
        <v>181</v>
      </c>
      <c r="E96" s="22" t="s">
        <v>28</v>
      </c>
      <c r="F96" s="58">
        <f t="shared" si="1"/>
        <v>299.20000000000005</v>
      </c>
      <c r="G96" s="197"/>
      <c r="H96" s="192"/>
      <c r="I96" s="197"/>
      <c r="J96" s="197"/>
      <c r="M96" s="62">
        <v>14.96</v>
      </c>
    </row>
    <row r="97" spans="1:13" x14ac:dyDescent="0.2">
      <c r="A97" s="60" t="s">
        <v>182</v>
      </c>
      <c r="B97" s="71" t="s">
        <v>179</v>
      </c>
      <c r="C97" s="87">
        <v>102197</v>
      </c>
      <c r="D97" s="21" t="s">
        <v>183</v>
      </c>
      <c r="E97" s="22" t="s">
        <v>28</v>
      </c>
      <c r="F97" s="58">
        <f t="shared" si="1"/>
        <v>299.20000000000005</v>
      </c>
      <c r="G97" s="197"/>
      <c r="H97" s="192"/>
      <c r="I97" s="197"/>
      <c r="J97" s="197"/>
      <c r="M97" s="62">
        <v>14.96</v>
      </c>
    </row>
    <row r="98" spans="1:13" ht="20.399999999999999" x14ac:dyDescent="0.2">
      <c r="A98" s="60" t="s">
        <v>184</v>
      </c>
      <c r="B98" s="79" t="s">
        <v>179</v>
      </c>
      <c r="C98" s="63">
        <v>102219</v>
      </c>
      <c r="D98" s="21" t="s">
        <v>185</v>
      </c>
      <c r="E98" s="22" t="s">
        <v>28</v>
      </c>
      <c r="F98" s="58">
        <f t="shared" si="1"/>
        <v>299.20000000000005</v>
      </c>
      <c r="G98" s="198"/>
      <c r="H98" s="192"/>
      <c r="I98" s="197"/>
      <c r="J98" s="197"/>
      <c r="M98" s="80">
        <v>14.96</v>
      </c>
    </row>
    <row r="99" spans="1:13" s="35" customFormat="1" ht="11.4" x14ac:dyDescent="0.2">
      <c r="A99" s="48" t="s">
        <v>186</v>
      </c>
      <c r="B99" s="48" t="s">
        <v>187</v>
      </c>
      <c r="C99" s="49"/>
      <c r="D99" s="50"/>
      <c r="E99" s="51"/>
      <c r="F99" s="58">
        <f t="shared" si="1"/>
        <v>0</v>
      </c>
      <c r="G99" s="195"/>
      <c r="H99" s="192"/>
      <c r="I99" s="195"/>
      <c r="J99" s="195"/>
      <c r="M99" s="52"/>
    </row>
    <row r="100" spans="1:13" s="47" customFormat="1" x14ac:dyDescent="0.2">
      <c r="A100" s="72" t="s">
        <v>188</v>
      </c>
      <c r="B100" s="73" t="s">
        <v>190</v>
      </c>
      <c r="C100" s="74"/>
      <c r="D100" s="75"/>
      <c r="E100" s="76"/>
      <c r="F100" s="58">
        <f t="shared" si="1"/>
        <v>0</v>
      </c>
      <c r="G100" s="200"/>
      <c r="H100" s="192"/>
      <c r="I100" s="200"/>
      <c r="J100" s="200"/>
      <c r="M100" s="77"/>
    </row>
    <row r="101" spans="1:13" ht="20.399999999999999" x14ac:dyDescent="0.2">
      <c r="A101" s="60" t="s">
        <v>491</v>
      </c>
      <c r="B101" s="71" t="s">
        <v>190</v>
      </c>
      <c r="C101" s="20">
        <v>87247</v>
      </c>
      <c r="D101" s="21" t="s">
        <v>192</v>
      </c>
      <c r="E101" s="22" t="s">
        <v>28</v>
      </c>
      <c r="F101" s="58">
        <f t="shared" si="1"/>
        <v>336</v>
      </c>
      <c r="G101" s="197"/>
      <c r="H101" s="192"/>
      <c r="I101" s="197"/>
      <c r="J101" s="197"/>
      <c r="M101" s="62">
        <v>16.8</v>
      </c>
    </row>
    <row r="102" spans="1:13" ht="20.399999999999999" x14ac:dyDescent="0.2">
      <c r="A102" s="60" t="s">
        <v>492</v>
      </c>
      <c r="B102" s="71" t="s">
        <v>190</v>
      </c>
      <c r="C102" s="20">
        <v>87248</v>
      </c>
      <c r="D102" s="21" t="s">
        <v>194</v>
      </c>
      <c r="E102" s="22" t="s">
        <v>28</v>
      </c>
      <c r="F102" s="58">
        <f t="shared" si="1"/>
        <v>382</v>
      </c>
      <c r="G102" s="197"/>
      <c r="H102" s="192"/>
      <c r="I102" s="197"/>
      <c r="J102" s="197"/>
      <c r="M102" s="62">
        <v>19.100000000000001</v>
      </c>
    </row>
    <row r="103" spans="1:13" ht="20.399999999999999" x14ac:dyDescent="0.2">
      <c r="A103" s="60" t="s">
        <v>493</v>
      </c>
      <c r="B103" s="79" t="s">
        <v>190</v>
      </c>
      <c r="C103" s="63">
        <v>87246</v>
      </c>
      <c r="D103" s="21" t="s">
        <v>195</v>
      </c>
      <c r="E103" s="22" t="s">
        <v>28</v>
      </c>
      <c r="F103" s="58">
        <f t="shared" si="1"/>
        <v>231.20000000000002</v>
      </c>
      <c r="G103" s="198"/>
      <c r="H103" s="192"/>
      <c r="I103" s="197"/>
      <c r="J103" s="197"/>
      <c r="M103" s="80">
        <v>11.56</v>
      </c>
    </row>
    <row r="104" spans="1:13" s="47" customFormat="1" x14ac:dyDescent="0.2">
      <c r="A104" s="41" t="s">
        <v>189</v>
      </c>
      <c r="B104" s="42" t="s">
        <v>197</v>
      </c>
      <c r="C104" s="43"/>
      <c r="D104" s="44"/>
      <c r="E104" s="45"/>
      <c r="F104" s="58">
        <f t="shared" si="1"/>
        <v>0</v>
      </c>
      <c r="G104" s="196"/>
      <c r="H104" s="192"/>
      <c r="I104" s="196"/>
      <c r="J104" s="196"/>
      <c r="M104" s="46"/>
    </row>
    <row r="105" spans="1:13" ht="20.399999999999999" x14ac:dyDescent="0.2">
      <c r="A105" s="60" t="s">
        <v>191</v>
      </c>
      <c r="B105" s="71" t="s">
        <v>197</v>
      </c>
      <c r="C105" s="20">
        <v>97084</v>
      </c>
      <c r="D105" s="21" t="s">
        <v>198</v>
      </c>
      <c r="E105" s="22" t="s">
        <v>28</v>
      </c>
      <c r="F105" s="58">
        <f t="shared" si="1"/>
        <v>323</v>
      </c>
      <c r="G105" s="197"/>
      <c r="H105" s="192"/>
      <c r="I105" s="197"/>
      <c r="J105" s="197"/>
      <c r="M105" s="62">
        <v>16.149999999999999</v>
      </c>
    </row>
    <row r="106" spans="1:13" ht="20.399999999999999" x14ac:dyDescent="0.2">
      <c r="A106" s="60" t="s">
        <v>193</v>
      </c>
      <c r="B106" s="79" t="s">
        <v>197</v>
      </c>
      <c r="C106" s="63">
        <v>94990</v>
      </c>
      <c r="D106" s="21" t="s">
        <v>199</v>
      </c>
      <c r="E106" s="22" t="s">
        <v>25</v>
      </c>
      <c r="F106" s="58">
        <f t="shared" si="1"/>
        <v>22.599999999999998</v>
      </c>
      <c r="G106" s="198"/>
      <c r="H106" s="192"/>
      <c r="I106" s="197"/>
      <c r="J106" s="197"/>
      <c r="M106" s="80">
        <v>1.1299999999999999</v>
      </c>
    </row>
    <row r="107" spans="1:13" s="47" customFormat="1" x14ac:dyDescent="0.2">
      <c r="A107" s="41" t="s">
        <v>196</v>
      </c>
      <c r="B107" s="42" t="s">
        <v>200</v>
      </c>
      <c r="C107" s="43"/>
      <c r="D107" s="44"/>
      <c r="E107" s="45"/>
      <c r="F107" s="58">
        <f t="shared" si="1"/>
        <v>0</v>
      </c>
      <c r="G107" s="196"/>
      <c r="H107" s="192"/>
      <c r="I107" s="196"/>
      <c r="J107" s="196"/>
      <c r="M107" s="46"/>
    </row>
    <row r="108" spans="1:13" x14ac:dyDescent="0.2">
      <c r="A108" s="60" t="s">
        <v>494</v>
      </c>
      <c r="B108" s="71" t="s">
        <v>200</v>
      </c>
      <c r="C108" s="20">
        <v>98695</v>
      </c>
      <c r="D108" s="21" t="s">
        <v>201</v>
      </c>
      <c r="E108" s="22" t="s">
        <v>85</v>
      </c>
      <c r="F108" s="58">
        <f t="shared" si="1"/>
        <v>50.4</v>
      </c>
      <c r="G108" s="197"/>
      <c r="H108" s="192"/>
      <c r="I108" s="197"/>
      <c r="J108" s="197"/>
      <c r="M108" s="62">
        <v>2.52</v>
      </c>
    </row>
    <row r="109" spans="1:13" ht="20.399999999999999" x14ac:dyDescent="0.2">
      <c r="A109" s="60" t="s">
        <v>495</v>
      </c>
      <c r="B109" s="71" t="s">
        <v>200</v>
      </c>
      <c r="C109" s="20">
        <v>88648</v>
      </c>
      <c r="D109" s="21" t="s">
        <v>202</v>
      </c>
      <c r="E109" s="22" t="s">
        <v>85</v>
      </c>
      <c r="F109" s="58">
        <f t="shared" si="1"/>
        <v>745</v>
      </c>
      <c r="G109" s="197"/>
      <c r="H109" s="192"/>
      <c r="I109" s="197"/>
      <c r="J109" s="197"/>
      <c r="M109" s="62">
        <v>37.25</v>
      </c>
    </row>
    <row r="110" spans="1:13" ht="20.399999999999999" x14ac:dyDescent="0.2">
      <c r="A110" s="60" t="s">
        <v>496</v>
      </c>
      <c r="B110" s="79" t="s">
        <v>200</v>
      </c>
      <c r="C110" s="63">
        <v>101965</v>
      </c>
      <c r="D110" s="21" t="s">
        <v>203</v>
      </c>
      <c r="E110" s="22" t="s">
        <v>85</v>
      </c>
      <c r="F110" s="58">
        <f t="shared" si="1"/>
        <v>130</v>
      </c>
      <c r="G110" s="198"/>
      <c r="H110" s="192"/>
      <c r="I110" s="197"/>
      <c r="J110" s="197"/>
      <c r="M110" s="80">
        <v>6.5</v>
      </c>
    </row>
    <row r="111" spans="1:13" s="35" customFormat="1" ht="11.4" x14ac:dyDescent="0.2">
      <c r="A111" s="48" t="s">
        <v>204</v>
      </c>
      <c r="B111" s="48" t="s">
        <v>205</v>
      </c>
      <c r="C111" s="49"/>
      <c r="D111" s="50"/>
      <c r="E111" s="51"/>
      <c r="F111" s="58">
        <f t="shared" si="1"/>
        <v>0</v>
      </c>
      <c r="G111" s="195"/>
      <c r="H111" s="192"/>
      <c r="I111" s="195"/>
      <c r="J111" s="195"/>
      <c r="M111" s="52"/>
    </row>
    <row r="112" spans="1:13" s="47" customFormat="1" x14ac:dyDescent="0.2">
      <c r="A112" s="47" t="s">
        <v>206</v>
      </c>
      <c r="B112" s="47" t="s">
        <v>207</v>
      </c>
      <c r="C112" s="83"/>
      <c r="D112" s="84"/>
      <c r="E112" s="85"/>
      <c r="F112" s="58">
        <f t="shared" si="1"/>
        <v>0</v>
      </c>
      <c r="G112" s="203"/>
      <c r="H112" s="192"/>
      <c r="I112" s="203"/>
      <c r="J112" s="203"/>
      <c r="M112" s="86"/>
    </row>
    <row r="113" spans="1:13" s="59" customFormat="1" x14ac:dyDescent="0.2">
      <c r="A113" s="65" t="s">
        <v>208</v>
      </c>
      <c r="B113" s="66" t="s">
        <v>209</v>
      </c>
      <c r="C113" s="67"/>
      <c r="D113" s="68"/>
      <c r="E113" s="69"/>
      <c r="F113" s="58">
        <f t="shared" si="1"/>
        <v>0</v>
      </c>
      <c r="G113" s="199"/>
      <c r="H113" s="192"/>
      <c r="I113" s="199"/>
      <c r="J113" s="199"/>
      <c r="M113" s="70"/>
    </row>
    <row r="114" spans="1:13" ht="20.399999999999999" x14ac:dyDescent="0.2">
      <c r="A114" s="60" t="s">
        <v>210</v>
      </c>
      <c r="B114" s="71" t="s">
        <v>209</v>
      </c>
      <c r="C114" s="20">
        <v>93653</v>
      </c>
      <c r="D114" s="21" t="s">
        <v>211</v>
      </c>
      <c r="E114" s="22" t="s">
        <v>106</v>
      </c>
      <c r="F114" s="58">
        <f t="shared" si="1"/>
        <v>40</v>
      </c>
      <c r="G114" s="197"/>
      <c r="H114" s="192"/>
      <c r="I114" s="197"/>
      <c r="J114" s="197"/>
      <c r="M114" s="62">
        <v>2</v>
      </c>
    </row>
    <row r="115" spans="1:13" ht="20.399999999999999" x14ac:dyDescent="0.2">
      <c r="A115" s="60" t="s">
        <v>212</v>
      </c>
      <c r="B115" s="71" t="s">
        <v>209</v>
      </c>
      <c r="C115" s="20">
        <v>93656</v>
      </c>
      <c r="D115" s="21" t="s">
        <v>213</v>
      </c>
      <c r="E115" s="22" t="s">
        <v>106</v>
      </c>
      <c r="F115" s="58">
        <f t="shared" si="1"/>
        <v>20</v>
      </c>
      <c r="G115" s="197"/>
      <c r="H115" s="192"/>
      <c r="I115" s="197"/>
      <c r="J115" s="197"/>
      <c r="M115" s="62">
        <v>1</v>
      </c>
    </row>
    <row r="116" spans="1:13" ht="20.399999999999999" x14ac:dyDescent="0.2">
      <c r="A116" s="60" t="s">
        <v>214</v>
      </c>
      <c r="B116" s="71" t="s">
        <v>209</v>
      </c>
      <c r="C116" s="20">
        <v>93659</v>
      </c>
      <c r="D116" s="21" t="s">
        <v>215</v>
      </c>
      <c r="E116" s="22" t="s">
        <v>106</v>
      </c>
      <c r="F116" s="58">
        <f t="shared" si="1"/>
        <v>20</v>
      </c>
      <c r="G116" s="197"/>
      <c r="H116" s="192"/>
      <c r="I116" s="197"/>
      <c r="J116" s="197"/>
      <c r="M116" s="62">
        <v>1</v>
      </c>
    </row>
    <row r="117" spans="1:13" ht="20.399999999999999" x14ac:dyDescent="0.2">
      <c r="A117" s="60" t="s">
        <v>216</v>
      </c>
      <c r="B117" s="71" t="s">
        <v>209</v>
      </c>
      <c r="C117" s="20" t="s">
        <v>217</v>
      </c>
      <c r="D117" s="21" t="s">
        <v>218</v>
      </c>
      <c r="E117" s="22" t="s">
        <v>106</v>
      </c>
      <c r="F117" s="58">
        <f t="shared" si="1"/>
        <v>40</v>
      </c>
      <c r="G117" s="197"/>
      <c r="H117" s="192"/>
      <c r="I117" s="197"/>
      <c r="J117" s="197"/>
      <c r="M117" s="62">
        <v>2</v>
      </c>
    </row>
    <row r="118" spans="1:13" ht="30" customHeight="1" x14ac:dyDescent="0.2">
      <c r="A118" s="60" t="s">
        <v>219</v>
      </c>
      <c r="B118" s="71" t="s">
        <v>209</v>
      </c>
      <c r="C118" s="20">
        <v>93675</v>
      </c>
      <c r="D118" s="21" t="s">
        <v>220</v>
      </c>
      <c r="E118" s="22" t="s">
        <v>106</v>
      </c>
      <c r="F118" s="58">
        <f t="shared" si="1"/>
        <v>20</v>
      </c>
      <c r="G118" s="197"/>
      <c r="H118" s="192"/>
      <c r="I118" s="197"/>
      <c r="J118" s="197"/>
      <c r="M118" s="62">
        <v>1</v>
      </c>
    </row>
    <row r="119" spans="1:13" x14ac:dyDescent="0.2">
      <c r="A119" s="60" t="s">
        <v>221</v>
      </c>
      <c r="B119" s="71" t="s">
        <v>209</v>
      </c>
      <c r="C119" s="20">
        <v>106030</v>
      </c>
      <c r="D119" s="21" t="s">
        <v>222</v>
      </c>
      <c r="E119" s="22" t="s">
        <v>106</v>
      </c>
      <c r="F119" s="58">
        <f t="shared" si="1"/>
        <v>20</v>
      </c>
      <c r="G119" s="197"/>
      <c r="H119" s="192"/>
      <c r="I119" s="197"/>
      <c r="J119" s="197"/>
      <c r="M119" s="62">
        <v>1</v>
      </c>
    </row>
    <row r="120" spans="1:13" ht="20.399999999999999" x14ac:dyDescent="0.2">
      <c r="A120" s="60" t="s">
        <v>223</v>
      </c>
      <c r="B120" s="71" t="s">
        <v>209</v>
      </c>
      <c r="C120" s="20">
        <v>101494</v>
      </c>
      <c r="D120" s="21" t="s">
        <v>224</v>
      </c>
      <c r="E120" s="22" t="s">
        <v>106</v>
      </c>
      <c r="F120" s="58">
        <f t="shared" si="1"/>
        <v>20</v>
      </c>
      <c r="G120" s="197"/>
      <c r="H120" s="192"/>
      <c r="I120" s="197"/>
      <c r="J120" s="197"/>
      <c r="M120" s="62">
        <v>1</v>
      </c>
    </row>
    <row r="121" spans="1:13" ht="20.399999999999999" x14ac:dyDescent="0.2">
      <c r="A121" s="60" t="s">
        <v>225</v>
      </c>
      <c r="B121" s="79" t="s">
        <v>209</v>
      </c>
      <c r="C121" s="88" t="s">
        <v>226</v>
      </c>
      <c r="D121" s="21" t="s">
        <v>227</v>
      </c>
      <c r="E121" s="22" t="s">
        <v>106</v>
      </c>
      <c r="F121" s="58">
        <f t="shared" si="1"/>
        <v>20</v>
      </c>
      <c r="G121" s="197"/>
      <c r="H121" s="192"/>
      <c r="I121" s="197"/>
      <c r="J121" s="197"/>
      <c r="M121" s="80">
        <v>1</v>
      </c>
    </row>
    <row r="122" spans="1:13" s="59" customFormat="1" x14ac:dyDescent="0.2">
      <c r="A122" s="65" t="s">
        <v>228</v>
      </c>
      <c r="B122" s="66" t="s">
        <v>229</v>
      </c>
      <c r="C122" s="67"/>
      <c r="D122" s="68"/>
      <c r="E122" s="69"/>
      <c r="F122" s="58">
        <f t="shared" si="1"/>
        <v>0</v>
      </c>
      <c r="G122" s="199"/>
      <c r="H122" s="192"/>
      <c r="I122" s="199"/>
      <c r="J122" s="199"/>
      <c r="M122" s="70"/>
    </row>
    <row r="123" spans="1:13" ht="20.399999999999999" x14ac:dyDescent="0.2">
      <c r="A123" s="60" t="s">
        <v>230</v>
      </c>
      <c r="B123" s="71" t="s">
        <v>229</v>
      </c>
      <c r="C123" s="20">
        <v>103782</v>
      </c>
      <c r="D123" s="21" t="s">
        <v>231</v>
      </c>
      <c r="E123" s="22" t="s">
        <v>106</v>
      </c>
      <c r="F123" s="58">
        <f t="shared" si="1"/>
        <v>140</v>
      </c>
      <c r="G123" s="197"/>
      <c r="H123" s="192"/>
      <c r="I123" s="197"/>
      <c r="J123" s="197"/>
      <c r="M123" s="62">
        <v>7</v>
      </c>
    </row>
    <row r="124" spans="1:13" ht="20.399999999999999" x14ac:dyDescent="0.2">
      <c r="A124" s="60" t="s">
        <v>232</v>
      </c>
      <c r="B124" s="71" t="s">
        <v>229</v>
      </c>
      <c r="C124" s="20">
        <v>91953</v>
      </c>
      <c r="D124" s="21" t="s">
        <v>233</v>
      </c>
      <c r="E124" s="22" t="s">
        <v>106</v>
      </c>
      <c r="F124" s="58">
        <f t="shared" si="1"/>
        <v>100</v>
      </c>
      <c r="G124" s="197"/>
      <c r="H124" s="192"/>
      <c r="I124" s="197"/>
      <c r="J124" s="197"/>
      <c r="M124" s="62">
        <v>5</v>
      </c>
    </row>
    <row r="125" spans="1:13" ht="20.399999999999999" x14ac:dyDescent="0.2">
      <c r="A125" s="60" t="s">
        <v>234</v>
      </c>
      <c r="B125" s="71" t="s">
        <v>229</v>
      </c>
      <c r="C125" s="20">
        <v>91959</v>
      </c>
      <c r="D125" s="21" t="s">
        <v>235</v>
      </c>
      <c r="E125" s="22" t="s">
        <v>106</v>
      </c>
      <c r="F125" s="58">
        <f t="shared" si="1"/>
        <v>20</v>
      </c>
      <c r="G125" s="197"/>
      <c r="H125" s="192"/>
      <c r="I125" s="197"/>
      <c r="J125" s="197"/>
      <c r="M125" s="62">
        <v>1</v>
      </c>
    </row>
    <row r="126" spans="1:13" ht="20.399999999999999" x14ac:dyDescent="0.2">
      <c r="A126" s="60" t="s">
        <v>236</v>
      </c>
      <c r="B126" s="71" t="s">
        <v>229</v>
      </c>
      <c r="C126" s="20">
        <v>92000</v>
      </c>
      <c r="D126" s="21" t="s">
        <v>237</v>
      </c>
      <c r="E126" s="22" t="s">
        <v>106</v>
      </c>
      <c r="F126" s="58">
        <f t="shared" si="1"/>
        <v>200</v>
      </c>
      <c r="G126" s="197"/>
      <c r="H126" s="192"/>
      <c r="I126" s="197"/>
      <c r="J126" s="197"/>
      <c r="M126" s="62">
        <v>10</v>
      </c>
    </row>
    <row r="127" spans="1:13" ht="20.399999999999999" x14ac:dyDescent="0.2">
      <c r="A127" s="60" t="s">
        <v>238</v>
      </c>
      <c r="B127" s="71" t="s">
        <v>229</v>
      </c>
      <c r="C127" s="20">
        <v>91996</v>
      </c>
      <c r="D127" s="21" t="s">
        <v>239</v>
      </c>
      <c r="E127" s="22" t="s">
        <v>106</v>
      </c>
      <c r="F127" s="58">
        <f t="shared" si="1"/>
        <v>120</v>
      </c>
      <c r="G127" s="197"/>
      <c r="H127" s="192"/>
      <c r="I127" s="197"/>
      <c r="J127" s="197"/>
      <c r="M127" s="62">
        <v>6</v>
      </c>
    </row>
    <row r="128" spans="1:13" ht="20.399999999999999" x14ac:dyDescent="0.2">
      <c r="A128" s="60" t="s">
        <v>240</v>
      </c>
      <c r="B128" s="71" t="s">
        <v>229</v>
      </c>
      <c r="C128" s="20">
        <v>91993</v>
      </c>
      <c r="D128" s="21" t="s">
        <v>241</v>
      </c>
      <c r="E128" s="22" t="s">
        <v>106</v>
      </c>
      <c r="F128" s="58">
        <f t="shared" si="1"/>
        <v>20</v>
      </c>
      <c r="G128" s="197"/>
      <c r="H128" s="192"/>
      <c r="I128" s="197"/>
      <c r="J128" s="197"/>
      <c r="M128" s="62">
        <v>1</v>
      </c>
    </row>
    <row r="129" spans="1:13" ht="20.399999999999999" x14ac:dyDescent="0.2">
      <c r="A129" s="60" t="s">
        <v>242</v>
      </c>
      <c r="B129" s="71" t="s">
        <v>229</v>
      </c>
      <c r="C129" s="20">
        <v>91985</v>
      </c>
      <c r="D129" s="21" t="s">
        <v>243</v>
      </c>
      <c r="E129" s="22" t="s">
        <v>106</v>
      </c>
      <c r="F129" s="58">
        <f t="shared" si="1"/>
        <v>20</v>
      </c>
      <c r="G129" s="197"/>
      <c r="H129" s="192"/>
      <c r="I129" s="197"/>
      <c r="J129" s="197"/>
      <c r="M129" s="62">
        <v>1</v>
      </c>
    </row>
    <row r="130" spans="1:13" ht="20.399999999999999" x14ac:dyDescent="0.2">
      <c r="A130" s="60" t="s">
        <v>244</v>
      </c>
      <c r="B130" s="71" t="s">
        <v>229</v>
      </c>
      <c r="C130" s="20">
        <v>91987</v>
      </c>
      <c r="D130" s="21" t="s">
        <v>245</v>
      </c>
      <c r="E130" s="22" t="s">
        <v>106</v>
      </c>
      <c r="F130" s="58">
        <f t="shared" si="1"/>
        <v>20</v>
      </c>
      <c r="G130" s="197"/>
      <c r="H130" s="192"/>
      <c r="I130" s="197"/>
      <c r="J130" s="197"/>
      <c r="M130" s="62">
        <v>1</v>
      </c>
    </row>
    <row r="131" spans="1:13" ht="20.399999999999999" x14ac:dyDescent="0.2">
      <c r="A131" s="60" t="s">
        <v>246</v>
      </c>
      <c r="B131" s="71" t="s">
        <v>229</v>
      </c>
      <c r="C131" s="20" t="s">
        <v>247</v>
      </c>
      <c r="D131" s="21" t="s">
        <v>248</v>
      </c>
      <c r="E131" s="22" t="s">
        <v>106</v>
      </c>
      <c r="F131" s="58">
        <f t="shared" si="1"/>
        <v>40</v>
      </c>
      <c r="G131" s="197"/>
      <c r="H131" s="192"/>
      <c r="I131" s="197"/>
      <c r="J131" s="197"/>
      <c r="M131" s="62">
        <v>2</v>
      </c>
    </row>
    <row r="132" spans="1:13" ht="20.399999999999999" x14ac:dyDescent="0.2">
      <c r="A132" s="60" t="s">
        <v>249</v>
      </c>
      <c r="B132" s="71" t="s">
        <v>229</v>
      </c>
      <c r="C132" s="20">
        <v>91941</v>
      </c>
      <c r="D132" s="21" t="s">
        <v>250</v>
      </c>
      <c r="E132" s="22" t="s">
        <v>106</v>
      </c>
      <c r="F132" s="58">
        <f t="shared" si="1"/>
        <v>240</v>
      </c>
      <c r="G132" s="197"/>
      <c r="H132" s="192"/>
      <c r="I132" s="197"/>
      <c r="J132" s="197"/>
      <c r="M132" s="62">
        <v>12</v>
      </c>
    </row>
    <row r="133" spans="1:13" ht="20.399999999999999" x14ac:dyDescent="0.2">
      <c r="A133" s="60" t="s">
        <v>251</v>
      </c>
      <c r="B133" s="71" t="s">
        <v>229</v>
      </c>
      <c r="C133" s="20">
        <v>91940</v>
      </c>
      <c r="D133" s="21" t="s">
        <v>252</v>
      </c>
      <c r="E133" s="22" t="s">
        <v>106</v>
      </c>
      <c r="F133" s="58">
        <f t="shared" si="1"/>
        <v>260</v>
      </c>
      <c r="G133" s="197"/>
      <c r="H133" s="192"/>
      <c r="I133" s="197"/>
      <c r="J133" s="197"/>
      <c r="M133" s="62">
        <v>13</v>
      </c>
    </row>
    <row r="134" spans="1:13" ht="20.399999999999999" x14ac:dyDescent="0.2">
      <c r="A134" s="60" t="s">
        <v>253</v>
      </c>
      <c r="B134" s="71" t="s">
        <v>229</v>
      </c>
      <c r="C134" s="20">
        <v>91939</v>
      </c>
      <c r="D134" s="21" t="s">
        <v>254</v>
      </c>
      <c r="E134" s="22" t="s">
        <v>106</v>
      </c>
      <c r="F134" s="58">
        <f t="shared" si="1"/>
        <v>40</v>
      </c>
      <c r="G134" s="197"/>
      <c r="H134" s="192"/>
      <c r="I134" s="197"/>
      <c r="J134" s="197"/>
      <c r="M134" s="62">
        <v>2</v>
      </c>
    </row>
    <row r="135" spans="1:13" ht="20.399999999999999" x14ac:dyDescent="0.2">
      <c r="A135" s="60" t="s">
        <v>255</v>
      </c>
      <c r="B135" s="79" t="s">
        <v>229</v>
      </c>
      <c r="C135" s="63">
        <v>91937</v>
      </c>
      <c r="D135" s="21" t="s">
        <v>256</v>
      </c>
      <c r="E135" s="22" t="s">
        <v>106</v>
      </c>
      <c r="F135" s="58">
        <f t="shared" si="1"/>
        <v>140</v>
      </c>
      <c r="G135" s="198"/>
      <c r="H135" s="192"/>
      <c r="I135" s="197"/>
      <c r="J135" s="197"/>
      <c r="M135" s="80">
        <v>7</v>
      </c>
    </row>
    <row r="136" spans="1:13" s="59" customFormat="1" x14ac:dyDescent="0.2">
      <c r="A136" s="65" t="s">
        <v>257</v>
      </c>
      <c r="B136" s="66" t="s">
        <v>258</v>
      </c>
      <c r="C136" s="67"/>
      <c r="D136" s="68"/>
      <c r="E136" s="69"/>
      <c r="F136" s="58">
        <f t="shared" si="1"/>
        <v>0</v>
      </c>
      <c r="G136" s="199"/>
      <c r="H136" s="192"/>
      <c r="I136" s="199"/>
      <c r="J136" s="199"/>
      <c r="M136" s="70"/>
    </row>
    <row r="137" spans="1:13" ht="20.399999999999999" x14ac:dyDescent="0.2">
      <c r="A137" s="60" t="s">
        <v>259</v>
      </c>
      <c r="B137" s="71" t="s">
        <v>258</v>
      </c>
      <c r="C137" s="20">
        <v>91924</v>
      </c>
      <c r="D137" s="21" t="s">
        <v>260</v>
      </c>
      <c r="E137" s="22" t="s">
        <v>85</v>
      </c>
      <c r="F137" s="58">
        <f t="shared" si="1"/>
        <v>1944.8</v>
      </c>
      <c r="G137" s="197"/>
      <c r="H137" s="192"/>
      <c r="I137" s="197"/>
      <c r="J137" s="197"/>
      <c r="M137" s="62">
        <v>97.24</v>
      </c>
    </row>
    <row r="138" spans="1:13" ht="20.399999999999999" x14ac:dyDescent="0.2">
      <c r="A138" s="60" t="s">
        <v>261</v>
      </c>
      <c r="B138" s="71" t="s">
        <v>258</v>
      </c>
      <c r="C138" s="20">
        <v>91926</v>
      </c>
      <c r="D138" s="21" t="s">
        <v>262</v>
      </c>
      <c r="E138" s="22" t="s">
        <v>85</v>
      </c>
      <c r="F138" s="58">
        <f t="shared" si="1"/>
        <v>3509</v>
      </c>
      <c r="G138" s="197"/>
      <c r="H138" s="192"/>
      <c r="I138" s="197"/>
      <c r="J138" s="197"/>
      <c r="M138" s="62">
        <v>175.45</v>
      </c>
    </row>
    <row r="139" spans="1:13" ht="20.399999999999999" x14ac:dyDescent="0.2">
      <c r="A139" s="60" t="s">
        <v>263</v>
      </c>
      <c r="B139" s="71" t="s">
        <v>258</v>
      </c>
      <c r="C139" s="20">
        <v>91928</v>
      </c>
      <c r="D139" s="21" t="s">
        <v>264</v>
      </c>
      <c r="E139" s="22" t="s">
        <v>85</v>
      </c>
      <c r="F139" s="58">
        <f t="shared" ref="F139:F202" si="2">M139*20</f>
        <v>1722.6</v>
      </c>
      <c r="G139" s="197"/>
      <c r="H139" s="192"/>
      <c r="I139" s="197"/>
      <c r="J139" s="197"/>
      <c r="M139" s="62">
        <v>86.13</v>
      </c>
    </row>
    <row r="140" spans="1:13" ht="20.399999999999999" x14ac:dyDescent="0.2">
      <c r="A140" s="60" t="s">
        <v>265</v>
      </c>
      <c r="B140" s="71" t="s">
        <v>258</v>
      </c>
      <c r="C140" s="20">
        <v>101884</v>
      </c>
      <c r="D140" s="21" t="s">
        <v>266</v>
      </c>
      <c r="E140" s="22" t="s">
        <v>85</v>
      </c>
      <c r="F140" s="58">
        <f t="shared" si="2"/>
        <v>488.40000000000003</v>
      </c>
      <c r="G140" s="197"/>
      <c r="H140" s="192"/>
      <c r="I140" s="197"/>
      <c r="J140" s="197"/>
      <c r="M140" s="62">
        <v>24.42</v>
      </c>
    </row>
    <row r="141" spans="1:13" ht="20.399999999999999" x14ac:dyDescent="0.2">
      <c r="A141" s="60" t="s">
        <v>267</v>
      </c>
      <c r="B141" s="71" t="s">
        <v>258</v>
      </c>
      <c r="C141" s="20">
        <v>101561</v>
      </c>
      <c r="D141" s="21" t="s">
        <v>268</v>
      </c>
      <c r="E141" s="22" t="s">
        <v>85</v>
      </c>
      <c r="F141" s="58">
        <f t="shared" si="2"/>
        <v>712</v>
      </c>
      <c r="G141" s="197"/>
      <c r="H141" s="192"/>
      <c r="I141" s="197"/>
      <c r="J141" s="197"/>
      <c r="M141" s="62">
        <v>35.6</v>
      </c>
    </row>
    <row r="142" spans="1:13" ht="20.399999999999999" x14ac:dyDescent="0.2">
      <c r="A142" s="60" t="s">
        <v>269</v>
      </c>
      <c r="B142" s="71" t="s">
        <v>258</v>
      </c>
      <c r="C142" s="20">
        <v>91834</v>
      </c>
      <c r="D142" s="21" t="s">
        <v>270</v>
      </c>
      <c r="E142" s="22" t="s">
        <v>85</v>
      </c>
      <c r="F142" s="58">
        <f t="shared" si="2"/>
        <v>964.80000000000007</v>
      </c>
      <c r="G142" s="197"/>
      <c r="H142" s="192"/>
      <c r="I142" s="197"/>
      <c r="J142" s="197"/>
      <c r="M142" s="62">
        <v>48.24</v>
      </c>
    </row>
    <row r="143" spans="1:13" ht="20.399999999999999" x14ac:dyDescent="0.2">
      <c r="A143" s="60" t="s">
        <v>271</v>
      </c>
      <c r="B143" s="71" t="s">
        <v>258</v>
      </c>
      <c r="C143" s="20">
        <v>91854</v>
      </c>
      <c r="D143" s="21" t="s">
        <v>272</v>
      </c>
      <c r="E143" s="22" t="s">
        <v>85</v>
      </c>
      <c r="F143" s="58">
        <f t="shared" si="2"/>
        <v>1258.1999999999998</v>
      </c>
      <c r="G143" s="197"/>
      <c r="H143" s="192"/>
      <c r="I143" s="197"/>
      <c r="J143" s="197"/>
      <c r="M143" s="62">
        <v>62.91</v>
      </c>
    </row>
    <row r="144" spans="1:13" ht="20.399999999999999" x14ac:dyDescent="0.2">
      <c r="A144" s="60" t="s">
        <v>273</v>
      </c>
      <c r="B144" s="71" t="s">
        <v>258</v>
      </c>
      <c r="C144" s="20">
        <v>91845</v>
      </c>
      <c r="D144" s="21" t="s">
        <v>274</v>
      </c>
      <c r="E144" s="22" t="s">
        <v>85</v>
      </c>
      <c r="F144" s="58">
        <f t="shared" si="2"/>
        <v>441.2</v>
      </c>
      <c r="G144" s="197"/>
      <c r="H144" s="192"/>
      <c r="I144" s="197"/>
      <c r="J144" s="197"/>
      <c r="M144" s="62">
        <v>22.06</v>
      </c>
    </row>
    <row r="145" spans="1:13" ht="20.399999999999999" x14ac:dyDescent="0.2">
      <c r="A145" s="60" t="s">
        <v>275</v>
      </c>
      <c r="B145" s="79" t="s">
        <v>258</v>
      </c>
      <c r="C145" s="63">
        <v>90447</v>
      </c>
      <c r="D145" s="21" t="s">
        <v>276</v>
      </c>
      <c r="E145" s="22" t="s">
        <v>85</v>
      </c>
      <c r="F145" s="58">
        <f t="shared" si="2"/>
        <v>1258.1999999999998</v>
      </c>
      <c r="G145" s="198"/>
      <c r="H145" s="192"/>
      <c r="I145" s="197"/>
      <c r="J145" s="197"/>
      <c r="M145" s="80">
        <v>62.91</v>
      </c>
    </row>
    <row r="146" spans="1:13" s="47" customFormat="1" x14ac:dyDescent="0.2">
      <c r="A146" s="73" t="s">
        <v>277</v>
      </c>
      <c r="B146" s="73" t="s">
        <v>278</v>
      </c>
      <c r="C146" s="74"/>
      <c r="D146" s="75"/>
      <c r="E146" s="76"/>
      <c r="F146" s="58">
        <f t="shared" si="2"/>
        <v>0</v>
      </c>
      <c r="G146" s="200"/>
      <c r="H146" s="192"/>
      <c r="I146" s="200"/>
      <c r="J146" s="200"/>
      <c r="M146" s="77"/>
    </row>
    <row r="147" spans="1:13" s="59" customFormat="1" x14ac:dyDescent="0.2">
      <c r="A147" s="65" t="s">
        <v>279</v>
      </c>
      <c r="B147" s="66" t="s">
        <v>280</v>
      </c>
      <c r="C147" s="67"/>
      <c r="D147" s="68"/>
      <c r="E147" s="69"/>
      <c r="F147" s="58">
        <f t="shared" si="2"/>
        <v>0</v>
      </c>
      <c r="G147" s="199"/>
      <c r="H147" s="192"/>
      <c r="I147" s="199"/>
      <c r="J147" s="199"/>
      <c r="M147" s="70"/>
    </row>
    <row r="148" spans="1:13" ht="20.399999999999999" x14ac:dyDescent="0.2">
      <c r="A148" s="60" t="s">
        <v>281</v>
      </c>
      <c r="B148" s="71" t="s">
        <v>280</v>
      </c>
      <c r="C148" s="20">
        <v>90373</v>
      </c>
      <c r="D148" s="21" t="s">
        <v>282</v>
      </c>
      <c r="E148" s="22" t="s">
        <v>106</v>
      </c>
      <c r="F148" s="58">
        <f t="shared" si="2"/>
        <v>140</v>
      </c>
      <c r="G148" s="197"/>
      <c r="H148" s="192"/>
      <c r="I148" s="197"/>
      <c r="J148" s="197"/>
      <c r="M148" s="62">
        <v>7</v>
      </c>
    </row>
    <row r="149" spans="1:13" ht="20.399999999999999" x14ac:dyDescent="0.2">
      <c r="A149" s="60" t="s">
        <v>283</v>
      </c>
      <c r="B149" s="71" t="s">
        <v>280</v>
      </c>
      <c r="C149" s="20">
        <v>89408</v>
      </c>
      <c r="D149" s="21" t="s">
        <v>284</v>
      </c>
      <c r="E149" s="22" t="s">
        <v>106</v>
      </c>
      <c r="F149" s="58">
        <f t="shared" si="2"/>
        <v>160</v>
      </c>
      <c r="G149" s="197"/>
      <c r="H149" s="192"/>
      <c r="I149" s="197"/>
      <c r="J149" s="197"/>
      <c r="M149" s="62">
        <v>8</v>
      </c>
    </row>
    <row r="150" spans="1:13" ht="20.399999999999999" x14ac:dyDescent="0.2">
      <c r="A150" s="60" t="s">
        <v>285</v>
      </c>
      <c r="B150" s="71" t="s">
        <v>280</v>
      </c>
      <c r="C150" s="20">
        <v>89395</v>
      </c>
      <c r="D150" s="21" t="s">
        <v>286</v>
      </c>
      <c r="E150" s="22" t="s">
        <v>106</v>
      </c>
      <c r="F150" s="58">
        <f t="shared" si="2"/>
        <v>80</v>
      </c>
      <c r="G150" s="197"/>
      <c r="H150" s="192"/>
      <c r="I150" s="197"/>
      <c r="J150" s="197"/>
      <c r="M150" s="62">
        <v>4</v>
      </c>
    </row>
    <row r="151" spans="1:13" ht="20.399999999999999" x14ac:dyDescent="0.2">
      <c r="A151" s="60" t="s">
        <v>287</v>
      </c>
      <c r="B151" s="71" t="s">
        <v>280</v>
      </c>
      <c r="C151" s="20">
        <v>89383</v>
      </c>
      <c r="D151" s="21" t="s">
        <v>288</v>
      </c>
      <c r="E151" s="22" t="s">
        <v>106</v>
      </c>
      <c r="F151" s="58">
        <f t="shared" si="2"/>
        <v>160</v>
      </c>
      <c r="G151" s="197"/>
      <c r="H151" s="192"/>
      <c r="I151" s="197"/>
      <c r="J151" s="197"/>
      <c r="M151" s="62">
        <v>8</v>
      </c>
    </row>
    <row r="152" spans="1:13" ht="20.399999999999999" x14ac:dyDescent="0.2">
      <c r="A152" s="60" t="s">
        <v>289</v>
      </c>
      <c r="B152" s="71" t="s">
        <v>280</v>
      </c>
      <c r="C152" s="20">
        <v>89446</v>
      </c>
      <c r="D152" s="21" t="s">
        <v>290</v>
      </c>
      <c r="E152" s="22" t="s">
        <v>85</v>
      </c>
      <c r="F152" s="58">
        <f t="shared" si="2"/>
        <v>102</v>
      </c>
      <c r="G152" s="197"/>
      <c r="H152" s="192"/>
      <c r="I152" s="197"/>
      <c r="J152" s="197"/>
      <c r="M152" s="62">
        <v>5.0999999999999996</v>
      </c>
    </row>
    <row r="153" spans="1:13" ht="20.399999999999999" x14ac:dyDescent="0.2">
      <c r="A153" s="60" t="s">
        <v>291</v>
      </c>
      <c r="B153" s="71" t="s">
        <v>280</v>
      </c>
      <c r="C153" s="20">
        <v>89356</v>
      </c>
      <c r="D153" s="21" t="s">
        <v>292</v>
      </c>
      <c r="E153" s="22" t="s">
        <v>85</v>
      </c>
      <c r="F153" s="58">
        <f t="shared" si="2"/>
        <v>174</v>
      </c>
      <c r="G153" s="197"/>
      <c r="H153" s="192"/>
      <c r="I153" s="197"/>
      <c r="J153" s="197"/>
      <c r="M153" s="62">
        <v>8.6999999999999993</v>
      </c>
    </row>
    <row r="154" spans="1:13" ht="20.399999999999999" x14ac:dyDescent="0.2">
      <c r="A154" s="60" t="s">
        <v>293</v>
      </c>
      <c r="B154" s="71" t="s">
        <v>280</v>
      </c>
      <c r="C154" s="20" t="s">
        <v>294</v>
      </c>
      <c r="D154" s="21" t="s">
        <v>295</v>
      </c>
      <c r="E154" s="22" t="s">
        <v>106</v>
      </c>
      <c r="F154" s="58">
        <f t="shared" si="2"/>
        <v>20</v>
      </c>
      <c r="G154" s="197"/>
      <c r="H154" s="192"/>
      <c r="I154" s="197"/>
      <c r="J154" s="197"/>
      <c r="M154" s="62">
        <v>1</v>
      </c>
    </row>
    <row r="155" spans="1:13" s="59" customFormat="1" x14ac:dyDescent="0.2">
      <c r="A155" s="65" t="s">
        <v>296</v>
      </c>
      <c r="B155" s="66" t="s">
        <v>297</v>
      </c>
      <c r="C155" s="67"/>
      <c r="D155" s="68"/>
      <c r="E155" s="69"/>
      <c r="F155" s="58">
        <f t="shared" si="2"/>
        <v>0</v>
      </c>
      <c r="G155" s="199"/>
      <c r="H155" s="192"/>
      <c r="I155" s="199"/>
      <c r="J155" s="199"/>
      <c r="M155" s="70"/>
    </row>
    <row r="156" spans="1:13" ht="20.399999999999999" x14ac:dyDescent="0.2">
      <c r="A156" s="60" t="s">
        <v>298</v>
      </c>
      <c r="B156" s="71" t="s">
        <v>297</v>
      </c>
      <c r="C156" s="20">
        <v>89985</v>
      </c>
      <c r="D156" s="21" t="s">
        <v>299</v>
      </c>
      <c r="E156" s="22" t="s">
        <v>106</v>
      </c>
      <c r="F156" s="58">
        <f t="shared" si="2"/>
        <v>20</v>
      </c>
      <c r="G156" s="197"/>
      <c r="H156" s="192"/>
      <c r="I156" s="197"/>
      <c r="J156" s="197"/>
      <c r="M156" s="62">
        <v>1</v>
      </c>
    </row>
    <row r="157" spans="1:13" ht="20.399999999999999" x14ac:dyDescent="0.2">
      <c r="A157" s="60" t="s">
        <v>300</v>
      </c>
      <c r="B157" s="71" t="s">
        <v>297</v>
      </c>
      <c r="C157" s="20">
        <v>89987</v>
      </c>
      <c r="D157" s="21" t="s">
        <v>301</v>
      </c>
      <c r="E157" s="22" t="s">
        <v>106</v>
      </c>
      <c r="F157" s="58">
        <f t="shared" si="2"/>
        <v>60</v>
      </c>
      <c r="G157" s="197"/>
      <c r="H157" s="192"/>
      <c r="I157" s="197"/>
      <c r="J157" s="197"/>
      <c r="M157" s="62">
        <v>3</v>
      </c>
    </row>
    <row r="158" spans="1:13" ht="20.399999999999999" x14ac:dyDescent="0.2">
      <c r="A158" s="60" t="s">
        <v>302</v>
      </c>
      <c r="B158" s="71" t="s">
        <v>297</v>
      </c>
      <c r="C158" s="20">
        <v>94490</v>
      </c>
      <c r="D158" s="21" t="s">
        <v>303</v>
      </c>
      <c r="E158" s="22" t="s">
        <v>106</v>
      </c>
      <c r="F158" s="58">
        <f t="shared" si="2"/>
        <v>40</v>
      </c>
      <c r="G158" s="197"/>
      <c r="H158" s="192"/>
      <c r="I158" s="197"/>
      <c r="J158" s="197"/>
      <c r="M158" s="62">
        <v>2</v>
      </c>
    </row>
    <row r="159" spans="1:13" ht="20.399999999999999" x14ac:dyDescent="0.2">
      <c r="A159" s="60" t="s">
        <v>304</v>
      </c>
      <c r="B159" s="79" t="s">
        <v>297</v>
      </c>
      <c r="C159" s="63">
        <v>86885</v>
      </c>
      <c r="D159" s="21" t="s">
        <v>305</v>
      </c>
      <c r="E159" s="22" t="s">
        <v>106</v>
      </c>
      <c r="F159" s="58">
        <f t="shared" si="2"/>
        <v>80</v>
      </c>
      <c r="G159" s="198"/>
      <c r="H159" s="192"/>
      <c r="I159" s="197"/>
      <c r="J159" s="197"/>
      <c r="M159" s="80">
        <v>4</v>
      </c>
    </row>
    <row r="160" spans="1:13" s="59" customFormat="1" x14ac:dyDescent="0.2">
      <c r="A160" s="65" t="s">
        <v>306</v>
      </c>
      <c r="B160" s="66" t="s">
        <v>307</v>
      </c>
      <c r="C160" s="67"/>
      <c r="D160" s="68"/>
      <c r="E160" s="69"/>
      <c r="F160" s="58">
        <f t="shared" si="2"/>
        <v>0</v>
      </c>
      <c r="G160" s="199"/>
      <c r="H160" s="192"/>
      <c r="I160" s="199"/>
      <c r="J160" s="199"/>
      <c r="M160" s="70"/>
    </row>
    <row r="161" spans="1:13" ht="20.399999999999999" x14ac:dyDescent="0.2">
      <c r="A161" s="60" t="s">
        <v>308</v>
      </c>
      <c r="B161" s="71" t="s">
        <v>307</v>
      </c>
      <c r="C161" s="20">
        <v>97741</v>
      </c>
      <c r="D161" s="21" t="s">
        <v>309</v>
      </c>
      <c r="E161" s="22" t="s">
        <v>106</v>
      </c>
      <c r="F161" s="58">
        <f t="shared" si="2"/>
        <v>20</v>
      </c>
      <c r="G161" s="197"/>
      <c r="H161" s="192"/>
      <c r="I161" s="197"/>
      <c r="J161" s="197"/>
      <c r="M161" s="62">
        <v>1</v>
      </c>
    </row>
    <row r="162" spans="1:13" ht="20.399999999999999" x14ac:dyDescent="0.2">
      <c r="A162" s="60" t="s">
        <v>310</v>
      </c>
      <c r="B162" s="71" t="s">
        <v>307</v>
      </c>
      <c r="C162" s="20" t="s">
        <v>311</v>
      </c>
      <c r="D162" s="21" t="s">
        <v>312</v>
      </c>
      <c r="E162" s="22" t="s">
        <v>106</v>
      </c>
      <c r="F162" s="58">
        <f t="shared" si="2"/>
        <v>20</v>
      </c>
      <c r="G162" s="197"/>
      <c r="H162" s="192"/>
      <c r="I162" s="197"/>
      <c r="J162" s="197"/>
      <c r="M162" s="62">
        <v>1</v>
      </c>
    </row>
    <row r="163" spans="1:13" ht="20.399999999999999" x14ac:dyDescent="0.2">
      <c r="A163" s="60" t="s">
        <v>313</v>
      </c>
      <c r="B163" s="71" t="s">
        <v>307</v>
      </c>
      <c r="C163" s="20">
        <v>89353</v>
      </c>
      <c r="D163" s="21" t="s">
        <v>314</v>
      </c>
      <c r="E163" s="22" t="s">
        <v>106</v>
      </c>
      <c r="F163" s="58">
        <f t="shared" si="2"/>
        <v>20</v>
      </c>
      <c r="G163" s="197"/>
      <c r="H163" s="192"/>
      <c r="I163" s="197"/>
      <c r="J163" s="197"/>
      <c r="M163" s="62">
        <v>1</v>
      </c>
    </row>
    <row r="164" spans="1:13" ht="20.399999999999999" x14ac:dyDescent="0.2">
      <c r="A164" s="60" t="s">
        <v>315</v>
      </c>
      <c r="B164" s="71" t="s">
        <v>307</v>
      </c>
      <c r="C164" s="20">
        <v>89402</v>
      </c>
      <c r="D164" s="21" t="s">
        <v>316</v>
      </c>
      <c r="E164" s="22" t="s">
        <v>85</v>
      </c>
      <c r="F164" s="58">
        <f t="shared" si="2"/>
        <v>135</v>
      </c>
      <c r="G164" s="197"/>
      <c r="H164" s="192"/>
      <c r="I164" s="197"/>
      <c r="J164" s="197"/>
      <c r="M164" s="62">
        <v>6.75</v>
      </c>
    </row>
    <row r="165" spans="1:13" ht="20.399999999999999" x14ac:dyDescent="0.2">
      <c r="A165" s="60" t="s">
        <v>317</v>
      </c>
      <c r="B165" s="71" t="s">
        <v>307</v>
      </c>
      <c r="C165" s="20">
        <v>89446</v>
      </c>
      <c r="D165" s="21" t="s">
        <v>290</v>
      </c>
      <c r="E165" s="22" t="s">
        <v>85</v>
      </c>
      <c r="F165" s="58">
        <f t="shared" si="2"/>
        <v>60</v>
      </c>
      <c r="G165" s="197"/>
      <c r="H165" s="192"/>
      <c r="I165" s="197"/>
      <c r="J165" s="197"/>
      <c r="M165" s="62">
        <v>3</v>
      </c>
    </row>
    <row r="166" spans="1:13" ht="20.399999999999999" x14ac:dyDescent="0.2">
      <c r="A166" s="60" t="s">
        <v>318</v>
      </c>
      <c r="B166" s="71" t="s">
        <v>307</v>
      </c>
      <c r="C166" s="20">
        <v>89408</v>
      </c>
      <c r="D166" s="21" t="s">
        <v>284</v>
      </c>
      <c r="E166" s="22" t="s">
        <v>106</v>
      </c>
      <c r="F166" s="58">
        <f t="shared" si="2"/>
        <v>40</v>
      </c>
      <c r="G166" s="197"/>
      <c r="H166" s="192"/>
      <c r="I166" s="197"/>
      <c r="J166" s="197"/>
      <c r="M166" s="62">
        <v>2</v>
      </c>
    </row>
    <row r="167" spans="1:13" ht="20.399999999999999" x14ac:dyDescent="0.2">
      <c r="A167" s="60" t="s">
        <v>319</v>
      </c>
      <c r="B167" s="79" t="s">
        <v>307</v>
      </c>
      <c r="C167" s="63">
        <v>89440</v>
      </c>
      <c r="D167" s="21" t="s">
        <v>320</v>
      </c>
      <c r="E167" s="22" t="s">
        <v>106</v>
      </c>
      <c r="F167" s="58">
        <f t="shared" si="2"/>
        <v>20</v>
      </c>
      <c r="G167" s="197"/>
      <c r="H167" s="192"/>
      <c r="I167" s="197"/>
      <c r="J167" s="197"/>
      <c r="M167" s="80">
        <v>1</v>
      </c>
    </row>
    <row r="168" spans="1:13" s="59" customFormat="1" x14ac:dyDescent="0.2">
      <c r="A168" s="65" t="s">
        <v>321</v>
      </c>
      <c r="B168" s="66" t="s">
        <v>322</v>
      </c>
      <c r="C168" s="67"/>
      <c r="D168" s="68"/>
      <c r="E168" s="69"/>
      <c r="F168" s="58">
        <f t="shared" si="2"/>
        <v>0</v>
      </c>
      <c r="G168" s="199"/>
      <c r="H168" s="192"/>
      <c r="I168" s="199"/>
      <c r="J168" s="199"/>
      <c r="M168" s="70"/>
    </row>
    <row r="169" spans="1:13" x14ac:dyDescent="0.2">
      <c r="A169" s="60" t="s">
        <v>323</v>
      </c>
      <c r="B169" s="71" t="s">
        <v>322</v>
      </c>
      <c r="C169" s="20">
        <v>102605</v>
      </c>
      <c r="D169" s="21" t="s">
        <v>324</v>
      </c>
      <c r="E169" s="22" t="s">
        <v>106</v>
      </c>
      <c r="F169" s="58">
        <f t="shared" si="2"/>
        <v>20</v>
      </c>
      <c r="G169" s="197"/>
      <c r="H169" s="192"/>
      <c r="I169" s="197"/>
      <c r="J169" s="197"/>
      <c r="M169" s="62">
        <v>1</v>
      </c>
    </row>
    <row r="170" spans="1:13" x14ac:dyDescent="0.2">
      <c r="A170" s="60" t="s">
        <v>325</v>
      </c>
      <c r="B170" s="71" t="s">
        <v>322</v>
      </c>
      <c r="C170" s="20">
        <v>102591</v>
      </c>
      <c r="D170" s="21" t="s">
        <v>326</v>
      </c>
      <c r="E170" s="22" t="s">
        <v>106</v>
      </c>
      <c r="F170" s="58">
        <f t="shared" si="2"/>
        <v>20</v>
      </c>
      <c r="G170" s="197"/>
      <c r="H170" s="192"/>
      <c r="I170" s="197"/>
      <c r="J170" s="197"/>
      <c r="M170" s="62">
        <v>1</v>
      </c>
    </row>
    <row r="171" spans="1:13" x14ac:dyDescent="0.2">
      <c r="A171" s="60" t="s">
        <v>327</v>
      </c>
      <c r="B171" s="71" t="s">
        <v>322</v>
      </c>
      <c r="C171" s="20">
        <v>102593</v>
      </c>
      <c r="D171" s="21" t="s">
        <v>328</v>
      </c>
      <c r="E171" s="22" t="s">
        <v>106</v>
      </c>
      <c r="F171" s="58">
        <f t="shared" si="2"/>
        <v>40</v>
      </c>
      <c r="G171" s="197"/>
      <c r="H171" s="192"/>
      <c r="I171" s="197"/>
      <c r="J171" s="197"/>
      <c r="M171" s="62">
        <v>2</v>
      </c>
    </row>
    <row r="172" spans="1:13" ht="20.399999999999999" x14ac:dyDescent="0.2">
      <c r="A172" s="60" t="s">
        <v>329</v>
      </c>
      <c r="B172" s="71" t="s">
        <v>322</v>
      </c>
      <c r="C172" s="20">
        <v>94703</v>
      </c>
      <c r="D172" s="21" t="s">
        <v>330</v>
      </c>
      <c r="E172" s="22" t="s">
        <v>106</v>
      </c>
      <c r="F172" s="58">
        <f t="shared" si="2"/>
        <v>20</v>
      </c>
      <c r="G172" s="197"/>
      <c r="H172" s="192"/>
      <c r="I172" s="197"/>
      <c r="J172" s="197"/>
      <c r="M172" s="62">
        <v>1</v>
      </c>
    </row>
    <row r="173" spans="1:13" ht="20.399999999999999" x14ac:dyDescent="0.2">
      <c r="A173" s="60" t="s">
        <v>331</v>
      </c>
      <c r="B173" s="71" t="s">
        <v>322</v>
      </c>
      <c r="C173" s="20">
        <v>94704</v>
      </c>
      <c r="D173" s="21" t="s">
        <v>332</v>
      </c>
      <c r="E173" s="22" t="s">
        <v>106</v>
      </c>
      <c r="F173" s="58">
        <f t="shared" si="2"/>
        <v>40</v>
      </c>
      <c r="G173" s="197"/>
      <c r="H173" s="192"/>
      <c r="I173" s="197"/>
      <c r="J173" s="197"/>
      <c r="M173" s="62">
        <v>2</v>
      </c>
    </row>
    <row r="174" spans="1:13" ht="20.399999999999999" x14ac:dyDescent="0.2">
      <c r="A174" s="60" t="s">
        <v>333</v>
      </c>
      <c r="B174" s="71" t="s">
        <v>322</v>
      </c>
      <c r="C174" s="20">
        <v>94796</v>
      </c>
      <c r="D174" s="21" t="s">
        <v>334</v>
      </c>
      <c r="E174" s="22" t="s">
        <v>106</v>
      </c>
      <c r="F174" s="58">
        <f t="shared" si="2"/>
        <v>20</v>
      </c>
      <c r="G174" s="197"/>
      <c r="H174" s="192"/>
      <c r="I174" s="197"/>
      <c r="J174" s="197"/>
      <c r="M174" s="62">
        <v>1</v>
      </c>
    </row>
    <row r="175" spans="1:13" ht="20.399999999999999" x14ac:dyDescent="0.2">
      <c r="A175" s="60" t="s">
        <v>335</v>
      </c>
      <c r="B175" s="71" t="s">
        <v>322</v>
      </c>
      <c r="C175" s="20">
        <v>89408</v>
      </c>
      <c r="D175" s="21" t="s">
        <v>284</v>
      </c>
      <c r="E175" s="22" t="s">
        <v>106</v>
      </c>
      <c r="F175" s="58">
        <f t="shared" si="2"/>
        <v>160</v>
      </c>
      <c r="G175" s="197"/>
      <c r="H175" s="192"/>
      <c r="I175" s="197"/>
      <c r="J175" s="197"/>
      <c r="M175" s="62">
        <v>8</v>
      </c>
    </row>
    <row r="176" spans="1:13" ht="20.399999999999999" x14ac:dyDescent="0.2">
      <c r="A176" s="60" t="s">
        <v>336</v>
      </c>
      <c r="B176" s="71" t="s">
        <v>322</v>
      </c>
      <c r="C176" s="20">
        <v>89413</v>
      </c>
      <c r="D176" s="21" t="s">
        <v>337</v>
      </c>
      <c r="E176" s="22" t="s">
        <v>106</v>
      </c>
      <c r="F176" s="58">
        <f t="shared" si="2"/>
        <v>80</v>
      </c>
      <c r="G176" s="197"/>
      <c r="H176" s="192"/>
      <c r="I176" s="197"/>
      <c r="J176" s="197"/>
      <c r="M176" s="62">
        <v>4</v>
      </c>
    </row>
    <row r="177" spans="1:13" ht="20.399999999999999" x14ac:dyDescent="0.2">
      <c r="A177" s="60" t="s">
        <v>338</v>
      </c>
      <c r="B177" s="71" t="s">
        <v>322</v>
      </c>
      <c r="C177" s="20">
        <v>89414</v>
      </c>
      <c r="D177" s="21" t="s">
        <v>339</v>
      </c>
      <c r="E177" s="22" t="s">
        <v>106</v>
      </c>
      <c r="F177" s="58">
        <f t="shared" si="2"/>
        <v>20</v>
      </c>
      <c r="G177" s="197"/>
      <c r="H177" s="192"/>
      <c r="I177" s="197"/>
      <c r="J177" s="197"/>
      <c r="M177" s="62">
        <v>1</v>
      </c>
    </row>
    <row r="178" spans="1:13" ht="20.399999999999999" x14ac:dyDescent="0.2">
      <c r="A178" s="60" t="s">
        <v>340</v>
      </c>
      <c r="B178" s="71" t="s">
        <v>322</v>
      </c>
      <c r="C178" s="20">
        <v>103953</v>
      </c>
      <c r="D178" s="21" t="s">
        <v>341</v>
      </c>
      <c r="E178" s="22" t="s">
        <v>106</v>
      </c>
      <c r="F178" s="58">
        <f t="shared" si="2"/>
        <v>40</v>
      </c>
      <c r="G178" s="197"/>
      <c r="H178" s="192"/>
      <c r="I178" s="197"/>
      <c r="J178" s="197"/>
      <c r="M178" s="62">
        <v>2</v>
      </c>
    </row>
    <row r="179" spans="1:13" ht="20.399999999999999" x14ac:dyDescent="0.2">
      <c r="A179" s="60" t="s">
        <v>342</v>
      </c>
      <c r="B179" s="71" t="s">
        <v>322</v>
      </c>
      <c r="C179" s="20">
        <v>89443</v>
      </c>
      <c r="D179" s="21" t="s">
        <v>343</v>
      </c>
      <c r="E179" s="22" t="s">
        <v>106</v>
      </c>
      <c r="F179" s="58">
        <f t="shared" si="2"/>
        <v>60</v>
      </c>
      <c r="G179" s="197"/>
      <c r="H179" s="192"/>
      <c r="I179" s="197"/>
      <c r="J179" s="197"/>
      <c r="M179" s="62">
        <v>3</v>
      </c>
    </row>
    <row r="180" spans="1:13" ht="20.399999999999999" x14ac:dyDescent="0.2">
      <c r="A180" s="60" t="s">
        <v>344</v>
      </c>
      <c r="B180" s="71" t="s">
        <v>322</v>
      </c>
      <c r="C180" s="20">
        <v>89445</v>
      </c>
      <c r="D180" s="21" t="s">
        <v>345</v>
      </c>
      <c r="E180" s="22" t="s">
        <v>106</v>
      </c>
      <c r="F180" s="58">
        <f t="shared" si="2"/>
        <v>20</v>
      </c>
      <c r="G180" s="197"/>
      <c r="H180" s="192"/>
      <c r="I180" s="197"/>
      <c r="J180" s="197"/>
      <c r="M180" s="62">
        <v>1</v>
      </c>
    </row>
    <row r="181" spans="1:13" ht="20.399999999999999" x14ac:dyDescent="0.2">
      <c r="A181" s="60" t="s">
        <v>346</v>
      </c>
      <c r="B181" s="71" t="s">
        <v>322</v>
      </c>
      <c r="C181" s="20">
        <v>89402</v>
      </c>
      <c r="D181" s="21" t="s">
        <v>316</v>
      </c>
      <c r="E181" s="22" t="s">
        <v>85</v>
      </c>
      <c r="F181" s="58">
        <f t="shared" si="2"/>
        <v>88</v>
      </c>
      <c r="G181" s="197"/>
      <c r="H181" s="192"/>
      <c r="I181" s="197"/>
      <c r="J181" s="197"/>
      <c r="M181" s="62">
        <v>4.4000000000000004</v>
      </c>
    </row>
    <row r="182" spans="1:13" ht="20.399999999999999" x14ac:dyDescent="0.2">
      <c r="A182" s="60" t="s">
        <v>347</v>
      </c>
      <c r="B182" s="71" t="s">
        <v>322</v>
      </c>
      <c r="C182" s="20">
        <v>89403</v>
      </c>
      <c r="D182" s="21" t="s">
        <v>348</v>
      </c>
      <c r="E182" s="22" t="s">
        <v>85</v>
      </c>
      <c r="F182" s="58">
        <f t="shared" si="2"/>
        <v>211</v>
      </c>
      <c r="G182" s="197"/>
      <c r="H182" s="192"/>
      <c r="I182" s="197"/>
      <c r="J182" s="197"/>
      <c r="M182" s="62">
        <v>10.55</v>
      </c>
    </row>
    <row r="183" spans="1:13" s="47" customFormat="1" x14ac:dyDescent="0.2">
      <c r="A183" s="73" t="s">
        <v>349</v>
      </c>
      <c r="B183" s="73" t="s">
        <v>350</v>
      </c>
      <c r="C183" s="74"/>
      <c r="D183" s="75"/>
      <c r="E183" s="76"/>
      <c r="F183" s="58">
        <f t="shared" si="2"/>
        <v>0</v>
      </c>
      <c r="G183" s="200"/>
      <c r="H183" s="192"/>
      <c r="I183" s="200"/>
      <c r="J183" s="200"/>
      <c r="M183" s="77"/>
    </row>
    <row r="184" spans="1:13" s="59" customFormat="1" x14ac:dyDescent="0.2">
      <c r="A184" s="65" t="s">
        <v>351</v>
      </c>
      <c r="B184" s="66" t="s">
        <v>352</v>
      </c>
      <c r="C184" s="67"/>
      <c r="D184" s="68"/>
      <c r="E184" s="69"/>
      <c r="F184" s="58">
        <f t="shared" si="2"/>
        <v>0</v>
      </c>
      <c r="G184" s="199"/>
      <c r="H184" s="192"/>
      <c r="I184" s="199"/>
      <c r="J184" s="199"/>
      <c r="M184" s="70"/>
    </row>
    <row r="185" spans="1:13" ht="30.6" x14ac:dyDescent="0.2">
      <c r="A185" s="60" t="s">
        <v>353</v>
      </c>
      <c r="B185" s="71" t="s">
        <v>352</v>
      </c>
      <c r="C185" s="20">
        <v>89726</v>
      </c>
      <c r="D185" s="21" t="s">
        <v>354</v>
      </c>
      <c r="E185" s="22" t="s">
        <v>106</v>
      </c>
      <c r="F185" s="58">
        <f t="shared" si="2"/>
        <v>60</v>
      </c>
      <c r="G185" s="197"/>
      <c r="H185" s="192"/>
      <c r="I185" s="197"/>
      <c r="J185" s="197"/>
      <c r="M185" s="62">
        <v>3</v>
      </c>
    </row>
    <row r="186" spans="1:13" ht="30.6" x14ac:dyDescent="0.2">
      <c r="A186" s="60" t="s">
        <v>355</v>
      </c>
      <c r="B186" s="71" t="s">
        <v>352</v>
      </c>
      <c r="C186" s="20">
        <v>89732</v>
      </c>
      <c r="D186" s="21" t="s">
        <v>356</v>
      </c>
      <c r="E186" s="22" t="s">
        <v>106</v>
      </c>
      <c r="F186" s="58">
        <f t="shared" si="2"/>
        <v>40</v>
      </c>
      <c r="G186" s="197"/>
      <c r="H186" s="192"/>
      <c r="I186" s="197"/>
      <c r="J186" s="197"/>
      <c r="M186" s="62">
        <v>2</v>
      </c>
    </row>
    <row r="187" spans="1:13" ht="30.6" x14ac:dyDescent="0.2">
      <c r="A187" s="60" t="s">
        <v>357</v>
      </c>
      <c r="B187" s="71" t="s">
        <v>352</v>
      </c>
      <c r="C187" s="20">
        <v>89724</v>
      </c>
      <c r="D187" s="21" t="s">
        <v>358</v>
      </c>
      <c r="E187" s="22" t="s">
        <v>106</v>
      </c>
      <c r="F187" s="58">
        <f t="shared" si="2"/>
        <v>40</v>
      </c>
      <c r="G187" s="197"/>
      <c r="H187" s="192"/>
      <c r="I187" s="197"/>
      <c r="J187" s="197"/>
      <c r="M187" s="62">
        <v>2</v>
      </c>
    </row>
    <row r="188" spans="1:13" ht="30.6" x14ac:dyDescent="0.2">
      <c r="A188" s="60" t="s">
        <v>359</v>
      </c>
      <c r="B188" s="71" t="s">
        <v>352</v>
      </c>
      <c r="C188" s="20">
        <v>89731</v>
      </c>
      <c r="D188" s="21" t="s">
        <v>360</v>
      </c>
      <c r="E188" s="22" t="s">
        <v>106</v>
      </c>
      <c r="F188" s="58">
        <f t="shared" si="2"/>
        <v>180</v>
      </c>
      <c r="G188" s="197"/>
      <c r="H188" s="192"/>
      <c r="I188" s="197"/>
      <c r="J188" s="197"/>
      <c r="M188" s="62">
        <v>9</v>
      </c>
    </row>
    <row r="189" spans="1:13" ht="30.6" x14ac:dyDescent="0.2">
      <c r="A189" s="60" t="s">
        <v>361</v>
      </c>
      <c r="B189" s="71" t="s">
        <v>352</v>
      </c>
      <c r="C189" s="20">
        <v>89744</v>
      </c>
      <c r="D189" s="21" t="s">
        <v>362</v>
      </c>
      <c r="E189" s="22" t="s">
        <v>106</v>
      </c>
      <c r="F189" s="58">
        <f t="shared" si="2"/>
        <v>20</v>
      </c>
      <c r="G189" s="197"/>
      <c r="H189" s="192"/>
      <c r="I189" s="197"/>
      <c r="J189" s="197"/>
      <c r="M189" s="62">
        <v>1</v>
      </c>
    </row>
    <row r="190" spans="1:13" ht="20.399999999999999" x14ac:dyDescent="0.2">
      <c r="A190" s="60" t="s">
        <v>363</v>
      </c>
      <c r="B190" s="71" t="s">
        <v>352</v>
      </c>
      <c r="C190" s="20">
        <v>89784</v>
      </c>
      <c r="D190" s="21" t="s">
        <v>364</v>
      </c>
      <c r="E190" s="22" t="s">
        <v>106</v>
      </c>
      <c r="F190" s="58">
        <f t="shared" si="2"/>
        <v>20</v>
      </c>
      <c r="G190" s="197"/>
      <c r="H190" s="192"/>
      <c r="I190" s="197"/>
      <c r="J190" s="197"/>
      <c r="M190" s="62">
        <v>1</v>
      </c>
    </row>
    <row r="191" spans="1:13" ht="30.6" x14ac:dyDescent="0.2">
      <c r="A191" s="60" t="s">
        <v>365</v>
      </c>
      <c r="B191" s="71" t="s">
        <v>352</v>
      </c>
      <c r="C191" s="20">
        <v>104345</v>
      </c>
      <c r="D191" s="21" t="s">
        <v>366</v>
      </c>
      <c r="E191" s="22" t="s">
        <v>106</v>
      </c>
      <c r="F191" s="58">
        <f t="shared" si="2"/>
        <v>20</v>
      </c>
      <c r="G191" s="197"/>
      <c r="H191" s="192"/>
      <c r="I191" s="197"/>
      <c r="J191" s="197"/>
      <c r="M191" s="62">
        <v>1</v>
      </c>
    </row>
    <row r="192" spans="1:13" ht="30.6" x14ac:dyDescent="0.2">
      <c r="A192" s="60" t="s">
        <v>367</v>
      </c>
      <c r="B192" s="71" t="s">
        <v>352</v>
      </c>
      <c r="C192" s="20">
        <v>104348</v>
      </c>
      <c r="D192" s="21" t="s">
        <v>368</v>
      </c>
      <c r="E192" s="22" t="s">
        <v>106</v>
      </c>
      <c r="F192" s="58">
        <f t="shared" si="2"/>
        <v>20</v>
      </c>
      <c r="G192" s="197"/>
      <c r="H192" s="192"/>
      <c r="I192" s="197"/>
      <c r="J192" s="197"/>
      <c r="M192" s="62">
        <v>1</v>
      </c>
    </row>
    <row r="193" spans="1:13" ht="20.399999999999999" x14ac:dyDescent="0.2">
      <c r="A193" s="60" t="s">
        <v>369</v>
      </c>
      <c r="B193" s="71" t="s">
        <v>352</v>
      </c>
      <c r="C193" s="20">
        <v>89711</v>
      </c>
      <c r="D193" s="21" t="s">
        <v>370</v>
      </c>
      <c r="E193" s="22" t="s">
        <v>85</v>
      </c>
      <c r="F193" s="58">
        <f t="shared" si="2"/>
        <v>67</v>
      </c>
      <c r="G193" s="197"/>
      <c r="H193" s="192"/>
      <c r="I193" s="197"/>
      <c r="J193" s="197"/>
      <c r="M193" s="62">
        <v>3.35</v>
      </c>
    </row>
    <row r="194" spans="1:13" ht="20.399999999999999" x14ac:dyDescent="0.2">
      <c r="A194" s="60" t="s">
        <v>371</v>
      </c>
      <c r="B194" s="71" t="s">
        <v>352</v>
      </c>
      <c r="C194" s="20">
        <v>89712</v>
      </c>
      <c r="D194" s="21" t="s">
        <v>372</v>
      </c>
      <c r="E194" s="22" t="s">
        <v>85</v>
      </c>
      <c r="F194" s="58">
        <f t="shared" si="2"/>
        <v>204.20000000000002</v>
      </c>
      <c r="G194" s="197"/>
      <c r="H194" s="192"/>
      <c r="I194" s="197"/>
      <c r="J194" s="197"/>
      <c r="M194" s="62">
        <v>10.210000000000001</v>
      </c>
    </row>
    <row r="195" spans="1:13" ht="20.399999999999999" x14ac:dyDescent="0.2">
      <c r="A195" s="60" t="s">
        <v>373</v>
      </c>
      <c r="B195" s="71" t="s">
        <v>352</v>
      </c>
      <c r="C195" s="20">
        <v>89798</v>
      </c>
      <c r="D195" s="21" t="s">
        <v>374</v>
      </c>
      <c r="E195" s="22" t="s">
        <v>85</v>
      </c>
      <c r="F195" s="58">
        <f t="shared" si="2"/>
        <v>80</v>
      </c>
      <c r="G195" s="197"/>
      <c r="H195" s="192"/>
      <c r="I195" s="197"/>
      <c r="J195" s="197"/>
      <c r="M195" s="62">
        <v>4</v>
      </c>
    </row>
    <row r="196" spans="1:13" ht="20.399999999999999" x14ac:dyDescent="0.2">
      <c r="A196" s="60" t="s">
        <v>375</v>
      </c>
      <c r="B196" s="79" t="s">
        <v>352</v>
      </c>
      <c r="C196" s="63">
        <v>89714</v>
      </c>
      <c r="D196" s="21" t="s">
        <v>376</v>
      </c>
      <c r="E196" s="22" t="s">
        <v>85</v>
      </c>
      <c r="F196" s="58">
        <f t="shared" si="2"/>
        <v>676</v>
      </c>
      <c r="G196" s="198"/>
      <c r="H196" s="192"/>
      <c r="I196" s="197"/>
      <c r="J196" s="197"/>
      <c r="M196" s="80">
        <v>33.799999999999997</v>
      </c>
    </row>
    <row r="197" spans="1:13" s="59" customFormat="1" x14ac:dyDescent="0.2">
      <c r="A197" s="65" t="s">
        <v>377</v>
      </c>
      <c r="B197" s="66" t="s">
        <v>378</v>
      </c>
      <c r="C197" s="67"/>
      <c r="D197" s="68"/>
      <c r="E197" s="69"/>
      <c r="F197" s="58">
        <f t="shared" si="2"/>
        <v>0</v>
      </c>
      <c r="G197" s="199"/>
      <c r="H197" s="192"/>
      <c r="I197" s="199"/>
      <c r="J197" s="199"/>
      <c r="M197" s="70"/>
    </row>
    <row r="198" spans="1:13" ht="20.399999999999999" x14ac:dyDescent="0.2">
      <c r="A198" s="60" t="s">
        <v>379</v>
      </c>
      <c r="B198" s="71" t="s">
        <v>378</v>
      </c>
      <c r="C198" s="20">
        <v>97902</v>
      </c>
      <c r="D198" s="21" t="s">
        <v>380</v>
      </c>
      <c r="E198" s="22" t="s">
        <v>106</v>
      </c>
      <c r="F198" s="58">
        <f t="shared" si="2"/>
        <v>100</v>
      </c>
      <c r="G198" s="197"/>
      <c r="H198" s="192"/>
      <c r="I198" s="197"/>
      <c r="J198" s="197"/>
      <c r="M198" s="62">
        <v>5</v>
      </c>
    </row>
    <row r="199" spans="1:13" ht="20.399999999999999" x14ac:dyDescent="0.2">
      <c r="A199" s="60" t="s">
        <v>381</v>
      </c>
      <c r="B199" s="71" t="s">
        <v>378</v>
      </c>
      <c r="C199" s="20">
        <v>89707</v>
      </c>
      <c r="D199" s="21" t="s">
        <v>382</v>
      </c>
      <c r="E199" s="22" t="s">
        <v>106</v>
      </c>
      <c r="F199" s="58">
        <f t="shared" si="2"/>
        <v>20</v>
      </c>
      <c r="G199" s="197"/>
      <c r="H199" s="192"/>
      <c r="I199" s="197"/>
      <c r="J199" s="197"/>
      <c r="M199" s="62">
        <v>1</v>
      </c>
    </row>
    <row r="200" spans="1:13" ht="20.399999999999999" x14ac:dyDescent="0.2">
      <c r="A200" s="60" t="s">
        <v>383</v>
      </c>
      <c r="B200" s="71" t="s">
        <v>378</v>
      </c>
      <c r="C200" s="20">
        <v>104327</v>
      </c>
      <c r="D200" s="21" t="s">
        <v>384</v>
      </c>
      <c r="E200" s="22" t="s">
        <v>106</v>
      </c>
      <c r="F200" s="58">
        <f t="shared" si="2"/>
        <v>20</v>
      </c>
      <c r="G200" s="197"/>
      <c r="H200" s="192"/>
      <c r="I200" s="197"/>
      <c r="J200" s="197"/>
      <c r="M200" s="62">
        <v>1</v>
      </c>
    </row>
    <row r="201" spans="1:13" ht="20.399999999999999" x14ac:dyDescent="0.2">
      <c r="A201" s="60" t="s">
        <v>385</v>
      </c>
      <c r="B201" s="71" t="s">
        <v>378</v>
      </c>
      <c r="C201" s="20">
        <v>104326</v>
      </c>
      <c r="D201" s="21" t="s">
        <v>386</v>
      </c>
      <c r="E201" s="22" t="s">
        <v>106</v>
      </c>
      <c r="F201" s="58">
        <f t="shared" si="2"/>
        <v>20</v>
      </c>
      <c r="G201" s="197"/>
      <c r="H201" s="192"/>
      <c r="I201" s="197"/>
      <c r="J201" s="197"/>
      <c r="M201" s="62">
        <v>1</v>
      </c>
    </row>
    <row r="202" spans="1:13" ht="30.6" x14ac:dyDescent="0.2">
      <c r="A202" s="60" t="s">
        <v>387</v>
      </c>
      <c r="B202" s="79" t="s">
        <v>378</v>
      </c>
      <c r="C202" s="63">
        <v>98104</v>
      </c>
      <c r="D202" s="21" t="s">
        <v>388</v>
      </c>
      <c r="E202" s="22" t="s">
        <v>106</v>
      </c>
      <c r="F202" s="58">
        <f t="shared" si="2"/>
        <v>20</v>
      </c>
      <c r="G202" s="198"/>
      <c r="H202" s="192"/>
      <c r="I202" s="197"/>
      <c r="J202" s="197"/>
      <c r="M202" s="80">
        <v>1</v>
      </c>
    </row>
    <row r="203" spans="1:13" s="47" customFormat="1" x14ac:dyDescent="0.2">
      <c r="A203" s="72" t="s">
        <v>389</v>
      </c>
      <c r="B203" s="73" t="s">
        <v>390</v>
      </c>
      <c r="C203" s="74"/>
      <c r="D203" s="75"/>
      <c r="E203" s="76"/>
      <c r="F203" s="58">
        <f t="shared" ref="F203:F221" si="3">M203*20</f>
        <v>0</v>
      </c>
      <c r="G203" s="200"/>
      <c r="H203" s="192"/>
      <c r="I203" s="200"/>
      <c r="J203" s="200"/>
      <c r="M203" s="77"/>
    </row>
    <row r="204" spans="1:13" ht="20.399999999999999" x14ac:dyDescent="0.2">
      <c r="A204" s="60" t="s">
        <v>391</v>
      </c>
      <c r="B204" s="71" t="s">
        <v>390</v>
      </c>
      <c r="C204" s="20">
        <v>86931</v>
      </c>
      <c r="D204" s="21" t="s">
        <v>392</v>
      </c>
      <c r="E204" s="22" t="s">
        <v>106</v>
      </c>
      <c r="F204" s="58">
        <f t="shared" si="3"/>
        <v>20</v>
      </c>
      <c r="G204" s="197"/>
      <c r="H204" s="192"/>
      <c r="I204" s="197"/>
      <c r="J204" s="197"/>
      <c r="M204" s="62">
        <v>1</v>
      </c>
    </row>
    <row r="205" spans="1:13" ht="40.799999999999997" x14ac:dyDescent="0.2">
      <c r="A205" s="60" t="s">
        <v>393</v>
      </c>
      <c r="B205" s="71" t="s">
        <v>390</v>
      </c>
      <c r="C205" s="20">
        <v>86943</v>
      </c>
      <c r="D205" s="21" t="s">
        <v>394</v>
      </c>
      <c r="E205" s="22" t="s">
        <v>106</v>
      </c>
      <c r="F205" s="58">
        <f t="shared" si="3"/>
        <v>20</v>
      </c>
      <c r="G205" s="197"/>
      <c r="H205" s="192"/>
      <c r="I205" s="197"/>
      <c r="J205" s="197"/>
      <c r="M205" s="62">
        <v>1</v>
      </c>
    </row>
    <row r="206" spans="1:13" ht="40.799999999999997" x14ac:dyDescent="0.2">
      <c r="A206" s="60" t="s">
        <v>395</v>
      </c>
      <c r="B206" s="71" t="s">
        <v>390</v>
      </c>
      <c r="C206" s="20">
        <v>86934</v>
      </c>
      <c r="D206" s="21" t="s">
        <v>396</v>
      </c>
      <c r="E206" s="22" t="s">
        <v>106</v>
      </c>
      <c r="F206" s="58">
        <f t="shared" si="3"/>
        <v>20</v>
      </c>
      <c r="G206" s="197"/>
      <c r="H206" s="192"/>
      <c r="I206" s="197"/>
      <c r="J206" s="197"/>
      <c r="M206" s="62">
        <v>1</v>
      </c>
    </row>
    <row r="207" spans="1:13" ht="30.6" x14ac:dyDescent="0.2">
      <c r="A207" s="60" t="s">
        <v>397</v>
      </c>
      <c r="B207" s="71" t="s">
        <v>390</v>
      </c>
      <c r="C207" s="20">
        <v>86925</v>
      </c>
      <c r="D207" s="21" t="s">
        <v>398</v>
      </c>
      <c r="E207" s="22" t="s">
        <v>106</v>
      </c>
      <c r="F207" s="58">
        <f t="shared" si="3"/>
        <v>20</v>
      </c>
      <c r="G207" s="197"/>
      <c r="H207" s="192"/>
      <c r="I207" s="197"/>
      <c r="J207" s="197"/>
      <c r="M207" s="62">
        <v>1</v>
      </c>
    </row>
    <row r="208" spans="1:13" ht="20.399999999999999" x14ac:dyDescent="0.2">
      <c r="A208" s="60" t="s">
        <v>399</v>
      </c>
      <c r="B208" s="71" t="s">
        <v>390</v>
      </c>
      <c r="C208" s="20">
        <v>100860</v>
      </c>
      <c r="D208" s="21" t="s">
        <v>400</v>
      </c>
      <c r="E208" s="22" t="s">
        <v>106</v>
      </c>
      <c r="F208" s="58">
        <f t="shared" si="3"/>
        <v>20</v>
      </c>
      <c r="G208" s="197"/>
      <c r="H208" s="192"/>
      <c r="I208" s="197"/>
      <c r="J208" s="197"/>
      <c r="M208" s="62">
        <v>1</v>
      </c>
    </row>
    <row r="209" spans="1:13" ht="20.399999999999999" x14ac:dyDescent="0.2">
      <c r="A209" s="60" t="s">
        <v>401</v>
      </c>
      <c r="B209" s="71" t="s">
        <v>390</v>
      </c>
      <c r="C209" s="20">
        <v>100868</v>
      </c>
      <c r="D209" s="21" t="s">
        <v>595</v>
      </c>
      <c r="E209" s="22" t="s">
        <v>596</v>
      </c>
      <c r="F209" s="58">
        <f t="shared" si="3"/>
        <v>20</v>
      </c>
      <c r="G209" s="197"/>
      <c r="H209" s="192"/>
      <c r="I209" s="197"/>
      <c r="J209" s="197"/>
      <c r="M209" s="62">
        <v>1</v>
      </c>
    </row>
    <row r="210" spans="1:13" ht="20.399999999999999" x14ac:dyDescent="0.2">
      <c r="A210" s="60" t="s">
        <v>594</v>
      </c>
      <c r="B210" s="71" t="s">
        <v>390</v>
      </c>
      <c r="C210" s="20">
        <v>95546</v>
      </c>
      <c r="D210" s="21" t="s">
        <v>402</v>
      </c>
      <c r="E210" s="22" t="s">
        <v>106</v>
      </c>
      <c r="F210" s="58">
        <f t="shared" si="3"/>
        <v>20</v>
      </c>
      <c r="G210" s="197"/>
      <c r="H210" s="192"/>
      <c r="I210" s="197"/>
      <c r="J210" s="197"/>
      <c r="M210" s="62">
        <v>1</v>
      </c>
    </row>
    <row r="211" spans="1:13" s="35" customFormat="1" ht="11.4" x14ac:dyDescent="0.2">
      <c r="A211" s="36" t="s">
        <v>403</v>
      </c>
      <c r="B211" s="36" t="s">
        <v>404</v>
      </c>
      <c r="C211" s="37"/>
      <c r="D211" s="38"/>
      <c r="E211" s="39"/>
      <c r="F211" s="58">
        <f t="shared" si="3"/>
        <v>0</v>
      </c>
      <c r="G211" s="194"/>
      <c r="H211" s="192"/>
      <c r="I211" s="194"/>
      <c r="J211" s="194"/>
      <c r="M211" s="40"/>
    </row>
    <row r="212" spans="1:13" s="47" customFormat="1" x14ac:dyDescent="0.2">
      <c r="A212" s="41" t="s">
        <v>405</v>
      </c>
      <c r="B212" s="42" t="s">
        <v>406</v>
      </c>
      <c r="C212" s="43"/>
      <c r="D212" s="44"/>
      <c r="E212" s="45"/>
      <c r="F212" s="58">
        <f t="shared" si="3"/>
        <v>0</v>
      </c>
      <c r="G212" s="196"/>
      <c r="H212" s="192"/>
      <c r="I212" s="196"/>
      <c r="J212" s="196"/>
      <c r="M212" s="46"/>
    </row>
    <row r="213" spans="1:13" ht="20.399999999999999" x14ac:dyDescent="0.2">
      <c r="A213" s="60" t="s">
        <v>407</v>
      </c>
      <c r="B213" s="71" t="s">
        <v>406</v>
      </c>
      <c r="C213" s="20">
        <v>99818</v>
      </c>
      <c r="D213" s="21" t="s">
        <v>408</v>
      </c>
      <c r="E213" s="22" t="s">
        <v>106</v>
      </c>
      <c r="F213" s="58">
        <f t="shared" si="3"/>
        <v>20</v>
      </c>
      <c r="G213" s="197"/>
      <c r="H213" s="192"/>
      <c r="I213" s="197"/>
      <c r="J213" s="197"/>
      <c r="M213" s="62">
        <v>1</v>
      </c>
    </row>
    <row r="214" spans="1:13" x14ac:dyDescent="0.2">
      <c r="A214" s="60" t="s">
        <v>409</v>
      </c>
      <c r="B214" s="71" t="s">
        <v>406</v>
      </c>
      <c r="C214" s="20">
        <v>99819</v>
      </c>
      <c r="D214" s="21" t="s">
        <v>410</v>
      </c>
      <c r="E214" s="22" t="s">
        <v>28</v>
      </c>
      <c r="F214" s="58">
        <f t="shared" si="3"/>
        <v>14.399999999999999</v>
      </c>
      <c r="G214" s="197"/>
      <c r="H214" s="192"/>
      <c r="I214" s="197"/>
      <c r="J214" s="197"/>
      <c r="M214" s="62">
        <v>0.72</v>
      </c>
    </row>
    <row r="215" spans="1:13" x14ac:dyDescent="0.2">
      <c r="A215" s="60" t="s">
        <v>411</v>
      </c>
      <c r="B215" s="71" t="s">
        <v>406</v>
      </c>
      <c r="C215" s="20">
        <v>99811</v>
      </c>
      <c r="D215" s="21" t="s">
        <v>412</v>
      </c>
      <c r="E215" s="22" t="s">
        <v>28</v>
      </c>
      <c r="F215" s="58">
        <f t="shared" si="3"/>
        <v>323</v>
      </c>
      <c r="G215" s="197"/>
      <c r="H215" s="192"/>
      <c r="I215" s="197"/>
      <c r="J215" s="197"/>
      <c r="M215" s="62">
        <v>16.149999999999999</v>
      </c>
    </row>
    <row r="216" spans="1:13" x14ac:dyDescent="0.2">
      <c r="A216" s="60" t="s">
        <v>413</v>
      </c>
      <c r="B216" s="71" t="s">
        <v>406</v>
      </c>
      <c r="C216" s="20">
        <v>99826</v>
      </c>
      <c r="D216" s="21" t="s">
        <v>414</v>
      </c>
      <c r="E216" s="22" t="s">
        <v>28</v>
      </c>
      <c r="F216" s="58">
        <f t="shared" si="3"/>
        <v>718.00000000000011</v>
      </c>
      <c r="G216" s="197"/>
      <c r="H216" s="192"/>
      <c r="I216" s="197"/>
      <c r="J216" s="197"/>
      <c r="M216" s="62">
        <v>35.900000000000006</v>
      </c>
    </row>
    <row r="217" spans="1:13" x14ac:dyDescent="0.2">
      <c r="A217" s="60" t="s">
        <v>415</v>
      </c>
      <c r="B217" s="71" t="s">
        <v>406</v>
      </c>
      <c r="C217" s="20">
        <v>99821</v>
      </c>
      <c r="D217" s="21" t="s">
        <v>416</v>
      </c>
      <c r="E217" s="22" t="s">
        <v>28</v>
      </c>
      <c r="F217" s="58">
        <f t="shared" si="3"/>
        <v>235.2</v>
      </c>
      <c r="G217" s="197"/>
      <c r="H217" s="192"/>
      <c r="I217" s="197"/>
      <c r="J217" s="197"/>
      <c r="M217" s="62">
        <v>11.76</v>
      </c>
    </row>
    <row r="218" spans="1:13" ht="20.399999999999999" x14ac:dyDescent="0.2">
      <c r="A218" s="60" t="s">
        <v>417</v>
      </c>
      <c r="B218" s="71" t="s">
        <v>406</v>
      </c>
      <c r="C218" s="20">
        <v>99804</v>
      </c>
      <c r="D218" s="21" t="s">
        <v>418</v>
      </c>
      <c r="E218" s="22" t="s">
        <v>28</v>
      </c>
      <c r="F218" s="58">
        <f t="shared" si="3"/>
        <v>949.2</v>
      </c>
      <c r="G218" s="197"/>
      <c r="H218" s="192"/>
      <c r="I218" s="197"/>
      <c r="J218" s="197"/>
      <c r="M218" s="62">
        <v>47.46</v>
      </c>
    </row>
    <row r="219" spans="1:13" x14ac:dyDescent="0.2">
      <c r="A219" s="60" t="s">
        <v>419</v>
      </c>
      <c r="B219" s="71" t="s">
        <v>406</v>
      </c>
      <c r="C219" s="20">
        <v>99822</v>
      </c>
      <c r="D219" s="21" t="s">
        <v>420</v>
      </c>
      <c r="E219" s="22" t="s">
        <v>28</v>
      </c>
      <c r="F219" s="58">
        <f t="shared" si="3"/>
        <v>201.6</v>
      </c>
      <c r="G219" s="197"/>
      <c r="H219" s="192"/>
      <c r="I219" s="197"/>
      <c r="J219" s="197"/>
      <c r="M219" s="62">
        <v>10.08</v>
      </c>
    </row>
    <row r="220" spans="1:13" ht="20.399999999999999" x14ac:dyDescent="0.2">
      <c r="A220" s="60" t="s">
        <v>421</v>
      </c>
      <c r="B220" s="71" t="s">
        <v>406</v>
      </c>
      <c r="C220" s="20">
        <v>99807</v>
      </c>
      <c r="D220" s="21" t="s">
        <v>422</v>
      </c>
      <c r="E220" s="22" t="s">
        <v>28</v>
      </c>
      <c r="F220" s="58">
        <f t="shared" si="3"/>
        <v>479.4</v>
      </c>
      <c r="G220" s="197"/>
      <c r="H220" s="192"/>
      <c r="I220" s="197"/>
      <c r="J220" s="197"/>
      <c r="M220" s="62">
        <v>23.97</v>
      </c>
    </row>
    <row r="221" spans="1:13" ht="20.399999999999999" x14ac:dyDescent="0.2">
      <c r="A221" s="60" t="s">
        <v>423</v>
      </c>
      <c r="B221" s="79" t="s">
        <v>406</v>
      </c>
      <c r="C221" s="63">
        <v>99816</v>
      </c>
      <c r="D221" s="21" t="s">
        <v>424</v>
      </c>
      <c r="E221" s="22" t="s">
        <v>106</v>
      </c>
      <c r="F221" s="58">
        <f t="shared" si="3"/>
        <v>40</v>
      </c>
      <c r="G221" s="198"/>
      <c r="H221" s="192"/>
      <c r="I221" s="197"/>
      <c r="J221" s="197"/>
      <c r="M221" s="80">
        <v>2</v>
      </c>
    </row>
    <row r="222" spans="1:13" s="47" customFormat="1" x14ac:dyDescent="0.2">
      <c r="A222" s="72" t="s">
        <v>425</v>
      </c>
      <c r="B222" s="73" t="s">
        <v>484</v>
      </c>
      <c r="C222" s="74"/>
      <c r="D222" s="75"/>
      <c r="E222" s="76"/>
      <c r="F222" s="77"/>
      <c r="G222" s="200"/>
      <c r="H222" s="200"/>
      <c r="I222" s="200"/>
      <c r="J222" s="200"/>
    </row>
    <row r="223" spans="1:13" s="47" customFormat="1" ht="3" customHeight="1" x14ac:dyDescent="0.2">
      <c r="A223" s="89"/>
      <c r="B223" s="89"/>
      <c r="C223" s="90"/>
      <c r="D223" s="91"/>
      <c r="E223" s="92"/>
      <c r="F223" s="93"/>
      <c r="G223" s="94"/>
      <c r="H223" s="94"/>
      <c r="I223" s="94"/>
    </row>
    <row r="224" spans="1:13" x14ac:dyDescent="0.2">
      <c r="A224" s="95"/>
      <c r="B224" s="95" t="s">
        <v>580</v>
      </c>
      <c r="C224" s="96">
        <v>1.2546999999999999</v>
      </c>
      <c r="D224" s="97"/>
      <c r="E224" s="98"/>
      <c r="F224" s="99"/>
      <c r="G224" s="100"/>
      <c r="H224" s="100"/>
      <c r="I224" s="100"/>
    </row>
    <row r="225" spans="1:10" ht="32.4" customHeight="1" x14ac:dyDescent="0.2">
      <c r="A225" s="204" t="s">
        <v>427</v>
      </c>
      <c r="B225" s="204"/>
      <c r="C225" s="204"/>
      <c r="D225" s="204"/>
      <c r="E225" s="204"/>
      <c r="F225" s="204"/>
      <c r="G225" s="204"/>
      <c r="H225" s="204"/>
      <c r="I225" s="204"/>
    </row>
    <row r="228" spans="1:10" x14ac:dyDescent="0.2">
      <c r="A228" s="72" t="s">
        <v>426</v>
      </c>
      <c r="B228" s="73" t="s">
        <v>432</v>
      </c>
      <c r="C228" s="74"/>
      <c r="D228" s="75"/>
      <c r="E228" s="76"/>
      <c r="F228" s="78"/>
      <c r="G228" s="78"/>
      <c r="H228" s="78"/>
      <c r="I228" s="78"/>
      <c r="J228" s="78"/>
    </row>
  </sheetData>
  <mergeCells count="1">
    <mergeCell ref="A225:I225"/>
  </mergeCells>
  <phoneticPr fontId="24" type="noConversion"/>
  <conditionalFormatting sqref="D13">
    <cfRule type="expression" dxfId="47" priority="3">
      <formula>AND($B13&lt;&gt;"",$C13&lt;&gt;"",$C13&lt;&gt;0,D13="CÓDIGO REPETIDO")</formula>
    </cfRule>
  </conditionalFormatting>
  <conditionalFormatting sqref="D14 D16">
    <cfRule type="expression" dxfId="46" priority="2">
      <formula>AND($B14&lt;&gt;"",$C14&lt;&gt;"",$C14&lt;&gt;0,D14="CÓDIGO REPETIDO")</formula>
    </cfRule>
  </conditionalFormatting>
  <conditionalFormatting sqref="D15">
    <cfRule type="expression" dxfId="45" priority="1">
      <formula>AND($B15&lt;&gt;"",$C15&lt;&gt;"",$C15&lt;&gt;0,D15="CÓDIGO REPETIDO")</formula>
    </cfRule>
  </conditionalFormatting>
  <dataValidations disablePrompts="1" count="1">
    <dataValidation type="list" allowBlank="1" showInputMessage="1" showErrorMessage="1" prompt="Escolha a UF:" sqref="A5">
      <formula1>"AC,AL,AM,AP,BA,CE,DF,ES,GO,MA,MG,MS,MT,PA,PB,PE,PI,PR,RJ,RN,RO,RR,RS,SC,SE,SP,TO"</formula1>
    </dataValidation>
  </dataValidations>
  <pageMargins left="0.511811024" right="0.511811024" top="0.78740157499999996" bottom="0.78740157499999996" header="0.31496062000000002" footer="0.31496062000000002"/>
  <pageSetup paperSize="9" scale="51" fitToHeight="0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32"/>
  <sheetViews>
    <sheetView tabSelected="1" workbookViewId="0">
      <selection activeCell="H26" sqref="H26:S28"/>
    </sheetView>
  </sheetViews>
  <sheetFormatPr defaultRowHeight="14.4" x14ac:dyDescent="0.3"/>
  <cols>
    <col min="3" max="3" width="11.6640625" bestFit="1" customWidth="1"/>
    <col min="4" max="4" width="10.109375" bestFit="1" customWidth="1"/>
    <col min="5" max="5" width="11" customWidth="1"/>
    <col min="7" max="7" width="10.44140625" customWidth="1"/>
    <col min="12" max="12" width="10.5546875" customWidth="1"/>
    <col min="13" max="19" width="11.5546875" customWidth="1"/>
    <col min="20" max="20" width="14.88671875" customWidth="1"/>
  </cols>
  <sheetData>
    <row r="1" spans="1:20" ht="15" x14ac:dyDescent="0.25">
      <c r="D1" s="104"/>
      <c r="F1" s="104" t="s">
        <v>437</v>
      </c>
    </row>
    <row r="2" spans="1:20" ht="15" x14ac:dyDescent="0.25">
      <c r="A2" s="104"/>
    </row>
    <row r="3" spans="1:20" ht="15" x14ac:dyDescent="0.25">
      <c r="A3" t="s">
        <v>438</v>
      </c>
      <c r="C3" s="105" t="s">
        <v>439</v>
      </c>
    </row>
    <row r="4" spans="1:20" x14ac:dyDescent="0.3">
      <c r="A4" t="s">
        <v>440</v>
      </c>
      <c r="C4" s="105" t="s">
        <v>441</v>
      </c>
    </row>
    <row r="5" spans="1:20" x14ac:dyDescent="0.3">
      <c r="A5" t="s">
        <v>442</v>
      </c>
      <c r="D5" s="105" t="s">
        <v>443</v>
      </c>
    </row>
    <row r="6" spans="1:20" ht="15" x14ac:dyDescent="0.25">
      <c r="A6" t="s">
        <v>444</v>
      </c>
      <c r="B6" t="s">
        <v>445</v>
      </c>
    </row>
    <row r="8" spans="1:20" x14ac:dyDescent="0.3">
      <c r="A8" s="211" t="s">
        <v>446</v>
      </c>
      <c r="B8" s="212" t="s">
        <v>5</v>
      </c>
      <c r="C8" s="213" t="s">
        <v>8</v>
      </c>
      <c r="D8" s="106"/>
      <c r="E8" s="106"/>
      <c r="F8" s="205" t="s">
        <v>486</v>
      </c>
      <c r="G8" s="206" t="s">
        <v>447</v>
      </c>
      <c r="H8" s="107">
        <v>1</v>
      </c>
      <c r="I8" s="108">
        <v>2</v>
      </c>
      <c r="J8" s="108">
        <v>3</v>
      </c>
      <c r="K8" s="108">
        <v>4</v>
      </c>
      <c r="L8" s="108">
        <v>5</v>
      </c>
      <c r="M8" s="108">
        <v>6</v>
      </c>
      <c r="N8" s="188">
        <v>7</v>
      </c>
      <c r="O8" s="188">
        <v>8</v>
      </c>
      <c r="P8" s="188">
        <v>9</v>
      </c>
      <c r="Q8" s="188">
        <v>10</v>
      </c>
      <c r="R8" s="188">
        <v>11</v>
      </c>
      <c r="S8" s="188">
        <v>12</v>
      </c>
      <c r="T8" s="205" t="s">
        <v>485</v>
      </c>
    </row>
    <row r="9" spans="1:20" x14ac:dyDescent="0.3">
      <c r="A9" s="211"/>
      <c r="B9" s="212"/>
      <c r="C9" s="213"/>
      <c r="D9" s="109"/>
      <c r="E9" s="109"/>
      <c r="F9" s="205"/>
      <c r="G9" s="206"/>
      <c r="H9" t="s">
        <v>582</v>
      </c>
      <c r="I9" t="s">
        <v>583</v>
      </c>
      <c r="J9" t="s">
        <v>584</v>
      </c>
      <c r="K9" t="s">
        <v>585</v>
      </c>
      <c r="L9" t="s">
        <v>586</v>
      </c>
      <c r="M9" t="s">
        <v>587</v>
      </c>
      <c r="N9" t="s">
        <v>588</v>
      </c>
      <c r="O9" t="s">
        <v>589</v>
      </c>
      <c r="P9" t="s">
        <v>590</v>
      </c>
      <c r="Q9" t="s">
        <v>591</v>
      </c>
      <c r="R9" t="s">
        <v>592</v>
      </c>
      <c r="S9" t="s">
        <v>587</v>
      </c>
      <c r="T9" s="205"/>
    </row>
    <row r="10" spans="1:20" x14ac:dyDescent="0.3">
      <c r="A10" s="110" t="s">
        <v>448</v>
      </c>
      <c r="B10" s="111" t="s">
        <v>449</v>
      </c>
      <c r="C10" s="112" t="s">
        <v>450</v>
      </c>
      <c r="D10" s="112"/>
      <c r="E10" s="112"/>
      <c r="F10" s="113">
        <f>PO!J228</f>
        <v>0</v>
      </c>
      <c r="G10" s="114" t="s">
        <v>451</v>
      </c>
      <c r="H10" s="115">
        <f>(14.565709226948/2)/100</f>
        <v>7.2828546134740005E-2</v>
      </c>
      <c r="I10" s="115">
        <f>(7.96468529126796/2)/100</f>
        <v>3.9823426456339801E-2</v>
      </c>
      <c r="J10" s="115">
        <f>(15.2166857457531/2)/100</f>
        <v>7.6083428728765501E-2</v>
      </c>
      <c r="K10" s="115">
        <f>(20.7205843000285/2)/100</f>
        <v>0.1036029215001425</v>
      </c>
      <c r="L10" s="115">
        <f>(12.7063744244113/2)/100</f>
        <v>6.3531872122056493E-2</v>
      </c>
      <c r="M10" s="115">
        <f>(28.8259610115912/2)/100</f>
        <v>0.144129805057956</v>
      </c>
      <c r="N10" s="115">
        <f>(14.565709226948/2)/100</f>
        <v>7.2828546134740005E-2</v>
      </c>
      <c r="O10" s="115">
        <f>(7.96468529126796/2)/100</f>
        <v>3.9823426456339801E-2</v>
      </c>
      <c r="P10" s="115">
        <f>(15.2166857457531/2)/100</f>
        <v>7.6083428728765501E-2</v>
      </c>
      <c r="Q10" s="115">
        <f>(20.7205843000285/2)/100</f>
        <v>0.1036029215001425</v>
      </c>
      <c r="R10" s="115">
        <f>(12.7063744244113/2)/100</f>
        <v>6.3531872122056493E-2</v>
      </c>
      <c r="S10" s="115">
        <f>(28.8259610115912/2)/100</f>
        <v>0.144129805057956</v>
      </c>
      <c r="T10" s="113">
        <f t="shared" ref="T10:T20" si="0">F10</f>
        <v>0</v>
      </c>
    </row>
    <row r="11" spans="1:20" x14ac:dyDescent="0.3">
      <c r="A11" s="110" t="s">
        <v>448</v>
      </c>
      <c r="B11" s="111" t="s">
        <v>452</v>
      </c>
      <c r="C11" s="112" t="s">
        <v>453</v>
      </c>
      <c r="D11" s="112"/>
      <c r="E11" s="112"/>
      <c r="F11" s="116">
        <f>PO!J9</f>
        <v>0</v>
      </c>
      <c r="G11" s="114" t="s">
        <v>451</v>
      </c>
      <c r="H11" s="115">
        <v>0.5</v>
      </c>
      <c r="I11" s="115">
        <v>0</v>
      </c>
      <c r="J11" s="115">
        <v>0</v>
      </c>
      <c r="K11" s="115">
        <v>0</v>
      </c>
      <c r="L11" s="115">
        <v>0</v>
      </c>
      <c r="M11" s="115">
        <v>0</v>
      </c>
      <c r="N11" s="115">
        <v>0.5</v>
      </c>
      <c r="O11" s="115">
        <v>0</v>
      </c>
      <c r="P11" s="115">
        <v>0</v>
      </c>
      <c r="Q11" s="115">
        <v>0</v>
      </c>
      <c r="R11" s="115">
        <v>0</v>
      </c>
      <c r="S11" s="115">
        <v>0</v>
      </c>
      <c r="T11" s="116">
        <f t="shared" si="0"/>
        <v>0</v>
      </c>
    </row>
    <row r="12" spans="1:20" x14ac:dyDescent="0.3">
      <c r="A12" s="110" t="s">
        <v>448</v>
      </c>
      <c r="B12" s="111" t="s">
        <v>454</v>
      </c>
      <c r="C12" s="112" t="s">
        <v>455</v>
      </c>
      <c r="D12" s="112"/>
      <c r="E12" s="112"/>
      <c r="F12" s="113">
        <f>PO!J17</f>
        <v>0</v>
      </c>
      <c r="G12" s="114" t="s">
        <v>451</v>
      </c>
      <c r="H12" s="115">
        <v>0.5</v>
      </c>
      <c r="I12" s="115">
        <v>0</v>
      </c>
      <c r="J12" s="115">
        <v>0</v>
      </c>
      <c r="K12" s="115">
        <v>0</v>
      </c>
      <c r="L12" s="115">
        <v>0</v>
      </c>
      <c r="M12" s="115">
        <v>0</v>
      </c>
      <c r="N12" s="115">
        <v>0.5</v>
      </c>
      <c r="O12" s="115">
        <v>0</v>
      </c>
      <c r="P12" s="115">
        <v>0</v>
      </c>
      <c r="Q12" s="115">
        <v>0</v>
      </c>
      <c r="R12" s="115">
        <v>0</v>
      </c>
      <c r="S12" s="115">
        <v>0</v>
      </c>
      <c r="T12" s="113">
        <f t="shared" si="0"/>
        <v>0</v>
      </c>
    </row>
    <row r="13" spans="1:20" x14ac:dyDescent="0.3">
      <c r="A13" s="110" t="s">
        <v>448</v>
      </c>
      <c r="B13" s="111" t="s">
        <v>456</v>
      </c>
      <c r="C13" s="112" t="s">
        <v>457</v>
      </c>
      <c r="D13" s="112"/>
      <c r="E13" s="112"/>
      <c r="F13" s="113">
        <f>PO!J33</f>
        <v>0</v>
      </c>
      <c r="G13" s="114" t="s">
        <v>451</v>
      </c>
      <c r="H13" s="115">
        <v>0</v>
      </c>
      <c r="I13" s="115">
        <v>0.5</v>
      </c>
      <c r="J13" s="115">
        <v>0</v>
      </c>
      <c r="K13" s="115">
        <v>0</v>
      </c>
      <c r="L13" s="115">
        <v>0</v>
      </c>
      <c r="M13" s="115">
        <v>0</v>
      </c>
      <c r="N13" s="115">
        <v>0</v>
      </c>
      <c r="O13" s="115">
        <v>0.5</v>
      </c>
      <c r="P13" s="115">
        <v>0</v>
      </c>
      <c r="Q13" s="115">
        <v>0</v>
      </c>
      <c r="R13" s="115">
        <v>0</v>
      </c>
      <c r="S13" s="115">
        <v>0</v>
      </c>
      <c r="T13" s="113">
        <f t="shared" si="0"/>
        <v>0</v>
      </c>
    </row>
    <row r="14" spans="1:20" x14ac:dyDescent="0.3">
      <c r="A14" s="110" t="s">
        <v>448</v>
      </c>
      <c r="B14" s="111" t="s">
        <v>458</v>
      </c>
      <c r="C14" s="112" t="s">
        <v>459</v>
      </c>
      <c r="D14" s="112"/>
      <c r="E14" s="112"/>
      <c r="F14" s="113">
        <f>PO!J45</f>
        <v>0</v>
      </c>
      <c r="G14" s="114" t="s">
        <v>451</v>
      </c>
      <c r="H14" s="115">
        <v>0</v>
      </c>
      <c r="I14" s="115">
        <v>0</v>
      </c>
      <c r="J14" s="115">
        <v>0.5</v>
      </c>
      <c r="K14" s="115">
        <v>0</v>
      </c>
      <c r="L14" s="115">
        <v>0</v>
      </c>
      <c r="M14" s="115">
        <v>0</v>
      </c>
      <c r="N14" s="115">
        <v>0</v>
      </c>
      <c r="O14" s="115">
        <v>0</v>
      </c>
      <c r="P14" s="115">
        <v>0.5</v>
      </c>
      <c r="Q14" s="115">
        <v>0</v>
      </c>
      <c r="R14" s="115">
        <v>0</v>
      </c>
      <c r="S14" s="115">
        <v>0</v>
      </c>
      <c r="T14" s="113">
        <f t="shared" si="0"/>
        <v>0</v>
      </c>
    </row>
    <row r="15" spans="1:20" x14ac:dyDescent="0.3">
      <c r="A15" s="110" t="s">
        <v>448</v>
      </c>
      <c r="B15" s="111" t="s">
        <v>460</v>
      </c>
      <c r="C15" s="112" t="s">
        <v>461</v>
      </c>
      <c r="D15" s="112"/>
      <c r="E15" s="112"/>
      <c r="F15" s="113">
        <f>PO!J59</f>
        <v>0</v>
      </c>
      <c r="G15" s="114" t="s">
        <v>451</v>
      </c>
      <c r="H15" s="115">
        <v>0</v>
      </c>
      <c r="I15" s="115">
        <v>0</v>
      </c>
      <c r="J15" s="115">
        <v>0</v>
      </c>
      <c r="K15" s="115">
        <v>0.5</v>
      </c>
      <c r="L15" s="115">
        <v>0</v>
      </c>
      <c r="M15" s="115">
        <v>0</v>
      </c>
      <c r="N15" s="115">
        <v>0</v>
      </c>
      <c r="O15" s="115">
        <v>0</v>
      </c>
      <c r="P15" s="115">
        <v>0</v>
      </c>
      <c r="Q15" s="115">
        <v>0.5</v>
      </c>
      <c r="R15" s="115">
        <v>0</v>
      </c>
      <c r="S15" s="115">
        <v>0</v>
      </c>
      <c r="T15" s="113">
        <f t="shared" si="0"/>
        <v>0</v>
      </c>
    </row>
    <row r="16" spans="1:20" x14ac:dyDescent="0.3">
      <c r="A16" s="110" t="s">
        <v>448</v>
      </c>
      <c r="B16" s="111" t="s">
        <v>462</v>
      </c>
      <c r="C16" s="112" t="s">
        <v>463</v>
      </c>
      <c r="D16" s="112"/>
      <c r="E16" s="112"/>
      <c r="F16" s="113">
        <f>PO!J68</f>
        <v>0</v>
      </c>
      <c r="G16" s="114" t="s">
        <v>451</v>
      </c>
      <c r="H16" s="115">
        <v>0</v>
      </c>
      <c r="I16" s="115">
        <v>0</v>
      </c>
      <c r="J16" s="115">
        <v>0</v>
      </c>
      <c r="K16" s="115">
        <v>0</v>
      </c>
      <c r="L16" s="115">
        <v>0.5</v>
      </c>
      <c r="M16" s="115">
        <v>0</v>
      </c>
      <c r="N16" s="115">
        <v>0</v>
      </c>
      <c r="O16" s="115">
        <v>0</v>
      </c>
      <c r="P16" s="115">
        <v>0</v>
      </c>
      <c r="Q16" s="115">
        <v>0</v>
      </c>
      <c r="R16" s="115">
        <v>0.5</v>
      </c>
      <c r="S16" s="115">
        <v>0</v>
      </c>
      <c r="T16" s="113">
        <f t="shared" si="0"/>
        <v>0</v>
      </c>
    </row>
    <row r="17" spans="1:20" x14ac:dyDescent="0.3">
      <c r="A17" s="110" t="s">
        <v>448</v>
      </c>
      <c r="B17" s="111" t="s">
        <v>464</v>
      </c>
      <c r="C17" s="112" t="s">
        <v>465</v>
      </c>
      <c r="D17" s="112"/>
      <c r="E17" s="112"/>
      <c r="F17" s="113">
        <f>PO!J99</f>
        <v>0</v>
      </c>
      <c r="G17" s="114" t="s">
        <v>451</v>
      </c>
      <c r="H17" s="115">
        <v>0</v>
      </c>
      <c r="I17" s="115">
        <v>0</v>
      </c>
      <c r="J17" s="115">
        <v>0</v>
      </c>
      <c r="K17" s="115">
        <v>0</v>
      </c>
      <c r="L17" s="115">
        <v>0</v>
      </c>
      <c r="M17" s="115">
        <v>0.5</v>
      </c>
      <c r="N17" s="115">
        <v>0</v>
      </c>
      <c r="O17" s="115">
        <v>0</v>
      </c>
      <c r="P17" s="115">
        <v>0</v>
      </c>
      <c r="Q17" s="115">
        <v>0</v>
      </c>
      <c r="R17" s="115">
        <v>0</v>
      </c>
      <c r="S17" s="115">
        <v>0.5</v>
      </c>
      <c r="T17" s="113">
        <f t="shared" si="0"/>
        <v>0</v>
      </c>
    </row>
    <row r="18" spans="1:20" x14ac:dyDescent="0.3">
      <c r="A18" s="110" t="s">
        <v>448</v>
      </c>
      <c r="B18" s="111" t="s">
        <v>466</v>
      </c>
      <c r="C18" s="112" t="s">
        <v>467</v>
      </c>
      <c r="D18" s="112"/>
      <c r="E18" s="112"/>
      <c r="F18" s="113">
        <f>PO!J111</f>
        <v>0</v>
      </c>
      <c r="G18" s="114" t="s">
        <v>451</v>
      </c>
      <c r="H18" s="115">
        <v>0</v>
      </c>
      <c r="I18" s="115">
        <v>0</v>
      </c>
      <c r="J18" s="115">
        <v>0</v>
      </c>
      <c r="K18" s="115">
        <v>0</v>
      </c>
      <c r="L18" s="115">
        <v>0</v>
      </c>
      <c r="M18" s="115">
        <v>0.5</v>
      </c>
      <c r="N18" s="115">
        <v>0</v>
      </c>
      <c r="O18" s="115">
        <v>0</v>
      </c>
      <c r="P18" s="115">
        <v>0</v>
      </c>
      <c r="Q18" s="115">
        <v>0</v>
      </c>
      <c r="R18" s="115">
        <v>0</v>
      </c>
      <c r="S18" s="115">
        <v>0.5</v>
      </c>
      <c r="T18" s="113">
        <f t="shared" si="0"/>
        <v>0</v>
      </c>
    </row>
    <row r="19" spans="1:20" x14ac:dyDescent="0.3">
      <c r="A19" s="110" t="s">
        <v>448</v>
      </c>
      <c r="B19" s="111" t="s">
        <v>468</v>
      </c>
      <c r="C19" s="112" t="s">
        <v>469</v>
      </c>
      <c r="D19" s="112"/>
      <c r="E19" s="112"/>
      <c r="F19" s="113">
        <f>PO!J211</f>
        <v>0</v>
      </c>
      <c r="G19" s="114" t="s">
        <v>451</v>
      </c>
      <c r="H19" s="115">
        <v>0</v>
      </c>
      <c r="I19" s="115">
        <v>0</v>
      </c>
      <c r="J19" s="115">
        <v>0</v>
      </c>
      <c r="K19" s="115">
        <v>0</v>
      </c>
      <c r="L19" s="115">
        <v>0</v>
      </c>
      <c r="M19" s="115">
        <v>0.5</v>
      </c>
      <c r="N19" s="115">
        <v>0</v>
      </c>
      <c r="O19" s="115">
        <v>0</v>
      </c>
      <c r="P19" s="115">
        <v>0</v>
      </c>
      <c r="Q19" s="115">
        <v>0</v>
      </c>
      <c r="R19" s="115">
        <v>0</v>
      </c>
      <c r="S19" s="115">
        <v>0.5</v>
      </c>
      <c r="T19" s="113">
        <f t="shared" si="0"/>
        <v>0</v>
      </c>
    </row>
    <row r="20" spans="1:20" ht="15" x14ac:dyDescent="0.25">
      <c r="A20" s="110"/>
      <c r="B20" s="111"/>
      <c r="C20" s="112" t="s">
        <v>487</v>
      </c>
      <c r="D20" s="112"/>
      <c r="E20" s="112"/>
      <c r="F20" s="113">
        <f>F11+F12+F13+F14+F15+F16+F17+F18+F19</f>
        <v>0</v>
      </c>
      <c r="G20" s="114"/>
      <c r="H20" s="115"/>
      <c r="I20" s="115"/>
      <c r="J20" s="115"/>
      <c r="K20" s="115"/>
      <c r="L20" s="115"/>
      <c r="M20" s="115"/>
      <c r="N20" s="189"/>
      <c r="O20" s="189"/>
      <c r="P20" s="189"/>
      <c r="Q20" s="189"/>
      <c r="R20" s="189"/>
      <c r="S20" s="189"/>
      <c r="T20" s="113">
        <f t="shared" si="0"/>
        <v>0</v>
      </c>
    </row>
    <row r="21" spans="1:20" ht="15" x14ac:dyDescent="0.25">
      <c r="A21" s="117"/>
      <c r="B21" s="118"/>
      <c r="C21" s="119"/>
      <c r="D21" s="119"/>
      <c r="E21" s="119"/>
      <c r="F21" s="120"/>
      <c r="G21" s="120"/>
      <c r="H21" s="119"/>
      <c r="I21" s="119"/>
      <c r="J21" s="119"/>
      <c r="K21" s="119"/>
      <c r="L21" s="119"/>
      <c r="M21" s="119"/>
      <c r="N21" s="190"/>
      <c r="O21" s="190"/>
      <c r="P21" s="190"/>
      <c r="Q21" s="190"/>
      <c r="R21" s="190"/>
      <c r="S21" s="190"/>
    </row>
    <row r="22" spans="1:20" ht="15" customHeight="1" x14ac:dyDescent="0.3">
      <c r="A22" s="121"/>
      <c r="B22" s="207" t="s">
        <v>581</v>
      </c>
      <c r="C22" s="207"/>
      <c r="D22" s="207"/>
      <c r="E22" s="122"/>
      <c r="F22" s="123"/>
      <c r="G22" s="124" t="s">
        <v>470</v>
      </c>
      <c r="H22" s="115">
        <f>(14.565709226948/2)/100</f>
        <v>7.2828546134740005E-2</v>
      </c>
      <c r="I22" s="115">
        <f>(7.96468529126796/2)/100</f>
        <v>3.9823426456339801E-2</v>
      </c>
      <c r="J22" s="115">
        <f>(15.2166857457531/2)/100</f>
        <v>7.6083428728765501E-2</v>
      </c>
      <c r="K22" s="115">
        <f>(20.7205843000285/2)/100</f>
        <v>0.1036029215001425</v>
      </c>
      <c r="L22" s="115">
        <f>(12.7063744244113/2)/100</f>
        <v>6.3531872122056493E-2</v>
      </c>
      <c r="M22" s="115">
        <f>(28.8259610115912/2)/100</f>
        <v>0.144129805057956</v>
      </c>
      <c r="N22" s="115">
        <f>(14.565709226948/2)/100</f>
        <v>7.2828546134740005E-2</v>
      </c>
      <c r="O22" s="115">
        <f>(7.96468529126796/2)/100</f>
        <v>3.9823426456339801E-2</v>
      </c>
      <c r="P22" s="115">
        <f>(15.2166857457531/2)/100</f>
        <v>7.6083428728765501E-2</v>
      </c>
      <c r="Q22" s="115">
        <f>(20.7205843000285/2)/100</f>
        <v>0.1036029215001425</v>
      </c>
      <c r="R22" s="115">
        <f>(12.7063744244113/2)/100</f>
        <v>6.3531872122056493E-2</v>
      </c>
      <c r="S22" s="115">
        <f>(28.8259610115912/2)/100</f>
        <v>0.144129805057956</v>
      </c>
    </row>
    <row r="23" spans="1:20" x14ac:dyDescent="0.3">
      <c r="A23" s="121"/>
      <c r="B23" s="207"/>
      <c r="C23" s="207"/>
      <c r="D23" s="207"/>
      <c r="E23" s="125"/>
      <c r="F23" s="126"/>
      <c r="G23" s="127" t="s">
        <v>471</v>
      </c>
      <c r="H23" s="128"/>
      <c r="I23" s="128"/>
      <c r="J23" s="128"/>
      <c r="K23" s="128"/>
      <c r="L23" s="128"/>
      <c r="M23" s="128"/>
      <c r="N23" s="128"/>
      <c r="O23" s="128"/>
      <c r="P23" s="128"/>
      <c r="Q23" s="128"/>
      <c r="R23" s="128"/>
      <c r="S23" s="128"/>
    </row>
    <row r="24" spans="1:20" x14ac:dyDescent="0.3">
      <c r="A24" s="121"/>
      <c r="B24" s="129" t="s">
        <v>472</v>
      </c>
      <c r="C24" s="130">
        <v>2800000</v>
      </c>
      <c r="D24" s="131"/>
      <c r="E24" s="132" t="s">
        <v>473</v>
      </c>
      <c r="F24" s="133"/>
      <c r="G24" s="134" t="s">
        <v>474</v>
      </c>
      <c r="H24" s="135"/>
      <c r="I24" s="135"/>
      <c r="J24" s="135"/>
      <c r="K24" s="135"/>
      <c r="L24" s="135"/>
      <c r="M24" s="135"/>
      <c r="N24" s="135"/>
      <c r="O24" s="135"/>
      <c r="P24" s="135"/>
      <c r="Q24" s="135"/>
      <c r="R24" s="135"/>
      <c r="S24" s="135"/>
    </row>
    <row r="25" spans="1:20" ht="15" x14ac:dyDescent="0.25">
      <c r="A25" s="121"/>
      <c r="B25" s="129" t="s">
        <v>475</v>
      </c>
      <c r="C25" s="131"/>
      <c r="D25" s="130">
        <v>47303.21</v>
      </c>
      <c r="E25" s="132"/>
      <c r="F25" s="136"/>
      <c r="G25" s="137" t="s">
        <v>476</v>
      </c>
      <c r="H25" s="115">
        <f>(14.565709226948/2)/100</f>
        <v>7.2828546134740005E-2</v>
      </c>
      <c r="I25" s="115">
        <f>(7.96468529126796/2)/100</f>
        <v>3.9823426456339801E-2</v>
      </c>
      <c r="J25" s="115">
        <f>(15.2166857457531/2)/100</f>
        <v>7.6083428728765501E-2</v>
      </c>
      <c r="K25" s="115">
        <f>(20.7205843000285/2)/100</f>
        <v>0.1036029215001425</v>
      </c>
      <c r="L25" s="115">
        <f>(12.7063744244113/2)/100</f>
        <v>6.3531872122056493E-2</v>
      </c>
      <c r="M25" s="115">
        <f>(28.8259610115912/2)/100</f>
        <v>0.144129805057956</v>
      </c>
      <c r="N25" s="115">
        <f>(14.565709226948/2)/100</f>
        <v>7.2828546134740005E-2</v>
      </c>
      <c r="O25" s="115">
        <f>(7.96468529126796/2)/100</f>
        <v>3.9823426456339801E-2</v>
      </c>
      <c r="P25" s="115">
        <f>(15.2166857457531/2)/100</f>
        <v>7.6083428728765501E-2</v>
      </c>
      <c r="Q25" s="115">
        <f>(20.7205843000285/2)/100</f>
        <v>0.1036029215001425</v>
      </c>
      <c r="R25" s="115">
        <f>(12.7063744244113/2)/100</f>
        <v>6.3531872122056493E-2</v>
      </c>
      <c r="S25" s="115">
        <f>(28.8259610115912/2)/100</f>
        <v>0.144129805057956</v>
      </c>
    </row>
    <row r="26" spans="1:20" ht="15" x14ac:dyDescent="0.25">
      <c r="A26" s="138"/>
      <c r="B26" s="131"/>
      <c r="C26" s="131"/>
      <c r="D26" s="131"/>
      <c r="E26" s="139"/>
      <c r="F26" s="140"/>
      <c r="G26" s="141" t="s">
        <v>477</v>
      </c>
      <c r="H26" s="128"/>
      <c r="I26" s="128"/>
      <c r="J26" s="128"/>
      <c r="K26" s="128"/>
      <c r="L26" s="128"/>
      <c r="M26" s="128"/>
      <c r="N26" s="128"/>
      <c r="O26" s="128"/>
      <c r="P26" s="128"/>
      <c r="Q26" s="128"/>
      <c r="R26" s="128"/>
      <c r="S26" s="128"/>
    </row>
    <row r="27" spans="1:20" ht="15" x14ac:dyDescent="0.25">
      <c r="A27" s="121"/>
      <c r="B27" s="129" t="s">
        <v>472</v>
      </c>
      <c r="C27" s="130">
        <v>2800000</v>
      </c>
      <c r="D27" s="131"/>
      <c r="E27" s="122"/>
      <c r="F27" s="123"/>
      <c r="G27" s="124" t="s">
        <v>480</v>
      </c>
      <c r="H27" s="135"/>
      <c r="I27" s="135"/>
      <c r="J27" s="135"/>
      <c r="K27" s="135"/>
      <c r="L27" s="135"/>
      <c r="M27" s="135"/>
      <c r="N27" s="135"/>
      <c r="O27" s="135"/>
      <c r="P27" s="135"/>
      <c r="Q27" s="191"/>
      <c r="R27" s="135"/>
      <c r="S27" s="135"/>
    </row>
    <row r="28" spans="1:20" ht="15" x14ac:dyDescent="0.25">
      <c r="A28" s="121"/>
      <c r="B28" s="129" t="s">
        <v>475</v>
      </c>
      <c r="C28" s="131"/>
      <c r="D28" s="130">
        <f>D25</f>
        <v>47303.21</v>
      </c>
      <c r="E28" s="125"/>
      <c r="F28" s="126"/>
      <c r="G28" s="127" t="s">
        <v>481</v>
      </c>
      <c r="H28" s="128"/>
      <c r="I28" s="128"/>
      <c r="J28" s="128"/>
      <c r="K28" s="128"/>
      <c r="L28" s="128"/>
      <c r="M28" s="128"/>
      <c r="N28" s="128"/>
      <c r="O28" s="128"/>
      <c r="P28" s="128"/>
      <c r="Q28" s="128"/>
      <c r="R28" s="128"/>
      <c r="S28" s="128"/>
    </row>
    <row r="29" spans="1:20" ht="15" x14ac:dyDescent="0.25">
      <c r="A29" s="121"/>
      <c r="B29" s="131"/>
      <c r="C29" s="131"/>
      <c r="D29" s="131"/>
      <c r="E29" s="132" t="s">
        <v>478</v>
      </c>
      <c r="F29" s="133"/>
      <c r="G29" s="134" t="s">
        <v>482</v>
      </c>
      <c r="H29" s="135">
        <f>H24</f>
        <v>0</v>
      </c>
      <c r="I29" s="135">
        <f>H24+I24</f>
        <v>0</v>
      </c>
      <c r="J29" s="135">
        <f>H24+I24+J24</f>
        <v>0</v>
      </c>
      <c r="K29" s="135">
        <f>H24+I24+J24+K24</f>
        <v>0</v>
      </c>
      <c r="L29" s="135">
        <f>H24+I24+J24+K24+L24</f>
        <v>0</v>
      </c>
      <c r="M29" s="135">
        <f>H24+I24+J24+K24+L24+M24</f>
        <v>0</v>
      </c>
      <c r="N29" s="135">
        <f>H24+I24+J24+K24+L24+M24+N24</f>
        <v>0</v>
      </c>
      <c r="O29" s="135">
        <f>H24+I24+J24+K24+L24+M24+N24+O24</f>
        <v>0</v>
      </c>
      <c r="P29" s="135">
        <f>H24+I24+J24+K24+L24+M24+N24+O24+P24</f>
        <v>0</v>
      </c>
      <c r="Q29" s="135">
        <f>H24+I24+J24+K24+L24+M24+N24+O24+P24+Q24</f>
        <v>0</v>
      </c>
      <c r="R29" s="135">
        <f>H24+I24+J24+K24+L24+M24+N24+O24+P24+Q24+R24</f>
        <v>0</v>
      </c>
      <c r="S29" s="135">
        <f>H24+I24+J24+K24+L24+M24+N24+O24+P24+Q24+R24+S24</f>
        <v>0</v>
      </c>
    </row>
    <row r="30" spans="1:20" ht="15" x14ac:dyDescent="0.25">
      <c r="A30" s="121"/>
      <c r="B30" s="131"/>
      <c r="C30" s="131"/>
      <c r="D30" s="131"/>
      <c r="E30" s="132"/>
      <c r="F30" s="136"/>
      <c r="G30" s="137" t="s">
        <v>476</v>
      </c>
      <c r="H30" s="142">
        <v>0</v>
      </c>
      <c r="I30" s="142">
        <v>0</v>
      </c>
      <c r="J30" s="142">
        <v>0</v>
      </c>
      <c r="K30" s="142">
        <v>0</v>
      </c>
      <c r="L30" s="142">
        <v>0</v>
      </c>
      <c r="M30" s="142">
        <v>0</v>
      </c>
      <c r="N30" s="142">
        <v>0</v>
      </c>
      <c r="O30" s="142">
        <v>0</v>
      </c>
      <c r="P30" s="142">
        <v>0</v>
      </c>
      <c r="Q30" s="142">
        <v>0</v>
      </c>
      <c r="R30" s="142">
        <v>0</v>
      </c>
      <c r="S30" s="142">
        <v>0</v>
      </c>
    </row>
    <row r="31" spans="1:20" ht="15" thickBot="1" x14ac:dyDescent="0.35">
      <c r="A31" s="143" t="s">
        <v>479</v>
      </c>
      <c r="C31" s="131"/>
      <c r="D31" s="131"/>
      <c r="E31" s="132"/>
      <c r="F31" s="133"/>
      <c r="G31" s="144" t="s">
        <v>477</v>
      </c>
      <c r="H31" s="145">
        <f>H28+H29</f>
        <v>0</v>
      </c>
      <c r="I31" s="145">
        <f t="shared" ref="I31:M31" si="1">I28+I29</f>
        <v>0</v>
      </c>
      <c r="J31" s="145">
        <f t="shared" si="1"/>
        <v>0</v>
      </c>
      <c r="K31" s="145">
        <f t="shared" si="1"/>
        <v>0</v>
      </c>
      <c r="L31" s="145">
        <f t="shared" si="1"/>
        <v>0</v>
      </c>
      <c r="M31" s="145">
        <f t="shared" si="1"/>
        <v>0</v>
      </c>
      <c r="N31" s="145">
        <f>N28+N29</f>
        <v>0</v>
      </c>
      <c r="O31" s="145">
        <f t="shared" ref="O31:S31" si="2">O28+O29</f>
        <v>0</v>
      </c>
      <c r="P31" s="145">
        <f t="shared" si="2"/>
        <v>0</v>
      </c>
      <c r="Q31" s="145">
        <f t="shared" si="2"/>
        <v>0</v>
      </c>
      <c r="R31" s="145">
        <f t="shared" si="2"/>
        <v>0</v>
      </c>
      <c r="S31" s="145">
        <f t="shared" si="2"/>
        <v>0</v>
      </c>
    </row>
    <row r="32" spans="1:20" ht="15" thickBot="1" x14ac:dyDescent="0.35">
      <c r="A32" s="208"/>
      <c r="B32" s="209"/>
      <c r="C32" s="210"/>
      <c r="D32" s="131"/>
      <c r="E32" s="139"/>
      <c r="F32" s="146"/>
      <c r="G32" s="147"/>
      <c r="H32" s="148" t="s">
        <v>479</v>
      </c>
      <c r="I32" s="148" t="s">
        <v>479</v>
      </c>
      <c r="J32" s="148" t="s">
        <v>479</v>
      </c>
      <c r="K32" s="148" t="s">
        <v>479</v>
      </c>
      <c r="L32" s="148" t="s">
        <v>479</v>
      </c>
      <c r="M32" s="148" t="s">
        <v>479</v>
      </c>
      <c r="N32" s="148" t="s">
        <v>479</v>
      </c>
      <c r="O32" s="148" t="s">
        <v>479</v>
      </c>
      <c r="P32" s="148" t="s">
        <v>479</v>
      </c>
      <c r="Q32" s="148" t="s">
        <v>479</v>
      </c>
      <c r="R32" s="148" t="s">
        <v>479</v>
      </c>
      <c r="S32" s="148" t="s">
        <v>479</v>
      </c>
    </row>
  </sheetData>
  <mergeCells count="8">
    <mergeCell ref="T8:T9"/>
    <mergeCell ref="G8:G9"/>
    <mergeCell ref="B22:D23"/>
    <mergeCell ref="A32:C32"/>
    <mergeCell ref="A8:A9"/>
    <mergeCell ref="B8:B9"/>
    <mergeCell ref="C8:C9"/>
    <mergeCell ref="F8:F9"/>
  </mergeCells>
  <conditionalFormatting sqref="A10:A20">
    <cfRule type="expression" dxfId="44" priority="41">
      <formula>AND(A10&lt;&gt;0,ISNUMBER(A10))</formula>
    </cfRule>
  </conditionalFormatting>
  <conditionalFormatting sqref="A32:C32">
    <cfRule type="expression" dxfId="43" priority="39">
      <formula>$H$57=""</formula>
    </cfRule>
  </conditionalFormatting>
  <conditionalFormatting sqref="B10:F12">
    <cfRule type="expression" dxfId="42" priority="55" stopIfTrue="1">
      <formula>$M10=2</formula>
    </cfRule>
    <cfRule type="expression" dxfId="41" priority="56" stopIfTrue="1">
      <formula>AND($M10=1,$Y10&lt;&gt;"")</formula>
    </cfRule>
  </conditionalFormatting>
  <conditionalFormatting sqref="B12:F15">
    <cfRule type="expression" dxfId="40" priority="50" stopIfTrue="1">
      <formula>$M12=2</formula>
    </cfRule>
    <cfRule type="expression" dxfId="39" priority="51" stopIfTrue="1">
      <formula>AND($M12=1,$Y12&lt;&gt;"")</formula>
    </cfRule>
  </conditionalFormatting>
  <conditionalFormatting sqref="B15:F18">
    <cfRule type="expression" dxfId="38" priority="46" stopIfTrue="1">
      <formula>$M15=2</formula>
    </cfRule>
    <cfRule type="expression" dxfId="37" priority="47" stopIfTrue="1">
      <formula>AND($M15=1,$Y15&lt;&gt;"")</formula>
    </cfRule>
  </conditionalFormatting>
  <conditionalFormatting sqref="B18:F20">
    <cfRule type="expression" dxfId="36" priority="28" stopIfTrue="1">
      <formula>$M18=2</formula>
    </cfRule>
    <cfRule type="expression" dxfId="35" priority="29" stopIfTrue="1">
      <formula>AND($M18=1,$Y18&lt;&gt;"")</formula>
    </cfRule>
  </conditionalFormatting>
  <conditionalFormatting sqref="H8">
    <cfRule type="expression" dxfId="34" priority="53" stopIfTrue="1">
      <formula>NOT(ISNUMBER(G$12))</formula>
    </cfRule>
  </conditionalFormatting>
  <conditionalFormatting sqref="H10:S20">
    <cfRule type="expression" dxfId="33" priority="40" stopIfTrue="1">
      <formula>H10&lt;&gt;0</formula>
    </cfRule>
  </conditionalFormatting>
  <conditionalFormatting sqref="H29:M29 H31:M31 H24:M24 H27:M27">
    <cfRule type="expression" dxfId="32" priority="37" stopIfTrue="1">
      <formula>G$53=1</formula>
    </cfRule>
  </conditionalFormatting>
  <conditionalFormatting sqref="H26:M26 H28:M28 H32:M32 H23:M23 H30:M30">
    <cfRule type="expression" dxfId="31" priority="32" stopIfTrue="1">
      <formula>G$53=1</formula>
    </cfRule>
  </conditionalFormatting>
  <conditionalFormatting sqref="H32:M32">
    <cfRule type="expression" dxfId="30" priority="36">
      <formula>ROUND(H32,4)&gt;ROUND(H27,4)</formula>
    </cfRule>
  </conditionalFormatting>
  <conditionalFormatting sqref="T10:T12">
    <cfRule type="expression" dxfId="29" priority="26" stopIfTrue="1">
      <formula>$M10=2</formula>
    </cfRule>
    <cfRule type="expression" dxfId="28" priority="27" stopIfTrue="1">
      <formula>AND($M10=1,$Y10&lt;&gt;"")</formula>
    </cfRule>
  </conditionalFormatting>
  <conditionalFormatting sqref="T12:T15">
    <cfRule type="expression" dxfId="27" priority="24" stopIfTrue="1">
      <formula>$M12=2</formula>
    </cfRule>
    <cfRule type="expression" dxfId="26" priority="25" stopIfTrue="1">
      <formula>AND($M12=1,$Y12&lt;&gt;"")</formula>
    </cfRule>
  </conditionalFormatting>
  <conditionalFormatting sqref="T15:T18">
    <cfRule type="expression" dxfId="25" priority="22" stopIfTrue="1">
      <formula>$M15=2</formula>
    </cfRule>
    <cfRule type="expression" dxfId="24" priority="23" stopIfTrue="1">
      <formula>AND($M15=1,$Y15&lt;&gt;"")</formula>
    </cfRule>
  </conditionalFormatting>
  <conditionalFormatting sqref="T18:T20">
    <cfRule type="expression" dxfId="23" priority="18" stopIfTrue="1">
      <formula>$M18=2</formula>
    </cfRule>
    <cfRule type="expression" dxfId="22" priority="19" stopIfTrue="1">
      <formula>AND($M18=1,$Y18&lt;&gt;"")</formula>
    </cfRule>
  </conditionalFormatting>
  <conditionalFormatting sqref="H22:M22">
    <cfRule type="expression" dxfId="21" priority="17" stopIfTrue="1">
      <formula>H22&lt;&gt;0</formula>
    </cfRule>
  </conditionalFormatting>
  <conditionalFormatting sqref="H25:M25">
    <cfRule type="expression" dxfId="20" priority="8" stopIfTrue="1">
      <formula>H25&lt;&gt;0</formula>
    </cfRule>
  </conditionalFormatting>
  <conditionalFormatting sqref="N29:S29 N31:S31 O24:S24 N27:S27">
    <cfRule type="expression" dxfId="19" priority="7" stopIfTrue="1">
      <formula>M$53=1</formula>
    </cfRule>
  </conditionalFormatting>
  <conditionalFormatting sqref="N26:S26 N28:S28 N32:S32 O23:S23 N30:S30">
    <cfRule type="expression" dxfId="18" priority="5" stopIfTrue="1">
      <formula>M$53=1</formula>
    </cfRule>
  </conditionalFormatting>
  <conditionalFormatting sqref="N32:S32">
    <cfRule type="expression" dxfId="17" priority="6">
      <formula>ROUND(N32,4)&gt;ROUND(N27,4)</formula>
    </cfRule>
  </conditionalFormatting>
  <conditionalFormatting sqref="N22:S22">
    <cfRule type="expression" dxfId="16" priority="4" stopIfTrue="1">
      <formula>N22&lt;&gt;0</formula>
    </cfRule>
  </conditionalFormatting>
  <conditionalFormatting sqref="N25:S25">
    <cfRule type="expression" dxfId="15" priority="3" stopIfTrue="1">
      <formula>N25&lt;&gt;0</formula>
    </cfRule>
  </conditionalFormatting>
  <conditionalFormatting sqref="N23">
    <cfRule type="expression" dxfId="14" priority="2" stopIfTrue="1">
      <formula>M$53=1</formula>
    </cfRule>
  </conditionalFormatting>
  <conditionalFormatting sqref="N24">
    <cfRule type="expression" dxfId="13" priority="1" stopIfTrue="1">
      <formula>M$53=1</formula>
    </cfRule>
  </conditionalFormatting>
  <dataValidations count="3">
    <dataValidation allowBlank="1" showInputMessage="1" showErrorMessage="1" prompt="Preencha na célula de baixo. Se o acompanhamento for PLE, preencha no botão PREENCHIMENTO POR EVENTOS, acima." sqref="H10:S20 H25:S25 H22:S22"/>
    <dataValidation type="whole" operator="greaterThan" allowBlank="1" showErrorMessage="1" sqref="H8">
      <formula1>0</formula1>
      <formula2>0</formula2>
    </dataValidation>
    <dataValidation type="list" allowBlank="1" showErrorMessage="1" errorTitle="Atenção" error="Selecione uma opção da lista." sqref="A32:C32">
      <formula1>CRONO.Lista.AdmLocal</formula1>
    </dataValidation>
  </dataValidations>
  <pageMargins left="0.511811024" right="0.511811024" top="0.78740157499999996" bottom="0.78740157499999996" header="0.31496062000000002" footer="0.31496062000000002"/>
  <pageSetup paperSize="9" scale="63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Z146"/>
  <sheetViews>
    <sheetView topLeftCell="H49" workbookViewId="0">
      <selection activeCell="R21" sqref="R21"/>
    </sheetView>
  </sheetViews>
  <sheetFormatPr defaultRowHeight="14.4" x14ac:dyDescent="0.3"/>
  <cols>
    <col min="1" max="4" width="5.5546875" style="151" hidden="1" customWidth="1"/>
    <col min="5" max="6" width="11.44140625" style="151" hidden="1" customWidth="1"/>
    <col min="7" max="7" width="11.88671875" style="151" hidden="1" customWidth="1"/>
    <col min="8" max="8" width="10.5546875" customWidth="1"/>
    <col min="9" max="9" width="3.5546875" customWidth="1"/>
    <col min="10" max="15" width="10.5546875" style="151" customWidth="1"/>
    <col min="16" max="16" width="12.88671875" style="151" customWidth="1"/>
    <col min="17" max="19" width="10.5546875" style="151" customWidth="1"/>
  </cols>
  <sheetData>
    <row r="1" spans="1:21" ht="15.75" x14ac:dyDescent="0.25">
      <c r="E1" s="152" t="s">
        <v>516</v>
      </c>
      <c r="F1" s="152" t="s">
        <v>517</v>
      </c>
      <c r="G1" s="152" t="s">
        <v>518</v>
      </c>
      <c r="O1" s="153" t="str">
        <f>"Quadro de Composição do BDI"</f>
        <v>Quadro de Composição do BDI</v>
      </c>
      <c r="R1" s="220" t="s">
        <v>519</v>
      </c>
      <c r="S1" s="220"/>
    </row>
    <row r="2" spans="1:21" x14ac:dyDescent="0.3">
      <c r="A2" s="151" t="s">
        <v>520</v>
      </c>
      <c r="B2" s="154" t="s">
        <v>505</v>
      </c>
      <c r="C2" s="151" t="str">
        <f t="shared" ref="C2:C49" si="0">CONCATENATE(A2,"-",B2)</f>
        <v>Construção e Reforma de Edifícios-AC</v>
      </c>
      <c r="E2" s="155">
        <v>0.03</v>
      </c>
      <c r="F2" s="155">
        <v>0.04</v>
      </c>
      <c r="G2" s="155">
        <v>5.5E-2</v>
      </c>
      <c r="R2" s="221" t="s">
        <v>521</v>
      </c>
      <c r="S2" s="221"/>
    </row>
    <row r="3" spans="1:21" ht="15" x14ac:dyDescent="0.25">
      <c r="A3" s="151" t="str">
        <f>A2</f>
        <v>Construção e Reforma de Edifícios</v>
      </c>
      <c r="B3" s="154" t="s">
        <v>506</v>
      </c>
      <c r="C3" s="151" t="str">
        <f t="shared" si="0"/>
        <v>Construção e Reforma de Edifícios-SG</v>
      </c>
      <c r="E3" s="155">
        <v>8.0000000000000002E-3</v>
      </c>
      <c r="F3" s="155">
        <v>8.0000000000000002E-3</v>
      </c>
      <c r="G3" s="155">
        <v>0.01</v>
      </c>
    </row>
    <row r="4" spans="1:21" x14ac:dyDescent="0.3">
      <c r="A4" s="151" t="str">
        <f>A3</f>
        <v>Construção e Reforma de Edifícios</v>
      </c>
      <c r="B4" s="154" t="s">
        <v>508</v>
      </c>
      <c r="C4" s="151" t="str">
        <f t="shared" si="0"/>
        <v>Construção e Reforma de Edifícios-R</v>
      </c>
      <c r="E4" s="155">
        <v>9.7000000000000003E-3</v>
      </c>
      <c r="F4" s="155">
        <v>1.2699999999999999E-2</v>
      </c>
      <c r="G4" s="155">
        <v>1.2699999999999999E-2</v>
      </c>
      <c r="J4" s="215" t="s">
        <v>522</v>
      </c>
      <c r="K4" s="215"/>
      <c r="L4" s="215" t="s">
        <v>523</v>
      </c>
      <c r="M4" s="215"/>
      <c r="N4" s="215" t="s">
        <v>524</v>
      </c>
      <c r="O4" s="215"/>
      <c r="P4" s="215"/>
      <c r="Q4" s="215"/>
      <c r="R4" s="215"/>
      <c r="S4" s="215"/>
    </row>
    <row r="5" spans="1:21" ht="12.75" customHeight="1" x14ac:dyDescent="0.25">
      <c r="A5" s="151" t="str">
        <f>A4</f>
        <v>Construção e Reforma de Edifícios</v>
      </c>
      <c r="B5" s="154" t="s">
        <v>510</v>
      </c>
      <c r="C5" s="151" t="str">
        <f t="shared" si="0"/>
        <v>Construção e Reforma de Edifícios-DF</v>
      </c>
      <c r="E5" s="155">
        <v>5.8999999999999999E-3</v>
      </c>
      <c r="F5" s="155">
        <v>1.23E-2</v>
      </c>
      <c r="G5" s="155">
        <v>1.3899999999999999E-2</v>
      </c>
      <c r="J5" s="222">
        <f>Import.CR</f>
        <v>0</v>
      </c>
      <c r="K5" s="222"/>
      <c r="L5" s="222" t="str">
        <f>Import.TransfereGOV</f>
        <v>39766/2025</v>
      </c>
      <c r="M5" s="222"/>
      <c r="N5" s="222">
        <f>Import.Proponente</f>
        <v>0</v>
      </c>
      <c r="O5" s="222"/>
      <c r="P5" s="222"/>
      <c r="Q5" s="222"/>
      <c r="R5" s="222"/>
      <c r="S5" s="222"/>
    </row>
    <row r="6" spans="1:21" x14ac:dyDescent="0.3">
      <c r="A6" s="151" t="str">
        <f>A5</f>
        <v>Construção e Reforma de Edifícios</v>
      </c>
      <c r="B6" s="154" t="s">
        <v>511</v>
      </c>
      <c r="C6" s="151" t="str">
        <f t="shared" si="0"/>
        <v>Construção e Reforma de Edifícios-L</v>
      </c>
      <c r="E6" s="155">
        <v>6.1600000000000002E-2</v>
      </c>
      <c r="F6" s="155">
        <v>7.400000000000001E-2</v>
      </c>
      <c r="G6" s="155">
        <v>8.9600000000000013E-2</v>
      </c>
      <c r="I6" s="214" t="s">
        <v>525</v>
      </c>
      <c r="J6" s="156"/>
      <c r="K6" s="156"/>
      <c r="L6" s="156"/>
      <c r="M6" s="156"/>
      <c r="N6" s="156"/>
      <c r="O6" s="156"/>
      <c r="P6" s="156"/>
      <c r="Q6" s="156"/>
      <c r="R6" s="156"/>
      <c r="S6" s="156"/>
    </row>
    <row r="7" spans="1:21" ht="26.4" x14ac:dyDescent="0.3">
      <c r="A7" s="151" t="str">
        <f>A6</f>
        <v>Construção e Reforma de Edifícios</v>
      </c>
      <c r="B7" s="157" t="s">
        <v>526</v>
      </c>
      <c r="C7" s="151" t="str">
        <f t="shared" si="0"/>
        <v>Construção e Reforma de Edifícios-BDI PAD</v>
      </c>
      <c r="E7" s="155">
        <v>0.2034</v>
      </c>
      <c r="F7" s="155">
        <v>0.22120000000000001</v>
      </c>
      <c r="G7" s="155">
        <v>0.25</v>
      </c>
      <c r="I7" s="214"/>
      <c r="J7" s="215" t="s">
        <v>527</v>
      </c>
      <c r="K7" s="215"/>
      <c r="L7" s="215"/>
      <c r="M7" s="215"/>
      <c r="N7" s="215"/>
      <c r="O7" s="215"/>
      <c r="P7" s="215"/>
      <c r="Q7" s="215"/>
      <c r="R7" s="215"/>
      <c r="S7" s="215"/>
      <c r="U7" s="158"/>
    </row>
    <row r="8" spans="1:21" ht="15.6" x14ac:dyDescent="0.3">
      <c r="A8" s="151" t="s">
        <v>528</v>
      </c>
      <c r="B8" s="154" t="s">
        <v>505</v>
      </c>
      <c r="C8" s="151" t="str">
        <f t="shared" si="0"/>
        <v>Construção de Praças Urbanas, Rodovias, Ferrovias e recapeamento e pavimentação de vias urbanas-AC</v>
      </c>
      <c r="E8" s="155">
        <v>3.7999999999999999E-2</v>
      </c>
      <c r="F8" s="155">
        <v>4.0099999999999997E-2</v>
      </c>
      <c r="G8" s="155">
        <v>4.6699999999999998E-2</v>
      </c>
      <c r="I8" s="214"/>
      <c r="J8" s="216" t="str">
        <f>Import.Apelido&amp;" / "&amp;Import.DescLote</f>
        <v xml:space="preserve">CONSTRUÇÃO DE 20 UNIDADES HABITACIONAIS MCMV / </v>
      </c>
      <c r="K8" s="216"/>
      <c r="L8" s="216"/>
      <c r="M8" s="216"/>
      <c r="N8" s="216"/>
      <c r="O8" s="216"/>
      <c r="P8" s="216"/>
      <c r="Q8" s="216"/>
      <c r="R8" s="216"/>
      <c r="S8" s="216"/>
      <c r="U8" s="158" t="str">
        <f ca="1">IF(U29="FORA DO INTERVALO","BDI 1 fora do intervalo",IF(U69="FORA DO INTERVALO","BDI 2 fora do intervalo",IF(U109="FORA DO INTERVALO","BDI 3 fora do intervalo","")))</f>
        <v/>
      </c>
    </row>
    <row r="9" spans="1:21" x14ac:dyDescent="0.3">
      <c r="A9" s="151" t="s">
        <v>528</v>
      </c>
      <c r="B9" s="154" t="s">
        <v>506</v>
      </c>
      <c r="C9" s="151" t="str">
        <f t="shared" si="0"/>
        <v>Construção de Praças Urbanas, Rodovias, Ferrovias e recapeamento e pavimentação de vias urbanas-SG</v>
      </c>
      <c r="E9" s="155">
        <v>3.2000000000000002E-3</v>
      </c>
      <c r="F9" s="155">
        <v>4.0000000000000001E-3</v>
      </c>
      <c r="G9" s="155">
        <v>7.4000000000000003E-3</v>
      </c>
      <c r="I9" s="214"/>
      <c r="J9" s="156"/>
      <c r="K9" s="156"/>
      <c r="L9" s="156"/>
      <c r="M9" s="156"/>
      <c r="N9" s="156"/>
      <c r="O9" s="156"/>
      <c r="P9" s="156"/>
      <c r="Q9" s="156"/>
      <c r="R9" s="156"/>
      <c r="S9" s="156"/>
    </row>
    <row r="10" spans="1:21" ht="12.75" customHeight="1" x14ac:dyDescent="0.3">
      <c r="A10" s="151" t="s">
        <v>528</v>
      </c>
      <c r="B10" s="154" t="s">
        <v>508</v>
      </c>
      <c r="C10" s="151" t="str">
        <f t="shared" si="0"/>
        <v>Construção de Praças Urbanas, Rodovias, Ferrovias e recapeamento e pavimentação de vias urbanas-R</v>
      </c>
      <c r="E10" s="155">
        <v>5.0000000000000001E-3</v>
      </c>
      <c r="F10" s="155">
        <v>5.6000000000000008E-3</v>
      </c>
      <c r="G10" s="155">
        <v>9.7000000000000003E-3</v>
      </c>
      <c r="I10" s="214"/>
      <c r="J10" s="217" t="s">
        <v>529</v>
      </c>
      <c r="K10" s="217"/>
      <c r="L10" s="217"/>
      <c r="M10" s="217"/>
      <c r="N10" s="217"/>
      <c r="O10" s="217"/>
      <c r="P10" s="217"/>
      <c r="Q10" s="217"/>
      <c r="R10" s="218">
        <v>1</v>
      </c>
      <c r="S10" s="218"/>
      <c r="U10" s="159" t="str">
        <f>IF(R10="","Falta definir a base de cálculo para o ISS","")</f>
        <v/>
      </c>
    </row>
    <row r="11" spans="1:21" ht="12.75" customHeight="1" x14ac:dyDescent="0.3">
      <c r="A11" s="151" t="s">
        <v>528</v>
      </c>
      <c r="B11" s="154" t="s">
        <v>510</v>
      </c>
      <c r="C11" s="151" t="str">
        <f t="shared" si="0"/>
        <v>Construção de Praças Urbanas, Rodovias, Ferrovias e recapeamento e pavimentação de vias urbanas-DF</v>
      </c>
      <c r="E11" s="155">
        <v>1.0200000000000001E-2</v>
      </c>
      <c r="F11" s="155">
        <v>1.11E-2</v>
      </c>
      <c r="G11" s="155">
        <v>1.21E-2</v>
      </c>
      <c r="I11" s="160" t="s">
        <v>530</v>
      </c>
      <c r="J11" s="219" t="s">
        <v>531</v>
      </c>
      <c r="K11" s="219"/>
      <c r="L11" s="219"/>
      <c r="M11" s="219"/>
      <c r="N11" s="219"/>
      <c r="O11" s="219"/>
      <c r="P11" s="219"/>
      <c r="Q11" s="219"/>
      <c r="R11" s="218">
        <v>0.02</v>
      </c>
      <c r="S11" s="218"/>
      <c r="U11" s="159" t="str">
        <f>IF(R11="","Falta definir a alíquota do ISS","")</f>
        <v/>
      </c>
    </row>
    <row r="12" spans="1:21" x14ac:dyDescent="0.3">
      <c r="A12" s="151" t="s">
        <v>528</v>
      </c>
      <c r="B12" s="154" t="s">
        <v>511</v>
      </c>
      <c r="C12" s="151" t="str">
        <f t="shared" si="0"/>
        <v>Construção de Praças Urbanas, Rodovias, Ferrovias e recapeamento e pavimentação de vias urbanas-L</v>
      </c>
      <c r="E12" s="155">
        <v>6.6400000000000001E-2</v>
      </c>
      <c r="F12" s="155">
        <v>7.2999999999999995E-2</v>
      </c>
      <c r="G12" s="155">
        <v>8.6899999999999991E-2</v>
      </c>
      <c r="I12" s="150" t="s">
        <v>532</v>
      </c>
      <c r="J12" s="161"/>
      <c r="K12" s="161"/>
      <c r="L12" s="161"/>
      <c r="M12" s="161"/>
      <c r="N12" s="161"/>
      <c r="O12" s="161"/>
      <c r="P12" s="161"/>
      <c r="Q12" s="161"/>
      <c r="R12" s="161"/>
      <c r="S12" s="161"/>
    </row>
    <row r="13" spans="1:21" ht="15" customHeight="1" x14ac:dyDescent="0.3">
      <c r="A13" s="151" t="s">
        <v>528</v>
      </c>
      <c r="B13" s="157" t="s">
        <v>526</v>
      </c>
      <c r="C13" s="151" t="str">
        <f t="shared" si="0"/>
        <v>Construção de Praças Urbanas, Rodovias, Ferrovias e recapeamento e pavimentação de vias urbanas-BDI PAD</v>
      </c>
      <c r="E13" s="155">
        <v>0.19600000000000001</v>
      </c>
      <c r="F13" s="155">
        <v>0.2097</v>
      </c>
      <c r="G13" s="155">
        <v>0.24230000000000002</v>
      </c>
      <c r="I13" s="150" t="s">
        <v>532</v>
      </c>
    </row>
    <row r="14" spans="1:21" ht="15.6" x14ac:dyDescent="0.3">
      <c r="A14" s="151" t="s">
        <v>533</v>
      </c>
      <c r="B14" s="154" t="s">
        <v>505</v>
      </c>
      <c r="C14" s="151" t="str">
        <f t="shared" si="0"/>
        <v>Construção de Redes de Abastecimento de Água, Coleta de Esgoto-AC</v>
      </c>
      <c r="E14" s="155">
        <v>3.4300000000000004E-2</v>
      </c>
      <c r="F14" s="155">
        <v>4.9299999999999997E-2</v>
      </c>
      <c r="G14" s="155">
        <v>6.7099999999999993E-2</v>
      </c>
      <c r="I14" s="150" t="s">
        <v>532</v>
      </c>
      <c r="J14" s="226" t="s">
        <v>534</v>
      </c>
      <c r="K14" s="226"/>
      <c r="L14" s="226"/>
      <c r="M14" s="226"/>
      <c r="N14" s="226"/>
      <c r="O14" s="226"/>
      <c r="P14" s="226"/>
      <c r="Q14" s="226"/>
      <c r="R14" s="226"/>
      <c r="S14" s="226"/>
      <c r="U14" s="158"/>
    </row>
    <row r="15" spans="1:21" ht="15" x14ac:dyDescent="0.25">
      <c r="A15" s="151" t="str">
        <f>A14</f>
        <v>Construção de Redes de Abastecimento de Água, Coleta de Esgoto</v>
      </c>
      <c r="B15" s="154" t="s">
        <v>506</v>
      </c>
      <c r="C15" s="151" t="str">
        <f t="shared" si="0"/>
        <v>Construção de Redes de Abastecimento de Água, Coleta de Esgoto-SG</v>
      </c>
      <c r="E15" s="155">
        <v>2.8000000000000004E-3</v>
      </c>
      <c r="F15" s="155">
        <v>4.8999999999999998E-3</v>
      </c>
      <c r="G15" s="155">
        <v>7.4999999999999997E-3</v>
      </c>
      <c r="I15" s="150" t="s">
        <v>532</v>
      </c>
    </row>
    <row r="16" spans="1:21" ht="15" x14ac:dyDescent="0.25">
      <c r="A16" s="151" t="str">
        <f>A15</f>
        <v>Construção de Redes de Abastecimento de Água, Coleta de Esgoto</v>
      </c>
      <c r="B16" s="154" t="s">
        <v>508</v>
      </c>
      <c r="C16" s="151" t="str">
        <f t="shared" si="0"/>
        <v>Construção de Redes de Abastecimento de Água, Coleta de Esgoto-R</v>
      </c>
      <c r="E16" s="155">
        <v>0.01</v>
      </c>
      <c r="F16" s="155">
        <v>1.3899999999999999E-2</v>
      </c>
      <c r="G16" s="155">
        <v>1.7399999999999999E-2</v>
      </c>
      <c r="I16" s="150" t="s">
        <v>532</v>
      </c>
      <c r="J16" s="215" t="s">
        <v>535</v>
      </c>
      <c r="K16" s="215"/>
      <c r="L16" s="215"/>
      <c r="M16" s="215"/>
      <c r="N16" s="215"/>
      <c r="O16" s="215"/>
      <c r="P16" s="215"/>
      <c r="Q16" s="215"/>
      <c r="R16" s="215"/>
      <c r="S16" s="215"/>
    </row>
    <row r="17" spans="1:26" x14ac:dyDescent="0.3">
      <c r="A17" s="151" t="str">
        <f>A16</f>
        <v>Construção de Redes de Abastecimento de Água, Coleta de Esgoto</v>
      </c>
      <c r="B17" s="154" t="s">
        <v>510</v>
      </c>
      <c r="C17" s="151" t="str">
        <f t="shared" si="0"/>
        <v>Construção de Redes de Abastecimento de Água, Coleta de Esgoto-DF</v>
      </c>
      <c r="E17" s="155">
        <v>9.3999999999999986E-3</v>
      </c>
      <c r="F17" s="155">
        <v>9.8999999999999991E-3</v>
      </c>
      <c r="G17" s="155">
        <v>1.1699999999999999E-2</v>
      </c>
      <c r="I17" s="150" t="s">
        <v>532</v>
      </c>
      <c r="J17" s="227" t="s">
        <v>520</v>
      </c>
      <c r="K17" s="227"/>
      <c r="L17" s="227"/>
      <c r="M17" s="227"/>
      <c r="N17" s="227"/>
      <c r="O17" s="227"/>
      <c r="P17" s="227"/>
      <c r="Q17" s="227"/>
      <c r="R17" s="227"/>
      <c r="S17" s="227"/>
      <c r="T17" s="162"/>
      <c r="U17" s="163"/>
    </row>
    <row r="18" spans="1:26" ht="15" x14ac:dyDescent="0.25">
      <c r="A18" s="151" t="str">
        <f>A17</f>
        <v>Construção de Redes de Abastecimento de Água, Coleta de Esgoto</v>
      </c>
      <c r="B18" s="154" t="s">
        <v>511</v>
      </c>
      <c r="C18" s="151" t="str">
        <f t="shared" si="0"/>
        <v>Construção de Redes de Abastecimento de Água, Coleta de Esgoto-L</v>
      </c>
      <c r="E18" s="155">
        <v>6.7400000000000002E-2</v>
      </c>
      <c r="F18" s="155">
        <v>8.0399999999999985E-2</v>
      </c>
      <c r="G18" s="155">
        <v>9.4E-2</v>
      </c>
      <c r="I18" s="150" t="s">
        <v>532</v>
      </c>
    </row>
    <row r="19" spans="1:26" ht="12.75" customHeight="1" x14ac:dyDescent="0.3">
      <c r="A19" s="151" t="str">
        <f>A18</f>
        <v>Construção de Redes de Abastecimento de Água, Coleta de Esgoto</v>
      </c>
      <c r="B19" s="157" t="s">
        <v>526</v>
      </c>
      <c r="C19" s="151" t="str">
        <f t="shared" si="0"/>
        <v>Construção de Redes de Abastecimento de Água, Coleta de Esgoto-BDI PAD</v>
      </c>
      <c r="E19" s="155">
        <v>0.20760000000000001</v>
      </c>
      <c r="F19" s="155">
        <v>0.24179999999999999</v>
      </c>
      <c r="G19" s="155">
        <v>0.26440000000000002</v>
      </c>
      <c r="I19" s="150" t="s">
        <v>532</v>
      </c>
      <c r="J19" s="228" t="s">
        <v>502</v>
      </c>
      <c r="K19" s="228"/>
      <c r="L19" s="228"/>
      <c r="M19" s="228"/>
      <c r="N19" s="228"/>
      <c r="O19" s="228"/>
      <c r="P19" s="228"/>
      <c r="Q19" s="228"/>
      <c r="R19" s="228" t="s">
        <v>503</v>
      </c>
      <c r="S19" s="229" t="s">
        <v>504</v>
      </c>
      <c r="U19" s="229" t="s">
        <v>536</v>
      </c>
      <c r="V19" s="229"/>
      <c r="W19" s="229"/>
      <c r="X19" s="223" t="s">
        <v>537</v>
      </c>
      <c r="Y19" s="223" t="s">
        <v>538</v>
      </c>
      <c r="Z19" s="223" t="s">
        <v>539</v>
      </c>
    </row>
    <row r="20" spans="1:26" ht="12.75" customHeight="1" x14ac:dyDescent="0.3">
      <c r="A20" s="151" t="s">
        <v>540</v>
      </c>
      <c r="B20" s="154" t="s">
        <v>505</v>
      </c>
      <c r="C20" s="151" t="str">
        <f t="shared" si="0"/>
        <v>Construção e Manutenção de Estações e Redes de Distribuição de Energia Elétrica-AC</v>
      </c>
      <c r="E20" s="155">
        <v>5.2900000000000003E-2</v>
      </c>
      <c r="F20" s="155">
        <v>5.9200000000000003E-2</v>
      </c>
      <c r="G20" s="155">
        <v>7.9299999999999995E-2</v>
      </c>
      <c r="I20" s="150" t="s">
        <v>532</v>
      </c>
      <c r="J20" s="228"/>
      <c r="K20" s="228"/>
      <c r="L20" s="228"/>
      <c r="M20" s="228"/>
      <c r="N20" s="228"/>
      <c r="O20" s="228"/>
      <c r="P20" s="228"/>
      <c r="Q20" s="228"/>
      <c r="R20" s="228"/>
      <c r="S20" s="229"/>
      <c r="U20" s="229"/>
      <c r="V20" s="229"/>
      <c r="W20" s="229"/>
      <c r="X20" s="223"/>
      <c r="Y20" s="223"/>
      <c r="Z20" s="223"/>
    </row>
    <row r="21" spans="1:26" ht="15" customHeight="1" x14ac:dyDescent="0.25">
      <c r="A21" s="151" t="str">
        <f>A20</f>
        <v>Construção e Manutenção de Estações e Redes de Distribuição de Energia Elétrica</v>
      </c>
      <c r="B21" s="154" t="s">
        <v>506</v>
      </c>
      <c r="C21" s="151" t="str">
        <f t="shared" si="0"/>
        <v>Construção e Manutenção de Estações e Redes de Distribuição de Energia Elétrica-SG</v>
      </c>
      <c r="E21" s="155">
        <v>2.5000000000000001E-3</v>
      </c>
      <c r="F21" s="155">
        <v>5.1000000000000004E-3</v>
      </c>
      <c r="G21" s="155">
        <v>5.6000000000000008E-3</v>
      </c>
      <c r="I21" s="150" t="s">
        <v>532</v>
      </c>
      <c r="J21" s="224" t="str">
        <f>IF($J$17=$A$146,"Encargos Sociais incidentes sobre a mão de obra","Administração Central")</f>
        <v>Administração Central</v>
      </c>
      <c r="K21" s="224"/>
      <c r="L21" s="224"/>
      <c r="M21" s="224"/>
      <c r="N21" s="224"/>
      <c r="O21" s="224"/>
      <c r="P21" s="224"/>
      <c r="Q21" s="224"/>
      <c r="R21" s="164" t="str">
        <f>IF($J17=$A$146,"K1","AC")</f>
        <v>AC</v>
      </c>
      <c r="S21" s="149">
        <v>0.03</v>
      </c>
      <c r="T21" s="165"/>
      <c r="U21" s="225" t="str">
        <f>IFERROR(IF(T21="◄","FALTA PREENCHER",IF(AND(OR(S21&gt;=X21,X21="-"),OR(S21&lt;=Z21,Z21="-")),"OK","FORA DO INTERVALO")),"-")</f>
        <v>OK</v>
      </c>
      <c r="V21" s="225"/>
      <c r="W21" s="225"/>
      <c r="X21" s="166">
        <f>VLOOKUP(CONCATENATE(J17,"-",R21),$C$2:$G$136,3,FALSE)</f>
        <v>0.03</v>
      </c>
      <c r="Y21" s="166">
        <f>VLOOKUP(CONCATENATE(J17,"-",R21),$C$2:$G$136,4,FALSE)</f>
        <v>0.04</v>
      </c>
      <c r="Z21" s="166">
        <f>VLOOKUP(CONCATENATE(J17,"-",R21),$C$2:$G$136,5,FALSE)</f>
        <v>5.5E-2</v>
      </c>
    </row>
    <row r="22" spans="1:26" ht="15" customHeight="1" x14ac:dyDescent="0.25">
      <c r="A22" s="151" t="str">
        <f>A21</f>
        <v>Construção e Manutenção de Estações e Redes de Distribuição de Energia Elétrica</v>
      </c>
      <c r="B22" s="154" t="s">
        <v>508</v>
      </c>
      <c r="C22" s="151" t="str">
        <f t="shared" si="0"/>
        <v>Construção e Manutenção de Estações e Redes de Distribuição de Energia Elétrica-R</v>
      </c>
      <c r="E22" s="155">
        <v>0.01</v>
      </c>
      <c r="F22" s="155">
        <v>1.4800000000000001E-2</v>
      </c>
      <c r="G22" s="155">
        <v>1.9699999999999999E-2</v>
      </c>
      <c r="I22" s="150" t="s">
        <v>532</v>
      </c>
      <c r="J22" s="224" t="str">
        <f>IF($J$17=$A$146,"Administração Central da empresa ou consultoria - overhead","Seguro e Garantia")</f>
        <v>Seguro e Garantia</v>
      </c>
      <c r="K22" s="224"/>
      <c r="L22" s="224"/>
      <c r="M22" s="224"/>
      <c r="N22" s="224"/>
      <c r="O22" s="224"/>
      <c r="P22" s="224"/>
      <c r="Q22" s="224"/>
      <c r="R22" s="164" t="str">
        <f>IF($J17=$A$146,"K2","SG")</f>
        <v>SG</v>
      </c>
      <c r="S22" s="149">
        <v>8.9999999999999993E-3</v>
      </c>
      <c r="T22" s="165"/>
      <c r="U22" s="225" t="str">
        <f t="shared" ref="U22:U28" si="1">IFERROR(IF(T22="◄","FALTA PREENCHER",IF(AND(OR(S22&gt;=X22,X22="-"),OR(S22&lt;=Z22,Z22="-")),"OK","FORA DO INTERVALO")),"-")</f>
        <v>OK</v>
      </c>
      <c r="V22" s="225"/>
      <c r="W22" s="225"/>
      <c r="X22" s="166">
        <f>VLOOKUP(CONCATENATE(J17,"-",R22),$C$2:$G$136,3,FALSE)</f>
        <v>8.0000000000000002E-3</v>
      </c>
      <c r="Y22" s="166">
        <f>VLOOKUP(CONCATENATE(J17,"-",R22),$C$2:$G$136,4,FALSE)</f>
        <v>8.0000000000000002E-3</v>
      </c>
      <c r="Z22" s="166">
        <f>VLOOKUP(CONCATENATE(J17,"-",R22),$C$2:$G$136,5,FALSE)</f>
        <v>0.01</v>
      </c>
    </row>
    <row r="23" spans="1:26" ht="15" customHeight="1" x14ac:dyDescent="0.25">
      <c r="A23" s="151" t="str">
        <f>A22</f>
        <v>Construção e Manutenção de Estações e Redes de Distribuição de Energia Elétrica</v>
      </c>
      <c r="B23" s="154" t="s">
        <v>510</v>
      </c>
      <c r="C23" s="151" t="str">
        <f t="shared" si="0"/>
        <v>Construção e Manutenção de Estações e Redes de Distribuição de Energia Elétrica-DF</v>
      </c>
      <c r="E23" s="155">
        <v>1.01E-2</v>
      </c>
      <c r="F23" s="155">
        <v>1.0700000000000001E-2</v>
      </c>
      <c r="G23" s="155">
        <v>1.11E-2</v>
      </c>
      <c r="I23" s="150" t="s">
        <v>532</v>
      </c>
      <c r="J23" s="224" t="s">
        <v>507</v>
      </c>
      <c r="K23" s="224"/>
      <c r="L23" s="224"/>
      <c r="M23" s="224"/>
      <c r="N23" s="224"/>
      <c r="O23" s="224"/>
      <c r="P23" s="224"/>
      <c r="Q23" s="224"/>
      <c r="R23" s="164" t="str">
        <f>IF($J17=$A$146,"","R")</f>
        <v>R</v>
      </c>
      <c r="S23" s="149">
        <v>9.7000000000000003E-3</v>
      </c>
      <c r="T23" s="165"/>
      <c r="U23" s="225" t="str">
        <f t="shared" si="1"/>
        <v>OK</v>
      </c>
      <c r="V23" s="225"/>
      <c r="W23" s="225"/>
      <c r="X23" s="166">
        <f>VLOOKUP(CONCATENATE(J17,"-",R23),$C$2:$G$136,3,FALSE)</f>
        <v>9.7000000000000003E-3</v>
      </c>
      <c r="Y23" s="166">
        <f>VLOOKUP(CONCATENATE(J17,"-",R23),$C$2:$G$136,4,FALSE)</f>
        <v>1.2699999999999999E-2</v>
      </c>
      <c r="Z23" s="166">
        <f>VLOOKUP(CONCATENATE(J17,"-",R23),$C$2:$G$136,5,FALSE)</f>
        <v>1.2699999999999999E-2</v>
      </c>
    </row>
    <row r="24" spans="1:26" ht="15" customHeight="1" x14ac:dyDescent="0.25">
      <c r="A24" s="151" t="str">
        <f>A23</f>
        <v>Construção e Manutenção de Estações e Redes de Distribuição de Energia Elétrica</v>
      </c>
      <c r="B24" s="154" t="s">
        <v>511</v>
      </c>
      <c r="C24" s="151" t="str">
        <f t="shared" si="0"/>
        <v>Construção e Manutenção de Estações e Redes de Distribuição de Energia Elétrica-L</v>
      </c>
      <c r="E24" s="155">
        <v>0.08</v>
      </c>
      <c r="F24" s="155">
        <v>8.3100000000000007E-2</v>
      </c>
      <c r="G24" s="155">
        <v>9.5100000000000004E-2</v>
      </c>
      <c r="I24" s="150" t="s">
        <v>532</v>
      </c>
      <c r="J24" s="224" t="s">
        <v>509</v>
      </c>
      <c r="K24" s="224"/>
      <c r="L24" s="224"/>
      <c r="M24" s="224"/>
      <c r="N24" s="224"/>
      <c r="O24" s="224"/>
      <c r="P24" s="224"/>
      <c r="Q24" s="224"/>
      <c r="R24" s="164" t="str">
        <f>IF($J17=$A$146,"","DF")</f>
        <v>DF</v>
      </c>
      <c r="S24" s="149">
        <v>0.01</v>
      </c>
      <c r="T24" s="165"/>
      <c r="U24" s="225" t="str">
        <f t="shared" si="1"/>
        <v>OK</v>
      </c>
      <c r="V24" s="225"/>
      <c r="W24" s="225"/>
      <c r="X24" s="166">
        <f>VLOOKUP(CONCATENATE(J17,"-",R24),$C$2:$G$136,3,FALSE)</f>
        <v>5.8999999999999999E-3</v>
      </c>
      <c r="Y24" s="166">
        <f>VLOOKUP(CONCATENATE(J17,"-",R24),$C$2:$G$136,4,FALSE)</f>
        <v>1.23E-2</v>
      </c>
      <c r="Z24" s="166">
        <f>VLOOKUP(CONCATENATE(J17,"-",R24),$C$2:$G$136,5,FALSE)</f>
        <v>1.3899999999999999E-2</v>
      </c>
    </row>
    <row r="25" spans="1:26" ht="15" customHeight="1" x14ac:dyDescent="0.25">
      <c r="A25" s="151" t="str">
        <f>A24</f>
        <v>Construção e Manutenção de Estações e Redes de Distribuição de Energia Elétrica</v>
      </c>
      <c r="B25" s="157" t="s">
        <v>526</v>
      </c>
      <c r="C25" s="151" t="str">
        <f t="shared" si="0"/>
        <v>Construção e Manutenção de Estações e Redes de Distribuição de Energia Elétrica-BDI PAD</v>
      </c>
      <c r="E25" s="155">
        <v>0.24</v>
      </c>
      <c r="F25" s="155">
        <v>0.25840000000000002</v>
      </c>
      <c r="G25" s="155">
        <v>0.27860000000000001</v>
      </c>
      <c r="I25" s="150" t="s">
        <v>532</v>
      </c>
      <c r="J25" s="224" t="str">
        <f>IF($J$17=$A$146,"Margem bruta da empresa de consultoria","Lucro")</f>
        <v>Lucro</v>
      </c>
      <c r="K25" s="224"/>
      <c r="L25" s="224"/>
      <c r="M25" s="224"/>
      <c r="N25" s="224"/>
      <c r="O25" s="224"/>
      <c r="P25" s="224"/>
      <c r="Q25" s="224"/>
      <c r="R25" s="164" t="str">
        <f>IF($J17=$A$146,"K3","L")</f>
        <v>L</v>
      </c>
      <c r="S25" s="149">
        <v>7.4999999999999997E-2</v>
      </c>
      <c r="T25" s="165"/>
      <c r="U25" s="225" t="str">
        <f t="shared" si="1"/>
        <v>OK</v>
      </c>
      <c r="V25" s="225"/>
      <c r="W25" s="225"/>
      <c r="X25" s="166">
        <f>VLOOKUP(CONCATENATE(J17,"-",R25),$C$2:$G$136,3,FALSE)</f>
        <v>6.1600000000000002E-2</v>
      </c>
      <c r="Y25" s="166">
        <f>VLOOKUP(CONCATENATE(J17,"-",R25),$C$2:$G$136,4,FALSE)</f>
        <v>7.400000000000001E-2</v>
      </c>
      <c r="Z25" s="166">
        <f>VLOOKUP(CONCATENATE(J17,"-",R25),$C$2:$G$136,5,FALSE)</f>
        <v>8.9600000000000013E-2</v>
      </c>
    </row>
    <row r="26" spans="1:26" ht="15" customHeight="1" x14ac:dyDescent="0.3">
      <c r="A26" s="151" t="s">
        <v>541</v>
      </c>
      <c r="B26" s="154" t="s">
        <v>505</v>
      </c>
      <c r="C26" s="151" t="str">
        <f t="shared" si="0"/>
        <v>Obras Portuárias, Marítimas e Fluviais-AC</v>
      </c>
      <c r="E26" s="155">
        <v>0.04</v>
      </c>
      <c r="F26" s="155">
        <v>5.5199999999999999E-2</v>
      </c>
      <c r="G26" s="155">
        <v>7.85E-2</v>
      </c>
      <c r="I26" s="150" t="s">
        <v>532</v>
      </c>
      <c r="J26" s="224" t="s">
        <v>542</v>
      </c>
      <c r="K26" s="224"/>
      <c r="L26" s="224"/>
      <c r="M26" s="224"/>
      <c r="N26" s="224"/>
      <c r="O26" s="224"/>
      <c r="P26" s="224"/>
      <c r="Q26" s="224"/>
      <c r="R26" s="164" t="s">
        <v>512</v>
      </c>
      <c r="S26" s="149">
        <v>3.6499999999999998E-2</v>
      </c>
      <c r="T26" s="165"/>
      <c r="U26" s="225" t="str">
        <f t="shared" si="1"/>
        <v>OK</v>
      </c>
      <c r="V26" s="225"/>
      <c r="W26" s="225"/>
      <c r="X26" s="166">
        <f>Y26</f>
        <v>3.6499999999999998E-2</v>
      </c>
      <c r="Y26" s="166">
        <f>IF($J17=$A$145,"-",3.65%)</f>
        <v>3.6499999999999998E-2</v>
      </c>
      <c r="Z26" s="166">
        <f>Y26</f>
        <v>3.6499999999999998E-2</v>
      </c>
    </row>
    <row r="27" spans="1:26" ht="15" customHeight="1" x14ac:dyDescent="0.3">
      <c r="A27" s="151" t="str">
        <f>A26</f>
        <v>Obras Portuárias, Marítimas e Fluviais</v>
      </c>
      <c r="B27" s="154" t="s">
        <v>506</v>
      </c>
      <c r="C27" s="151" t="str">
        <f t="shared" si="0"/>
        <v>Obras Portuárias, Marítimas e Fluviais-SG</v>
      </c>
      <c r="E27" s="155">
        <v>8.1000000000000013E-3</v>
      </c>
      <c r="F27" s="155">
        <v>1.2199999999999999E-2</v>
      </c>
      <c r="G27" s="155">
        <v>1.9900000000000001E-2</v>
      </c>
      <c r="I27" s="150" t="s">
        <v>532</v>
      </c>
      <c r="J27" s="224" t="s">
        <v>543</v>
      </c>
      <c r="K27" s="224"/>
      <c r="L27" s="224"/>
      <c r="M27" s="224"/>
      <c r="N27" s="224"/>
      <c r="O27" s="224"/>
      <c r="P27" s="224"/>
      <c r="Q27" s="224"/>
      <c r="R27" s="164" t="s">
        <v>513</v>
      </c>
      <c r="S27" s="166">
        <f ca="1">IF(AND($J17&lt;&gt;$A$145,COUNTA(OFFSET(S20,1,0,6))&gt;0),$R$11*$R$10,0)</f>
        <v>0.02</v>
      </c>
      <c r="U27" s="225" t="str">
        <f t="shared" ca="1" si="1"/>
        <v>OK</v>
      </c>
      <c r="V27" s="225"/>
      <c r="W27" s="225"/>
      <c r="X27" s="166">
        <v>0</v>
      </c>
      <c r="Y27" s="166">
        <v>2.5000000000000001E-2</v>
      </c>
      <c r="Z27" s="166">
        <v>0.05</v>
      </c>
    </row>
    <row r="28" spans="1:26" ht="15" customHeight="1" x14ac:dyDescent="0.3">
      <c r="A28" s="151" t="str">
        <f>A27</f>
        <v>Obras Portuárias, Marítimas e Fluviais</v>
      </c>
      <c r="B28" s="154" t="s">
        <v>508</v>
      </c>
      <c r="C28" s="151" t="str">
        <f t="shared" si="0"/>
        <v>Obras Portuárias, Marítimas e Fluviais-R</v>
      </c>
      <c r="E28" s="155">
        <v>1.46E-2</v>
      </c>
      <c r="F28" s="155">
        <v>2.3199999999999998E-2</v>
      </c>
      <c r="G28" s="155">
        <v>3.1600000000000003E-2</v>
      </c>
      <c r="I28" s="150" t="s">
        <v>532</v>
      </c>
      <c r="J28" s="224" t="s">
        <v>544</v>
      </c>
      <c r="K28" s="224"/>
      <c r="L28" s="224"/>
      <c r="M28" s="224"/>
      <c r="N28" s="224"/>
      <c r="O28" s="224"/>
      <c r="P28" s="224"/>
      <c r="Q28" s="224"/>
      <c r="R28" s="164" t="s">
        <v>514</v>
      </c>
      <c r="S28" s="166">
        <v>3.5999999999999997E-2</v>
      </c>
      <c r="U28" s="225" t="str">
        <f t="shared" si="1"/>
        <v>OK</v>
      </c>
      <c r="V28" s="225"/>
      <c r="W28" s="225"/>
      <c r="X28" s="167">
        <f>$S28</f>
        <v>3.5999999999999997E-2</v>
      </c>
      <c r="Y28" s="167">
        <f>$S28</f>
        <v>3.5999999999999997E-2</v>
      </c>
      <c r="Z28" s="167">
        <f>$S28</f>
        <v>3.5999999999999997E-2</v>
      </c>
    </row>
    <row r="29" spans="1:26" ht="15" customHeight="1" x14ac:dyDescent="0.3">
      <c r="A29" s="151" t="str">
        <f>A28</f>
        <v>Obras Portuárias, Marítimas e Fluviais</v>
      </c>
      <c r="B29" s="154" t="s">
        <v>510</v>
      </c>
      <c r="C29" s="151" t="str">
        <f t="shared" si="0"/>
        <v>Obras Portuárias, Marítimas e Fluviais-DF</v>
      </c>
      <c r="E29" s="155">
        <v>9.3999999999999986E-3</v>
      </c>
      <c r="F29" s="155">
        <v>1.0200000000000001E-2</v>
      </c>
      <c r="G29" s="155">
        <v>1.3300000000000001E-2</v>
      </c>
      <c r="I29" s="150" t="s">
        <v>532</v>
      </c>
      <c r="J29" s="224" t="s">
        <v>545</v>
      </c>
      <c r="K29" s="224"/>
      <c r="L29" s="224"/>
      <c r="M29" s="224"/>
      <c r="N29" s="224"/>
      <c r="O29" s="224"/>
      <c r="P29" s="224"/>
      <c r="Q29" s="224"/>
      <c r="R29" s="168" t="s">
        <v>526</v>
      </c>
      <c r="S29" s="166">
        <f ca="1">IF($J17=$A$145,0,ROUND((((1+S21+S22+S23)*(1+S24)*(1+S25)/(1-(S26+S27)))-1),4))</f>
        <v>0.20680000000000001</v>
      </c>
      <c r="U29" s="229" t="str">
        <f ca="1">IFERROR(IF(AND(OR(S29&gt;=X29,X29="-"),OR(S29&lt;=Z29,Z29="-")),"OK","FORA DO INTERVALO"),IF(S29=0,"OK","Selecione o Tipo de obra"))</f>
        <v>OK</v>
      </c>
      <c r="V29" s="229"/>
      <c r="W29" s="229"/>
      <c r="X29" s="166">
        <f>IF($J17=$A$145,0,VLOOKUP(CONCATENATE($J17,"-",$R29),$C$2:$G$136,3,FALSE))</f>
        <v>0.2034</v>
      </c>
      <c r="Y29" s="166">
        <f>IF($J17=$A$145,0,VLOOKUP(CONCATENATE($J17,"-",$R29),$C$2:$G$136,4,FALSE))</f>
        <v>0.22120000000000001</v>
      </c>
      <c r="Z29" s="166">
        <f>IF($J17=$A$145,0,VLOOKUP(CONCATENATE($J17,"-",$R29),$C$2:$G$136,5,FALSE))</f>
        <v>0.25</v>
      </c>
    </row>
    <row r="30" spans="1:26" ht="15" customHeight="1" x14ac:dyDescent="0.3">
      <c r="A30" s="151" t="str">
        <f>A29</f>
        <v>Obras Portuárias, Marítimas e Fluviais</v>
      </c>
      <c r="B30" s="154" t="s">
        <v>511</v>
      </c>
      <c r="C30" s="151" t="str">
        <f t="shared" si="0"/>
        <v>Obras Portuárias, Marítimas e Fluviais-L</v>
      </c>
      <c r="E30" s="155">
        <v>7.1399999999999991E-2</v>
      </c>
      <c r="F30" s="155">
        <v>8.4000000000000005E-2</v>
      </c>
      <c r="G30" s="155">
        <v>0.1043</v>
      </c>
      <c r="I30" s="150" t="s">
        <v>532</v>
      </c>
      <c r="J30" s="230" t="s">
        <v>546</v>
      </c>
      <c r="K30" s="230"/>
      <c r="L30" s="230"/>
      <c r="M30" s="230"/>
      <c r="N30" s="230"/>
      <c r="O30" s="230"/>
      <c r="P30" s="230"/>
      <c r="Q30" s="230"/>
      <c r="R30" s="169" t="s">
        <v>547</v>
      </c>
      <c r="S30" s="170">
        <f ca="1">IF($J17=$A$145,0,ROUND((((1+S21+S22+S23)*(1+S24)*(1+S25)/(1-(S26+S27+S28)))-1),4))</f>
        <v>0.25469999999999998</v>
      </c>
    </row>
    <row r="31" spans="1:26" ht="15" customHeight="1" x14ac:dyDescent="0.25">
      <c r="A31" s="151" t="str">
        <f>A30</f>
        <v>Obras Portuárias, Marítimas e Fluviais</v>
      </c>
      <c r="B31" s="157" t="s">
        <v>526</v>
      </c>
      <c r="C31" s="151" t="str">
        <f t="shared" si="0"/>
        <v>Obras Portuárias, Marítimas e Fluviais-BDI PAD</v>
      </c>
      <c r="E31" s="155">
        <v>0.22800000000000001</v>
      </c>
      <c r="F31" s="155">
        <v>0.27479999999999999</v>
      </c>
      <c r="G31" s="155">
        <v>0.3095</v>
      </c>
      <c r="I31" s="150" t="s">
        <v>532</v>
      </c>
    </row>
    <row r="32" spans="1:26" ht="15.6" x14ac:dyDescent="0.3">
      <c r="A32" s="151" t="s">
        <v>548</v>
      </c>
      <c r="B32" s="154" t="s">
        <v>505</v>
      </c>
      <c r="C32" s="151" t="str">
        <f t="shared" si="0"/>
        <v>Fornecimento de Materiais e Equipamentos (aquisição indireta - em conjunto com licitação de obras)-AC</v>
      </c>
      <c r="E32" s="155">
        <v>1.4999999999999999E-2</v>
      </c>
      <c r="F32" s="155">
        <v>3.4500000000000003E-2</v>
      </c>
      <c r="G32" s="155">
        <v>4.4900000000000002E-2</v>
      </c>
      <c r="I32" s="150" t="s">
        <v>532</v>
      </c>
      <c r="J32" s="171" t="str">
        <f ca="1">IF(U29&lt;&gt;"ok","X","")</f>
        <v/>
      </c>
      <c r="K32" s="231" t="str">
        <f ca="1">IF(U29&lt;&gt;"ok","Anexo: Relatório Técnico Circunstanciado justificando a adoção do percentual de cada parcela do BDI.","")</f>
        <v/>
      </c>
      <c r="L32" s="231"/>
      <c r="M32" s="231"/>
      <c r="N32" s="231"/>
      <c r="O32" s="231"/>
      <c r="P32" s="231"/>
      <c r="Q32" s="231"/>
      <c r="R32" s="231"/>
      <c r="S32" s="231"/>
    </row>
    <row r="33" spans="1:19" x14ac:dyDescent="0.3">
      <c r="A33" s="151" t="str">
        <f>A32</f>
        <v>Fornecimento de Materiais e Equipamentos (aquisição indireta - em conjunto com licitação de obras)</v>
      </c>
      <c r="B33" s="154" t="s">
        <v>506</v>
      </c>
      <c r="C33" s="151" t="str">
        <f t="shared" si="0"/>
        <v>Fornecimento de Materiais e Equipamentos (aquisição indireta - em conjunto com licitação de obras)-SG</v>
      </c>
      <c r="E33" s="155">
        <v>3.0000000000000001E-3</v>
      </c>
      <c r="F33" s="155">
        <v>4.7999999999999996E-3</v>
      </c>
      <c r="G33" s="155">
        <v>8.199999999999999E-3</v>
      </c>
      <c r="I33" s="150" t="s">
        <v>532</v>
      </c>
      <c r="N33" s="185" t="s">
        <v>568</v>
      </c>
    </row>
    <row r="34" spans="1:19" x14ac:dyDescent="0.3">
      <c r="A34" s="151" t="str">
        <f>A33</f>
        <v>Fornecimento de Materiais e Equipamentos (aquisição indireta - em conjunto com licitação de obras)</v>
      </c>
      <c r="B34" s="154" t="s">
        <v>508</v>
      </c>
      <c r="C34" s="151" t="str">
        <f t="shared" si="0"/>
        <v>Fornecimento de Materiais e Equipamentos (aquisição indireta - em conjunto com licitação de obras)-R</v>
      </c>
      <c r="E34" s="155">
        <v>5.6000000000000008E-3</v>
      </c>
      <c r="F34" s="155">
        <v>8.5000000000000006E-3</v>
      </c>
      <c r="G34" s="155">
        <v>8.8999999999999999E-3</v>
      </c>
      <c r="I34" s="150" t="s">
        <v>532</v>
      </c>
      <c r="J34" s="238" t="s">
        <v>515</v>
      </c>
      <c r="K34" s="238"/>
      <c r="L34" s="238"/>
      <c r="M34" s="238"/>
      <c r="N34" s="238"/>
      <c r="O34" s="238"/>
      <c r="P34" s="238"/>
      <c r="Q34" s="238"/>
      <c r="R34" s="238"/>
      <c r="S34" s="238"/>
    </row>
    <row r="35" spans="1:19" ht="15.6" x14ac:dyDescent="0.3">
      <c r="A35" s="151" t="str">
        <f>A34</f>
        <v>Fornecimento de Materiais e Equipamentos (aquisição indireta - em conjunto com licitação de obras)</v>
      </c>
      <c r="B35" s="154" t="s">
        <v>510</v>
      </c>
      <c r="C35" s="151" t="str">
        <f t="shared" si="0"/>
        <v>Fornecimento de Materiais e Equipamentos (aquisição indireta - em conjunto com licitação de obras)-DF</v>
      </c>
      <c r="E35" s="155">
        <v>8.5000000000000006E-3</v>
      </c>
      <c r="F35" s="155">
        <v>8.5000000000000006E-3</v>
      </c>
      <c r="G35" s="155">
        <v>1.11E-2</v>
      </c>
      <c r="I35" s="150" t="s">
        <v>532</v>
      </c>
      <c r="J35" s="172"/>
      <c r="K35" s="172"/>
      <c r="L35" s="172"/>
      <c r="M35" s="239" t="s">
        <v>549</v>
      </c>
      <c r="N35" s="240" t="str">
        <f>IF($J17=$A$146,"(1+K1+K2)*(1+K3)","(1+AC + S + R + G)*(1 + DF)*(1+L)")</f>
        <v>(1+AC + S + R + G)*(1 + DF)*(1+L)</v>
      </c>
      <c r="O35" s="240"/>
      <c r="P35" s="240"/>
      <c r="Q35" s="241" t="s">
        <v>550</v>
      </c>
      <c r="R35" s="172"/>
      <c r="S35" s="172"/>
    </row>
    <row r="36" spans="1:19" ht="15.6" x14ac:dyDescent="0.3">
      <c r="A36" s="151" t="str">
        <f>A35</f>
        <v>Fornecimento de Materiais e Equipamentos (aquisição indireta - em conjunto com licitação de obras)</v>
      </c>
      <c r="B36" s="154" t="s">
        <v>511</v>
      </c>
      <c r="C36" s="151" t="str">
        <f t="shared" si="0"/>
        <v>Fornecimento de Materiais e Equipamentos (aquisição indireta - em conjunto com licitação de obras)-L</v>
      </c>
      <c r="E36" s="155">
        <v>3.5000000000000003E-2</v>
      </c>
      <c r="F36" s="155">
        <v>5.1100000000000007E-2</v>
      </c>
      <c r="G36" s="155">
        <v>6.2199999999999998E-2</v>
      </c>
      <c r="I36" s="150" t="s">
        <v>532</v>
      </c>
      <c r="J36" s="172"/>
      <c r="K36" s="172"/>
      <c r="L36" s="172"/>
      <c r="M36" s="239"/>
      <c r="N36" s="242" t="s">
        <v>551</v>
      </c>
      <c r="O36" s="242"/>
      <c r="P36" s="242"/>
      <c r="Q36" s="241"/>
      <c r="R36" s="172"/>
      <c r="S36" s="172"/>
    </row>
    <row r="37" spans="1:19" ht="15" customHeight="1" x14ac:dyDescent="0.25">
      <c r="A37" s="151" t="str">
        <f>A36</f>
        <v>Fornecimento de Materiais e Equipamentos (aquisição indireta - em conjunto com licitação de obras)</v>
      </c>
      <c r="B37" s="157" t="s">
        <v>526</v>
      </c>
      <c r="C37" s="151" t="str">
        <f t="shared" si="0"/>
        <v>Fornecimento de Materiais e Equipamentos (aquisição indireta - em conjunto com licitação de obras)-BDI PAD</v>
      </c>
      <c r="E37" s="155">
        <v>0.111</v>
      </c>
      <c r="F37" s="155">
        <v>0.14019999999999999</v>
      </c>
      <c r="G37" s="155">
        <v>0.16800000000000001</v>
      </c>
      <c r="I37" s="150" t="s">
        <v>532</v>
      </c>
      <c r="J37" s="173"/>
      <c r="K37" s="173"/>
      <c r="L37" s="173"/>
      <c r="M37" s="173"/>
      <c r="N37" s="173"/>
      <c r="O37" s="173"/>
      <c r="P37" s="173"/>
      <c r="Q37" s="173"/>
      <c r="R37" s="173"/>
      <c r="S37" s="173"/>
    </row>
    <row r="38" spans="1:19" ht="50.1" customHeight="1" x14ac:dyDescent="0.3">
      <c r="A38" s="151" t="s">
        <v>552</v>
      </c>
      <c r="B38" s="157" t="s">
        <v>505</v>
      </c>
      <c r="C38" s="151" t="str">
        <f t="shared" si="0"/>
        <v>Fornecimento de Materiais e Equipamentos (aquisição direta)-AC</v>
      </c>
      <c r="E38" s="155" t="s">
        <v>553</v>
      </c>
      <c r="F38" s="155" t="s">
        <v>553</v>
      </c>
      <c r="G38" s="155" t="s">
        <v>553</v>
      </c>
      <c r="I38" t="s">
        <v>532</v>
      </c>
      <c r="J38" s="232" t="str">
        <f>CONCATENATE("Declaro para os devidos fins que, conforme legislação tributária municipal, a base de cálculo deste tipo de obra corresponde à ",$R$10*100,"%, com a respectiva alíquota de ",$R$11*100,"%.")</f>
        <v>Declaro para os devidos fins que, conforme legislação tributária municipal, a base de cálculo deste tipo de obra corresponde à 100%, com a respectiva alíquota de 2%.</v>
      </c>
      <c r="K38" s="232"/>
      <c r="L38" s="232"/>
      <c r="M38" s="232"/>
      <c r="N38" s="232"/>
      <c r="O38" s="232"/>
      <c r="P38" s="232"/>
      <c r="Q38" s="232"/>
      <c r="R38" s="232"/>
      <c r="S38" s="232"/>
    </row>
    <row r="39" spans="1:19" x14ac:dyDescent="0.3">
      <c r="A39" s="151" t="s">
        <v>552</v>
      </c>
      <c r="B39" s="157" t="s">
        <v>506</v>
      </c>
      <c r="C39" s="151" t="str">
        <f t="shared" si="0"/>
        <v>Fornecimento de Materiais e Equipamentos (aquisição direta)-SG</v>
      </c>
      <c r="E39" s="155" t="s">
        <v>553</v>
      </c>
      <c r="F39" s="155" t="s">
        <v>553</v>
      </c>
      <c r="G39" s="155" t="s">
        <v>553</v>
      </c>
      <c r="I39" t="s">
        <v>532</v>
      </c>
    </row>
    <row r="40" spans="1:19" ht="50.1" customHeight="1" x14ac:dyDescent="0.3">
      <c r="A40" s="151" t="s">
        <v>552</v>
      </c>
      <c r="B40" s="157" t="s">
        <v>508</v>
      </c>
      <c r="C40" s="151" t="str">
        <f t="shared" si="0"/>
        <v>Fornecimento de Materiais e Equipamentos (aquisição direta)-R</v>
      </c>
      <c r="E40" s="155" t="s">
        <v>553</v>
      </c>
      <c r="F40" s="155" t="s">
        <v>553</v>
      </c>
      <c r="G40" s="155" t="s">
        <v>553</v>
      </c>
      <c r="I40" t="s">
        <v>532</v>
      </c>
      <c r="J40" s="232" t="s">
        <v>593</v>
      </c>
      <c r="K40" s="232"/>
      <c r="L40" s="232"/>
      <c r="M40" s="232"/>
      <c r="N40" s="232"/>
      <c r="O40" s="232"/>
      <c r="P40" s="232"/>
      <c r="Q40" s="232"/>
      <c r="R40" s="232"/>
      <c r="S40" s="232"/>
    </row>
    <row r="41" spans="1:19" x14ac:dyDescent="0.3">
      <c r="A41" s="151" t="s">
        <v>552</v>
      </c>
      <c r="B41" s="157" t="s">
        <v>510</v>
      </c>
      <c r="C41" s="151" t="str">
        <f t="shared" si="0"/>
        <v>Fornecimento de Materiais e Equipamentos (aquisição direta)-DF</v>
      </c>
      <c r="E41" s="155" t="s">
        <v>553</v>
      </c>
      <c r="F41" s="155" t="s">
        <v>553</v>
      </c>
      <c r="G41" s="155" t="s">
        <v>553</v>
      </c>
      <c r="I41" t="s">
        <v>532</v>
      </c>
    </row>
    <row r="42" spans="1:19" x14ac:dyDescent="0.3">
      <c r="A42" s="151" t="s">
        <v>552</v>
      </c>
      <c r="B42" s="157" t="s">
        <v>511</v>
      </c>
      <c r="C42" s="151" t="str">
        <f t="shared" si="0"/>
        <v>Fornecimento de Materiais e Equipamentos (aquisição direta)-L</v>
      </c>
      <c r="E42" s="155" t="s">
        <v>553</v>
      </c>
      <c r="F42" s="155" t="s">
        <v>553</v>
      </c>
      <c r="G42" s="155" t="s">
        <v>553</v>
      </c>
      <c r="I42" t="s">
        <v>532</v>
      </c>
      <c r="J42" s="151" t="s">
        <v>554</v>
      </c>
    </row>
    <row r="43" spans="1:19" ht="99.9" customHeight="1" x14ac:dyDescent="0.3">
      <c r="A43" s="151" t="s">
        <v>552</v>
      </c>
      <c r="B43" s="157" t="s">
        <v>526</v>
      </c>
      <c r="C43" s="151" t="str">
        <f t="shared" si="0"/>
        <v>Fornecimento de Materiais e Equipamentos (aquisição direta)-BDI PAD</v>
      </c>
      <c r="E43" s="155" t="s">
        <v>553</v>
      </c>
      <c r="F43" s="155" t="s">
        <v>553</v>
      </c>
      <c r="G43" s="155" t="s">
        <v>553</v>
      </c>
      <c r="I43" t="s">
        <v>532</v>
      </c>
      <c r="J43" s="233"/>
      <c r="K43" s="233"/>
      <c r="L43" s="233"/>
      <c r="M43" s="233"/>
      <c r="N43" s="233"/>
      <c r="O43" s="233"/>
      <c r="P43" s="233"/>
      <c r="Q43" s="233"/>
      <c r="R43" s="233"/>
      <c r="S43" s="233"/>
    </row>
    <row r="44" spans="1:19" ht="15" x14ac:dyDescent="0.25">
      <c r="A44" s="151" t="s">
        <v>555</v>
      </c>
      <c r="B44" s="154" t="s">
        <v>556</v>
      </c>
      <c r="C44" s="151" t="str">
        <f t="shared" si="0"/>
        <v>Estudos e Projetos, Planos e Gerenciamento e outros correlatos-K1</v>
      </c>
      <c r="E44" s="155" t="s">
        <v>553</v>
      </c>
      <c r="F44" s="155" t="s">
        <v>553</v>
      </c>
      <c r="G44" s="155" t="s">
        <v>553</v>
      </c>
      <c r="I44" t="s">
        <v>532</v>
      </c>
    </row>
    <row r="45" spans="1:19" ht="15" x14ac:dyDescent="0.25">
      <c r="A45" s="151" t="str">
        <f>A44</f>
        <v>Estudos e Projetos, Planos e Gerenciamento e outros correlatos</v>
      </c>
      <c r="B45" s="154" t="s">
        <v>557</v>
      </c>
      <c r="C45" s="151" t="str">
        <f t="shared" si="0"/>
        <v>Estudos e Projetos, Planos e Gerenciamento e outros correlatos-K2</v>
      </c>
      <c r="E45" s="155" t="s">
        <v>553</v>
      </c>
      <c r="F45" s="155">
        <v>0.2</v>
      </c>
      <c r="G45" s="155" t="s">
        <v>553</v>
      </c>
      <c r="I45" t="s">
        <v>532</v>
      </c>
      <c r="J45" s="234" t="str">
        <f>Import.Município</f>
        <v>CAPETINGA</v>
      </c>
      <c r="K45" s="234"/>
      <c r="L45" s="234"/>
      <c r="M45" s="234"/>
      <c r="P45" s="235">
        <v>46083</v>
      </c>
      <c r="Q45" s="235"/>
      <c r="R45" s="235"/>
      <c r="S45" s="235"/>
    </row>
    <row r="46" spans="1:19" ht="15" x14ac:dyDescent="0.25">
      <c r="A46" s="151" t="str">
        <f>A45</f>
        <v>Estudos e Projetos, Planos e Gerenciamento e outros correlatos</v>
      </c>
      <c r="B46" s="154"/>
      <c r="C46" s="151" t="str">
        <f t="shared" si="0"/>
        <v>Estudos e Projetos, Planos e Gerenciamento e outros correlatos-</v>
      </c>
      <c r="E46" s="155" t="s">
        <v>553</v>
      </c>
      <c r="F46" s="155" t="s">
        <v>553</v>
      </c>
      <c r="G46" s="155" t="s">
        <v>553</v>
      </c>
      <c r="I46" t="s">
        <v>532</v>
      </c>
      <c r="J46" s="236" t="s">
        <v>558</v>
      </c>
      <c r="K46" s="236"/>
      <c r="L46" s="236"/>
      <c r="M46" s="236"/>
      <c r="O46" s="174"/>
      <c r="P46" s="175" t="s">
        <v>559</v>
      </c>
      <c r="Q46" s="176"/>
      <c r="R46" s="176"/>
      <c r="S46" s="176"/>
    </row>
    <row r="47" spans="1:19" ht="30" customHeight="1" x14ac:dyDescent="0.25">
      <c r="A47" s="151" t="str">
        <f>A46</f>
        <v>Estudos e Projetos, Planos e Gerenciamento e outros correlatos</v>
      </c>
      <c r="B47" s="154"/>
      <c r="C47" s="151" t="str">
        <f t="shared" si="0"/>
        <v>Estudos e Projetos, Planos e Gerenciamento e outros correlatos-</v>
      </c>
      <c r="E47" s="155" t="s">
        <v>553</v>
      </c>
      <c r="F47" s="155" t="s">
        <v>553</v>
      </c>
      <c r="G47" s="155" t="s">
        <v>553</v>
      </c>
      <c r="I47" t="s">
        <v>532</v>
      </c>
    </row>
    <row r="48" spans="1:19" ht="15" x14ac:dyDescent="0.25">
      <c r="A48" s="151" t="str">
        <f>A47</f>
        <v>Estudos e Projetos, Planos e Gerenciamento e outros correlatos</v>
      </c>
      <c r="B48" s="154" t="s">
        <v>560</v>
      </c>
      <c r="C48" s="151" t="str">
        <f t="shared" si="0"/>
        <v>Estudos e Projetos, Planos e Gerenciamento e outros correlatos-K3</v>
      </c>
      <c r="E48" s="155" t="s">
        <v>553</v>
      </c>
      <c r="F48" s="155">
        <v>0.12</v>
      </c>
      <c r="G48" s="155" t="s">
        <v>553</v>
      </c>
      <c r="I48" t="s">
        <v>532</v>
      </c>
      <c r="J48" s="237"/>
      <c r="K48" s="237"/>
      <c r="L48" s="237"/>
      <c r="M48" s="237"/>
      <c r="N48" s="177"/>
    </row>
    <row r="49" spans="1:26" ht="12.75" customHeight="1" x14ac:dyDescent="0.3">
      <c r="A49" s="151" t="str">
        <f>A48</f>
        <v>Estudos e Projetos, Planos e Gerenciamento e outros correlatos</v>
      </c>
      <c r="B49" s="157" t="s">
        <v>526</v>
      </c>
      <c r="C49" s="151" t="str">
        <f t="shared" si="0"/>
        <v>Estudos e Projetos, Planos e Gerenciamento e outros correlatos-BDI PAD</v>
      </c>
      <c r="E49" s="155" t="s">
        <v>553</v>
      </c>
      <c r="F49" s="155" t="s">
        <v>553</v>
      </c>
      <c r="G49" s="155" t="s">
        <v>553</v>
      </c>
      <c r="I49" t="s">
        <v>532</v>
      </c>
      <c r="J49" s="243" t="s">
        <v>561</v>
      </c>
      <c r="K49" s="243"/>
      <c r="L49" s="243"/>
      <c r="M49" s="243"/>
    </row>
    <row r="50" spans="1:26" ht="15" x14ac:dyDescent="0.25">
      <c r="B50" s="157"/>
      <c r="E50" s="155"/>
      <c r="F50" s="155"/>
      <c r="G50" s="155"/>
      <c r="I50" t="s">
        <v>532</v>
      </c>
      <c r="J50" s="178" t="s">
        <v>562</v>
      </c>
      <c r="K50" s="179" t="str">
        <f t="array" ref="K50:K52">Import.RespOrçamento</f>
        <v>LUCAS CUSTODIO DE LIMA CAMPOS</v>
      </c>
      <c r="L50" s="180"/>
      <c r="M50" s="180"/>
      <c r="N50" s="177"/>
    </row>
    <row r="51" spans="1:26" ht="15" x14ac:dyDescent="0.25">
      <c r="A51"/>
      <c r="B51"/>
      <c r="C51"/>
      <c r="D51"/>
      <c r="E51"/>
      <c r="F51"/>
      <c r="G51"/>
      <c r="I51" t="s">
        <v>532</v>
      </c>
      <c r="J51" s="178" t="s">
        <v>563</v>
      </c>
      <c r="K51" s="179" t="str">
        <v>2415/47</v>
      </c>
      <c r="L51" s="180"/>
      <c r="M51" s="180"/>
      <c r="N51" s="177"/>
    </row>
    <row r="52" spans="1:26" ht="15" x14ac:dyDescent="0.25">
      <c r="A52"/>
      <c r="B52"/>
      <c r="C52"/>
      <c r="D52"/>
      <c r="E52"/>
      <c r="F52"/>
      <c r="G52"/>
      <c r="I52" t="s">
        <v>532</v>
      </c>
      <c r="J52" s="178" t="s">
        <v>564</v>
      </c>
      <c r="K52" s="179">
        <v>0</v>
      </c>
      <c r="L52" s="180"/>
      <c r="M52" s="180"/>
      <c r="N52" s="177"/>
    </row>
    <row r="53" spans="1:26" ht="15" x14ac:dyDescent="0.25">
      <c r="A53"/>
      <c r="B53"/>
      <c r="C53"/>
      <c r="D53"/>
      <c r="E53"/>
      <c r="F53"/>
      <c r="G53"/>
      <c r="I53" t="s">
        <v>532</v>
      </c>
      <c r="J53" s="178"/>
      <c r="K53" s="181"/>
      <c r="L53" s="180"/>
      <c r="M53" s="180"/>
      <c r="N53" s="177"/>
    </row>
    <row r="54" spans="1:26" ht="15.75" x14ac:dyDescent="0.25">
      <c r="A54"/>
      <c r="B54"/>
      <c r="C54"/>
      <c r="D54"/>
      <c r="E54"/>
      <c r="F54"/>
      <c r="G54"/>
      <c r="I54" t="str">
        <f ca="1">IF($S$69=0,"","F")</f>
        <v/>
      </c>
      <c r="J54" s="226" t="s">
        <v>565</v>
      </c>
      <c r="K54" s="226"/>
      <c r="L54" s="226"/>
      <c r="M54" s="226"/>
      <c r="N54" s="226"/>
      <c r="O54" s="226"/>
      <c r="P54" s="226"/>
      <c r="Q54" s="226"/>
      <c r="R54" s="226"/>
      <c r="S54" s="226"/>
      <c r="U54" s="158"/>
    </row>
    <row r="55" spans="1:26" ht="15" x14ac:dyDescent="0.25">
      <c r="A55"/>
      <c r="B55"/>
      <c r="C55"/>
      <c r="D55"/>
      <c r="E55"/>
      <c r="F55"/>
      <c r="G55"/>
      <c r="I55" t="str">
        <f t="shared" ref="I55:I93" ca="1" si="2">IF($S$69=0,"","F")</f>
        <v/>
      </c>
    </row>
    <row r="56" spans="1:26" ht="15" x14ac:dyDescent="0.25">
      <c r="A56"/>
      <c r="B56"/>
      <c r="C56"/>
      <c r="D56"/>
      <c r="E56"/>
      <c r="F56"/>
      <c r="G56"/>
      <c r="I56" t="str">
        <f t="shared" ca="1" si="2"/>
        <v/>
      </c>
      <c r="J56" s="215" t="s">
        <v>535</v>
      </c>
      <c r="K56" s="215"/>
      <c r="L56" s="215"/>
      <c r="M56" s="215"/>
      <c r="N56" s="215"/>
      <c r="O56" s="215"/>
      <c r="P56" s="215"/>
      <c r="Q56" s="215"/>
      <c r="R56" s="215"/>
      <c r="S56" s="215"/>
    </row>
    <row r="57" spans="1:26" ht="15" x14ac:dyDescent="0.25">
      <c r="A57"/>
      <c r="B57"/>
      <c r="C57"/>
      <c r="D57"/>
      <c r="E57"/>
      <c r="F57"/>
      <c r="G57"/>
      <c r="I57" t="str">
        <f t="shared" ca="1" si="2"/>
        <v/>
      </c>
      <c r="J57" s="227" t="s">
        <v>566</v>
      </c>
      <c r="K57" s="227"/>
      <c r="L57" s="227"/>
      <c r="M57" s="227"/>
      <c r="N57" s="227"/>
      <c r="O57" s="227"/>
      <c r="P57" s="227"/>
      <c r="Q57" s="227"/>
      <c r="R57" s="227"/>
      <c r="S57" s="227"/>
      <c r="T57" s="162"/>
      <c r="U57" s="163"/>
    </row>
    <row r="58" spans="1:26" ht="15" x14ac:dyDescent="0.25">
      <c r="A58"/>
      <c r="B58"/>
      <c r="C58"/>
      <c r="D58"/>
      <c r="E58"/>
      <c r="F58"/>
      <c r="G58"/>
      <c r="I58" t="str">
        <f t="shared" ca="1" si="2"/>
        <v/>
      </c>
    </row>
    <row r="59" spans="1:26" ht="12.75" customHeight="1" x14ac:dyDescent="0.3">
      <c r="A59"/>
      <c r="B59"/>
      <c r="C59"/>
      <c r="D59"/>
      <c r="E59"/>
      <c r="F59"/>
      <c r="G59"/>
      <c r="I59" t="str">
        <f t="shared" ca="1" si="2"/>
        <v/>
      </c>
      <c r="J59" s="228" t="s">
        <v>502</v>
      </c>
      <c r="K59" s="228"/>
      <c r="L59" s="228"/>
      <c r="M59" s="228"/>
      <c r="N59" s="228"/>
      <c r="O59" s="228"/>
      <c r="P59" s="228"/>
      <c r="Q59" s="228"/>
      <c r="R59" s="228" t="s">
        <v>503</v>
      </c>
      <c r="S59" s="229" t="s">
        <v>504</v>
      </c>
      <c r="U59" s="229" t="s">
        <v>536</v>
      </c>
      <c r="V59" s="229"/>
      <c r="W59" s="229"/>
      <c r="X59" s="223" t="s">
        <v>537</v>
      </c>
      <c r="Y59" s="223" t="s">
        <v>538</v>
      </c>
      <c r="Z59" s="223" t="s">
        <v>539</v>
      </c>
    </row>
    <row r="60" spans="1:26" ht="12.75" customHeight="1" x14ac:dyDescent="0.3">
      <c r="A60"/>
      <c r="B60"/>
      <c r="C60"/>
      <c r="D60"/>
      <c r="E60"/>
      <c r="F60"/>
      <c r="G60"/>
      <c r="I60" t="str">
        <f t="shared" ca="1" si="2"/>
        <v/>
      </c>
      <c r="J60" s="228"/>
      <c r="K60" s="228"/>
      <c r="L60" s="228"/>
      <c r="M60" s="228"/>
      <c r="N60" s="228"/>
      <c r="O60" s="228"/>
      <c r="P60" s="228"/>
      <c r="Q60" s="228"/>
      <c r="R60" s="228"/>
      <c r="S60" s="229"/>
      <c r="U60" s="229"/>
      <c r="V60" s="229"/>
      <c r="W60" s="229"/>
      <c r="X60" s="223"/>
      <c r="Y60" s="223"/>
      <c r="Z60" s="223"/>
    </row>
    <row r="61" spans="1:26" ht="15" customHeight="1" x14ac:dyDescent="0.25">
      <c r="A61"/>
      <c r="B61"/>
      <c r="C61"/>
      <c r="D61"/>
      <c r="E61"/>
      <c r="F61"/>
      <c r="G61"/>
      <c r="I61" t="str">
        <f t="shared" ca="1" si="2"/>
        <v/>
      </c>
      <c r="J61" s="224" t="str">
        <f>IF($J$57=$A$146,"Encargos Sociais incidentes sobre a mão de obra","Administração Central")</f>
        <v>Administração Central</v>
      </c>
      <c r="K61" s="224"/>
      <c r="L61" s="224"/>
      <c r="M61" s="224"/>
      <c r="N61" s="224"/>
      <c r="O61" s="224"/>
      <c r="P61" s="224"/>
      <c r="Q61" s="224"/>
      <c r="R61" s="164" t="str">
        <f>IF($J57=$A$146,"K1","AC")</f>
        <v>AC</v>
      </c>
      <c r="S61" s="149"/>
      <c r="T61" s="165" t="str">
        <f>IF(AND($U$54&lt;&gt;"",$U$57="",R61&lt;&gt;"",S61=""),"◄","")</f>
        <v/>
      </c>
      <c r="U61" s="225" t="str">
        <f>IFERROR(IF(T61="◄","FALTA PREENCHER",IF(AND(OR(S61&gt;=X61,X61="-"),OR(S61&lt;=Z61,Z61="-")),"OK","FORA DO INTERVALO")),"-")</f>
        <v>-</v>
      </c>
      <c r="V61" s="225"/>
      <c r="W61" s="225"/>
      <c r="X61" s="166" t="e">
        <f>VLOOKUP(CONCATENATE(J57,"-",R61),$C$2:$G$136,3,FALSE)</f>
        <v>#N/A</v>
      </c>
      <c r="Y61" s="166" t="e">
        <f>VLOOKUP(CONCATENATE(J57,"-",R61),$C$2:$G$136,4,FALSE)</f>
        <v>#N/A</v>
      </c>
      <c r="Z61" s="166" t="e">
        <f>VLOOKUP(CONCATENATE(J57,"-",R61),$C$2:$G$136,5,FALSE)</f>
        <v>#N/A</v>
      </c>
    </row>
    <row r="62" spans="1:26" ht="15" customHeight="1" x14ac:dyDescent="0.25">
      <c r="A62"/>
      <c r="B62"/>
      <c r="C62"/>
      <c r="D62"/>
      <c r="E62"/>
      <c r="F62"/>
      <c r="G62"/>
      <c r="I62" t="str">
        <f t="shared" ca="1" si="2"/>
        <v/>
      </c>
      <c r="J62" s="224" t="str">
        <f>IF($J$57=$A$146,"Administração Central da empresa ou consultoria - overhead","Seguro e Garantia")</f>
        <v>Seguro e Garantia</v>
      </c>
      <c r="K62" s="224"/>
      <c r="L62" s="224"/>
      <c r="M62" s="224"/>
      <c r="N62" s="224"/>
      <c r="O62" s="224"/>
      <c r="P62" s="224"/>
      <c r="Q62" s="224"/>
      <c r="R62" s="164" t="str">
        <f>IF($J57=$A$146,"K2","SG")</f>
        <v>SG</v>
      </c>
      <c r="S62" s="149"/>
      <c r="T62" s="165" t="str">
        <f t="shared" ref="T62:T66" si="3">IF(AND($U$54&lt;&gt;"",$U$57="",R62&lt;&gt;"",S62=""),"◄","")</f>
        <v/>
      </c>
      <c r="U62" s="225" t="str">
        <f t="shared" ref="U62:U68" si="4">IFERROR(IF(T62="◄","FALTA PREENCHER",IF(AND(OR(S62&gt;=X62,X62="-"),OR(S62&lt;=Z62,Z62="-")),"OK","FORA DO INTERVALO")),"-")</f>
        <v>-</v>
      </c>
      <c r="V62" s="225"/>
      <c r="W62" s="225"/>
      <c r="X62" s="166" t="e">
        <f>VLOOKUP(CONCATENATE(J57,"-",R62),$C$2:$G$136,3,FALSE)</f>
        <v>#N/A</v>
      </c>
      <c r="Y62" s="166" t="e">
        <f>VLOOKUP(CONCATENATE(J57,"-",R62),$C$2:$G$136,4,FALSE)</f>
        <v>#N/A</v>
      </c>
      <c r="Z62" s="166" t="e">
        <f>VLOOKUP(CONCATENATE(J57,"-",R62),$C$2:$G$136,5,FALSE)</f>
        <v>#N/A</v>
      </c>
    </row>
    <row r="63" spans="1:26" ht="15" customHeight="1" x14ac:dyDescent="0.25">
      <c r="A63"/>
      <c r="B63"/>
      <c r="C63"/>
      <c r="D63"/>
      <c r="E63"/>
      <c r="F63"/>
      <c r="G63"/>
      <c r="I63" t="str">
        <f t="shared" ca="1" si="2"/>
        <v/>
      </c>
      <c r="J63" s="224" t="s">
        <v>507</v>
      </c>
      <c r="K63" s="224"/>
      <c r="L63" s="224"/>
      <c r="M63" s="224"/>
      <c r="N63" s="224"/>
      <c r="O63" s="224"/>
      <c r="P63" s="224"/>
      <c r="Q63" s="224"/>
      <c r="R63" s="164" t="str">
        <f>IF($J57=$A$146,"","R")</f>
        <v>R</v>
      </c>
      <c r="S63" s="149"/>
      <c r="T63" s="165" t="str">
        <f t="shared" si="3"/>
        <v/>
      </c>
      <c r="U63" s="225" t="str">
        <f t="shared" si="4"/>
        <v>-</v>
      </c>
      <c r="V63" s="225"/>
      <c r="W63" s="225"/>
      <c r="X63" s="166" t="e">
        <f>VLOOKUP(CONCATENATE(J57,"-",R63),$C$2:$G$136,3,FALSE)</f>
        <v>#N/A</v>
      </c>
      <c r="Y63" s="166" t="e">
        <f>VLOOKUP(CONCATENATE(J57,"-",R63),$C$2:$G$136,4,FALSE)</f>
        <v>#N/A</v>
      </c>
      <c r="Z63" s="166" t="e">
        <f>VLOOKUP(CONCATENATE(J57,"-",R63),$C$2:$G$136,5,FALSE)</f>
        <v>#N/A</v>
      </c>
    </row>
    <row r="64" spans="1:26" ht="15" customHeight="1" x14ac:dyDescent="0.25">
      <c r="A64"/>
      <c r="B64"/>
      <c r="C64"/>
      <c r="D64"/>
      <c r="E64"/>
      <c r="F64"/>
      <c r="G64"/>
      <c r="I64" t="str">
        <f t="shared" ca="1" si="2"/>
        <v/>
      </c>
      <c r="J64" s="224" t="s">
        <v>509</v>
      </c>
      <c r="K64" s="224"/>
      <c r="L64" s="224"/>
      <c r="M64" s="224"/>
      <c r="N64" s="224"/>
      <c r="O64" s="224"/>
      <c r="P64" s="224"/>
      <c r="Q64" s="224"/>
      <c r="R64" s="164" t="str">
        <f>IF($J57=$A$146,"","DF")</f>
        <v>DF</v>
      </c>
      <c r="S64" s="149"/>
      <c r="T64" s="165" t="str">
        <f t="shared" si="3"/>
        <v/>
      </c>
      <c r="U64" s="225" t="str">
        <f t="shared" si="4"/>
        <v>-</v>
      </c>
      <c r="V64" s="225"/>
      <c r="W64" s="225"/>
      <c r="X64" s="166" t="e">
        <f>VLOOKUP(CONCATENATE(J57,"-",R64),$C$2:$G$136,3,FALSE)</f>
        <v>#N/A</v>
      </c>
      <c r="Y64" s="166" t="e">
        <f>VLOOKUP(CONCATENATE(J57,"-",R64),$C$2:$G$136,4,FALSE)</f>
        <v>#N/A</v>
      </c>
      <c r="Z64" s="166" t="e">
        <f>VLOOKUP(CONCATENATE(J57,"-",R64),$C$2:$G$136,5,FALSE)</f>
        <v>#N/A</v>
      </c>
    </row>
    <row r="65" spans="1:26" ht="15" customHeight="1" x14ac:dyDescent="0.25">
      <c r="A65"/>
      <c r="B65"/>
      <c r="C65"/>
      <c r="D65"/>
      <c r="E65"/>
      <c r="F65"/>
      <c r="G65"/>
      <c r="I65" t="str">
        <f t="shared" ca="1" si="2"/>
        <v/>
      </c>
      <c r="J65" s="224" t="str">
        <f>IF($J$57=$A$146,"Margem bruta da empresa de consultoria","Lucro")</f>
        <v>Lucro</v>
      </c>
      <c r="K65" s="224"/>
      <c r="L65" s="224"/>
      <c r="M65" s="224"/>
      <c r="N65" s="224"/>
      <c r="O65" s="224"/>
      <c r="P65" s="224"/>
      <c r="Q65" s="224"/>
      <c r="R65" s="164" t="str">
        <f>IF($J57=$A$146,"K3","L")</f>
        <v>L</v>
      </c>
      <c r="S65" s="149"/>
      <c r="T65" s="165" t="str">
        <f t="shared" si="3"/>
        <v/>
      </c>
      <c r="U65" s="225" t="str">
        <f t="shared" si="4"/>
        <v>-</v>
      </c>
      <c r="V65" s="225"/>
      <c r="W65" s="225"/>
      <c r="X65" s="166" t="e">
        <f>VLOOKUP(CONCATENATE(J57,"-",R65),$C$2:$G$136,3,FALSE)</f>
        <v>#N/A</v>
      </c>
      <c r="Y65" s="166" t="e">
        <f>VLOOKUP(CONCATENATE(J57,"-",R65),$C$2:$G$136,4,FALSE)</f>
        <v>#N/A</v>
      </c>
      <c r="Z65" s="166" t="e">
        <f>VLOOKUP(CONCATENATE(J57,"-",R65),$C$2:$G$136,5,FALSE)</f>
        <v>#N/A</v>
      </c>
    </row>
    <row r="66" spans="1:26" ht="15" customHeight="1" x14ac:dyDescent="0.25">
      <c r="A66"/>
      <c r="B66"/>
      <c r="C66"/>
      <c r="D66"/>
      <c r="E66"/>
      <c r="F66"/>
      <c r="G66"/>
      <c r="I66" t="str">
        <f t="shared" ca="1" si="2"/>
        <v/>
      </c>
      <c r="J66" s="224" t="s">
        <v>542</v>
      </c>
      <c r="K66" s="224"/>
      <c r="L66" s="224"/>
      <c r="M66" s="224"/>
      <c r="N66" s="224"/>
      <c r="O66" s="224"/>
      <c r="P66" s="224"/>
      <c r="Q66" s="224"/>
      <c r="R66" s="164" t="s">
        <v>512</v>
      </c>
      <c r="S66" s="149"/>
      <c r="T66" s="165" t="str">
        <f t="shared" si="3"/>
        <v/>
      </c>
      <c r="U66" s="225" t="str">
        <f t="shared" si="4"/>
        <v>FORA DO INTERVALO</v>
      </c>
      <c r="V66" s="225"/>
      <c r="W66" s="225"/>
      <c r="X66" s="166">
        <f>Y66</f>
        <v>3.6499999999999998E-2</v>
      </c>
      <c r="Y66" s="166">
        <f>IF($J57=$A$145,"-",3.65%)</f>
        <v>3.6499999999999998E-2</v>
      </c>
      <c r="Z66" s="166">
        <f>Y66</f>
        <v>3.6499999999999998E-2</v>
      </c>
    </row>
    <row r="67" spans="1:26" ht="15" customHeight="1" x14ac:dyDescent="0.3">
      <c r="A67"/>
      <c r="B67"/>
      <c r="C67"/>
      <c r="D67"/>
      <c r="E67"/>
      <c r="F67"/>
      <c r="G67"/>
      <c r="I67" t="str">
        <f t="shared" ca="1" si="2"/>
        <v/>
      </c>
      <c r="J67" s="224" t="s">
        <v>543</v>
      </c>
      <c r="K67" s="224"/>
      <c r="L67" s="224"/>
      <c r="M67" s="224"/>
      <c r="N67" s="224"/>
      <c r="O67" s="224"/>
      <c r="P67" s="224"/>
      <c r="Q67" s="224"/>
      <c r="R67" s="164" t="s">
        <v>513</v>
      </c>
      <c r="S67" s="166">
        <f ca="1">IF(AND($J57&lt;&gt;$A$145,COUNTA(OFFSET(S60,1,0,6))&gt;0),$R$11*$R$10,0)</f>
        <v>0</v>
      </c>
      <c r="U67" s="225" t="str">
        <f t="shared" ca="1" si="4"/>
        <v>OK</v>
      </c>
      <c r="V67" s="225"/>
      <c r="W67" s="225"/>
      <c r="X67" s="166">
        <v>0</v>
      </c>
      <c r="Y67" s="166">
        <v>2.5000000000000001E-2</v>
      </c>
      <c r="Z67" s="166">
        <v>0.05</v>
      </c>
    </row>
    <row r="68" spans="1:26" ht="15" customHeight="1" x14ac:dyDescent="0.3">
      <c r="A68"/>
      <c r="B68"/>
      <c r="C68"/>
      <c r="D68"/>
      <c r="E68"/>
      <c r="F68"/>
      <c r="G68"/>
      <c r="I68" t="str">
        <f t="shared" ca="1" si="2"/>
        <v/>
      </c>
      <c r="J68" s="224" t="s">
        <v>544</v>
      </c>
      <c r="K68" s="224"/>
      <c r="L68" s="224"/>
      <c r="M68" s="224"/>
      <c r="N68" s="224"/>
      <c r="O68" s="224"/>
      <c r="P68" s="224"/>
      <c r="Q68" s="224"/>
      <c r="R68" s="164" t="s">
        <v>514</v>
      </c>
      <c r="S68" s="166">
        <f t="array" aca="1" ref="S68" ca="1">IF(BDI.Opcao&lt;&gt;"Desonerado",0,IF(AND($J57&lt;&gt;$A$145,COUNTA(OFFSET(S60,1,0,6))&gt;0),IF(YEAR(Import.DataBase)&lt;2025,4.5%,IF(YEAR(Import.DataBase)=2025,3.6%,IF(YEAR(Import.DataBase)=2026,2.7%,IF(YEAR(Import.DataBase)=2027,1.8%,0%)))),0%))</f>
        <v>0</v>
      </c>
      <c r="U68" s="225" t="str">
        <f t="shared" ca="1" si="4"/>
        <v>OK</v>
      </c>
      <c r="V68" s="225"/>
      <c r="W68" s="225"/>
      <c r="X68" s="167">
        <f ca="1">$S68</f>
        <v>0</v>
      </c>
      <c r="Y68" s="167">
        <f ca="1">$S68</f>
        <v>0</v>
      </c>
      <c r="Z68" s="167">
        <f ca="1">$S68</f>
        <v>0</v>
      </c>
    </row>
    <row r="69" spans="1:26" ht="15" customHeight="1" x14ac:dyDescent="0.3">
      <c r="A69"/>
      <c r="B69"/>
      <c r="C69"/>
      <c r="D69"/>
      <c r="E69"/>
      <c r="F69"/>
      <c r="G69"/>
      <c r="I69" t="str">
        <f t="shared" ca="1" si="2"/>
        <v/>
      </c>
      <c r="J69" s="224" t="s">
        <v>545</v>
      </c>
      <c r="K69" s="224"/>
      <c r="L69" s="224"/>
      <c r="M69" s="224"/>
      <c r="N69" s="224"/>
      <c r="O69" s="224"/>
      <c r="P69" s="224"/>
      <c r="Q69" s="224"/>
      <c r="R69" s="168" t="s">
        <v>526</v>
      </c>
      <c r="S69" s="166">
        <f ca="1">IF($J57=$A$145,0,ROUND((((1+S61+S62+S63)*(1+S64)*(1+S65)/(1-(S66+S67)))-1),4))</f>
        <v>0</v>
      </c>
      <c r="U69" s="229" t="str">
        <f ca="1">IFERROR(IF(AND(OR(S69&gt;=X69,X69="-"),OR(S69&lt;=Z69,Z69="-")),"OK","FORA DO INTERVALO"),IF(S69=0,"OK","Selecione o Tipo de obra"))</f>
        <v>OK</v>
      </c>
      <c r="V69" s="229"/>
      <c r="W69" s="229"/>
      <c r="X69" s="166" t="e">
        <f>IF($J57=$A$145,0,VLOOKUP(CONCATENATE($J57,"-",$R69),$C$2:$G$136,3,FALSE))</f>
        <v>#N/A</v>
      </c>
      <c r="Y69" s="166" t="e">
        <f>IF($J57=$A$145,0,VLOOKUP(CONCATENATE($J57,"-",$R69),$C$2:$G$136,4,FALSE))</f>
        <v>#N/A</v>
      </c>
      <c r="Z69" s="166" t="e">
        <f>IF($J57=$A$145,0,VLOOKUP(CONCATENATE($J57,"-",$R69),$C$2:$G$136,5,FALSE))</f>
        <v>#N/A</v>
      </c>
    </row>
    <row r="70" spans="1:26" ht="15" customHeight="1" x14ac:dyDescent="0.3">
      <c r="A70"/>
      <c r="B70"/>
      <c r="C70"/>
      <c r="D70"/>
      <c r="E70"/>
      <c r="F70"/>
      <c r="G70"/>
      <c r="I70" t="str">
        <f t="shared" ca="1" si="2"/>
        <v/>
      </c>
      <c r="J70" s="230" t="s">
        <v>546</v>
      </c>
      <c r="K70" s="230"/>
      <c r="L70" s="230"/>
      <c r="M70" s="230"/>
      <c r="N70" s="230"/>
      <c r="O70" s="230"/>
      <c r="P70" s="230"/>
      <c r="Q70" s="230"/>
      <c r="R70" s="169" t="s">
        <v>547</v>
      </c>
      <c r="S70" s="170">
        <f ca="1">IF($J57=$A$145,0,ROUND((((1+S61+S62+S63)*(1+S64)*(1+S65)/(1-(S66+S67+S68)))-1),4))</f>
        <v>0</v>
      </c>
    </row>
    <row r="71" spans="1:26" ht="15" customHeight="1" x14ac:dyDescent="0.25">
      <c r="A71"/>
      <c r="B71"/>
      <c r="C71"/>
      <c r="D71"/>
      <c r="E71"/>
      <c r="F71"/>
      <c r="G71"/>
      <c r="I71" t="str">
        <f t="shared" ca="1" si="2"/>
        <v/>
      </c>
    </row>
    <row r="72" spans="1:26" ht="15.75" x14ac:dyDescent="0.25">
      <c r="A72"/>
      <c r="B72"/>
      <c r="C72"/>
      <c r="D72"/>
      <c r="E72"/>
      <c r="F72"/>
      <c r="G72"/>
      <c r="I72" t="str">
        <f t="shared" ca="1" si="2"/>
        <v/>
      </c>
      <c r="J72" s="171" t="str">
        <f ca="1">IF(U69&lt;&gt;"ok","X","")</f>
        <v/>
      </c>
      <c r="K72" s="231" t="str">
        <f ca="1">IF(U69&lt;&gt;"ok","Anexo: Relatório Técnico Circunstanciado justificando a adoção do percentual de cada parcela do BDI.","")</f>
        <v/>
      </c>
      <c r="L72" s="231"/>
      <c r="M72" s="231"/>
      <c r="N72" s="231"/>
      <c r="O72" s="231"/>
      <c r="P72" s="231"/>
      <c r="Q72" s="231"/>
      <c r="R72" s="231"/>
      <c r="S72" s="231"/>
    </row>
    <row r="73" spans="1:26" ht="15" x14ac:dyDescent="0.25">
      <c r="A73"/>
      <c r="B73"/>
      <c r="C73"/>
      <c r="D73"/>
      <c r="E73"/>
      <c r="F73"/>
      <c r="G73"/>
      <c r="I73" t="str">
        <f t="shared" ca="1" si="2"/>
        <v/>
      </c>
    </row>
    <row r="74" spans="1:26" x14ac:dyDescent="0.3">
      <c r="A74"/>
      <c r="B74"/>
      <c r="C74"/>
      <c r="D74"/>
      <c r="E74"/>
      <c r="F74"/>
      <c r="G74"/>
      <c r="I74" t="str">
        <f t="shared" ca="1" si="2"/>
        <v/>
      </c>
      <c r="J74" s="238" t="s">
        <v>515</v>
      </c>
      <c r="K74" s="238"/>
      <c r="L74" s="238"/>
      <c r="M74" s="238"/>
      <c r="N74" s="238"/>
      <c r="O74" s="238"/>
      <c r="P74" s="238"/>
      <c r="Q74" s="238"/>
      <c r="R74" s="238"/>
      <c r="S74" s="238"/>
    </row>
    <row r="75" spans="1:26" ht="15.6" x14ac:dyDescent="0.3">
      <c r="A75"/>
      <c r="B75"/>
      <c r="C75"/>
      <c r="D75"/>
      <c r="E75"/>
      <c r="F75"/>
      <c r="G75"/>
      <c r="I75" t="str">
        <f t="shared" ca="1" si="2"/>
        <v/>
      </c>
      <c r="J75" s="172"/>
      <c r="K75" s="172"/>
      <c r="L75" s="172"/>
      <c r="M75" s="239" t="s">
        <v>549</v>
      </c>
      <c r="N75" s="240" t="str">
        <f>IF($J57=$A$146,"(1+K1+K2)*(1+K3)","(1+AC + S + R + G)*(1 + DF)*(1+L)")</f>
        <v>(1+AC + S + R + G)*(1 + DF)*(1+L)</v>
      </c>
      <c r="O75" s="240"/>
      <c r="P75" s="240"/>
      <c r="Q75" s="241" t="s">
        <v>550</v>
      </c>
      <c r="R75" s="172"/>
      <c r="S75" s="172"/>
    </row>
    <row r="76" spans="1:26" ht="15.6" x14ac:dyDescent="0.3">
      <c r="A76"/>
      <c r="B76"/>
      <c r="C76"/>
      <c r="D76"/>
      <c r="E76"/>
      <c r="F76"/>
      <c r="G76"/>
      <c r="I76" t="str">
        <f t="shared" ca="1" si="2"/>
        <v/>
      </c>
      <c r="J76" s="172"/>
      <c r="K76" s="172"/>
      <c r="L76" s="172"/>
      <c r="M76" s="239"/>
      <c r="N76" s="242" t="s">
        <v>551</v>
      </c>
      <c r="O76" s="242"/>
      <c r="P76" s="242"/>
      <c r="Q76" s="241"/>
      <c r="R76" s="172"/>
      <c r="S76" s="172"/>
    </row>
    <row r="77" spans="1:26" ht="15" customHeight="1" x14ac:dyDescent="0.25">
      <c r="A77"/>
      <c r="B77"/>
      <c r="C77"/>
      <c r="D77"/>
      <c r="E77"/>
      <c r="F77"/>
      <c r="G77"/>
      <c r="I77" t="str">
        <f t="shared" ca="1" si="2"/>
        <v/>
      </c>
      <c r="J77" s="172"/>
      <c r="K77" s="172"/>
      <c r="L77" s="172"/>
      <c r="M77" s="182"/>
      <c r="N77" s="183"/>
      <c r="O77" s="183"/>
      <c r="P77" s="183"/>
      <c r="Q77" s="184"/>
      <c r="R77" s="172"/>
      <c r="S77" s="172"/>
    </row>
    <row r="78" spans="1:26" ht="50.1" customHeight="1" x14ac:dyDescent="0.25">
      <c r="A78"/>
      <c r="B78"/>
      <c r="C78"/>
      <c r="D78"/>
      <c r="E78"/>
      <c r="F78"/>
      <c r="G78"/>
      <c r="I78" t="str">
        <f t="shared" ca="1" si="2"/>
        <v/>
      </c>
      <c r="J78" s="232" t="str">
        <f>CONCATENATE("Declaro para os devidos fins que, conforme legislação tributária municipal, a base de cálculo deste tipo de obra corresponde à ",$R$10*100,"%, com a respectiva alíquota de ",$R$11*100,"%.")</f>
        <v>Declaro para os devidos fins que, conforme legislação tributária municipal, a base de cálculo deste tipo de obra corresponde à 100%, com a respectiva alíquota de 2%.</v>
      </c>
      <c r="K78" s="232"/>
      <c r="L78" s="232"/>
      <c r="M78" s="232"/>
      <c r="N78" s="232"/>
      <c r="O78" s="232"/>
      <c r="P78" s="232"/>
      <c r="Q78" s="232"/>
      <c r="R78" s="232"/>
      <c r="S78" s="232"/>
    </row>
    <row r="79" spans="1:26" x14ac:dyDescent="0.3">
      <c r="A79"/>
      <c r="B79"/>
      <c r="C79"/>
      <c r="D79"/>
      <c r="E79"/>
      <c r="F79"/>
      <c r="G79"/>
      <c r="I79" t="str">
        <f t="shared" ca="1" si="2"/>
        <v/>
      </c>
    </row>
    <row r="80" spans="1:26" ht="50.1" customHeight="1" x14ac:dyDescent="0.3">
      <c r="A80"/>
      <c r="B80"/>
      <c r="C80"/>
      <c r="D80"/>
      <c r="E80"/>
      <c r="F80"/>
      <c r="G80"/>
      <c r="I80" t="str">
        <f t="shared" ca="1" si="2"/>
        <v/>
      </c>
      <c r="J80" s="232" t="s">
        <v>593</v>
      </c>
      <c r="K80" s="232"/>
      <c r="L80" s="232"/>
      <c r="M80" s="232"/>
      <c r="N80" s="232"/>
      <c r="O80" s="232"/>
      <c r="P80" s="232"/>
      <c r="Q80" s="232"/>
      <c r="R80" s="232"/>
      <c r="S80" s="232"/>
    </row>
    <row r="81" spans="1:21" x14ac:dyDescent="0.3">
      <c r="A81"/>
      <c r="B81"/>
      <c r="C81"/>
      <c r="D81"/>
      <c r="E81"/>
      <c r="F81"/>
      <c r="G81"/>
      <c r="I81" t="str">
        <f t="shared" ca="1" si="2"/>
        <v/>
      </c>
    </row>
    <row r="82" spans="1:21" x14ac:dyDescent="0.3">
      <c r="A82"/>
      <c r="B82"/>
      <c r="C82"/>
      <c r="D82"/>
      <c r="E82"/>
      <c r="F82"/>
      <c r="G82"/>
      <c r="I82" t="str">
        <f t="shared" ca="1" si="2"/>
        <v/>
      </c>
      <c r="J82" s="151" t="s">
        <v>554</v>
      </c>
    </row>
    <row r="83" spans="1:21" ht="99.9" customHeight="1" x14ac:dyDescent="0.3">
      <c r="A83"/>
      <c r="B83"/>
      <c r="C83"/>
      <c r="D83"/>
      <c r="E83"/>
      <c r="F83"/>
      <c r="G83"/>
      <c r="I83" t="str">
        <f t="shared" ca="1" si="2"/>
        <v/>
      </c>
      <c r="J83" s="233"/>
      <c r="K83" s="233"/>
      <c r="L83" s="233"/>
      <c r="M83" s="233"/>
      <c r="N83" s="233"/>
      <c r="O83" s="233"/>
      <c r="P83" s="233"/>
      <c r="Q83" s="233"/>
      <c r="R83" s="233"/>
      <c r="S83" s="233"/>
    </row>
    <row r="84" spans="1:21" x14ac:dyDescent="0.3">
      <c r="A84"/>
      <c r="B84"/>
      <c r="C84"/>
      <c r="D84"/>
      <c r="E84"/>
      <c r="F84"/>
      <c r="G84"/>
      <c r="I84" t="str">
        <f t="shared" ca="1" si="2"/>
        <v/>
      </c>
    </row>
    <row r="85" spans="1:21" x14ac:dyDescent="0.3">
      <c r="A85"/>
      <c r="B85"/>
      <c r="C85"/>
      <c r="D85"/>
      <c r="E85"/>
      <c r="F85"/>
      <c r="G85"/>
      <c r="I85" t="str">
        <f t="shared" ca="1" si="2"/>
        <v/>
      </c>
      <c r="J85" s="234" t="str">
        <f>Import.Município</f>
        <v>CAPETINGA</v>
      </c>
      <c r="K85" s="234"/>
      <c r="L85" s="234"/>
      <c r="M85" s="234"/>
      <c r="P85" s="235">
        <f>[1]DADOS!$C$25</f>
        <v>46080</v>
      </c>
      <c r="Q85" s="235"/>
      <c r="R85" s="235"/>
      <c r="S85" s="235"/>
    </row>
    <row r="86" spans="1:21" x14ac:dyDescent="0.3">
      <c r="A86"/>
      <c r="B86"/>
      <c r="C86"/>
      <c r="D86"/>
      <c r="E86"/>
      <c r="F86"/>
      <c r="G86"/>
      <c r="I86" t="str">
        <f t="shared" ca="1" si="2"/>
        <v/>
      </c>
      <c r="J86" s="236" t="s">
        <v>558</v>
      </c>
      <c r="K86" s="236"/>
      <c r="L86" s="236"/>
      <c r="M86" s="236"/>
      <c r="O86" s="174"/>
      <c r="P86" s="175" t="s">
        <v>559</v>
      </c>
      <c r="Q86" s="176"/>
      <c r="R86" s="176"/>
      <c r="S86" s="176"/>
    </row>
    <row r="87" spans="1:21" ht="30" customHeight="1" x14ac:dyDescent="0.3">
      <c r="A87"/>
      <c r="B87"/>
      <c r="C87"/>
      <c r="D87"/>
      <c r="E87"/>
      <c r="F87"/>
      <c r="G87"/>
      <c r="I87" t="str">
        <f t="shared" ca="1" si="2"/>
        <v/>
      </c>
    </row>
    <row r="88" spans="1:21" x14ac:dyDescent="0.3">
      <c r="A88"/>
      <c r="B88"/>
      <c r="C88"/>
      <c r="D88"/>
      <c r="E88"/>
      <c r="F88"/>
      <c r="G88"/>
      <c r="I88" t="str">
        <f t="shared" ca="1" si="2"/>
        <v/>
      </c>
      <c r="J88" s="237"/>
      <c r="K88" s="237"/>
      <c r="L88" s="237"/>
      <c r="M88" s="237"/>
      <c r="N88" s="177"/>
    </row>
    <row r="89" spans="1:21" x14ac:dyDescent="0.3">
      <c r="A89"/>
      <c r="B89"/>
      <c r="C89"/>
      <c r="D89"/>
      <c r="E89"/>
      <c r="F89"/>
      <c r="G89"/>
      <c r="I89" t="str">
        <f t="shared" ca="1" si="2"/>
        <v/>
      </c>
      <c r="J89" s="243" t="s">
        <v>561</v>
      </c>
      <c r="K89" s="243"/>
      <c r="L89" s="243"/>
      <c r="M89" s="243"/>
    </row>
    <row r="90" spans="1:21" x14ac:dyDescent="0.3">
      <c r="A90"/>
      <c r="B90"/>
      <c r="C90"/>
      <c r="D90"/>
      <c r="E90"/>
      <c r="F90"/>
      <c r="G90"/>
      <c r="I90" t="str">
        <f t="shared" ca="1" si="2"/>
        <v/>
      </c>
      <c r="J90" s="178" t="s">
        <v>562</v>
      </c>
      <c r="K90" s="179" t="str">
        <f t="array" ref="K90:K92">Import.RespOrçamento</f>
        <v>LUCAS CUSTODIO DE LIMA CAMPOS</v>
      </c>
      <c r="L90" s="180"/>
      <c r="M90" s="180"/>
      <c r="N90" s="177"/>
    </row>
    <row r="91" spans="1:21" x14ac:dyDescent="0.3">
      <c r="A91"/>
      <c r="B91"/>
      <c r="C91"/>
      <c r="D91"/>
      <c r="E91"/>
      <c r="F91"/>
      <c r="G91"/>
      <c r="I91" t="str">
        <f t="shared" ca="1" si="2"/>
        <v/>
      </c>
      <c r="J91" s="178" t="s">
        <v>563</v>
      </c>
      <c r="K91" s="179" t="str">
        <v>2415/47</v>
      </c>
      <c r="L91" s="180"/>
      <c r="M91" s="180"/>
      <c r="N91" s="177"/>
    </row>
    <row r="92" spans="1:21" x14ac:dyDescent="0.3">
      <c r="A92"/>
      <c r="B92"/>
      <c r="C92"/>
      <c r="D92"/>
      <c r="E92"/>
      <c r="F92"/>
      <c r="G92"/>
      <c r="I92" t="str">
        <f t="shared" ca="1" si="2"/>
        <v/>
      </c>
      <c r="J92" s="178" t="s">
        <v>564</v>
      </c>
      <c r="K92" s="179">
        <v>0</v>
      </c>
      <c r="L92" s="180"/>
      <c r="M92" s="180"/>
      <c r="N92" s="177"/>
    </row>
    <row r="93" spans="1:21" x14ac:dyDescent="0.3">
      <c r="A93"/>
      <c r="B93"/>
      <c r="C93"/>
      <c r="D93"/>
      <c r="E93"/>
      <c r="F93"/>
      <c r="G93"/>
      <c r="I93" t="str">
        <f t="shared" ca="1" si="2"/>
        <v/>
      </c>
      <c r="J93" s="178"/>
      <c r="K93" s="181"/>
      <c r="L93" s="180"/>
      <c r="M93" s="180"/>
      <c r="N93" s="177"/>
    </row>
    <row r="94" spans="1:21" ht="15.6" x14ac:dyDescent="0.3">
      <c r="A94"/>
      <c r="B94"/>
      <c r="C94"/>
      <c r="D94"/>
      <c r="E94"/>
      <c r="F94"/>
      <c r="G94"/>
      <c r="I94" t="str">
        <f ca="1">IF($S$109=0,"","F")</f>
        <v/>
      </c>
      <c r="J94" s="226" t="s">
        <v>567</v>
      </c>
      <c r="K94" s="226"/>
      <c r="L94" s="226"/>
      <c r="M94" s="226"/>
      <c r="N94" s="226"/>
      <c r="O94" s="226"/>
      <c r="P94" s="226"/>
      <c r="Q94" s="226"/>
      <c r="R94" s="226"/>
      <c r="S94" s="226"/>
      <c r="U94" s="158"/>
    </row>
    <row r="95" spans="1:21" x14ac:dyDescent="0.3">
      <c r="A95"/>
      <c r="B95"/>
      <c r="C95"/>
      <c r="D95"/>
      <c r="E95"/>
      <c r="F95"/>
      <c r="G95"/>
      <c r="I95" t="str">
        <f t="shared" ref="I95:I132" ca="1" si="5">IF($S$109=0,"","F")</f>
        <v/>
      </c>
    </row>
    <row r="96" spans="1:21" x14ac:dyDescent="0.3">
      <c r="A96"/>
      <c r="B96"/>
      <c r="C96"/>
      <c r="D96"/>
      <c r="E96"/>
      <c r="F96"/>
      <c r="G96"/>
      <c r="I96" t="str">
        <f t="shared" ca="1" si="5"/>
        <v/>
      </c>
      <c r="J96" s="215" t="s">
        <v>535</v>
      </c>
      <c r="K96" s="215"/>
      <c r="L96" s="215"/>
      <c r="M96" s="215"/>
      <c r="N96" s="215"/>
      <c r="O96" s="215"/>
      <c r="P96" s="215"/>
      <c r="Q96" s="215"/>
      <c r="R96" s="215"/>
      <c r="S96" s="215"/>
    </row>
    <row r="97" spans="1:26" x14ac:dyDescent="0.3">
      <c r="A97"/>
      <c r="B97"/>
      <c r="C97"/>
      <c r="D97"/>
      <c r="E97"/>
      <c r="F97"/>
      <c r="G97"/>
      <c r="I97" t="str">
        <f t="shared" ca="1" si="5"/>
        <v/>
      </c>
      <c r="J97" s="227" t="s">
        <v>566</v>
      </c>
      <c r="K97" s="227"/>
      <c r="L97" s="227"/>
      <c r="M97" s="227"/>
      <c r="N97" s="227"/>
      <c r="O97" s="227"/>
      <c r="P97" s="227"/>
      <c r="Q97" s="227"/>
      <c r="R97" s="227"/>
      <c r="S97" s="227"/>
      <c r="T97" s="162"/>
      <c r="U97" s="163"/>
    </row>
    <row r="98" spans="1:26" x14ac:dyDescent="0.3">
      <c r="A98"/>
      <c r="B98"/>
      <c r="C98"/>
      <c r="D98"/>
      <c r="E98"/>
      <c r="F98"/>
      <c r="G98"/>
      <c r="I98" t="str">
        <f t="shared" ca="1" si="5"/>
        <v/>
      </c>
    </row>
    <row r="99" spans="1:26" ht="12.75" customHeight="1" x14ac:dyDescent="0.3">
      <c r="A99"/>
      <c r="B99"/>
      <c r="C99"/>
      <c r="D99"/>
      <c r="E99"/>
      <c r="F99"/>
      <c r="G99"/>
      <c r="I99" t="str">
        <f t="shared" ca="1" si="5"/>
        <v/>
      </c>
      <c r="J99" s="228" t="s">
        <v>502</v>
      </c>
      <c r="K99" s="228"/>
      <c r="L99" s="228"/>
      <c r="M99" s="228"/>
      <c r="N99" s="228"/>
      <c r="O99" s="228"/>
      <c r="P99" s="228"/>
      <c r="Q99" s="228"/>
      <c r="R99" s="228" t="s">
        <v>503</v>
      </c>
      <c r="S99" s="229" t="s">
        <v>504</v>
      </c>
      <c r="U99" s="229" t="s">
        <v>536</v>
      </c>
      <c r="V99" s="229"/>
      <c r="W99" s="229"/>
      <c r="X99" s="223" t="s">
        <v>537</v>
      </c>
      <c r="Y99" s="223" t="s">
        <v>538</v>
      </c>
      <c r="Z99" s="223" t="s">
        <v>539</v>
      </c>
    </row>
    <row r="100" spans="1:26" ht="12.75" customHeight="1" x14ac:dyDescent="0.3">
      <c r="A100"/>
      <c r="B100"/>
      <c r="C100"/>
      <c r="D100"/>
      <c r="E100"/>
      <c r="F100"/>
      <c r="G100"/>
      <c r="I100" t="str">
        <f t="shared" ca="1" si="5"/>
        <v/>
      </c>
      <c r="J100" s="228"/>
      <c r="K100" s="228"/>
      <c r="L100" s="228"/>
      <c r="M100" s="228"/>
      <c r="N100" s="228"/>
      <c r="O100" s="228"/>
      <c r="P100" s="228"/>
      <c r="Q100" s="228"/>
      <c r="R100" s="228"/>
      <c r="S100" s="229"/>
      <c r="U100" s="229"/>
      <c r="V100" s="229"/>
      <c r="W100" s="229"/>
      <c r="X100" s="223"/>
      <c r="Y100" s="223"/>
      <c r="Z100" s="223"/>
    </row>
    <row r="101" spans="1:26" ht="15" customHeight="1" x14ac:dyDescent="0.3">
      <c r="A101"/>
      <c r="B101"/>
      <c r="C101"/>
      <c r="D101"/>
      <c r="E101"/>
      <c r="F101"/>
      <c r="G101"/>
      <c r="I101" t="str">
        <f t="shared" ca="1" si="5"/>
        <v/>
      </c>
      <c r="J101" s="224" t="str">
        <f>IF($J$97=$A$146,"Encargos Sociais incidentes sobre a mão de obra","Administração Central")</f>
        <v>Administração Central</v>
      </c>
      <c r="K101" s="224"/>
      <c r="L101" s="224"/>
      <c r="M101" s="224"/>
      <c r="N101" s="224"/>
      <c r="O101" s="224"/>
      <c r="P101" s="224"/>
      <c r="Q101" s="224"/>
      <c r="R101" s="164" t="str">
        <f>IF($J97=$A$146,"K1","AC")</f>
        <v>AC</v>
      </c>
      <c r="S101" s="149"/>
      <c r="T101" s="165" t="str">
        <f>IF(AND($U$94&lt;&gt;"",$U$97="",R101&lt;&gt;"",S101=""),"◄","")</f>
        <v/>
      </c>
      <c r="U101" s="225" t="str">
        <f>IFERROR(IF(T101="◄","FALTA PREENCHER",IF(AND(OR(S101&gt;=X101,X101="-"),OR(S101&lt;=Z101,Z101="-")),"OK","FORA DO INTERVALO")),"-")</f>
        <v>-</v>
      </c>
      <c r="V101" s="225"/>
      <c r="W101" s="225"/>
      <c r="X101" s="166" t="e">
        <f>VLOOKUP(CONCATENATE(J97,"-",R101),$C$2:$G$136,3,FALSE)</f>
        <v>#N/A</v>
      </c>
      <c r="Y101" s="166" t="e">
        <f>VLOOKUP(CONCATENATE(J97,"-",R101),$C$2:$G$136,4,FALSE)</f>
        <v>#N/A</v>
      </c>
      <c r="Z101" s="166" t="e">
        <f>VLOOKUP(CONCATENATE(J97,"-",R101),$C$2:$G$136,5,FALSE)</f>
        <v>#N/A</v>
      </c>
    </row>
    <row r="102" spans="1:26" ht="15" customHeight="1" x14ac:dyDescent="0.3">
      <c r="A102"/>
      <c r="B102"/>
      <c r="C102"/>
      <c r="D102"/>
      <c r="E102"/>
      <c r="F102"/>
      <c r="G102"/>
      <c r="I102" t="str">
        <f t="shared" ca="1" si="5"/>
        <v/>
      </c>
      <c r="J102" s="224" t="str">
        <f>IF($J$97=$A$146,"Administração Central da empresa ou consultoria - overhead","Seguro e Garantia")</f>
        <v>Seguro e Garantia</v>
      </c>
      <c r="K102" s="224"/>
      <c r="L102" s="224"/>
      <c r="M102" s="224"/>
      <c r="N102" s="224"/>
      <c r="O102" s="224"/>
      <c r="P102" s="224"/>
      <c r="Q102" s="224"/>
      <c r="R102" s="164" t="str">
        <f>IF($J97=$A$146,"K2","SG")</f>
        <v>SG</v>
      </c>
      <c r="S102" s="149"/>
      <c r="T102" s="165" t="str">
        <f t="shared" ref="T102:T106" si="6">IF(AND($U$94&lt;&gt;"",$U$97="",R102&lt;&gt;"",S102=""),"◄","")</f>
        <v/>
      </c>
      <c r="U102" s="225" t="str">
        <f t="shared" ref="U102:U108" si="7">IFERROR(IF(T102="◄","FALTA PREENCHER",IF(AND(OR(S102&gt;=X102,X102="-"),OR(S102&lt;=Z102,Z102="-")),"OK","FORA DO INTERVALO")),"-")</f>
        <v>-</v>
      </c>
      <c r="V102" s="225"/>
      <c r="W102" s="225"/>
      <c r="X102" s="166" t="e">
        <f>VLOOKUP(CONCATENATE(J97,"-",R102),$C$2:$G$136,3,FALSE)</f>
        <v>#N/A</v>
      </c>
      <c r="Y102" s="166" t="e">
        <f>VLOOKUP(CONCATENATE(J97,"-",R102),$C$2:$G$136,4,FALSE)</f>
        <v>#N/A</v>
      </c>
      <c r="Z102" s="166" t="e">
        <f>VLOOKUP(CONCATENATE(J97,"-",R102),$C$2:$G$136,5,FALSE)</f>
        <v>#N/A</v>
      </c>
    </row>
    <row r="103" spans="1:26" ht="15" customHeight="1" x14ac:dyDescent="0.3">
      <c r="A103"/>
      <c r="B103"/>
      <c r="C103"/>
      <c r="D103"/>
      <c r="E103"/>
      <c r="F103"/>
      <c r="G103"/>
      <c r="I103" t="str">
        <f t="shared" ca="1" si="5"/>
        <v/>
      </c>
      <c r="J103" s="224" t="s">
        <v>507</v>
      </c>
      <c r="K103" s="224"/>
      <c r="L103" s="224"/>
      <c r="M103" s="224"/>
      <c r="N103" s="224"/>
      <c r="O103" s="224"/>
      <c r="P103" s="224"/>
      <c r="Q103" s="224"/>
      <c r="R103" s="164" t="str">
        <f>IF($J97=$A$146,"","R")</f>
        <v>R</v>
      </c>
      <c r="S103" s="149"/>
      <c r="T103" s="165" t="str">
        <f t="shared" si="6"/>
        <v/>
      </c>
      <c r="U103" s="225" t="str">
        <f t="shared" si="7"/>
        <v>-</v>
      </c>
      <c r="V103" s="225"/>
      <c r="W103" s="225"/>
      <c r="X103" s="166" t="e">
        <f>VLOOKUP(CONCATENATE(J97,"-",R103),$C$2:$G$136,3,FALSE)</f>
        <v>#N/A</v>
      </c>
      <c r="Y103" s="166" t="e">
        <f>VLOOKUP(CONCATENATE(J97,"-",R103),$C$2:$G$136,4,FALSE)</f>
        <v>#N/A</v>
      </c>
      <c r="Z103" s="166" t="e">
        <f>VLOOKUP(CONCATENATE(J97,"-",R103),$C$2:$G$136,5,FALSE)</f>
        <v>#N/A</v>
      </c>
    </row>
    <row r="104" spans="1:26" ht="15" customHeight="1" x14ac:dyDescent="0.3">
      <c r="A104"/>
      <c r="B104"/>
      <c r="C104"/>
      <c r="D104"/>
      <c r="E104"/>
      <c r="F104"/>
      <c r="G104"/>
      <c r="I104" t="str">
        <f t="shared" ca="1" si="5"/>
        <v/>
      </c>
      <c r="J104" s="224" t="s">
        <v>509</v>
      </c>
      <c r="K104" s="224"/>
      <c r="L104" s="224"/>
      <c r="M104" s="224"/>
      <c r="N104" s="224"/>
      <c r="O104" s="224"/>
      <c r="P104" s="224"/>
      <c r="Q104" s="224"/>
      <c r="R104" s="164" t="str">
        <f>IF($J97=$A$146,"","DF")</f>
        <v>DF</v>
      </c>
      <c r="S104" s="149"/>
      <c r="T104" s="165" t="str">
        <f t="shared" si="6"/>
        <v/>
      </c>
      <c r="U104" s="225" t="str">
        <f t="shared" si="7"/>
        <v>-</v>
      </c>
      <c r="V104" s="225"/>
      <c r="W104" s="225"/>
      <c r="X104" s="166" t="e">
        <f>VLOOKUP(CONCATENATE(J97,"-",R104),$C$2:$G$136,3,FALSE)</f>
        <v>#N/A</v>
      </c>
      <c r="Y104" s="166" t="e">
        <f>VLOOKUP(CONCATENATE(J97,"-",R104),$C$2:$G$136,4,FALSE)</f>
        <v>#N/A</v>
      </c>
      <c r="Z104" s="166" t="e">
        <f>VLOOKUP(CONCATENATE(J97,"-",R104),$C$2:$G$136,5,FALSE)</f>
        <v>#N/A</v>
      </c>
    </row>
    <row r="105" spans="1:26" ht="15" customHeight="1" x14ac:dyDescent="0.3">
      <c r="A105"/>
      <c r="B105"/>
      <c r="C105"/>
      <c r="D105"/>
      <c r="E105"/>
      <c r="F105"/>
      <c r="G105"/>
      <c r="I105" t="str">
        <f t="shared" ca="1" si="5"/>
        <v/>
      </c>
      <c r="J105" s="224" t="str">
        <f>IF($J$57=$A$146,"Margem bruta da empresa de consultoria","Lucro")</f>
        <v>Lucro</v>
      </c>
      <c r="K105" s="224"/>
      <c r="L105" s="224"/>
      <c r="M105" s="224"/>
      <c r="N105" s="224"/>
      <c r="O105" s="224"/>
      <c r="P105" s="224"/>
      <c r="Q105" s="224"/>
      <c r="R105" s="164" t="str">
        <f>IF($J97=$A$146,"K3","L")</f>
        <v>L</v>
      </c>
      <c r="S105" s="149"/>
      <c r="T105" s="165" t="str">
        <f t="shared" si="6"/>
        <v/>
      </c>
      <c r="U105" s="225" t="str">
        <f t="shared" si="7"/>
        <v>-</v>
      </c>
      <c r="V105" s="225"/>
      <c r="W105" s="225"/>
      <c r="X105" s="166" t="e">
        <f>VLOOKUP(CONCATENATE(J97,"-",R105),$C$2:$G$136,3,FALSE)</f>
        <v>#N/A</v>
      </c>
      <c r="Y105" s="166" t="e">
        <f>VLOOKUP(CONCATENATE(J97,"-",R105),$C$2:$G$136,4,FALSE)</f>
        <v>#N/A</v>
      </c>
      <c r="Z105" s="166" t="e">
        <f>VLOOKUP(CONCATENATE(J97,"-",R105),$C$2:$G$136,5,FALSE)</f>
        <v>#N/A</v>
      </c>
    </row>
    <row r="106" spans="1:26" ht="15" customHeight="1" x14ac:dyDescent="0.3">
      <c r="A106"/>
      <c r="B106"/>
      <c r="C106"/>
      <c r="D106"/>
      <c r="E106"/>
      <c r="F106"/>
      <c r="G106"/>
      <c r="I106" t="str">
        <f t="shared" ca="1" si="5"/>
        <v/>
      </c>
      <c r="J106" s="224" t="s">
        <v>542</v>
      </c>
      <c r="K106" s="224"/>
      <c r="L106" s="224"/>
      <c r="M106" s="224"/>
      <c r="N106" s="224"/>
      <c r="O106" s="224"/>
      <c r="P106" s="224"/>
      <c r="Q106" s="224"/>
      <c r="R106" s="164" t="s">
        <v>512</v>
      </c>
      <c r="S106" s="149"/>
      <c r="T106" s="165" t="str">
        <f t="shared" si="6"/>
        <v/>
      </c>
      <c r="U106" s="225" t="str">
        <f t="shared" si="7"/>
        <v>FORA DO INTERVALO</v>
      </c>
      <c r="V106" s="225"/>
      <c r="W106" s="225"/>
      <c r="X106" s="166">
        <f>Y106</f>
        <v>3.6499999999999998E-2</v>
      </c>
      <c r="Y106" s="166">
        <f>IF($J97=$A$145,"-",3.65%)</f>
        <v>3.6499999999999998E-2</v>
      </c>
      <c r="Z106" s="166">
        <f>Y106</f>
        <v>3.6499999999999998E-2</v>
      </c>
    </row>
    <row r="107" spans="1:26" ht="15" customHeight="1" x14ac:dyDescent="0.3">
      <c r="A107"/>
      <c r="B107"/>
      <c r="C107"/>
      <c r="D107"/>
      <c r="E107"/>
      <c r="F107"/>
      <c r="G107"/>
      <c r="I107" t="str">
        <f t="shared" ca="1" si="5"/>
        <v/>
      </c>
      <c r="J107" s="224" t="s">
        <v>543</v>
      </c>
      <c r="K107" s="224"/>
      <c r="L107" s="224"/>
      <c r="M107" s="224"/>
      <c r="N107" s="224"/>
      <c r="O107" s="224"/>
      <c r="P107" s="224"/>
      <c r="Q107" s="224"/>
      <c r="R107" s="164" t="s">
        <v>513</v>
      </c>
      <c r="S107" s="166">
        <f ca="1">IF(AND($J97&lt;&gt;$A$145,COUNTA(OFFSET(S100,1,0,6))&gt;0),$R$11*$R$10,0)</f>
        <v>0</v>
      </c>
      <c r="U107" s="225" t="str">
        <f t="shared" ca="1" si="7"/>
        <v>OK</v>
      </c>
      <c r="V107" s="225"/>
      <c r="W107" s="225"/>
      <c r="X107" s="166">
        <v>0</v>
      </c>
      <c r="Y107" s="166">
        <v>2.5000000000000001E-2</v>
      </c>
      <c r="Z107" s="166">
        <v>0.05</v>
      </c>
    </row>
    <row r="108" spans="1:26" ht="15" customHeight="1" x14ac:dyDescent="0.3">
      <c r="A108"/>
      <c r="B108"/>
      <c r="C108"/>
      <c r="D108"/>
      <c r="E108"/>
      <c r="F108"/>
      <c r="G108"/>
      <c r="I108" t="str">
        <f t="shared" ca="1" si="5"/>
        <v/>
      </c>
      <c r="J108" s="224" t="s">
        <v>544</v>
      </c>
      <c r="K108" s="224"/>
      <c r="L108" s="224"/>
      <c r="M108" s="224"/>
      <c r="N108" s="224"/>
      <c r="O108" s="224"/>
      <c r="P108" s="224"/>
      <c r="Q108" s="224"/>
      <c r="R108" s="164" t="s">
        <v>514</v>
      </c>
      <c r="S108" s="166">
        <f t="array" aca="1" ref="S108" ca="1">IF(BDI.Opcao&lt;&gt;"Desonerado",0,IF(AND($J97&lt;&gt;$A$145,COUNTA(OFFSET(S100,1,0,6))&gt;0),IF(YEAR(Import.DataBase)&lt;2025,4.5%,IF(YEAR(Import.DataBase)=2025,3.6%,IF(YEAR(Import.DataBase)=2026,2.7%,IF(YEAR(Import.DataBase)=2027,1.8%,0%)))),0%))</f>
        <v>0</v>
      </c>
      <c r="U108" s="225" t="str">
        <f t="shared" ca="1" si="7"/>
        <v>OK</v>
      </c>
      <c r="V108" s="225"/>
      <c r="W108" s="225"/>
      <c r="X108" s="167">
        <f ca="1">$S108</f>
        <v>0</v>
      </c>
      <c r="Y108" s="167">
        <f ca="1">$S108</f>
        <v>0</v>
      </c>
      <c r="Z108" s="167">
        <f ca="1">$S108</f>
        <v>0</v>
      </c>
    </row>
    <row r="109" spans="1:26" ht="15" customHeight="1" x14ac:dyDescent="0.3">
      <c r="A109"/>
      <c r="B109"/>
      <c r="C109"/>
      <c r="D109"/>
      <c r="E109"/>
      <c r="F109"/>
      <c r="G109"/>
      <c r="I109" t="str">
        <f t="shared" ca="1" si="5"/>
        <v/>
      </c>
      <c r="J109" s="224" t="s">
        <v>545</v>
      </c>
      <c r="K109" s="224"/>
      <c r="L109" s="224"/>
      <c r="M109" s="224"/>
      <c r="N109" s="224"/>
      <c r="O109" s="224"/>
      <c r="P109" s="224"/>
      <c r="Q109" s="224"/>
      <c r="R109" s="168" t="s">
        <v>526</v>
      </c>
      <c r="S109" s="166">
        <f ca="1">IF($J97=$A$145,0,ROUND((((1+S101+S102+S103)*(1+S104)*(1+S105)/(1-(S106+S107)))-1),4))</f>
        <v>0</v>
      </c>
      <c r="U109" s="229" t="str">
        <f ca="1">IFERROR(IF(AND(OR(S109&gt;=X109,X109="-"),OR(S109&lt;=Z109,Z109="-")),"OK","FORA DO INTERVALO"),IF(S109=0,"OK","Selecione o Tipo de obra"))</f>
        <v>OK</v>
      </c>
      <c r="V109" s="229"/>
      <c r="W109" s="229"/>
      <c r="X109" s="166" t="e">
        <f>IF($J97=$A$145,0,VLOOKUP(CONCATENATE($J97,"-",$R109),$C$2:$G$136,3,FALSE))</f>
        <v>#N/A</v>
      </c>
      <c r="Y109" s="166" t="e">
        <f>IF($J97=$A$145,0,VLOOKUP(CONCATENATE($J97,"-",$R109),$C$2:$G$136,4,FALSE))</f>
        <v>#N/A</v>
      </c>
      <c r="Z109" s="166" t="e">
        <f>IF($J97=$A$145,0,VLOOKUP(CONCATENATE($J97,"-",$R109),$C$2:$G$136,5,FALSE))</f>
        <v>#N/A</v>
      </c>
    </row>
    <row r="110" spans="1:26" ht="15" customHeight="1" x14ac:dyDescent="0.3">
      <c r="A110"/>
      <c r="B110"/>
      <c r="C110"/>
      <c r="D110"/>
      <c r="E110"/>
      <c r="F110"/>
      <c r="G110"/>
      <c r="I110" t="str">
        <f t="shared" ca="1" si="5"/>
        <v/>
      </c>
      <c r="J110" s="230" t="s">
        <v>546</v>
      </c>
      <c r="K110" s="230"/>
      <c r="L110" s="230"/>
      <c r="M110" s="230"/>
      <c r="N110" s="230"/>
      <c r="O110" s="230"/>
      <c r="P110" s="230"/>
      <c r="Q110" s="230"/>
      <c r="R110" s="169" t="s">
        <v>547</v>
      </c>
      <c r="S110" s="170">
        <f ca="1">IF($J97=$A$145,0,ROUND((((1+S101+S102+S103)*(1+S104)*(1+S105)/(1-(S106+S107+S108)))-1),4))</f>
        <v>0</v>
      </c>
    </row>
    <row r="111" spans="1:26" ht="15" customHeight="1" x14ac:dyDescent="0.3">
      <c r="A111"/>
      <c r="B111"/>
      <c r="C111"/>
      <c r="D111"/>
      <c r="E111"/>
      <c r="F111"/>
      <c r="G111"/>
      <c r="I111" t="str">
        <f t="shared" ca="1" si="5"/>
        <v/>
      </c>
    </row>
    <row r="112" spans="1:26" ht="15.6" x14ac:dyDescent="0.3">
      <c r="A112"/>
      <c r="B112"/>
      <c r="C112"/>
      <c r="D112"/>
      <c r="E112"/>
      <c r="F112"/>
      <c r="G112"/>
      <c r="I112" t="str">
        <f t="shared" ca="1" si="5"/>
        <v/>
      </c>
      <c r="J112" s="171" t="str">
        <f ca="1">IF(U109&lt;&gt;"ok","X","")</f>
        <v/>
      </c>
      <c r="K112" s="231" t="str">
        <f ca="1">IF(U109&lt;&gt;"ok","Anexo: Relatório Técnico Circunstanciado justificando a adoção do percentual de cada parcela do BDI.","")</f>
        <v/>
      </c>
      <c r="L112" s="231"/>
      <c r="M112" s="231"/>
      <c r="N112" s="231"/>
      <c r="O112" s="231"/>
      <c r="P112" s="231"/>
      <c r="Q112" s="231"/>
      <c r="R112" s="231"/>
      <c r="S112" s="231"/>
    </row>
    <row r="113" spans="1:19" x14ac:dyDescent="0.3">
      <c r="A113"/>
      <c r="B113"/>
      <c r="C113"/>
      <c r="D113"/>
      <c r="E113"/>
      <c r="F113"/>
      <c r="G113"/>
      <c r="I113" t="str">
        <f t="shared" ca="1" si="5"/>
        <v/>
      </c>
    </row>
    <row r="114" spans="1:19" x14ac:dyDescent="0.3">
      <c r="A114"/>
      <c r="B114"/>
      <c r="C114"/>
      <c r="D114"/>
      <c r="E114"/>
      <c r="F114"/>
      <c r="G114"/>
      <c r="I114" t="str">
        <f t="shared" ca="1" si="5"/>
        <v/>
      </c>
      <c r="J114" s="238" t="s">
        <v>515</v>
      </c>
      <c r="K114" s="238"/>
      <c r="L114" s="238"/>
      <c r="M114" s="238"/>
      <c r="N114" s="238"/>
      <c r="O114" s="238"/>
      <c r="P114" s="238"/>
      <c r="Q114" s="238"/>
      <c r="R114" s="238"/>
      <c r="S114" s="238"/>
    </row>
    <row r="115" spans="1:19" ht="15.6" x14ac:dyDescent="0.3">
      <c r="A115"/>
      <c r="B115"/>
      <c r="C115"/>
      <c r="D115"/>
      <c r="E115"/>
      <c r="F115"/>
      <c r="G115"/>
      <c r="I115" t="str">
        <f t="shared" ca="1" si="5"/>
        <v/>
      </c>
      <c r="J115" s="172"/>
      <c r="K115" s="172"/>
      <c r="L115" s="172"/>
      <c r="M115" s="239" t="s">
        <v>549</v>
      </c>
      <c r="N115" s="240" t="str">
        <f>IF($J97=$A$146,"(1+K1+K2)*(1+K3)","(1+AC + S + R + G)*(1 + DF)*(1+L)")</f>
        <v>(1+AC + S + R + G)*(1 + DF)*(1+L)</v>
      </c>
      <c r="O115" s="240"/>
      <c r="P115" s="240"/>
      <c r="Q115" s="241" t="s">
        <v>550</v>
      </c>
      <c r="R115" s="172"/>
      <c r="S115" s="172"/>
    </row>
    <row r="116" spans="1:19" ht="15.6" x14ac:dyDescent="0.3">
      <c r="A116"/>
      <c r="B116"/>
      <c r="C116"/>
      <c r="D116"/>
      <c r="E116"/>
      <c r="F116"/>
      <c r="G116"/>
      <c r="I116" t="str">
        <f t="shared" ca="1" si="5"/>
        <v/>
      </c>
      <c r="J116" s="172"/>
      <c r="K116" s="172"/>
      <c r="L116" s="172"/>
      <c r="M116" s="239"/>
      <c r="N116" s="242" t="s">
        <v>551</v>
      </c>
      <c r="O116" s="242"/>
      <c r="P116" s="242"/>
      <c r="Q116" s="241"/>
      <c r="R116" s="172"/>
      <c r="S116" s="172"/>
    </row>
    <row r="117" spans="1:19" ht="15" customHeight="1" x14ac:dyDescent="0.3">
      <c r="A117"/>
      <c r="B117"/>
      <c r="C117"/>
      <c r="D117"/>
      <c r="E117"/>
      <c r="F117"/>
      <c r="G117"/>
      <c r="I117" t="str">
        <f t="shared" ca="1" si="5"/>
        <v/>
      </c>
      <c r="J117" s="172"/>
      <c r="K117" s="172"/>
      <c r="L117" s="172"/>
      <c r="M117" s="182"/>
      <c r="N117" s="183"/>
      <c r="O117" s="183"/>
      <c r="P117" s="183"/>
      <c r="Q117" s="184"/>
      <c r="R117" s="172"/>
      <c r="S117" s="172"/>
    </row>
    <row r="118" spans="1:19" ht="50.1" customHeight="1" x14ac:dyDescent="0.3">
      <c r="A118"/>
      <c r="B118"/>
      <c r="C118"/>
      <c r="D118"/>
      <c r="E118"/>
      <c r="F118"/>
      <c r="G118"/>
      <c r="I118" t="str">
        <f t="shared" ca="1" si="5"/>
        <v/>
      </c>
      <c r="J118" s="232" t="str">
        <f>CONCATENATE("Declaro para os devidos fins que, conforme legislação tributária municipal, a base de cálculo deste tipo de obra corresponde à ",$R$10*100,"%, com a respectiva alíquota de ",$R$11*100,"%.")</f>
        <v>Declaro para os devidos fins que, conforme legislação tributária municipal, a base de cálculo deste tipo de obra corresponde à 100%, com a respectiva alíquota de 2%.</v>
      </c>
      <c r="K118" s="232"/>
      <c r="L118" s="232"/>
      <c r="M118" s="232"/>
      <c r="N118" s="232"/>
      <c r="O118" s="232"/>
      <c r="P118" s="232"/>
      <c r="Q118" s="232"/>
      <c r="R118" s="232"/>
      <c r="S118" s="232"/>
    </row>
    <row r="119" spans="1:19" x14ac:dyDescent="0.3">
      <c r="A119"/>
      <c r="B119"/>
      <c r="C119"/>
      <c r="D119"/>
      <c r="E119"/>
      <c r="F119"/>
      <c r="G119"/>
      <c r="I119" t="str">
        <f t="shared" ca="1" si="5"/>
        <v/>
      </c>
    </row>
    <row r="120" spans="1:19" ht="50.1" customHeight="1" x14ac:dyDescent="0.3">
      <c r="A120"/>
      <c r="B120"/>
      <c r="C120"/>
      <c r="D120"/>
      <c r="E120"/>
      <c r="F120"/>
      <c r="G120"/>
      <c r="I120" t="str">
        <f t="shared" ca="1" si="5"/>
        <v/>
      </c>
      <c r="J120" s="232" t="e">
        <f t="array" aca="1" ref="J120" ca="1">CONCATENATE("Declaro para os devidos fins que o regime de Contribuição Previdenciária sobre a Receita Bruta adotado para elaboração do orçamento foi ",IF(DESONERACAO="Sim","COM","SEM")," Desoneração, e que esta é a alternativa mais adequada para a Administração Pública.")</f>
        <v>#VALUE!</v>
      </c>
      <c r="K120" s="232"/>
      <c r="L120" s="232"/>
      <c r="M120" s="232"/>
      <c r="N120" s="232"/>
      <c r="O120" s="232"/>
      <c r="P120" s="232"/>
      <c r="Q120" s="232"/>
      <c r="R120" s="232"/>
      <c r="S120" s="232"/>
    </row>
    <row r="121" spans="1:19" x14ac:dyDescent="0.3">
      <c r="A121"/>
      <c r="B121"/>
      <c r="C121"/>
      <c r="D121"/>
      <c r="E121"/>
      <c r="F121"/>
      <c r="G121"/>
      <c r="I121" t="str">
        <f t="shared" ca="1" si="5"/>
        <v/>
      </c>
    </row>
    <row r="122" spans="1:19" x14ac:dyDescent="0.3">
      <c r="A122"/>
      <c r="B122"/>
      <c r="C122"/>
      <c r="D122"/>
      <c r="E122"/>
      <c r="F122"/>
      <c r="G122"/>
      <c r="I122" t="str">
        <f t="shared" ca="1" si="5"/>
        <v/>
      </c>
      <c r="J122" s="151" t="s">
        <v>554</v>
      </c>
    </row>
    <row r="123" spans="1:19" ht="110.1" customHeight="1" x14ac:dyDescent="0.3">
      <c r="A123"/>
      <c r="B123"/>
      <c r="C123"/>
      <c r="D123"/>
      <c r="E123"/>
      <c r="F123"/>
      <c r="G123"/>
      <c r="I123" t="str">
        <f t="shared" ca="1" si="5"/>
        <v/>
      </c>
      <c r="J123" s="233"/>
      <c r="K123" s="233"/>
      <c r="L123" s="233"/>
      <c r="M123" s="233"/>
      <c r="N123" s="233"/>
      <c r="O123" s="233"/>
      <c r="P123" s="233"/>
      <c r="Q123" s="233"/>
      <c r="R123" s="233"/>
      <c r="S123" s="233"/>
    </row>
    <row r="124" spans="1:19" x14ac:dyDescent="0.3">
      <c r="A124"/>
      <c r="B124"/>
      <c r="C124"/>
      <c r="D124"/>
      <c r="E124"/>
      <c r="F124"/>
      <c r="G124"/>
      <c r="I124" t="str">
        <f t="shared" ca="1" si="5"/>
        <v/>
      </c>
    </row>
    <row r="125" spans="1:19" x14ac:dyDescent="0.3">
      <c r="A125"/>
      <c r="B125"/>
      <c r="C125"/>
      <c r="D125"/>
      <c r="E125"/>
      <c r="F125"/>
      <c r="G125"/>
      <c r="I125" t="str">
        <f t="shared" ca="1" si="5"/>
        <v/>
      </c>
      <c r="J125" s="234" t="str">
        <f>Import.Município</f>
        <v>CAPETINGA</v>
      </c>
      <c r="K125" s="234"/>
      <c r="L125" s="234"/>
      <c r="M125" s="234"/>
      <c r="P125" s="235">
        <f>[1]DADOS!$C$25</f>
        <v>46080</v>
      </c>
      <c r="Q125" s="235"/>
      <c r="R125" s="235"/>
      <c r="S125" s="235"/>
    </row>
    <row r="126" spans="1:19" x14ac:dyDescent="0.3">
      <c r="A126"/>
      <c r="B126"/>
      <c r="C126"/>
      <c r="D126"/>
      <c r="E126"/>
      <c r="F126"/>
      <c r="G126"/>
      <c r="I126" t="str">
        <f t="shared" ca="1" si="5"/>
        <v/>
      </c>
      <c r="J126" s="236" t="s">
        <v>558</v>
      </c>
      <c r="K126" s="236"/>
      <c r="L126" s="236"/>
      <c r="M126" s="236"/>
      <c r="O126" s="174"/>
      <c r="P126" s="175" t="s">
        <v>559</v>
      </c>
      <c r="Q126" s="176"/>
      <c r="R126" s="176"/>
      <c r="S126" s="176"/>
    </row>
    <row r="127" spans="1:19" ht="30" customHeight="1" x14ac:dyDescent="0.3">
      <c r="A127"/>
      <c r="B127"/>
      <c r="C127"/>
      <c r="D127"/>
      <c r="E127"/>
      <c r="F127"/>
      <c r="G127"/>
      <c r="I127" t="str">
        <f t="shared" ca="1" si="5"/>
        <v/>
      </c>
    </row>
    <row r="128" spans="1:19" x14ac:dyDescent="0.3">
      <c r="A128"/>
      <c r="B128"/>
      <c r="C128"/>
      <c r="D128"/>
      <c r="E128"/>
      <c r="F128"/>
      <c r="G128"/>
      <c r="I128" t="str">
        <f t="shared" ca="1" si="5"/>
        <v/>
      </c>
      <c r="J128" s="237"/>
      <c r="K128" s="237"/>
      <c r="L128" s="237"/>
      <c r="M128" s="237"/>
      <c r="N128" s="177"/>
    </row>
    <row r="129" spans="1:14" x14ac:dyDescent="0.3">
      <c r="A129"/>
      <c r="B129"/>
      <c r="C129"/>
      <c r="D129"/>
      <c r="E129"/>
      <c r="F129"/>
      <c r="G129"/>
      <c r="I129" t="str">
        <f t="shared" ca="1" si="5"/>
        <v/>
      </c>
      <c r="J129" s="243" t="s">
        <v>561</v>
      </c>
      <c r="K129" s="243"/>
      <c r="L129" s="243"/>
      <c r="M129" s="243"/>
    </row>
    <row r="130" spans="1:14" x14ac:dyDescent="0.3">
      <c r="A130"/>
      <c r="B130"/>
      <c r="C130"/>
      <c r="D130"/>
      <c r="E130"/>
      <c r="F130"/>
      <c r="G130"/>
      <c r="I130" t="str">
        <f t="shared" ca="1" si="5"/>
        <v/>
      </c>
      <c r="J130" s="178" t="s">
        <v>562</v>
      </c>
      <c r="K130" s="179" t="str">
        <f t="array" ref="K130:K132">Import.RespOrçamento</f>
        <v>LUCAS CUSTODIO DE LIMA CAMPOS</v>
      </c>
      <c r="L130" s="180"/>
      <c r="M130" s="180"/>
      <c r="N130" s="177"/>
    </row>
    <row r="131" spans="1:14" x14ac:dyDescent="0.3">
      <c r="A131"/>
      <c r="B131"/>
      <c r="C131"/>
      <c r="D131"/>
      <c r="E131"/>
      <c r="F131"/>
      <c r="G131"/>
      <c r="I131" t="str">
        <f t="shared" ca="1" si="5"/>
        <v/>
      </c>
      <c r="J131" s="178" t="s">
        <v>563</v>
      </c>
      <c r="K131" s="179" t="str">
        <v>2415/47</v>
      </c>
      <c r="L131" s="180"/>
      <c r="M131" s="180"/>
      <c r="N131" s="177"/>
    </row>
    <row r="132" spans="1:14" x14ac:dyDescent="0.3">
      <c r="A132"/>
      <c r="B132"/>
      <c r="C132"/>
      <c r="D132"/>
      <c r="E132"/>
      <c r="F132"/>
      <c r="G132"/>
      <c r="I132" t="str">
        <f t="shared" ca="1" si="5"/>
        <v/>
      </c>
      <c r="J132" s="178" t="s">
        <v>564</v>
      </c>
      <c r="K132" s="179">
        <v>0</v>
      </c>
      <c r="L132" s="180"/>
      <c r="M132" s="180"/>
      <c r="N132" s="177"/>
    </row>
    <row r="133" spans="1:14" x14ac:dyDescent="0.3">
      <c r="A133"/>
      <c r="B133"/>
      <c r="C133"/>
      <c r="D133"/>
      <c r="E133"/>
      <c r="F133"/>
      <c r="G133"/>
    </row>
    <row r="134" spans="1:14" x14ac:dyDescent="0.3">
      <c r="A134"/>
      <c r="B134"/>
      <c r="C134"/>
      <c r="D134"/>
      <c r="E134"/>
      <c r="F134"/>
      <c r="G134"/>
    </row>
    <row r="135" spans="1:14" x14ac:dyDescent="0.3">
      <c r="A135"/>
      <c r="B135"/>
      <c r="C135"/>
      <c r="D135"/>
      <c r="E135"/>
      <c r="F135"/>
      <c r="G135"/>
    </row>
    <row r="136" spans="1:14" x14ac:dyDescent="0.3">
      <c r="A136"/>
      <c r="B136"/>
      <c r="C136"/>
      <c r="D136"/>
      <c r="E136"/>
      <c r="F136"/>
      <c r="G136"/>
    </row>
    <row r="137" spans="1:14" x14ac:dyDescent="0.3">
      <c r="A137"/>
      <c r="B137"/>
      <c r="C137"/>
      <c r="D137"/>
      <c r="E137"/>
      <c r="F137"/>
      <c r="G137"/>
    </row>
    <row r="138" spans="1:14" x14ac:dyDescent="0.3">
      <c r="A138" s="151" t="s">
        <v>566</v>
      </c>
    </row>
    <row r="139" spans="1:14" x14ac:dyDescent="0.3">
      <c r="A139" s="151" t="s">
        <v>520</v>
      </c>
    </row>
    <row r="140" spans="1:14" x14ac:dyDescent="0.3">
      <c r="A140" s="151" t="s">
        <v>528</v>
      </c>
    </row>
    <row r="141" spans="1:14" x14ac:dyDescent="0.3">
      <c r="A141" s="151" t="s">
        <v>533</v>
      </c>
    </row>
    <row r="142" spans="1:14" x14ac:dyDescent="0.3">
      <c r="A142" s="151" t="s">
        <v>540</v>
      </c>
    </row>
    <row r="143" spans="1:14" x14ac:dyDescent="0.3">
      <c r="A143" s="151" t="s">
        <v>541</v>
      </c>
    </row>
    <row r="144" spans="1:14" x14ac:dyDescent="0.3">
      <c r="A144" s="151" t="s">
        <v>548</v>
      </c>
    </row>
    <row r="145" spans="1:1" x14ac:dyDescent="0.3">
      <c r="A145" s="151" t="s">
        <v>552</v>
      </c>
    </row>
    <row r="146" spans="1:1" x14ac:dyDescent="0.3">
      <c r="A146" s="151" t="s">
        <v>555</v>
      </c>
    </row>
  </sheetData>
  <mergeCells count="144">
    <mergeCell ref="J129:M129"/>
    <mergeCell ref="J120:S120"/>
    <mergeCell ref="J123:S123"/>
    <mergeCell ref="J125:M125"/>
    <mergeCell ref="P125:S125"/>
    <mergeCell ref="J126:M126"/>
    <mergeCell ref="J128:M128"/>
    <mergeCell ref="J114:S114"/>
    <mergeCell ref="M115:M116"/>
    <mergeCell ref="N115:P115"/>
    <mergeCell ref="Q115:Q116"/>
    <mergeCell ref="N116:P116"/>
    <mergeCell ref="J118:S118"/>
    <mergeCell ref="J108:Q108"/>
    <mergeCell ref="U108:W108"/>
    <mergeCell ref="J109:Q109"/>
    <mergeCell ref="U109:W109"/>
    <mergeCell ref="J110:Q110"/>
    <mergeCell ref="K112:S112"/>
    <mergeCell ref="J105:Q105"/>
    <mergeCell ref="U105:W105"/>
    <mergeCell ref="J106:Q106"/>
    <mergeCell ref="U106:W106"/>
    <mergeCell ref="J107:Q107"/>
    <mergeCell ref="U107:W107"/>
    <mergeCell ref="J102:Q102"/>
    <mergeCell ref="U102:W102"/>
    <mergeCell ref="J103:Q103"/>
    <mergeCell ref="U103:W103"/>
    <mergeCell ref="J104:Q104"/>
    <mergeCell ref="U104:W104"/>
    <mergeCell ref="U99:W100"/>
    <mergeCell ref="X99:X100"/>
    <mergeCell ref="Y99:Y100"/>
    <mergeCell ref="Z99:Z100"/>
    <mergeCell ref="J101:Q101"/>
    <mergeCell ref="U101:W101"/>
    <mergeCell ref="J89:M89"/>
    <mergeCell ref="J94:S94"/>
    <mergeCell ref="J96:S96"/>
    <mergeCell ref="J97:S97"/>
    <mergeCell ref="J99:Q100"/>
    <mergeCell ref="R99:R100"/>
    <mergeCell ref="S99:S100"/>
    <mergeCell ref="J80:S80"/>
    <mergeCell ref="J83:S83"/>
    <mergeCell ref="J85:M85"/>
    <mergeCell ref="P85:S85"/>
    <mergeCell ref="J86:M86"/>
    <mergeCell ref="J88:M88"/>
    <mergeCell ref="J74:S74"/>
    <mergeCell ref="M75:M76"/>
    <mergeCell ref="N75:P75"/>
    <mergeCell ref="Q75:Q76"/>
    <mergeCell ref="N76:P76"/>
    <mergeCell ref="J78:S78"/>
    <mergeCell ref="J68:Q68"/>
    <mergeCell ref="U68:W68"/>
    <mergeCell ref="J69:Q69"/>
    <mergeCell ref="U69:W69"/>
    <mergeCell ref="J70:Q70"/>
    <mergeCell ref="K72:S72"/>
    <mergeCell ref="J65:Q65"/>
    <mergeCell ref="U65:W65"/>
    <mergeCell ref="J66:Q66"/>
    <mergeCell ref="U66:W66"/>
    <mergeCell ref="J67:Q67"/>
    <mergeCell ref="U67:W67"/>
    <mergeCell ref="J62:Q62"/>
    <mergeCell ref="U62:W62"/>
    <mergeCell ref="J63:Q63"/>
    <mergeCell ref="U63:W63"/>
    <mergeCell ref="J64:Q64"/>
    <mergeCell ref="U64:W64"/>
    <mergeCell ref="U59:W60"/>
    <mergeCell ref="X59:X60"/>
    <mergeCell ref="Y59:Y60"/>
    <mergeCell ref="Z59:Z60"/>
    <mergeCell ref="J61:Q61"/>
    <mergeCell ref="U61:W61"/>
    <mergeCell ref="J49:M49"/>
    <mergeCell ref="J54:S54"/>
    <mergeCell ref="J56:S56"/>
    <mergeCell ref="J57:S57"/>
    <mergeCell ref="J59:Q60"/>
    <mergeCell ref="R59:R60"/>
    <mergeCell ref="S59:S60"/>
    <mergeCell ref="J40:S40"/>
    <mergeCell ref="J43:S43"/>
    <mergeCell ref="J45:M45"/>
    <mergeCell ref="P45:S45"/>
    <mergeCell ref="J46:M46"/>
    <mergeCell ref="J48:M48"/>
    <mergeCell ref="J34:S34"/>
    <mergeCell ref="M35:M36"/>
    <mergeCell ref="N35:P35"/>
    <mergeCell ref="Q35:Q36"/>
    <mergeCell ref="N36:P36"/>
    <mergeCell ref="J38:S38"/>
    <mergeCell ref="J28:Q28"/>
    <mergeCell ref="U28:W28"/>
    <mergeCell ref="J29:Q29"/>
    <mergeCell ref="U29:W29"/>
    <mergeCell ref="J30:Q30"/>
    <mergeCell ref="K32:S32"/>
    <mergeCell ref="J25:Q25"/>
    <mergeCell ref="U25:W25"/>
    <mergeCell ref="J26:Q26"/>
    <mergeCell ref="U26:W26"/>
    <mergeCell ref="J27:Q27"/>
    <mergeCell ref="U27:W27"/>
    <mergeCell ref="J22:Q22"/>
    <mergeCell ref="U22:W22"/>
    <mergeCell ref="J23:Q23"/>
    <mergeCell ref="U23:W23"/>
    <mergeCell ref="J24:Q24"/>
    <mergeCell ref="U24:W24"/>
    <mergeCell ref="U19:W20"/>
    <mergeCell ref="X19:X20"/>
    <mergeCell ref="Y19:Y20"/>
    <mergeCell ref="Z19:Z20"/>
    <mergeCell ref="J21:Q21"/>
    <mergeCell ref="U21:W21"/>
    <mergeCell ref="J14:S14"/>
    <mergeCell ref="J16:S16"/>
    <mergeCell ref="J17:S17"/>
    <mergeCell ref="J19:Q20"/>
    <mergeCell ref="R19:R20"/>
    <mergeCell ref="S19:S20"/>
    <mergeCell ref="I6:I10"/>
    <mergeCell ref="J7:S7"/>
    <mergeCell ref="J8:S8"/>
    <mergeCell ref="J10:Q10"/>
    <mergeCell ref="R10:S10"/>
    <mergeCell ref="J11:Q11"/>
    <mergeCell ref="R11:S11"/>
    <mergeCell ref="R1:S1"/>
    <mergeCell ref="R2:S2"/>
    <mergeCell ref="J4:K4"/>
    <mergeCell ref="L4:M4"/>
    <mergeCell ref="N4:S4"/>
    <mergeCell ref="J5:K5"/>
    <mergeCell ref="L5:M5"/>
    <mergeCell ref="N5:S5"/>
  </mergeCells>
  <conditionalFormatting sqref="J30:S30 J70:S70 J110:S110">
    <cfRule type="expression" dxfId="12" priority="10" stopIfTrue="1">
      <formula>DESONERACAO="não"</formula>
    </cfRule>
  </conditionalFormatting>
  <conditionalFormatting sqref="U69:W69 U29:W29 U109:W109">
    <cfRule type="expression" dxfId="11" priority="11" stopIfTrue="1">
      <formula>AND(U29&lt;&gt;"OK",U29&lt;&gt;"-",U29&lt;&gt;"")</formula>
    </cfRule>
    <cfRule type="cellIs" dxfId="10" priority="12" stopIfTrue="1" operator="equal">
      <formula>"OK"</formula>
    </cfRule>
  </conditionalFormatting>
  <conditionalFormatting sqref="S29 S69 S109">
    <cfRule type="expression" dxfId="9" priority="13" stopIfTrue="1">
      <formula>DESONERACAO="não"</formula>
    </cfRule>
  </conditionalFormatting>
  <conditionalFormatting sqref="J23:S24">
    <cfRule type="expression" dxfId="8" priority="9">
      <formula>$J$17=$A$146</formula>
    </cfRule>
  </conditionalFormatting>
  <conditionalFormatting sqref="S21:S26">
    <cfRule type="expression" dxfId="7" priority="8">
      <formula>$J$17=$A$145</formula>
    </cfRule>
  </conditionalFormatting>
  <conditionalFormatting sqref="J63:S64">
    <cfRule type="expression" dxfId="6" priority="7">
      <formula>$J$57=$A$146</formula>
    </cfRule>
  </conditionalFormatting>
  <conditionalFormatting sqref="S61:S66">
    <cfRule type="expression" dxfId="5" priority="6">
      <formula>$J$57=$A$145</formula>
    </cfRule>
  </conditionalFormatting>
  <conditionalFormatting sqref="J103:S104">
    <cfRule type="expression" dxfId="4" priority="5">
      <formula>$J$97=$A$146</formula>
    </cfRule>
  </conditionalFormatting>
  <conditionalFormatting sqref="S101:S106">
    <cfRule type="expression" dxfId="3" priority="4">
      <formula>$J$97=$A$145</formula>
    </cfRule>
  </conditionalFormatting>
  <conditionalFormatting sqref="U21:W28">
    <cfRule type="cellIs" dxfId="2" priority="3" operator="notEqual">
      <formula>"OK"</formula>
    </cfRule>
  </conditionalFormatting>
  <conditionalFormatting sqref="U61:W68">
    <cfRule type="cellIs" dxfId="1" priority="2" operator="notEqual">
      <formula>"OK"</formula>
    </cfRule>
  </conditionalFormatting>
  <conditionalFormatting sqref="U101:W108">
    <cfRule type="cellIs" dxfId="0" priority="1" operator="notEqual">
      <formula>"OK"</formula>
    </cfRule>
  </conditionalFormatting>
  <dataValidations count="6">
    <dataValidation operator="greaterThanOrEqual" allowBlank="1" showErrorMessage="1" errorTitle="Erro de valores" error="Digite um valor igual a 0% ou 2%." sqref="S28 S68 S108">
      <formula1>0</formula1>
      <formula2>0</formula2>
    </dataValidation>
    <dataValidation type="list" allowBlank="1" showErrorMessage="1" sqref="J17:S17 J57:S57 J97:S97">
      <formula1>BDI.TipoObra</formula1>
      <formula2>0</formula2>
    </dataValidation>
    <dataValidation type="decimal" allowBlank="1" showInputMessage="1" showErrorMessage="1" errorTitle="Valor não permitido" error="Digite um percentual entre 0% e 100%." promptTitle="Valores admissíveis:" prompt="Insira valores entre 0 e 100%." sqref="R10:S10">
      <formula1>0</formula1>
      <formula2>1</formula2>
    </dataValidation>
    <dataValidation type="decimal" allowBlank="1" showInputMessage="1" showErrorMessage="1" errorTitle="Valor não permitido" error="Digite um percentual entre 2% e 5%." promptTitle="Valores comuns:" prompt="Entre 2 e 5%." sqref="R11:S11">
      <formula1>0.02</formula1>
      <formula2>0.05</formula2>
    </dataValidation>
    <dataValidation type="decimal" allowBlank="1" showErrorMessage="1" errorTitle="Erro de valores" error="Digite um valor maior do que 0." sqref="S27 S107 S67">
      <formula1>0</formula1>
      <formula2>1</formula2>
    </dataValidation>
    <dataValidation type="decimal" allowBlank="1" showErrorMessage="1" errorTitle="Erro de valores" error="Digite um valor entre 0% e 100%" sqref="S101:S106 S61:S66 S21:S26">
      <formula1>0</formula1>
      <formula2>1</formula2>
    </dataValidation>
  </dataValidations>
  <pageMargins left="0.511811024" right="0.511811024" top="0.78740157499999996" bottom="0.78740157499999996" header="0.31496062000000002" footer="0.31496062000000002"/>
  <pageSetup paperSize="9" scale="30" fitToWidth="0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PO</vt:lpstr>
      <vt:lpstr>CRO</vt:lpstr>
      <vt:lpstr>BDI E DECLARAÇÃO - OK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ENGENHARIA 01</dc:creator>
  <cp:lastModifiedBy>Bruno Carvalho</cp:lastModifiedBy>
  <cp:lastPrinted>2026-05-19T16:02:38Z</cp:lastPrinted>
  <dcterms:created xsi:type="dcterms:W3CDTF">2025-11-25T18:47:55Z</dcterms:created>
  <dcterms:modified xsi:type="dcterms:W3CDTF">2026-05-28T12:48:33Z</dcterms:modified>
</cp:coreProperties>
</file>