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OBRAS 2026\PAVIMENTAÇÃO DOBA\"/>
    </mc:Choice>
  </mc:AlternateContent>
  <xr:revisionPtr revIDLastSave="0" documentId="13_ncr:1_{214EA9DA-6FA6-4AA4-AE34-6B34842B3636}" xr6:coauthVersionLast="47" xr6:coauthVersionMax="47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CRONOGRAMA (2)" sheetId="9" state="hidden" r:id="rId1"/>
    <sheet name="PLAN ORÇ" sheetId="20" r:id="rId2"/>
    <sheet name="MEMORIA DE CÁLCULO" sheetId="22" r:id="rId3"/>
    <sheet name="CRONOGRAMA" sheetId="21" r:id="rId4"/>
    <sheet name="BDI" sheetId="31" r:id="rId5"/>
    <sheet name="CPU" sheetId="30" r:id="rId6"/>
  </sheets>
  <definedNames>
    <definedName name="_xlnm.Print_Area" localSheetId="4">BDI!$A$43:$J$73</definedName>
    <definedName name="_xlnm.Print_Area" localSheetId="5">CPU!$A$1:$H$149</definedName>
    <definedName name="_xlnm.Print_Area" localSheetId="3">CRONOGRAMA!$A$1:$I$29</definedName>
    <definedName name="_xlnm.Print_Area" localSheetId="0">'CRONOGRAMA (2)'!$A$1:$K$18</definedName>
    <definedName name="_xlnm.Print_Area" localSheetId="2">'MEMORIA DE CÁLCULO'!$A$1:$J$143</definedName>
    <definedName name="_xlnm.Print_Area" localSheetId="1">'PLAN ORÇ'!$A$1:$I$59</definedName>
  </definedNames>
  <calcPr calcId="191029"/>
  <fileRecoveryPr autoRecover="0"/>
</workbook>
</file>

<file path=xl/calcChain.xml><?xml version="1.0" encoding="utf-8"?>
<calcChain xmlns="http://schemas.openxmlformats.org/spreadsheetml/2006/main">
  <c r="D74" i="22" l="1"/>
  <c r="D75" i="22"/>
  <c r="I75" i="22" s="1"/>
  <c r="A97" i="22"/>
  <c r="A89" i="22" s="1"/>
  <c r="A74" i="22" s="1"/>
  <c r="A64" i="22" s="1"/>
  <c r="A56" i="22" s="1"/>
  <c r="D81" i="22"/>
  <c r="I81" i="22" s="1"/>
  <c r="D77" i="22"/>
  <c r="B78" i="22"/>
  <c r="B77" i="22"/>
  <c r="H33" i="20"/>
  <c r="D32" i="22"/>
  <c r="D109" i="22"/>
  <c r="I98" i="22"/>
  <c r="B94" i="22"/>
  <c r="D93" i="22"/>
  <c r="D24" i="22"/>
  <c r="I24" i="22" s="1"/>
  <c r="I57" i="22"/>
  <c r="A65" i="22"/>
  <c r="A75" i="22" s="1"/>
  <c r="A90" i="22" s="1"/>
  <c r="A98" i="22" s="1"/>
  <c r="I82" i="22" l="1"/>
  <c r="F33" i="20" s="1"/>
  <c r="I33" i="20" s="1"/>
  <c r="D127" i="22"/>
  <c r="I127" i="22" s="1"/>
  <c r="D89" i="22"/>
  <c r="A127" i="22"/>
  <c r="A109" i="22"/>
  <c r="I32" i="22"/>
  <c r="D65" i="22" s="1"/>
  <c r="I65" i="22" s="1"/>
  <c r="D33" i="22"/>
  <c r="H136" i="30"/>
  <c r="H14" i="30"/>
  <c r="H28" i="30" s="1"/>
  <c r="H46" i="30" s="1"/>
  <c r="H60" i="30" s="1"/>
  <c r="H76" i="30" s="1"/>
  <c r="H92" i="30" s="1"/>
  <c r="H108" i="30" s="1"/>
  <c r="H126" i="30" s="1"/>
  <c r="I109" i="22"/>
  <c r="D23" i="20"/>
  <c r="D19" i="22" s="1"/>
  <c r="C23" i="20"/>
  <c r="B20" i="22" s="1"/>
  <c r="H24" i="30"/>
  <c r="H21" i="30"/>
  <c r="H20" i="30"/>
  <c r="H19" i="30"/>
  <c r="H18" i="30"/>
  <c r="H22" i="30" s="1"/>
  <c r="H23" i="30" l="1"/>
  <c r="D23" i="22"/>
  <c r="I23" i="22" l="1"/>
  <c r="I25" i="22" s="1"/>
  <c r="F23" i="20" s="1"/>
  <c r="H25" i="30"/>
  <c r="G23" i="20"/>
  <c r="H23" i="20" s="1"/>
  <c r="D56" i="22"/>
  <c r="A49" i="22"/>
  <c r="A48" i="22"/>
  <c r="I33" i="22"/>
  <c r="D60" i="22"/>
  <c r="B61" i="22"/>
  <c r="B60" i="22"/>
  <c r="D52" i="22"/>
  <c r="B53" i="22"/>
  <c r="B52" i="22"/>
  <c r="D44" i="22"/>
  <c r="B45" i="22"/>
  <c r="B44" i="22"/>
  <c r="H28" i="20"/>
  <c r="H27" i="20"/>
  <c r="H26" i="20"/>
  <c r="H38" i="20"/>
  <c r="D126" i="22"/>
  <c r="I126" i="22" s="1"/>
  <c r="I108" i="22"/>
  <c r="A126" i="22"/>
  <c r="I56" i="22" l="1"/>
  <c r="I58" i="22" s="1"/>
  <c r="D41" i="22"/>
  <c r="I41" i="22" s="1"/>
  <c r="D49" i="22" l="1"/>
  <c r="I49" i="22" s="1"/>
  <c r="I23" i="20"/>
  <c r="A14" i="21"/>
  <c r="A12" i="21"/>
  <c r="A10" i="21"/>
  <c r="H10" i="30"/>
  <c r="H7" i="30"/>
  <c r="H6" i="30"/>
  <c r="F130" i="30"/>
  <c r="H130" i="30" s="1"/>
  <c r="F131" i="30"/>
  <c r="H131" i="30" s="1"/>
  <c r="H138" i="30"/>
  <c r="F134" i="30"/>
  <c r="H134" i="30" s="1"/>
  <c r="F133" i="30"/>
  <c r="H133" i="30" s="1"/>
  <c r="H135" i="30"/>
  <c r="F132" i="30"/>
  <c r="H132" i="30" s="1"/>
  <c r="H122" i="30"/>
  <c r="F119" i="30"/>
  <c r="H119" i="30" s="1"/>
  <c r="H116" i="30"/>
  <c r="H115" i="30"/>
  <c r="H114" i="30"/>
  <c r="H118" i="30"/>
  <c r="H117" i="30"/>
  <c r="H113" i="30"/>
  <c r="H112" i="30"/>
  <c r="I31" i="22"/>
  <c r="F27" i="20"/>
  <c r="D36" i="22"/>
  <c r="B37" i="22"/>
  <c r="B36" i="22"/>
  <c r="D27" i="22"/>
  <c r="B28" i="22"/>
  <c r="B27" i="22"/>
  <c r="C17" i="22"/>
  <c r="B17" i="22"/>
  <c r="H25" i="20"/>
  <c r="H24" i="20"/>
  <c r="I74" i="22"/>
  <c r="I76" i="22" s="1"/>
  <c r="D70" i="22"/>
  <c r="B71" i="22"/>
  <c r="B70" i="22"/>
  <c r="C68" i="22"/>
  <c r="B68" i="22"/>
  <c r="H32" i="20"/>
  <c r="I89" i="22"/>
  <c r="I91" i="22" s="1"/>
  <c r="B85" i="22"/>
  <c r="C83" i="22"/>
  <c r="B83" i="22"/>
  <c r="E37" i="20"/>
  <c r="C37" i="20"/>
  <c r="B86" i="22" s="1"/>
  <c r="D37" i="20"/>
  <c r="D85" i="22" s="1"/>
  <c r="D64" i="22" l="1"/>
  <c r="I64" i="22" s="1"/>
  <c r="I66" i="22" s="1"/>
  <c r="F28" i="20" s="1"/>
  <c r="D40" i="22"/>
  <c r="I34" i="22"/>
  <c r="F24" i="20" s="1"/>
  <c r="I27" i="20"/>
  <c r="F37" i="20"/>
  <c r="D97" i="22"/>
  <c r="H8" i="30"/>
  <c r="H9" i="30" s="1"/>
  <c r="H137" i="30"/>
  <c r="H139" i="30" s="1"/>
  <c r="F32" i="20"/>
  <c r="H120" i="30"/>
  <c r="H121" i="30" s="1"/>
  <c r="F66" i="30"/>
  <c r="H66" i="30" s="1"/>
  <c r="F82" i="30"/>
  <c r="H82" i="30" s="1"/>
  <c r="F98" i="30"/>
  <c r="H98" i="30" s="1"/>
  <c r="I56" i="31"/>
  <c r="I65" i="31" s="1"/>
  <c r="H56" i="31"/>
  <c r="H65" i="31" s="1"/>
  <c r="G56" i="31"/>
  <c r="G65" i="31" s="1"/>
  <c r="F56" i="31"/>
  <c r="F65" i="31" s="1"/>
  <c r="E56" i="31"/>
  <c r="E65" i="31" s="1"/>
  <c r="D56" i="31"/>
  <c r="D65" i="31" s="1"/>
  <c r="C56" i="31"/>
  <c r="C65" i="31" s="1"/>
  <c r="I53" i="31"/>
  <c r="I64" i="31" s="1"/>
  <c r="H53" i="31"/>
  <c r="H64" i="31" s="1"/>
  <c r="G53" i="31"/>
  <c r="G64" i="31" s="1"/>
  <c r="F53" i="31"/>
  <c r="F64" i="31" s="1"/>
  <c r="E53" i="31"/>
  <c r="E64" i="31" s="1"/>
  <c r="D53" i="31"/>
  <c r="D64" i="31" s="1"/>
  <c r="D66" i="31" s="1"/>
  <c r="C53" i="31"/>
  <c r="C64" i="31" s="1"/>
  <c r="H21" i="31"/>
  <c r="H30" i="31" s="1"/>
  <c r="G21" i="31"/>
  <c r="G30" i="31" s="1"/>
  <c r="F21" i="31"/>
  <c r="F30" i="31" s="1"/>
  <c r="E21" i="31"/>
  <c r="E30" i="31" s="1"/>
  <c r="D21" i="31"/>
  <c r="D30" i="31" s="1"/>
  <c r="C21" i="31"/>
  <c r="C30" i="31" s="1"/>
  <c r="H18" i="31"/>
  <c r="H29" i="31" s="1"/>
  <c r="G18" i="31"/>
  <c r="G29" i="31" s="1"/>
  <c r="F18" i="31"/>
  <c r="F29" i="31" s="1"/>
  <c r="F31" i="31" s="1"/>
  <c r="E18" i="31"/>
  <c r="E29" i="31" s="1"/>
  <c r="E31" i="31" s="1"/>
  <c r="D18" i="31"/>
  <c r="D29" i="31" s="1"/>
  <c r="C18" i="31"/>
  <c r="C29" i="31" s="1"/>
  <c r="H104" i="30"/>
  <c r="H88" i="30"/>
  <c r="H101" i="30"/>
  <c r="F100" i="30"/>
  <c r="H100" i="30" s="1"/>
  <c r="F99" i="30"/>
  <c r="H99" i="30" s="1"/>
  <c r="H97" i="30"/>
  <c r="H96" i="30"/>
  <c r="A18" i="21"/>
  <c r="A16" i="21"/>
  <c r="A8" i="21"/>
  <c r="H85" i="30"/>
  <c r="F84" i="30"/>
  <c r="H84" i="30" s="1"/>
  <c r="F83" i="30"/>
  <c r="H83" i="30" s="1"/>
  <c r="H81" i="30"/>
  <c r="H80" i="30"/>
  <c r="H72" i="30"/>
  <c r="F68" i="30"/>
  <c r="H68" i="30" s="1"/>
  <c r="F67" i="30"/>
  <c r="H67" i="30" s="1"/>
  <c r="H69" i="30"/>
  <c r="H65" i="30"/>
  <c r="H64" i="30"/>
  <c r="I128" i="22" l="1"/>
  <c r="D134" i="22" s="1"/>
  <c r="I110" i="22"/>
  <c r="D116" i="22" s="1"/>
  <c r="I28" i="20"/>
  <c r="I40" i="22"/>
  <c r="D48" i="22"/>
  <c r="I48" i="22" s="1"/>
  <c r="I50" i="22" s="1"/>
  <c r="F26" i="20" s="1"/>
  <c r="I97" i="22"/>
  <c r="I99" i="22" s="1"/>
  <c r="F38" i="20" s="1"/>
  <c r="I38" i="20" s="1"/>
  <c r="H66" i="31"/>
  <c r="H11" i="30"/>
  <c r="H123" i="30"/>
  <c r="I32" i="20"/>
  <c r="I34" i="20" s="1"/>
  <c r="I66" i="31"/>
  <c r="E66" i="31"/>
  <c r="F66" i="31"/>
  <c r="C31" i="31"/>
  <c r="G31" i="31"/>
  <c r="C66" i="31"/>
  <c r="G66" i="31"/>
  <c r="D31" i="31"/>
  <c r="H31" i="31"/>
  <c r="H102" i="30"/>
  <c r="H103" i="30" s="1"/>
  <c r="H86" i="30"/>
  <c r="H87" i="30" s="1"/>
  <c r="H70" i="30"/>
  <c r="H71" i="30" s="1"/>
  <c r="I26" i="20" l="1"/>
  <c r="I42" i="22"/>
  <c r="F25" i="20" s="1"/>
  <c r="B12" i="21"/>
  <c r="I24" i="20"/>
  <c r="H105" i="30"/>
  <c r="I116" i="22"/>
  <c r="F42" i="20"/>
  <c r="H73" i="30"/>
  <c r="H89" i="30"/>
  <c r="I25" i="20" l="1"/>
  <c r="I29" i="20" s="1"/>
  <c r="D13" i="21"/>
  <c r="G13" i="21"/>
  <c r="E42" i="20"/>
  <c r="C42" i="20"/>
  <c r="D42" i="20"/>
  <c r="H56" i="30"/>
  <c r="H42" i="30"/>
  <c r="H33" i="30"/>
  <c r="H53" i="30"/>
  <c r="H52" i="30"/>
  <c r="H51" i="30"/>
  <c r="H50" i="30"/>
  <c r="H39" i="30"/>
  <c r="H38" i="30"/>
  <c r="H37" i="30"/>
  <c r="H36" i="30"/>
  <c r="H35" i="30"/>
  <c r="H34" i="30"/>
  <c r="H32" i="30"/>
  <c r="B10" i="21" l="1"/>
  <c r="H40" i="30"/>
  <c r="H41" i="30" s="1"/>
  <c r="G37" i="20" s="1"/>
  <c r="H54" i="30"/>
  <c r="H55" i="30" s="1"/>
  <c r="D11" i="21" l="1"/>
  <c r="G11" i="21"/>
  <c r="H37" i="20"/>
  <c r="I37" i="20" s="1"/>
  <c r="H57" i="30"/>
  <c r="G42" i="20"/>
  <c r="H43" i="30"/>
  <c r="I39" i="20" l="1"/>
  <c r="B14" i="21" l="1"/>
  <c r="A5" i="22"/>
  <c r="G15" i="21" l="1"/>
  <c r="D15" i="21"/>
  <c r="A3" i="22"/>
  <c r="B3" i="22"/>
  <c r="B130" i="22"/>
  <c r="B122" i="22"/>
  <c r="C120" i="22"/>
  <c r="B120" i="22"/>
  <c r="B112" i="22"/>
  <c r="B104" i="22"/>
  <c r="C102" i="22"/>
  <c r="B102" i="22"/>
  <c r="I14" i="22"/>
  <c r="D10" i="22"/>
  <c r="B11" i="22"/>
  <c r="B10" i="22"/>
  <c r="C8" i="22"/>
  <c r="B8" i="22"/>
  <c r="H18" i="20"/>
  <c r="D130" i="22" l="1"/>
  <c r="B131" i="22"/>
  <c r="D122" i="22"/>
  <c r="B123" i="22"/>
  <c r="D112" i="22"/>
  <c r="B113" i="22"/>
  <c r="B105" i="22"/>
  <c r="D104" i="22"/>
  <c r="F47" i="20" l="1"/>
  <c r="I134" i="22"/>
  <c r="I135" i="22" s="1"/>
  <c r="F48" i="20" s="1"/>
  <c r="H43" i="20"/>
  <c r="H48" i="20" l="1"/>
  <c r="I48" i="20" s="1"/>
  <c r="I117" i="22" l="1"/>
  <c r="F43" i="20" l="1"/>
  <c r="I43" i="20" s="1"/>
  <c r="H47" i="20" l="1"/>
  <c r="I47" i="20" l="1"/>
  <c r="I49" i="20" s="1"/>
  <c r="B18" i="21" l="1"/>
  <c r="G19" i="21" l="1"/>
  <c r="G21" i="21" s="1"/>
  <c r="D19" i="21"/>
  <c r="H42" i="20"/>
  <c r="I42" i="20" s="1"/>
  <c r="I44" i="20" s="1"/>
  <c r="B16" i="21" l="1"/>
  <c r="A6" i="22"/>
  <c r="A4" i="22"/>
  <c r="G17" i="21" l="1"/>
  <c r="D17" i="21"/>
  <c r="I15" i="22"/>
  <c r="C9" i="9"/>
  <c r="E10" i="9"/>
  <c r="C11" i="9"/>
  <c r="E12" i="9"/>
  <c r="G12" i="9" s="1"/>
  <c r="F12" i="9"/>
  <c r="C13" i="9"/>
  <c r="E14" i="9"/>
  <c r="G14" i="9" s="1"/>
  <c r="C15" i="9"/>
  <c r="E16" i="9"/>
  <c r="H14" i="9" l="1"/>
  <c r="I14" i="9"/>
  <c r="F14" i="9"/>
  <c r="F18" i="20"/>
  <c r="I18" i="20" s="1"/>
  <c r="I19" i="20" s="1"/>
  <c r="I52" i="20" s="1"/>
  <c r="H12" i="9"/>
  <c r="I16" i="9"/>
  <c r="H16" i="9"/>
  <c r="J16" i="9"/>
  <c r="J18" i="9" s="1"/>
  <c r="G16" i="9"/>
  <c r="G18" i="9" s="1"/>
  <c r="K10" i="9"/>
  <c r="K18" i="9" s="1"/>
  <c r="F10" i="9"/>
  <c r="F18" i="9" s="1"/>
  <c r="E18" i="9"/>
  <c r="E15" i="9" s="1"/>
  <c r="I18" i="9" l="1"/>
  <c r="I17" i="9" s="1"/>
  <c r="H18" i="9"/>
  <c r="H17" i="9" s="1"/>
  <c r="B8" i="21"/>
  <c r="B20" i="21" s="1"/>
  <c r="F17" i="9"/>
  <c r="K17" i="9"/>
  <c r="G17" i="9"/>
  <c r="E11" i="9"/>
  <c r="E13" i="9"/>
  <c r="E9" i="9"/>
  <c r="J17" i="9"/>
  <c r="E17" i="9" l="1"/>
  <c r="F4" i="21" l="1"/>
  <c r="G9" i="21" l="1"/>
  <c r="D9" i="21"/>
  <c r="D23" i="21" l="1"/>
  <c r="G23" i="21" s="1"/>
  <c r="D21" i="21"/>
</calcChain>
</file>

<file path=xl/sharedStrings.xml><?xml version="1.0" encoding="utf-8"?>
<sst xmlns="http://schemas.openxmlformats.org/spreadsheetml/2006/main" count="802" uniqueCount="324">
  <si>
    <t>ITEM</t>
  </si>
  <si>
    <t>CÓDIGO</t>
  </si>
  <si>
    <t>IIO-001</t>
  </si>
  <si>
    <t>DRE-001</t>
  </si>
  <si>
    <t>PREFEITURA MUNICIPAL DE LAGOA DOS PATOS</t>
  </si>
  <si>
    <t>LICITANTE: BIOTEC ENGENHARIA LTDA</t>
  </si>
  <si>
    <t>CNPJ: 04.717.646/0001-45</t>
  </si>
  <si>
    <t>CEP: 38.408-188 - BAIRRO SANTA MÔNICA</t>
  </si>
  <si>
    <t>CIDADE: UBERLÂNDIA/MG</t>
  </si>
  <si>
    <t>END.: AV. DR. JAIME RIBEIRO  LUZ, 971 Sl. 58 B/C</t>
  </si>
  <si>
    <t>OBRA: PAVIMENTAÇÃO ASFÁLTICA EM PMF, GUIAS E SARJETAS</t>
  </si>
  <si>
    <t>PROCEDIMENTO LICITATÓRIO 048/2014</t>
  </si>
  <si>
    <t>EDITAL: TOMADA DE PREÇO 005/2014</t>
  </si>
  <si>
    <t>DATA DA ABERTURA: 10/06/2014</t>
  </si>
  <si>
    <t>B.D.I. = 30,00  %</t>
  </si>
  <si>
    <t>FÍSICO/ FINANCEIRO</t>
  </si>
  <si>
    <t>TOTAL  ETAPAS</t>
  </si>
  <si>
    <t>MÊS 1</t>
  </si>
  <si>
    <t>MÊS 2</t>
  </si>
  <si>
    <t>MÊS 3</t>
  </si>
  <si>
    <t>MÊS 4</t>
  </si>
  <si>
    <t>Físico %</t>
  </si>
  <si>
    <t>Financeiro</t>
  </si>
  <si>
    <t>TOTAL</t>
  </si>
  <si>
    <t>Cronograma Físico-Financeiro</t>
  </si>
  <si>
    <t>MÊS 5</t>
  </si>
  <si>
    <t>MÊS 6</t>
  </si>
  <si>
    <t>TER-001</t>
  </si>
  <si>
    <t>TER-002</t>
  </si>
  <si>
    <t>ETAPAS        DESCRIÇÃO</t>
  </si>
  <si>
    <t>DESCRIÇÃO</t>
  </si>
  <si>
    <t>(    )</t>
  </si>
  <si>
    <t>DIRETA</t>
  </si>
  <si>
    <t>INDIRETA</t>
  </si>
  <si>
    <t>UNIDADE</t>
  </si>
  <si>
    <t>QUANTIDADE</t>
  </si>
  <si>
    <t>(  x  )</t>
  </si>
  <si>
    <t>FONTE</t>
  </si>
  <si>
    <t>VALOR TOTAL DA OBRA:</t>
  </si>
  <si>
    <t>CRONOGRAMA FÍSICO-FINANCEIRO</t>
  </si>
  <si>
    <t>Físico / Financeiro</t>
  </si>
  <si>
    <t>Mês 1</t>
  </si>
  <si>
    <t>ITEM:</t>
  </si>
  <si>
    <t>DESCRIÇÃO:</t>
  </si>
  <si>
    <t>CÓDIGO:</t>
  </si>
  <si>
    <t>Compr.</t>
  </si>
  <si>
    <t xml:space="preserve">FORMA DE EXECUÇÃO: </t>
  </si>
  <si>
    <t>FORMA DE EXECUÇÃO</t>
  </si>
  <si>
    <t>A N E X O   I I I - MODELO</t>
  </si>
  <si>
    <t>ETAPAS/DESCRIÇÃO</t>
  </si>
  <si>
    <t>Total Etapas</t>
  </si>
  <si>
    <t>1.0</t>
  </si>
  <si>
    <r>
      <t xml:space="preserve">PREFEITURA: </t>
    </r>
    <r>
      <rPr>
        <sz val="11"/>
        <rFont val="Arial"/>
        <family val="2"/>
      </rPr>
      <t>PREFEITURA MUNICIPAL DE BRASILIA DE MINAS /MG</t>
    </r>
  </si>
  <si>
    <t xml:space="preserve">________________________________________________________ </t>
  </si>
  <si>
    <t>_____________________________________________________</t>
  </si>
  <si>
    <t>_____________________________________________</t>
  </si>
  <si>
    <t xml:space="preserve">Prefeito Municipal                                                </t>
  </si>
  <si>
    <t xml:space="preserve">Prefeito Municipal                      </t>
  </si>
  <si>
    <t>Comprimento</t>
  </si>
  <si>
    <t xml:space="preserve">Marcus Vinicius Ferreira Carvalho </t>
  </si>
  <si>
    <t>Acumulado</t>
  </si>
  <si>
    <t>Marcus Vinicius Ferreira Carvalho</t>
  </si>
  <si>
    <t>Observação</t>
  </si>
  <si>
    <t>SUB -TOTAL</t>
  </si>
  <si>
    <t>OBRA:</t>
  </si>
  <si>
    <t>1.1</t>
  </si>
  <si>
    <t>SINAPI</t>
  </si>
  <si>
    <t>SINAPI-I</t>
  </si>
  <si>
    <t>PREÇO TOTAL COM DESCONTO</t>
  </si>
  <si>
    <t>PLANILHA DE ADITIVO DE ITENS</t>
  </si>
  <si>
    <t>H</t>
  </si>
  <si>
    <t>M2</t>
  </si>
  <si>
    <t xml:space="preserve"> COMPOSIÇÃO DE PREÇO UNITÁRIO</t>
  </si>
  <si>
    <t xml:space="preserve">OBRA:  </t>
  </si>
  <si>
    <t xml:space="preserve">DATA: </t>
  </si>
  <si>
    <t xml:space="preserve">SERVIÇO:  </t>
  </si>
  <si>
    <t>Referência:</t>
  </si>
  <si>
    <t>CPU.1</t>
  </si>
  <si>
    <t xml:space="preserve">UNIDADE: </t>
  </si>
  <si>
    <t>TIPO ITEM</t>
  </si>
  <si>
    <t>CODIGO ITEM</t>
  </si>
  <si>
    <t>DESCRIÇÃO ITEM</t>
  </si>
  <si>
    <t>UNIDADE ITEM</t>
  </si>
  <si>
    <t>COEFICIENTE</t>
  </si>
  <si>
    <t>PRECO UNITARIO</t>
  </si>
  <si>
    <t>CUSTO TOTAL</t>
  </si>
  <si>
    <t>PRODUÇÃO DA EQUIPE</t>
  </si>
  <si>
    <t xml:space="preserve">CUSTO </t>
  </si>
  <si>
    <t>BDI                %</t>
  </si>
  <si>
    <t>TOTAL DO SERVIÇO - R$</t>
  </si>
  <si>
    <t>L</t>
  </si>
  <si>
    <t>________________________________________________________________________</t>
  </si>
  <si>
    <t>PREFEITO MUNICIPAL</t>
  </si>
  <si>
    <t>MARCUS VINICIUS FERREIRA CARVALHO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</si>
  <si>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</si>
  <si>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</si>
  <si>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</si>
  <si>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r>
      <t xml:space="preserve">INC.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</si>
  <si>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</si>
  <si>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</si>
  <si>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(3)</t>
    </r>
  </si>
  <si>
    <r>
      <t xml:space="preserve">SERVIÇO TERCEIRIZADO </t>
    </r>
    <r>
      <rPr>
        <b/>
        <vertAlign val="superscript"/>
        <sz val="8"/>
        <color theme="0"/>
        <rFont val="Arial"/>
        <family val="2"/>
      </rPr>
      <t xml:space="preserve">(4)
 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</si>
  <si>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</si>
  <si>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</si>
  <si>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</si>
  <si>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</si>
  <si>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</si>
  <si>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</si>
  <si>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</si>
  <si>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</si>
  <si>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</si>
  <si>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</si>
  <si>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</si>
  <si>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</si>
  <si>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</si>
  <si>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</si>
  <si>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</si>
  <si>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</si>
  <si>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</si>
  <si>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</si>
  <si>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</si>
  <si>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</si>
  <si>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</si>
  <si>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</si>
  <si>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</si>
  <si>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</si>
  <si>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</si>
  <si>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</si>
  <si>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</si>
  <si>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</si>
  <si>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</si>
  <si>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SIGLA.</t>
    </r>
    <r>
      <rPr>
        <vertAlign val="superscript"/>
        <sz val="8"/>
        <rFont val="Arial"/>
        <family val="2"/>
      </rPr>
      <t xml:space="preserve">
(2) </t>
    </r>
    <r>
      <rPr>
        <sz val="8"/>
        <rFont val="Arial"/>
        <family val="2"/>
      </rPr>
      <t xml:space="preserve">QUANTO AO ISS O TCU ORIENTA OBSERVAR A LEGISLAÇÃO DO MUNICÍPIO. NO REFERIDO ACÓRDÃO O TCU PARTIU DA PREMISSA DE INCIDÊNCIA DO ISS EM 50%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CASOS DE FORNECIMENTO DE MATERIAIS E EQUIPAMENTOS. EX. ELEVADOR, ESCADAS ROLANTES, EQUIPAMENTOS DE REFRIGERAÇÃO ETC.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>INCIDÊNCIA.</t>
    </r>
  </si>
  <si>
    <t>DEMONSTRATIVO DO BDI - COM DESONERAÇÃO - OBRA RODOVIÁRIA</t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</si>
  <si>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</si>
  <si>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</si>
  <si>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</si>
  <si>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</si>
  <si>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</si>
  <si>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</si>
  <si>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>FORNECIMENTO E INSTALAÇÃO DE PLACA DE OBRA COM CHAPA GALVANIZADA E ESTRUTURA DE MADEIRA. AF_03/2022_PS</t>
  </si>
  <si>
    <t>SERVIÇOS PRELIMINARES</t>
  </si>
  <si>
    <t>Altura</t>
  </si>
  <si>
    <t>Área Total (m2)</t>
  </si>
  <si>
    <t>Volume Total (m3)</t>
  </si>
  <si>
    <t>LDI 29,46%</t>
  </si>
  <si>
    <t>(   )</t>
  </si>
  <si>
    <t>( x )</t>
  </si>
  <si>
    <t>MEMÓRIA DE CÁLCULO</t>
  </si>
  <si>
    <t>Placa de obra</t>
  </si>
  <si>
    <t xml:space="preserve">                           __________________________________________________ </t>
  </si>
  <si>
    <t>VALOR DA OBRA:</t>
  </si>
  <si>
    <t>CPU.2</t>
  </si>
  <si>
    <t>VASSOURA MECÂNICA REBOCÁVEL COM ESCOVA CILÍNDRICA, LARGURA ÚTIL DE VARRIMENTO DE 2,44 M - CHP DIURNO. AF_06/2014</t>
  </si>
  <si>
    <t>CHP</t>
  </si>
  <si>
    <t>VASSOURA MECÂNICA REBOCÁVEL COM ESCOVA CILÍNDRICA, LARGURA ÚTIL DE VARRIMENTO DE 2,44 M - CHI DIURNO. AF_06/2014</t>
  </si>
  <si>
    <t>CHI</t>
  </si>
  <si>
    <t>ESPARGIDOR DE ASFALTO PRESSURIZADO, TANQUE 6 M3 COM ISOLAÇÃO TÉRMICA, AQUECIDO COM 2 MAÇARICOS, COM BARRA ESPARGIDORA 3,60 M, MONTADO SOBRE CAMINHÃO  TOCO, PBT 14.300 KG, POTÊNCIA 185 CV - CHP DIURNO. AF_08/2015</t>
  </si>
  <si>
    <t>SETOP</t>
  </si>
  <si>
    <t>MATRO-
22869</t>
  </si>
  <si>
    <t>EMULSÃO ASFÁLTICA DE PETRÓLEO PARA SERVIÇO DE IMPRIMAÇÃO com ICMS 18 %</t>
  </si>
  <si>
    <t>ton</t>
  </si>
  <si>
    <t>AJUDANTE ESPECIALIZADO COM ENCARGOS COMPLEMENTARES</t>
  </si>
  <si>
    <t>TRATOR DE PNEUS, POTÊNCIA 85 CV, TRAÇÃO 4X4, PESO COM LASTRO DE 4.675 KG - CHP DIURNO. AF_06/2014</t>
  </si>
  <si>
    <t>TRATOR DE PNEUS, POTÊNCIA 85 CV, TRAÇÃO 4X4, PESO COM LASTRO DE 4.675 KG - CHI DIURNO. AF_06/2014</t>
  </si>
  <si>
    <t>ESPARGIDOR DE ASFALTO PRESSURIZADO, TANQUE 6 M3 COM ISOLAÇÃO TÉRMICA, AQUECIDO COM 2 MAÇARICOS, COM BARRA ESPARGIDORA 3,60 M, MONTADO SOBRE CAMINHÃO  TOCO, PBT 14.300 KG, POTÊNCIA 185 CV - CHI DIURNO. AF_08/2015</t>
  </si>
  <si>
    <t>CPU.3</t>
  </si>
  <si>
    <t>VASSOURA MECÂNICA REBOCÁVEL COM ESCOVA CILÍNDRICA, LARGURA ÚTIL DE VARRIMENTO DE
2,44 M - CHP DIURNO. AF_06/2014</t>
  </si>
  <si>
    <t>VASSOURA MECÂNICA REBOCÁVEL COM ESCOVA CILÍNDRICA, LARGURA ÚTIL DE VARRIMENTO DE
2,44 M - CHI DIURNO. AF_06/2014</t>
  </si>
  <si>
    <t>MATRO-10375</t>
  </si>
  <si>
    <t>EMULSÃO RR-2C com ICMS 18%</t>
  </si>
  <si>
    <t>t</t>
  </si>
  <si>
    <t>ESPARGIDOR DE ASFALTO PRESSURIZADO, TANQUE 6 M3 COM ISOLAÇÃO TÉRMICA, AQUECIDO
COM 2 MAÇARICOS, COM BARRA ESPARGIDORA 3,60 M, MONTADO SOBRE CAMINHÃO TOCO, PBT
14.300 KG, POTÊNCIA 185 CV - CHP DIURNO. AF_08/2015</t>
  </si>
  <si>
    <t>PINTURA DE LIGAÇÃO</t>
  </si>
  <si>
    <t>TRANSPORTE COM CAMINHÃO TANQUE DE TRANSPORTE DE MATERIAL ASFÁLTICO DE 30000 L, EM VIA URBANA PAVIMENTADA, ADICIONAL PARA DMT EXCEDENTE A 30 KM (UNIDADE: TXKM). AF_07/2020</t>
  </si>
  <si>
    <t>TXKM</t>
  </si>
  <si>
    <t>TRANSPORTE COM CAMINHÃO BASCULANTE DE 10 M³, EM VIA URBANA PAVIMENTADA, DMT ATÉ 30 KM (UNIDADE: M3XKM). AF_07/2020</t>
  </si>
  <si>
    <t>M3XKM</t>
  </si>
  <si>
    <t>EXECUÇÃO DE PAVIMENTO COM APLICAÇÃO DE CONCRETO ASFÁLTICO, CAMADA DE ROLAMENTO - EXCLUSIVE CARGA E TRANSPORTE. AF_11/2019</t>
  </si>
  <si>
    <t>M3</t>
  </si>
  <si>
    <t>M</t>
  </si>
  <si>
    <t>PLACA DE SINALIZACAO EM CHAPA DE ACO NUM 16 COM PINTURA REFLETIVA</t>
  </si>
  <si>
    <t xml:space="preserve">M2    </t>
  </si>
  <si>
    <t>TUBO ACO GALVANIZADO COM COSTURA, CLASSE LEVE, DN 50 MM ( 2"),  E = 3,00 MM,  *4,40* KG/M (NBR 5580)</t>
  </si>
  <si>
    <t xml:space="preserve">M     </t>
  </si>
  <si>
    <t>SERVENTE COM ENCARGOS COMPLEMENTARES</t>
  </si>
  <si>
    <t>CONCRETO FCK = 15MPA, TRAÇO 1:3,4:3,5 (EM MASSA SECA DE CIMENTO/ AREIA MÉDIA/ BRITA 1) - PREPARO MANUAL. AF_05/2021</t>
  </si>
  <si>
    <t>PINTURA COM TINTA ALQUÍDICA DE ACABAMENTO (ESMALTE SINTÉTICO ACETINADO) PULVERIZADA SOBRE SUPERFÍCIES METÁLICAS (EXCETO PERFIL) EXECUTADO EM OBRA (02 DEMÃOS). AF_01/2020_PE</t>
  </si>
  <si>
    <t>PINTURA COM TINTA ALQUÍDICA DE FUNDO (TIPO ZARCÃO) PULVERIZADA SOBRE SUPERFÍCIES METÁLICAS (EXCETO PERFIL) EXECUTADO EM OBRA (POR DEMÃO). AF_01/2020_PE</t>
  </si>
  <si>
    <t>CPU.4</t>
  </si>
  <si>
    <t>UN</t>
  </si>
  <si>
    <t>2.0</t>
  </si>
  <si>
    <t>2.1</t>
  </si>
  <si>
    <t>2.2</t>
  </si>
  <si>
    <t>3.0</t>
  </si>
  <si>
    <t>3.1</t>
  </si>
  <si>
    <t>3.2</t>
  </si>
  <si>
    <t>4.0</t>
  </si>
  <si>
    <t>4.1</t>
  </si>
  <si>
    <t>5.0</t>
  </si>
  <si>
    <t>5.1</t>
  </si>
  <si>
    <t>5.2</t>
  </si>
  <si>
    <t>6.0</t>
  </si>
  <si>
    <t>6.1</t>
  </si>
  <si>
    <t>Espessura</t>
  </si>
  <si>
    <t>Área</t>
  </si>
  <si>
    <t>DMT</t>
  </si>
  <si>
    <t>RR-2C (T/m²)</t>
  </si>
  <si>
    <t>EXECUÇÃO DE PINTURA DE LIGAÇÃO COM EMULSÃO ASFÁLTICA RR-2C.</t>
  </si>
  <si>
    <t>Volume</t>
  </si>
  <si>
    <t>CBUQ (m³/Km)</t>
  </si>
  <si>
    <t>Transporte (TxKM)</t>
  </si>
  <si>
    <t>Repetições</t>
  </si>
  <si>
    <t>Refinaria Gabriel Passos até Brasília de Minas</t>
  </si>
  <si>
    <t>Usina de Asfalto até local da obra</t>
  </si>
  <si>
    <t>CPU.5</t>
  </si>
  <si>
    <t>Mês 2</t>
  </si>
  <si>
    <t>DEMONSTRATIVO DE BDI
COM DESONERAÇÃO</t>
  </si>
  <si>
    <t>______________________________________________</t>
  </si>
  <si>
    <t>CREA/MG 199.432/D</t>
  </si>
  <si>
    <t>Aldir Moreira Filho</t>
  </si>
  <si>
    <t>PLACA DE TRÂNSITO SINALIZAÇÃO VERTICAL, CHAPA N°16, SEMI-REFLEXIVA, TIPO R-01 PARADA OBRIGATÓRIA (FORMA OCTOGONAL, DIMENSÃO DO LADO 250MM), INCLUINDO TUBO AÇO GALVANIZADO COM COSTURA NBR 5580 CLASSE LEVE DN 50MM, E=3,00MM - 4,40KG/M (COMPRIMENTO 3,00M) E INSTALAÇÃO</t>
  </si>
  <si>
    <t>Incluindo material das lombadas</t>
  </si>
  <si>
    <t>RECAPEAMENTO ASFÁLTICO EM DIVERSAS RUAS NO MUNICÍPIO DE BRASÍLIA DE MINAS/MG</t>
  </si>
  <si>
    <t>IMPRIMAÇÃO</t>
  </si>
  <si>
    <t>Comp. Total (m)</t>
  </si>
  <si>
    <t>PLACA ESMALTADA PARA IDENTIFICAÇÃO DE NOME DE RUA, DIMENSÕES 45X25CM (DUAS PLACAS POR ESQUINA), INCLUINDO TUBO AÇO GALVANIZADO COM COSTURA NBR 5580 CLASSE LEVE DN 50MM, E=3,00MM - 4,40KG/M (COMPRIMENTO 3,00M) E INSTALAÇÃO</t>
  </si>
  <si>
    <t>PLACA DE TRÂNSITO SINALIZAÇÃO VERTICAL, CHAPA N°16, SEMI-REFLEXIVA, TIPO A-18 SALIÊNCIA OU LOMBADA OU TIPO A-32B PASSAGEM SINALIZADA DE PEDESTRES (FORMA QUADRADA, DIMENSÃO DO LADO 600MM), INCLUINDO TUBO AÇO GALVANIZADO COM COSTURA NBR 5580 CLASSE LEVE DN 50MM, E=3,00MM - 4,40KG/M (COMPRIMENTO 3,00M) E INSTALAÇÃO</t>
  </si>
  <si>
    <t>4.2</t>
  </si>
  <si>
    <t>CARGA, MANOBRA E DESCARGA DE SOLOS E MATERIAIS GRANULARES EM CAMINHÃO BASCULANTE 10 M³ - CARGA COM PÁ CARREGADEIRA (CAÇAMBA DE 1,7 A 2,8 M³ / 128 HP) E DESCARGA LIVRE (UNIDADE: M3). AF_07/2020</t>
  </si>
  <si>
    <t>TRANSPORTE COM CAMINHÃO BASCULANTE DE 18 M³, EM VIA URBANA EM REVESTIMENTO PRIMÁRIO (UNIDADE: M3XKM). AF_07/2020</t>
  </si>
  <si>
    <t>REGULARIZAÇÃO E COMPACTAÇÃO DE SUBLEITO DE SOLO PREDOMINANTEMENTE ARENOSO. AF_11/2019</t>
  </si>
  <si>
    <t>Área Total (m²)</t>
  </si>
  <si>
    <r>
      <t xml:space="preserve">ISS DO MUNICÍPIO: </t>
    </r>
    <r>
      <rPr>
        <sz val="11"/>
        <rFont val="Arial"/>
        <family val="2"/>
      </rPr>
      <t>3%</t>
    </r>
  </si>
  <si>
    <r>
      <t xml:space="preserve">PRAZO PRAZO DE EXECUÇÃO: </t>
    </r>
    <r>
      <rPr>
        <sz val="11"/>
        <rFont val="Arial"/>
        <family val="2"/>
      </rPr>
      <t>60 DIAS</t>
    </r>
  </si>
  <si>
    <t>CPU.6</t>
  </si>
  <si>
    <t>DEMOLIÇÃO DE GUIAS, SARJETAS OU SARJETÕES, DE FORMA MECANIZADA, SEM REAPROVEITAMENTO. AF_09/2023</t>
  </si>
  <si>
    <t>DEMOLIÇÃO DE PISO DE CONCRETO SIMPLES, DE FORMA MANUAL, SEM REAPROVEITAMENTO. AF_09/2023</t>
  </si>
  <si>
    <t>ESCAVAÇÃO MANUAL DE VALA COM PROFUNDIDADE MENOR OU IGUAL A 1,30 M. AF_02/2021</t>
  </si>
  <si>
    <t>CONCRETO FCK = 25MPA, TRAÇO 1:2,3:2,7 (EM MASSA SECA DE CIMENTO/ AREIA MÉDIA/ BRITA 1) - PREPARO MECÂNICO COM BETONEIRA 600 L. AF_05/2021</t>
  </si>
  <si>
    <t>PEDREIRO COM ENCARGOS COMPLEMENTARES</t>
  </si>
  <si>
    <t>PINTURA DE PISO COM TINTA ACRÍLICA, APLICAÇÃO MANUAL, 2 DEMÃOS, INCLUSO FUNDO PREPARADOR. AF_05/2021</t>
  </si>
  <si>
    <t>PISO PODOTÁTIL DE ALERTA OU DIRECIONAL, DE CONCRETO, ASSENTADO SOBRE ARGAMASSA. AF_05/2023</t>
  </si>
  <si>
    <t>REMOÇÃO E REASSENTAMENTO DE PLACA DE ESTACIONAMENTO EXCLUSIVO PARA DEFICIENTES FÍSICOS</t>
  </si>
  <si>
    <t>CPU.7</t>
  </si>
  <si>
    <t>ATERRO MANUAL DE VALAS COM SOLO ARGILO-ARENOSO. AF_08/2023</t>
  </si>
  <si>
    <t>PISO EM CONCRETO 20 MPA PREPARO MECÂNICO, ESPESSURA 7CM. AF_09/2020</t>
  </si>
  <si>
    <t>RAMPA PARA ACESSO DE DEFICIENTE, EM CONCRETO SIMPLES FCK = 25 MPA, DESEMPENADA, COM PINTURA INDICATIVA, 02 DEMÃOS</t>
  </si>
  <si>
    <t>CPU.8</t>
  </si>
  <si>
    <t>ENGENHEIRO CIVIL DE OBRA PLENO COM ENCARGOS COMPLEMENTARES</t>
  </si>
  <si>
    <t>MESTRE DE OBRAS COM ENCARGOS COMPLEMENTARES</t>
  </si>
  <si>
    <t>BDI:</t>
  </si>
  <si>
    <t>ADMINISTRAÇÃO LOCAL</t>
  </si>
  <si>
    <t>PREÇO UNITÁRIO S/ BDI</t>
  </si>
  <si>
    <t>PREÇO UNITÁRIO C/ BDI</t>
  </si>
  <si>
    <r>
      <t xml:space="preserve">PRAZO DA OBRA: </t>
    </r>
    <r>
      <rPr>
        <sz val="11"/>
        <rFont val="Arial"/>
        <family val="2"/>
      </rPr>
      <t>60 DIAS</t>
    </r>
  </si>
  <si>
    <t>EXECUÇÃO DE IMPRIMAÇÃO COM ASFALTO DILUÍDO.</t>
  </si>
  <si>
    <t>6.2</t>
  </si>
  <si>
    <t>TERRAPLANAGEM</t>
  </si>
  <si>
    <r>
      <t xml:space="preserve">REGIÃO/MÊS DE REFERÊNCIA: </t>
    </r>
    <r>
      <rPr>
        <sz val="11"/>
        <rFont val="Arial"/>
        <family val="2"/>
      </rPr>
      <t>SINAPI - 05/2024 DESONERADO</t>
    </r>
  </si>
  <si>
    <t>101116</t>
  </si>
  <si>
    <t>ESCAVAÇÃO HORIZONTAL EM SOLO DE 1A CATEGORIA COM TRATOR DE ESTEIRAS (170HP/LÂMINA: 5,20M3). AF_07/2020</t>
  </si>
  <si>
    <t>2,29</t>
  </si>
  <si>
    <t>100974</t>
  </si>
  <si>
    <t>8,62</t>
  </si>
  <si>
    <t>95426</t>
  </si>
  <si>
    <t>2,00</t>
  </si>
  <si>
    <t>100577</t>
  </si>
  <si>
    <t>1,17</t>
  </si>
  <si>
    <t>EXECUÇÃO E COMPACTAÇÃO DE BASE E OU SUB BASE PARA PAVIMENTAÇÃO DE BRITA GRADUADA SIMPLES - EXCLUSIVE CARGA E TRANSPORTE. AF_11/2019</t>
  </si>
  <si>
    <t>96396</t>
  </si>
  <si>
    <t>214,23</t>
  </si>
  <si>
    <t>94267</t>
  </si>
  <si>
    <t>GUIA (MEIO-FIO) E SARJETA CONJUGADOS DE CONCRETO, MOLDADA  IN LOCO  EM TRECHO RETO COM EXTRUSORA, 45 CM BASE (15 CM BASE DA GUIA + 30 CM BASE DA SARJETA) X 22 CM ALTURA. AF_01/2024</t>
  </si>
  <si>
    <t>56,46</t>
  </si>
  <si>
    <t>MEIO-FIO E SARJETA</t>
  </si>
  <si>
    <t>Escavação da jazida (material para base)</t>
  </si>
  <si>
    <t>JAZIDA</t>
  </si>
  <si>
    <t>Volume Total (m³)</t>
  </si>
  <si>
    <t>M³ X KM</t>
  </si>
  <si>
    <t>90781</t>
  </si>
  <si>
    <t>TOPOGRAFO COM ENCARGOS COMPLEMENTARES</t>
  </si>
  <si>
    <t xml:space="preserve">LOCACAO DE TEODOLITO ELETRONICO, PRECISAO ANGULAR DE 5 A 7 SEGUNDOS, INCLUINDO TRIPE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</si>
  <si>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ACO CA-50, 6,3 MM, VERGALHAO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</si>
  <si>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88253</t>
  </si>
  <si>
    <t>AUXILIAR DE TOPÓGRAFO COM ENCARGOS COMPLEMENTARES</t>
  </si>
  <si>
    <t>CPU.9</t>
  </si>
  <si>
    <t>LOCAÇÃO DE PAVIMENTAÇÃO</t>
  </si>
  <si>
    <t>Comprimento (m)</t>
  </si>
  <si>
    <t>KG</t>
  </si>
  <si>
    <t>2.3</t>
  </si>
  <si>
    <t>BOTA FORA (SOMATÓRIO DOS VOLUMES FORA A JAZIDA)</t>
  </si>
  <si>
    <t>DATA BASE:</t>
  </si>
  <si>
    <t>01/05/2024 SINAPI</t>
  </si>
  <si>
    <t>BRASÍLIA DE MINAS- MG</t>
  </si>
  <si>
    <t>Rua Edgar Pereira</t>
  </si>
  <si>
    <t>RUA EDGAR PEREIRA</t>
  </si>
  <si>
    <t>PAVIMENTAÇÃO ASFÁLTICA EM DIVERSAS RUAS DO MUNICÍPIO DE BRASÍLIA DE MINAS/MG</t>
  </si>
  <si>
    <t xml:space="preserve">LOCAL:     Rua Edgar Pereira, Rua </t>
  </si>
  <si>
    <t>2.4</t>
  </si>
  <si>
    <t>2.5</t>
  </si>
  <si>
    <t>2.6</t>
  </si>
  <si>
    <t>DATA: 24/09/2026</t>
  </si>
  <si>
    <t>PAVIMENTAÇÃO ASFÁLTICO TIPO CBUQ</t>
  </si>
  <si>
    <t>24 de setembro 2026.</t>
  </si>
  <si>
    <t>GUIA DE MEIO-FIO, EM CONCRETO COM FCK 20MPA, PRÉ-MOLDADA, MFC-01 PADRÃO DER-MG, DIMENSÕES (12X16,7X35)CM, EXCLUSIVE SARJETA, INCLUSIVE ESCAVAÇÃO, APILOAMENTO E TRANSPORTE COM RETIRADA DO MATERIAL ESCAVADO (EM CAÇAMBA)</t>
  </si>
  <si>
    <t>ED-51139</t>
  </si>
  <si>
    <t>SEINFRA</t>
  </si>
  <si>
    <t>CORDÃO DE TRAVAMENTO</t>
  </si>
  <si>
    <t xml:space="preserve">                                                            CREA/MG 199.844/D</t>
  </si>
  <si>
    <t xml:space="preserve">                             Luan Gonçalves Matos</t>
  </si>
  <si>
    <t>LUAN GONÇALVES MATOS</t>
  </si>
  <si>
    <t xml:space="preserve"> CREA/MG 199.844D</t>
  </si>
  <si>
    <r>
      <t xml:space="preserve">OBRA: </t>
    </r>
    <r>
      <rPr>
        <sz val="11"/>
        <rFont val="Arial"/>
        <family val="2"/>
      </rPr>
      <t>PAVIMENTAÇÃO ASFÁLTICO EM DIVERSAS RUAS DO MUNICÍPIO DE BRASÍLIA DE MINAS/MG</t>
    </r>
  </si>
  <si>
    <r>
      <t xml:space="preserve">LOCAL: </t>
    </r>
    <r>
      <rPr>
        <sz val="11"/>
        <rFont val="Arial"/>
        <family val="2"/>
      </rPr>
      <t>RUA TV. JOAQUIM RODRIGUE; RUA EDGAR PEREIRA</t>
    </r>
  </si>
  <si>
    <r>
      <t>DATA: 24</t>
    </r>
    <r>
      <rPr>
        <sz val="11"/>
        <rFont val="Arial"/>
        <family val="2"/>
      </rPr>
      <t xml:space="preserve"> DE SETEMBRO 2026</t>
    </r>
  </si>
  <si>
    <t xml:space="preserve">LUAN GONÇALVES MATOS </t>
  </si>
  <si>
    <t>ENG. CIVIL- CREA 199.844/D</t>
  </si>
  <si>
    <t>Escavação da TV. JOAQUIM RODRIGUES/ RUA UM (inclusive área de meio fio e sarjeta)</t>
  </si>
  <si>
    <t>TV. JOAQUIM RODRIGUES E CONTINUAÇÃO RUA RUM</t>
  </si>
  <si>
    <t>RUA TV. JOAQUIM RODRIGUES/ CONTINUAÇÃO RUA UM</t>
  </si>
  <si>
    <t xml:space="preserve">Luan Gonçalves Matos                                                      </t>
  </si>
  <si>
    <t xml:space="preserve"> CREA/MG 199.844/D</t>
  </si>
  <si>
    <t>Luan Gonçalves Matos</t>
  </si>
  <si>
    <t>CREA/MG 199.844/D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</si>
</sst>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_(* #,##0.000_);_(* \(#,##0.000\);_(* &quot;-&quot;??_);_(@_)"/>
    <numFmt numFmtId="168" formatCode="&quot;R$&quot;\ #,##0.00"/>
    <numFmt numFmtId="169" formatCode="&quot;R$ &quot;#,##0.00"/>
    <numFmt numFmtId="170" formatCode="_-* #,##0.00_-;\-* #,##0.00_-;_-* \-??_-;_-@_-"/>
    <numFmt numFmtId="171" formatCode="[$-416]mmm\-yy;@"/>
    <numFmt numFmtId="172" formatCode="#,##0.0000"/>
    <numFmt numFmtId="173" formatCode="0.000%"/>
    <numFmt numFmtId="174" formatCode="0.000"/>
    <numFmt numFmtId="175" formatCode="0.0000"/>
    <numFmt numFmtId="176" formatCode="0.00000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6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rgb="FF010000"/>
      <name val="Arial"/>
      <family val="2"/>
    </font>
    <font>
      <sz val="8"/>
      <color rgb="FF010000"/>
      <name val="Century Gothic"/>
      <family val="2"/>
    </font>
    <font>
      <b/>
      <sz val="11"/>
      <color theme="1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Courier New"/>
      <family val="3"/>
    </font>
    <font>
      <sz val="8"/>
      <name val="Times New Roman"/>
      <family val="1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3"/>
      <name val="Arial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b/>
      <sz val="11"/>
      <name val="Times New Roman"/>
      <family val="1"/>
    </font>
    <font>
      <sz val="10"/>
      <name val="Arial"/>
    </font>
    <font>
      <sz val="8"/>
      <color rgb="FF010000"/>
      <name val="Courier New"/>
      <family val="3"/>
    </font>
    <font>
      <b/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32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7" fillId="13" borderId="1" applyNumberFormat="0" applyAlignment="0" applyProtection="0"/>
    <xf numFmtId="0" fontId="17" fillId="13" borderId="1" applyNumberFormat="0" applyAlignment="0" applyProtection="0"/>
    <xf numFmtId="0" fontId="10" fillId="14" borderId="2" applyNumberFormat="0" applyAlignment="0" applyProtection="0"/>
    <xf numFmtId="0" fontId="10" fillId="14" borderId="2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11" fillId="9" borderId="1" applyNumberFormat="0" applyAlignment="0" applyProtection="0"/>
    <xf numFmtId="0" fontId="11" fillId="9" borderId="1" applyNumberFormat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3" fillId="0" borderId="0"/>
    <xf numFmtId="0" fontId="6" fillId="5" borderId="4" applyNumberFormat="0" applyFont="0" applyAlignment="0" applyProtection="0"/>
    <xf numFmtId="0" fontId="6" fillId="5" borderId="4" applyNumberFormat="0" applyFont="0" applyAlignment="0" applyProtection="0"/>
    <xf numFmtId="0" fontId="6" fillId="5" borderId="4" applyNumberFormat="0" applyFont="0" applyAlignment="0" applyProtection="0"/>
    <xf numFmtId="9" fontId="3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" fillId="13" borderId="5" applyNumberFormat="0" applyAlignment="0" applyProtection="0"/>
    <xf numFmtId="0" fontId="13" fillId="13" borderId="5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166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165" fontId="3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8" fillId="0" borderId="0"/>
    <xf numFmtId="170" fontId="38" fillId="0" borderId="0"/>
    <xf numFmtId="44" fontId="37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3" fontId="3" fillId="0" borderId="0"/>
    <xf numFmtId="44" fontId="54" fillId="0" borderId="0" applyFont="0" applyFill="0" applyBorder="0" applyAlignment="0" applyProtection="0"/>
  </cellStyleXfs>
  <cellXfs count="479">
    <xf numFmtId="0" fontId="0" fillId="0" borderId="0" xfId="0"/>
    <xf numFmtId="0" fontId="27" fillId="0" borderId="0" xfId="0" applyFont="1"/>
    <xf numFmtId="0" fontId="5" fillId="18" borderId="10" xfId="0" applyFont="1" applyFill="1" applyBorder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0" fillId="18" borderId="0" xfId="0" applyFill="1"/>
    <xf numFmtId="0" fontId="0" fillId="18" borderId="0" xfId="0" applyFill="1" applyAlignment="1">
      <alignment wrapText="1"/>
    </xf>
    <xf numFmtId="0" fontId="24" fillId="0" borderId="0" xfId="0" applyFont="1"/>
    <xf numFmtId="0" fontId="24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25" fillId="18" borderId="10" xfId="0" applyFont="1" applyFill="1" applyBorder="1" applyAlignment="1">
      <alignment horizontal="center" vertical="center"/>
    </xf>
    <xf numFmtId="0" fontId="25" fillId="18" borderId="10" xfId="0" applyFont="1" applyFill="1" applyBorder="1" applyAlignment="1">
      <alignment horizontal="center" vertical="center" wrapText="1"/>
    </xf>
    <xf numFmtId="49" fontId="26" fillId="18" borderId="10" xfId="0" applyNumberFormat="1" applyFont="1" applyFill="1" applyBorder="1" applyAlignment="1">
      <alignment horizontal="center" vertical="center" wrapText="1"/>
    </xf>
    <xf numFmtId="10" fontId="25" fillId="18" borderId="10" xfId="0" applyNumberFormat="1" applyFont="1" applyFill="1" applyBorder="1" applyAlignment="1">
      <alignment horizontal="center" vertical="center" wrapText="1"/>
    </xf>
    <xf numFmtId="10" fontId="25" fillId="18" borderId="10" xfId="110" applyNumberFormat="1" applyFont="1" applyFill="1" applyBorder="1" applyAlignment="1">
      <alignment horizontal="center" vertical="center" wrapText="1"/>
    </xf>
    <xf numFmtId="4" fontId="26" fillId="18" borderId="10" xfId="0" applyNumberFormat="1" applyFont="1" applyFill="1" applyBorder="1" applyAlignment="1">
      <alignment horizontal="center" vertical="center" wrapText="1"/>
    </xf>
    <xf numFmtId="10" fontId="25" fillId="18" borderId="10" xfId="77" applyNumberFormat="1" applyFont="1" applyFill="1" applyBorder="1" applyAlignment="1">
      <alignment horizontal="center" vertical="center" wrapText="1"/>
    </xf>
    <xf numFmtId="169" fontId="26" fillId="18" borderId="10" xfId="0" applyNumberFormat="1" applyFont="1" applyFill="1" applyBorder="1" applyAlignment="1">
      <alignment horizontal="center" vertical="center" wrapText="1"/>
    </xf>
    <xf numFmtId="49" fontId="25" fillId="18" borderId="10" xfId="0" applyNumberFormat="1" applyFont="1" applyFill="1" applyBorder="1" applyAlignment="1">
      <alignment horizontal="center" vertical="center" wrapText="1"/>
    </xf>
    <xf numFmtId="4" fontId="25" fillId="18" borderId="10" xfId="0" applyNumberFormat="1" applyFont="1" applyFill="1" applyBorder="1" applyAlignment="1">
      <alignment horizontal="center" vertical="center" wrapText="1"/>
    </xf>
    <xf numFmtId="0" fontId="27" fillId="18" borderId="0" xfId="0" applyFont="1" applyFill="1"/>
    <xf numFmtId="10" fontId="27" fillId="18" borderId="0" xfId="0" applyNumberFormat="1" applyFont="1" applyFill="1"/>
    <xf numFmtId="4" fontId="27" fillId="18" borderId="0" xfId="0" applyNumberFormat="1" applyFont="1" applyFill="1"/>
    <xf numFmtId="0" fontId="27" fillId="18" borderId="0" xfId="0" applyFont="1" applyFill="1" applyAlignment="1">
      <alignment wrapText="1"/>
    </xf>
    <xf numFmtId="0" fontId="5" fillId="18" borderId="10" xfId="0" applyFont="1" applyFill="1" applyBorder="1" applyAlignment="1">
      <alignment horizontal="center" vertical="justify"/>
    </xf>
    <xf numFmtId="0" fontId="33" fillId="0" borderId="0" xfId="69" applyFont="1"/>
    <xf numFmtId="4" fontId="26" fillId="0" borderId="10" xfId="0" applyNumberFormat="1" applyFont="1" applyBorder="1" applyAlignment="1">
      <alignment horizontal="center" vertical="center"/>
    </xf>
    <xf numFmtId="0" fontId="26" fillId="19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wrapText="1"/>
    </xf>
    <xf numFmtId="0" fontId="25" fillId="0" borderId="10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6" fillId="22" borderId="0" xfId="0" applyFont="1" applyFill="1" applyAlignment="1">
      <alignment vertical="center"/>
    </xf>
    <xf numFmtId="0" fontId="26" fillId="0" borderId="0" xfId="0" applyFont="1"/>
    <xf numFmtId="0" fontId="25" fillId="23" borderId="10" xfId="0" applyFont="1" applyFill="1" applyBorder="1"/>
    <xf numFmtId="0" fontId="26" fillId="23" borderId="10" xfId="0" applyFont="1" applyFill="1" applyBorder="1"/>
    <xf numFmtId="0" fontId="26" fillId="23" borderId="10" xfId="0" applyFont="1" applyFill="1" applyBorder="1" applyAlignment="1">
      <alignment horizontal="center"/>
    </xf>
    <xf numFmtId="2" fontId="26" fillId="22" borderId="10" xfId="0" applyNumberFormat="1" applyFont="1" applyFill="1" applyBorder="1" applyAlignment="1">
      <alignment horizontal="center"/>
    </xf>
    <xf numFmtId="4" fontId="25" fillId="24" borderId="10" xfId="0" applyNumberFormat="1" applyFont="1" applyFill="1" applyBorder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6" fillId="23" borderId="0" xfId="0" applyFont="1" applyFill="1" applyAlignment="1">
      <alignment vertical="center"/>
    </xf>
    <xf numFmtId="0" fontId="25" fillId="0" borderId="10" xfId="0" applyFont="1" applyBorder="1" applyAlignment="1">
      <alignment horizontal="left" vertical="center"/>
    </xf>
    <xf numFmtId="0" fontId="25" fillId="0" borderId="10" xfId="0" applyFont="1" applyBorder="1" applyAlignment="1">
      <alignment vertical="center"/>
    </xf>
    <xf numFmtId="0" fontId="25" fillId="23" borderId="10" xfId="0" applyFont="1" applyFill="1" applyBorder="1" applyAlignment="1">
      <alignment horizontal="center" vertical="center" wrapText="1"/>
    </xf>
    <xf numFmtId="49" fontId="25" fillId="23" borderId="10" xfId="0" applyNumberFormat="1" applyFont="1" applyFill="1" applyBorder="1" applyAlignment="1">
      <alignment horizontal="center" vertical="center" wrapText="1"/>
    </xf>
    <xf numFmtId="0" fontId="25" fillId="23" borderId="10" xfId="0" applyFont="1" applyFill="1" applyBorder="1" applyAlignment="1">
      <alignment vertical="center" wrapText="1"/>
    </xf>
    <xf numFmtId="10" fontId="0" fillId="0" borderId="0" xfId="76" applyNumberFormat="1" applyFont="1"/>
    <xf numFmtId="0" fontId="34" fillId="0" borderId="10" xfId="0" applyFont="1" applyBorder="1" applyAlignment="1">
      <alignment horizontal="center" vertical="center" wrapText="1"/>
    </xf>
    <xf numFmtId="4" fontId="26" fillId="22" borderId="10" xfId="0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2" fontId="35" fillId="0" borderId="0" xfId="0" applyNumberFormat="1" applyFont="1" applyAlignment="1">
      <alignment horizontal="right" vertical="center" wrapText="1"/>
    </xf>
    <xf numFmtId="49" fontId="25" fillId="22" borderId="0" xfId="0" applyNumberFormat="1" applyFont="1" applyFill="1" applyAlignment="1">
      <alignment horizontal="center" vertical="center" wrapText="1"/>
    </xf>
    <xf numFmtId="0" fontId="26" fillId="0" borderId="0" xfId="67" applyFont="1" applyAlignment="1">
      <alignment horizontal="center" vertical="center" wrapText="1"/>
    </xf>
    <xf numFmtId="2" fontId="26" fillId="0" borderId="0" xfId="0" applyNumberFormat="1" applyFont="1" applyAlignment="1">
      <alignment horizontal="right" vertical="center"/>
    </xf>
    <xf numFmtId="4" fontId="26" fillId="22" borderId="0" xfId="0" applyNumberFormat="1" applyFont="1" applyFill="1" applyAlignment="1">
      <alignment horizontal="right" vertical="center" wrapText="1"/>
    </xf>
    <xf numFmtId="168" fontId="26" fillId="0" borderId="0" xfId="0" applyNumberFormat="1" applyFont="1" applyAlignment="1">
      <alignment vertical="center"/>
    </xf>
    <xf numFmtId="4" fontId="26" fillId="22" borderId="0" xfId="0" applyNumberFormat="1" applyFont="1" applyFill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34" fillId="0" borderId="10" xfId="0" applyFont="1" applyBorder="1" applyAlignment="1">
      <alignment horizontal="left" vertical="center" wrapText="1"/>
    </xf>
    <xf numFmtId="0" fontId="26" fillId="23" borderId="10" xfId="0" applyFont="1" applyFill="1" applyBorder="1" applyAlignment="1">
      <alignment horizontal="left" vertical="center" wrapText="1"/>
    </xf>
    <xf numFmtId="2" fontId="34" fillId="0" borderId="10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right" vertical="center"/>
    </xf>
    <xf numFmtId="0" fontId="25" fillId="0" borderId="14" xfId="66" applyFont="1" applyBorder="1" applyAlignment="1">
      <alignment horizontal="center" vertical="center"/>
    </xf>
    <xf numFmtId="0" fontId="25" fillId="0" borderId="14" xfId="66" applyFont="1" applyBorder="1" applyAlignment="1">
      <alignment horizontal="left" vertical="center" wrapText="1"/>
    </xf>
    <xf numFmtId="0" fontId="25" fillId="20" borderId="10" xfId="0" applyFont="1" applyFill="1" applyBorder="1" applyAlignment="1">
      <alignment horizontal="center" vertical="center"/>
    </xf>
    <xf numFmtId="0" fontId="25" fillId="0" borderId="14" xfId="66" applyFont="1" applyBorder="1" applyAlignment="1">
      <alignment horizontal="left" vertical="center"/>
    </xf>
    <xf numFmtId="10" fontId="25" fillId="0" borderId="14" xfId="77" applyNumberFormat="1" applyFont="1" applyFill="1" applyBorder="1" applyAlignment="1">
      <alignment horizontal="center" vertical="center"/>
    </xf>
    <xf numFmtId="0" fontId="26" fillId="0" borderId="14" xfId="0" applyFont="1" applyBorder="1"/>
    <xf numFmtId="0" fontId="0" fillId="0" borderId="25" xfId="0" applyBorder="1"/>
    <xf numFmtId="0" fontId="0" fillId="0" borderId="30" xfId="0" applyBorder="1"/>
    <xf numFmtId="0" fontId="25" fillId="0" borderId="31" xfId="0" applyFont="1" applyBorder="1" applyAlignment="1">
      <alignment horizontal="center" vertical="center"/>
    </xf>
    <xf numFmtId="17" fontId="25" fillId="0" borderId="32" xfId="0" applyNumberFormat="1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5" fillId="0" borderId="32" xfId="0" applyFont="1" applyBorder="1" applyAlignment="1">
      <alignment horizontal="center" vertical="center"/>
    </xf>
    <xf numFmtId="10" fontId="26" fillId="0" borderId="32" xfId="76" applyNumberFormat="1" applyFont="1" applyFill="1" applyBorder="1" applyAlignment="1">
      <alignment horizontal="center" vertical="center"/>
    </xf>
    <xf numFmtId="0" fontId="25" fillId="0" borderId="32" xfId="0" applyFont="1" applyBorder="1" applyAlignment="1">
      <alignment horizontal="center" vertical="center" wrapText="1"/>
    </xf>
    <xf numFmtId="0" fontId="25" fillId="23" borderId="31" xfId="0" applyFont="1" applyFill="1" applyBorder="1" applyAlignment="1">
      <alignment horizontal="center" vertical="center" wrapText="1"/>
    </xf>
    <xf numFmtId="0" fontId="25" fillId="23" borderId="32" xfId="0" applyFont="1" applyFill="1" applyBorder="1" applyAlignment="1">
      <alignment vertical="center" wrapText="1"/>
    </xf>
    <xf numFmtId="0" fontId="26" fillId="0" borderId="31" xfId="0" applyFont="1" applyBorder="1" applyAlignment="1">
      <alignment horizontal="center" vertical="center" wrapText="1"/>
    </xf>
    <xf numFmtId="4" fontId="26" fillId="22" borderId="32" xfId="0" applyNumberFormat="1" applyFont="1" applyFill="1" applyBorder="1" applyAlignment="1">
      <alignment horizontal="center" vertical="center" wrapText="1"/>
    </xf>
    <xf numFmtId="168" fontId="25" fillId="23" borderId="32" xfId="0" applyNumberFormat="1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vertical="center" wrapText="1"/>
    </xf>
    <xf numFmtId="0" fontId="26" fillId="0" borderId="30" xfId="0" applyFont="1" applyBorder="1" applyAlignment="1">
      <alignment vertical="center" wrapText="1"/>
    </xf>
    <xf numFmtId="0" fontId="26" fillId="0" borderId="27" xfId="0" applyFont="1" applyBorder="1" applyAlignment="1">
      <alignment vertical="center"/>
    </xf>
    <xf numFmtId="0" fontId="26" fillId="0" borderId="28" xfId="0" applyFont="1" applyBorder="1" applyAlignment="1">
      <alignment vertical="center"/>
    </xf>
    <xf numFmtId="0" fontId="26" fillId="0" borderId="28" xfId="0" applyFont="1" applyBorder="1" applyAlignment="1">
      <alignment horizontal="center" vertical="center"/>
    </xf>
    <xf numFmtId="0" fontId="26" fillId="0" borderId="28" xfId="0" applyFont="1" applyBorder="1" applyAlignment="1">
      <alignment horizontal="left" vertical="center"/>
    </xf>
    <xf numFmtId="0" fontId="26" fillId="0" borderId="29" xfId="0" applyFont="1" applyBorder="1" applyAlignment="1">
      <alignment horizontal="center" vertical="center"/>
    </xf>
    <xf numFmtId="10" fontId="26" fillId="22" borderId="32" xfId="76" applyNumberFormat="1" applyFont="1" applyFill="1" applyBorder="1" applyAlignment="1">
      <alignment horizontal="center" vertical="center"/>
    </xf>
    <xf numFmtId="0" fontId="25" fillId="0" borderId="33" xfId="66" applyFont="1" applyBorder="1" applyAlignment="1">
      <alignment horizontal="left" vertical="center" wrapText="1"/>
    </xf>
    <xf numFmtId="0" fontId="26" fillId="0" borderId="34" xfId="0" applyFont="1" applyBorder="1"/>
    <xf numFmtId="0" fontId="25" fillId="20" borderId="31" xfId="0" applyFont="1" applyFill="1" applyBorder="1" applyAlignment="1">
      <alignment vertical="center"/>
    </xf>
    <xf numFmtId="0" fontId="25" fillId="23" borderId="31" xfId="0" applyFont="1" applyFill="1" applyBorder="1"/>
    <xf numFmtId="0" fontId="25" fillId="23" borderId="31" xfId="0" applyFont="1" applyFill="1" applyBorder="1" applyAlignment="1">
      <alignment vertical="center"/>
    </xf>
    <xf numFmtId="4" fontId="26" fillId="0" borderId="32" xfId="0" applyNumberFormat="1" applyFont="1" applyBorder="1" applyAlignment="1">
      <alignment horizontal="center" vertical="center"/>
    </xf>
    <xf numFmtId="4" fontId="25" fillId="0" borderId="32" xfId="0" applyNumberFormat="1" applyFont="1" applyBorder="1" applyAlignment="1">
      <alignment horizontal="center"/>
    </xf>
    <xf numFmtId="4" fontId="26" fillId="0" borderId="32" xfId="0" applyNumberFormat="1" applyFont="1" applyBorder="1" applyAlignment="1">
      <alignment horizontal="center" vertical="center" wrapText="1"/>
    </xf>
    <xf numFmtId="167" fontId="26" fillId="0" borderId="30" xfId="109" applyNumberFormat="1" applyFont="1" applyBorder="1" applyAlignment="1">
      <alignment vertical="center"/>
    </xf>
    <xf numFmtId="0" fontId="26" fillId="0" borderId="27" xfId="0" applyFont="1" applyBorder="1"/>
    <xf numFmtId="0" fontId="26" fillId="0" borderId="28" xfId="0" applyFont="1" applyBorder="1"/>
    <xf numFmtId="0" fontId="26" fillId="0" borderId="29" xfId="0" applyFont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26" fillId="0" borderId="25" xfId="0" applyFont="1" applyBorder="1" applyAlignment="1">
      <alignment wrapText="1"/>
    </xf>
    <xf numFmtId="0" fontId="33" fillId="0" borderId="30" xfId="69" applyFont="1" applyBorder="1"/>
    <xf numFmtId="0" fontId="26" fillId="0" borderId="25" xfId="0" applyFont="1" applyBorder="1" applyAlignment="1">
      <alignment vertical="center"/>
    </xf>
    <xf numFmtId="0" fontId="26" fillId="0" borderId="30" xfId="0" applyFont="1" applyBorder="1" applyAlignment="1">
      <alignment horizontal="center" vertical="center"/>
    </xf>
    <xf numFmtId="0" fontId="26" fillId="0" borderId="0" xfId="0" applyFont="1" applyAlignment="1">
      <alignment wrapText="1"/>
    </xf>
    <xf numFmtId="3" fontId="40" fillId="18" borderId="14" xfId="130" applyFont="1" applyFill="1" applyBorder="1" applyAlignment="1">
      <alignment horizontal="center" vertical="center"/>
    </xf>
    <xf numFmtId="3" fontId="40" fillId="18" borderId="10" xfId="130" applyFont="1" applyFill="1" applyBorder="1" applyAlignment="1">
      <alignment horizontal="left" vertical="center"/>
    </xf>
    <xf numFmtId="3" fontId="40" fillId="18" borderId="14" xfId="130" applyFont="1" applyFill="1" applyBorder="1" applyAlignment="1">
      <alignment horizontal="center" vertical="center" wrapText="1"/>
    </xf>
    <xf numFmtId="3" fontId="40" fillId="18" borderId="10" xfId="130" applyFont="1" applyFill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172" fontId="40" fillId="18" borderId="10" xfId="130" applyNumberFormat="1" applyFont="1" applyFill="1" applyBorder="1" applyAlignment="1">
      <alignment horizontal="center" vertical="center"/>
    </xf>
    <xf numFmtId="0" fontId="42" fillId="0" borderId="0" xfId="0" applyFont="1"/>
    <xf numFmtId="0" fontId="4" fillId="0" borderId="0" xfId="0" applyFont="1" applyAlignment="1">
      <alignment vertical="center"/>
    </xf>
    <xf numFmtId="3" fontId="34" fillId="0" borderId="10" xfId="0" applyNumberFormat="1" applyFont="1" applyBorder="1" applyAlignment="1">
      <alignment horizontal="center" vertical="center" wrapText="1"/>
    </xf>
    <xf numFmtId="43" fontId="34" fillId="0" borderId="10" xfId="0" applyNumberFormat="1" applyFont="1" applyBorder="1" applyAlignment="1">
      <alignment horizontal="center" vertical="center" wrapText="1"/>
    </xf>
    <xf numFmtId="0" fontId="47" fillId="27" borderId="42" xfId="113" applyFont="1" applyFill="1" applyBorder="1" applyAlignment="1">
      <alignment horizontal="center" vertical="center" wrapText="1"/>
    </xf>
    <xf numFmtId="9" fontId="47" fillId="27" borderId="42" xfId="113" applyNumberFormat="1" applyFont="1" applyFill="1" applyBorder="1" applyAlignment="1">
      <alignment horizontal="center" vertical="center" wrapText="1"/>
    </xf>
    <xf numFmtId="10" fontId="49" fillId="0" borderId="41" xfId="113" applyNumberFormat="1" applyFont="1" applyBorder="1" applyAlignment="1">
      <alignment horizontal="center" vertical="center"/>
    </xf>
    <xf numFmtId="9" fontId="4" fillId="0" borderId="42" xfId="78" applyFont="1" applyBorder="1" applyAlignment="1">
      <alignment horizontal="center" vertical="center"/>
    </xf>
    <xf numFmtId="10" fontId="4" fillId="0" borderId="42" xfId="78" applyNumberFormat="1" applyFont="1" applyBorder="1" applyAlignment="1">
      <alignment horizontal="center" vertical="center"/>
    </xf>
    <xf numFmtId="10" fontId="4" fillId="0" borderId="42" xfId="113" applyNumberFormat="1" applyFont="1" applyBorder="1" applyAlignment="1">
      <alignment horizontal="center" vertical="center"/>
    </xf>
    <xf numFmtId="10" fontId="4" fillId="0" borderId="41" xfId="113" applyNumberFormat="1" applyFont="1" applyBorder="1" applyAlignment="1">
      <alignment horizontal="center" vertical="center"/>
    </xf>
    <xf numFmtId="10" fontId="49" fillId="0" borderId="42" xfId="78" applyNumberFormat="1" applyFont="1" applyBorder="1" applyAlignment="1">
      <alignment horizontal="center" vertical="center"/>
    </xf>
    <xf numFmtId="10" fontId="4" fillId="28" borderId="42" xfId="78" applyNumberFormat="1" applyFont="1" applyFill="1" applyBorder="1" applyAlignment="1">
      <alignment horizontal="center" vertical="center"/>
    </xf>
    <xf numFmtId="10" fontId="4" fillId="0" borderId="42" xfId="76" applyNumberFormat="1" applyFont="1" applyBorder="1" applyAlignment="1">
      <alignment horizontal="center" vertical="center"/>
    </xf>
    <xf numFmtId="10" fontId="52" fillId="0" borderId="42" xfId="78" applyNumberFormat="1" applyFont="1" applyBorder="1" applyAlignment="1">
      <alignment horizontal="center" vertical="center"/>
    </xf>
    <xf numFmtId="0" fontId="47" fillId="30" borderId="42" xfId="113" applyFont="1" applyFill="1" applyBorder="1" applyAlignment="1">
      <alignment horizontal="center" vertical="center" wrapText="1"/>
    </xf>
    <xf numFmtId="9" fontId="47" fillId="30" borderId="42" xfId="113" applyNumberFormat="1" applyFont="1" applyFill="1" applyBorder="1" applyAlignment="1">
      <alignment horizontal="center" vertical="center" wrapText="1"/>
    </xf>
    <xf numFmtId="10" fontId="4" fillId="0" borderId="42" xfId="113" applyNumberFormat="1" applyFont="1" applyBorder="1" applyAlignment="1">
      <alignment horizontal="left" vertical="center" wrapText="1"/>
    </xf>
    <xf numFmtId="173" fontId="4" fillId="0" borderId="42" xfId="78" applyNumberFormat="1" applyFont="1" applyBorder="1" applyAlignment="1">
      <alignment horizontal="center" vertical="center"/>
    </xf>
    <xf numFmtId="173" fontId="49" fillId="0" borderId="42" xfId="78" applyNumberFormat="1" applyFont="1" applyBorder="1" applyAlignment="1">
      <alignment horizontal="center" vertical="center"/>
    </xf>
    <xf numFmtId="10" fontId="4" fillId="31" borderId="42" xfId="78" applyNumberFormat="1" applyFont="1" applyFill="1" applyBorder="1" applyAlignment="1">
      <alignment horizontal="center" vertical="center"/>
    </xf>
    <xf numFmtId="10" fontId="0" fillId="0" borderId="0" xfId="0" applyNumberFormat="1"/>
    <xf numFmtId="0" fontId="25" fillId="0" borderId="10" xfId="0" applyFont="1" applyBorder="1" applyAlignment="1">
      <alignment vertical="center" wrapText="1"/>
    </xf>
    <xf numFmtId="0" fontId="25" fillId="0" borderId="31" xfId="66" applyFont="1" applyBorder="1" applyAlignment="1">
      <alignment horizontal="left" vertical="center" wrapText="1"/>
    </xf>
    <xf numFmtId="0" fontId="1" fillId="0" borderId="0" xfId="128" applyFont="1"/>
    <xf numFmtId="168" fontId="26" fillId="0" borderId="14" xfId="128" applyNumberFormat="1" applyFont="1" applyBorder="1" applyAlignment="1">
      <alignment horizontal="left" vertical="center" wrapText="1"/>
    </xf>
    <xf numFmtId="0" fontId="25" fillId="21" borderId="31" xfId="128" applyFont="1" applyFill="1" applyBorder="1" applyAlignment="1">
      <alignment horizontal="center" vertical="center" wrapText="1"/>
    </xf>
    <xf numFmtId="0" fontId="25" fillId="21" borderId="10" xfId="128" applyFont="1" applyFill="1" applyBorder="1" applyAlignment="1">
      <alignment horizontal="center" vertical="center" wrapText="1"/>
    </xf>
    <xf numFmtId="0" fontId="26" fillId="0" borderId="10" xfId="128" applyFont="1" applyBorder="1" applyAlignment="1">
      <alignment horizontal="center" vertical="center"/>
    </xf>
    <xf numFmtId="0" fontId="25" fillId="21" borderId="15" xfId="128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4" fillId="0" borderId="25" xfId="0" applyFont="1" applyBorder="1" applyAlignment="1">
      <alignment vertical="center"/>
    </xf>
    <xf numFmtId="0" fontId="43" fillId="0" borderId="25" xfId="0" applyFont="1" applyBorder="1"/>
    <xf numFmtId="0" fontId="43" fillId="0" borderId="0" xfId="0" applyFont="1" applyAlignment="1">
      <alignment horizontal="center"/>
    </xf>
    <xf numFmtId="0" fontId="4" fillId="0" borderId="30" xfId="0" applyFont="1" applyBorder="1" applyAlignment="1">
      <alignment vertical="center"/>
    </xf>
    <xf numFmtId="0" fontId="42" fillId="0" borderId="30" xfId="0" applyFont="1" applyBorder="1"/>
    <xf numFmtId="0" fontId="43" fillId="0" borderId="0" xfId="0" applyFont="1"/>
    <xf numFmtId="0" fontId="43" fillId="0" borderId="27" xfId="0" applyFont="1" applyBorder="1"/>
    <xf numFmtId="0" fontId="42" fillId="0" borderId="29" xfId="0" applyFont="1" applyBorder="1"/>
    <xf numFmtId="171" fontId="40" fillId="18" borderId="10" xfId="130" applyNumberFormat="1" applyFont="1" applyFill="1" applyBorder="1" applyAlignment="1">
      <alignment horizontal="center" vertical="center" wrapText="1"/>
    </xf>
    <xf numFmtId="0" fontId="0" fillId="22" borderId="15" xfId="0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center" wrapText="1"/>
    </xf>
    <xf numFmtId="174" fontId="41" fillId="22" borderId="10" xfId="0" applyNumberFormat="1" applyFont="1" applyFill="1" applyBorder="1" applyAlignment="1">
      <alignment horizontal="center" vertical="center"/>
    </xf>
    <xf numFmtId="2" fontId="35" fillId="0" borderId="10" xfId="0" applyNumberFormat="1" applyFont="1" applyBorder="1" applyAlignment="1">
      <alignment horizontal="center" vertical="center" wrapText="1"/>
    </xf>
    <xf numFmtId="43" fontId="40" fillId="22" borderId="10" xfId="130" applyNumberFormat="1" applyFont="1" applyFill="1" applyBorder="1" applyAlignment="1">
      <alignment vertical="center"/>
    </xf>
    <xf numFmtId="175" fontId="41" fillId="22" borderId="10" xfId="0" applyNumberFormat="1" applyFont="1" applyFill="1" applyBorder="1" applyAlignment="1">
      <alignment horizontal="center" vertical="center"/>
    </xf>
    <xf numFmtId="43" fontId="40" fillId="18" borderId="19" xfId="130" applyNumberFormat="1" applyFont="1" applyFill="1" applyBorder="1" applyAlignment="1">
      <alignment vertical="center"/>
    </xf>
    <xf numFmtId="43" fontId="40" fillId="25" borderId="10" xfId="130" applyNumberFormat="1" applyFont="1" applyFill="1" applyBorder="1" applyAlignment="1">
      <alignment vertical="center"/>
    </xf>
    <xf numFmtId="10" fontId="40" fillId="18" borderId="10" xfId="130" applyNumberFormat="1" applyFont="1" applyFill="1" applyBorder="1" applyAlignment="1">
      <alignment vertical="center"/>
    </xf>
    <xf numFmtId="168" fontId="40" fillId="25" borderId="10" xfId="130" applyNumberFormat="1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175" fontId="41" fillId="0" borderId="10" xfId="0" applyNumberFormat="1" applyFont="1" applyBorder="1" applyAlignment="1">
      <alignment horizontal="center" vertical="center"/>
    </xf>
    <xf numFmtId="43" fontId="40" fillId="0" borderId="10" xfId="130" applyNumberFormat="1" applyFont="1" applyBorder="1" applyAlignment="1">
      <alignment vertical="center"/>
    </xf>
    <xf numFmtId="3" fontId="34" fillId="0" borderId="10" xfId="0" quotePrefix="1" applyNumberFormat="1" applyFont="1" applyBorder="1" applyAlignment="1">
      <alignment horizontal="left" vertical="center" wrapText="1"/>
    </xf>
    <xf numFmtId="0" fontId="3" fillId="22" borderId="15" xfId="0" applyFont="1" applyFill="1" applyBorder="1" applyAlignment="1">
      <alignment horizontal="center" vertical="center"/>
    </xf>
    <xf numFmtId="176" fontId="41" fillId="22" borderId="10" xfId="0" applyNumberFormat="1" applyFont="1" applyFill="1" applyBorder="1" applyAlignment="1">
      <alignment horizontal="center" vertical="center"/>
    </xf>
    <xf numFmtId="3" fontId="26" fillId="23" borderId="10" xfId="0" applyNumberFormat="1" applyFont="1" applyFill="1" applyBorder="1" applyAlignment="1">
      <alignment horizontal="left" vertical="center" wrapText="1"/>
    </xf>
    <xf numFmtId="0" fontId="34" fillId="0" borderId="10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/>
    </xf>
    <xf numFmtId="4" fontId="34" fillId="0" borderId="10" xfId="0" applyNumberFormat="1" applyFont="1" applyBorder="1" applyAlignment="1">
      <alignment horizontal="right" vertical="center" wrapText="1"/>
    </xf>
    <xf numFmtId="0" fontId="3" fillId="0" borderId="25" xfId="0" applyFont="1" applyBorder="1"/>
    <xf numFmtId="4" fontId="26" fillId="0" borderId="0" xfId="0" applyNumberFormat="1" applyFont="1"/>
    <xf numFmtId="0" fontId="26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44" fontId="26" fillId="0" borderId="0" xfId="131" applyFont="1" applyAlignment="1">
      <alignment vertical="center"/>
    </xf>
    <xf numFmtId="44" fontId="26" fillId="0" borderId="0" xfId="131" applyFont="1" applyAlignment="1">
      <alignment horizontal="center" vertical="center" wrapText="1"/>
    </xf>
    <xf numFmtId="4" fontId="35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 wrapText="1"/>
    </xf>
    <xf numFmtId="43" fontId="26" fillId="0" borderId="10" xfId="0" applyNumberFormat="1" applyFont="1" applyBorder="1" applyAlignment="1">
      <alignment horizontal="center" vertical="center"/>
    </xf>
    <xf numFmtId="3" fontId="26" fillId="0" borderId="10" xfId="0" applyNumberFormat="1" applyFont="1" applyBorder="1" applyAlignment="1">
      <alignment horizontal="center" vertical="center"/>
    </xf>
    <xf numFmtId="3" fontId="26" fillId="0" borderId="10" xfId="0" applyNumberFormat="1" applyFont="1" applyBorder="1" applyAlignment="1">
      <alignment horizontal="left" vertical="center" wrapText="1"/>
    </xf>
    <xf numFmtId="0" fontId="41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 wrapText="1"/>
    </xf>
    <xf numFmtId="0" fontId="55" fillId="0" borderId="15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/>
    </xf>
    <xf numFmtId="0" fontId="41" fillId="0" borderId="10" xfId="0" applyFont="1" applyBorder="1" applyAlignment="1">
      <alignment horizontal="left" vertical="center" wrapText="1"/>
    </xf>
    <xf numFmtId="0" fontId="26" fillId="0" borderId="25" xfId="0" applyFont="1" applyBorder="1" applyAlignment="1">
      <alignment vertical="top"/>
    </xf>
    <xf numFmtId="0" fontId="3" fillId="0" borderId="0" xfId="0" applyFont="1" applyAlignment="1">
      <alignment vertical="center"/>
    </xf>
    <xf numFmtId="0" fontId="56" fillId="0" borderId="0" xfId="0" applyFont="1" applyAlignment="1">
      <alignment horizontal="center" vertical="center"/>
    </xf>
    <xf numFmtId="0" fontId="25" fillId="0" borderId="58" xfId="66" applyFont="1" applyBorder="1" applyAlignment="1">
      <alignment vertical="center"/>
    </xf>
    <xf numFmtId="0" fontId="25" fillId="0" borderId="59" xfId="66" applyFont="1" applyBorder="1" applyAlignment="1">
      <alignment vertical="center"/>
    </xf>
    <xf numFmtId="0" fontId="25" fillId="0" borderId="60" xfId="66" applyFont="1" applyBorder="1" applyAlignment="1">
      <alignment vertical="center"/>
    </xf>
    <xf numFmtId="0" fontId="25" fillId="0" borderId="59" xfId="66" applyFont="1" applyBorder="1" applyAlignment="1">
      <alignment vertical="center" wrapText="1"/>
    </xf>
    <xf numFmtId="0" fontId="26" fillId="0" borderId="22" xfId="0" applyFont="1" applyBorder="1" applyAlignment="1">
      <alignment vertical="center"/>
    </xf>
    <xf numFmtId="0" fontId="56" fillId="0" borderId="23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top"/>
    </xf>
    <xf numFmtId="0" fontId="56" fillId="0" borderId="29" xfId="0" applyFont="1" applyBorder="1" applyAlignment="1">
      <alignment horizontal="center" vertical="top"/>
    </xf>
    <xf numFmtId="4" fontId="26" fillId="0" borderId="15" xfId="0" applyNumberFormat="1" applyFont="1" applyBorder="1" applyAlignment="1">
      <alignment horizontal="center" vertical="center"/>
    </xf>
    <xf numFmtId="4" fontId="26" fillId="0" borderId="14" xfId="0" applyNumberFormat="1" applyFont="1" applyBorder="1" applyAlignment="1">
      <alignment horizontal="center" vertical="center"/>
    </xf>
    <xf numFmtId="0" fontId="25" fillId="0" borderId="23" xfId="0" applyFont="1" applyBorder="1" applyAlignment="1">
      <alignment horizontal="center"/>
    </xf>
    <xf numFmtId="0" fontId="25" fillId="0" borderId="24" xfId="0" applyFont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0" xfId="0" applyFont="1" applyAlignment="1">
      <alignment horizontal="center" vertical="top"/>
    </xf>
    <xf numFmtId="0" fontId="25" fillId="0" borderId="30" xfId="0" applyFont="1" applyBorder="1" applyAlignment="1">
      <alignment horizontal="center" vertical="top"/>
    </xf>
    <xf numFmtId="49" fontId="25" fillId="23" borderId="10" xfId="0" applyNumberFormat="1" applyFont="1" applyFill="1" applyBorder="1" applyAlignment="1">
      <alignment horizontal="right" vertical="center" wrapText="1"/>
    </xf>
    <xf numFmtId="0" fontId="31" fillId="0" borderId="55" xfId="66" applyFont="1" applyBorder="1" applyAlignment="1">
      <alignment horizontal="center" vertical="center"/>
    </xf>
    <xf numFmtId="0" fontId="31" fillId="0" borderId="56" xfId="66" applyFont="1" applyBorder="1" applyAlignment="1">
      <alignment horizontal="center" vertical="center"/>
    </xf>
    <xf numFmtId="0" fontId="31" fillId="0" borderId="57" xfId="66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30" fillId="0" borderId="26" xfId="66" applyFont="1" applyBorder="1" applyAlignment="1">
      <alignment horizontal="center" vertical="center"/>
    </xf>
    <xf numFmtId="0" fontId="30" fillId="0" borderId="19" xfId="66" applyFont="1" applyBorder="1" applyAlignment="1">
      <alignment horizontal="center" vertical="center"/>
    </xf>
    <xf numFmtId="0" fontId="30" fillId="0" borderId="37" xfId="66" applyFont="1" applyBorder="1" applyAlignment="1">
      <alignment horizontal="center" vertical="center"/>
    </xf>
    <xf numFmtId="0" fontId="31" fillId="0" borderId="31" xfId="66" applyFont="1" applyBorder="1" applyAlignment="1">
      <alignment horizontal="center" vertical="center"/>
    </xf>
    <xf numFmtId="0" fontId="31" fillId="0" borderId="10" xfId="66" applyFont="1" applyBorder="1" applyAlignment="1">
      <alignment horizontal="center" vertical="center"/>
    </xf>
    <xf numFmtId="0" fontId="31" fillId="0" borderId="32" xfId="66" applyFont="1" applyBorder="1" applyAlignment="1">
      <alignment horizontal="center" vertical="center"/>
    </xf>
    <xf numFmtId="0" fontId="25" fillId="0" borderId="33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49" fontId="26" fillId="0" borderId="13" xfId="0" applyNumberFormat="1" applyFont="1" applyBorder="1" applyAlignment="1">
      <alignment horizontal="left" vertical="center" wrapText="1"/>
    </xf>
    <xf numFmtId="49" fontId="25" fillId="0" borderId="14" xfId="0" applyNumberFormat="1" applyFont="1" applyBorder="1" applyAlignment="1">
      <alignment horizontal="left" vertical="center" wrapText="1"/>
    </xf>
    <xf numFmtId="49" fontId="25" fillId="0" borderId="15" xfId="0" applyNumberFormat="1" applyFont="1" applyBorder="1" applyAlignment="1">
      <alignment horizontal="left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49" fontId="25" fillId="23" borderId="31" xfId="0" applyNumberFormat="1" applyFont="1" applyFill="1" applyBorder="1" applyAlignment="1">
      <alignment horizontal="righ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right" vertical="center"/>
    </xf>
    <xf numFmtId="0" fontId="25" fillId="0" borderId="31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49" fontId="25" fillId="23" borderId="33" xfId="0" applyNumberFormat="1" applyFont="1" applyFill="1" applyBorder="1" applyAlignment="1">
      <alignment horizontal="right" vertical="center" wrapText="1"/>
    </xf>
    <xf numFmtId="49" fontId="25" fillId="23" borderId="14" xfId="0" applyNumberFormat="1" applyFont="1" applyFill="1" applyBorder="1" applyAlignment="1">
      <alignment horizontal="right" vertical="center" wrapText="1"/>
    </xf>
    <xf numFmtId="49" fontId="25" fillId="23" borderId="15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18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wrapText="1"/>
    </xf>
    <xf numFmtId="0" fontId="28" fillId="0" borderId="0" xfId="0" applyFont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53" fillId="0" borderId="16" xfId="124" applyFont="1" applyBorder="1" applyAlignment="1">
      <alignment horizontal="center" vertical="center" wrapText="1"/>
    </xf>
    <xf numFmtId="0" fontId="53" fillId="0" borderId="17" xfId="124" applyFont="1" applyBorder="1" applyAlignment="1">
      <alignment horizontal="center" vertical="center" wrapText="1"/>
    </xf>
    <xf numFmtId="0" fontId="53" fillId="0" borderId="18" xfId="124" applyFont="1" applyBorder="1" applyAlignment="1">
      <alignment horizontal="center" vertical="center" wrapText="1"/>
    </xf>
    <xf numFmtId="0" fontId="53" fillId="0" borderId="21" xfId="124" applyFont="1" applyBorder="1" applyAlignment="1">
      <alignment horizontal="center" vertical="center" wrapText="1"/>
    </xf>
    <xf numFmtId="0" fontId="53" fillId="0" borderId="20" xfId="124" applyFont="1" applyBorder="1" applyAlignment="1">
      <alignment horizontal="center" vertical="center" wrapText="1"/>
    </xf>
    <xf numFmtId="0" fontId="53" fillId="0" borderId="19" xfId="124" applyFont="1" applyBorder="1" applyAlignment="1">
      <alignment horizontal="center" vertical="center" wrapText="1"/>
    </xf>
    <xf numFmtId="2" fontId="26" fillId="22" borderId="33" xfId="0" applyNumberFormat="1" applyFont="1" applyFill="1" applyBorder="1" applyAlignment="1">
      <alignment horizontal="left" vertical="center" wrapText="1"/>
    </xf>
    <xf numFmtId="2" fontId="26" fillId="22" borderId="15" xfId="0" applyNumberFormat="1" applyFont="1" applyFill="1" applyBorder="1" applyAlignment="1">
      <alignment horizontal="left" vertical="center" wrapText="1"/>
    </xf>
    <xf numFmtId="4" fontId="26" fillId="0" borderId="13" xfId="0" applyNumberFormat="1" applyFont="1" applyBorder="1" applyAlignment="1">
      <alignment horizontal="center" vertical="center"/>
    </xf>
    <xf numFmtId="4" fontId="26" fillId="0" borderId="15" xfId="0" applyNumberFormat="1" applyFont="1" applyBorder="1" applyAlignment="1">
      <alignment horizontal="center" vertical="center"/>
    </xf>
    <xf numFmtId="4" fontId="26" fillId="0" borderId="14" xfId="0" applyNumberFormat="1" applyFont="1" applyBorder="1" applyAlignment="1">
      <alignment horizontal="center" vertical="center"/>
    </xf>
    <xf numFmtId="4" fontId="25" fillId="0" borderId="13" xfId="0" applyNumberFormat="1" applyFont="1" applyBorder="1" applyAlignment="1">
      <alignment horizontal="center"/>
    </xf>
    <xf numFmtId="4" fontId="25" fillId="0" borderId="14" xfId="0" applyNumberFormat="1" applyFont="1" applyBorder="1" applyAlignment="1">
      <alignment horizontal="center"/>
    </xf>
    <xf numFmtId="4" fontId="25" fillId="0" borderId="15" xfId="0" applyNumberFormat="1" applyFont="1" applyBorder="1" applyAlignment="1">
      <alignment horizontal="center"/>
    </xf>
    <xf numFmtId="3" fontId="26" fillId="23" borderId="10" xfId="0" applyNumberFormat="1" applyFont="1" applyFill="1" applyBorder="1" applyAlignment="1">
      <alignment horizontal="left" vertical="center" wrapText="1"/>
    </xf>
    <xf numFmtId="0" fontId="26" fillId="23" borderId="10" xfId="0" applyFont="1" applyFill="1" applyBorder="1" applyAlignment="1">
      <alignment horizontal="left" vertical="center" wrapText="1"/>
    </xf>
    <xf numFmtId="0" fontId="26" fillId="23" borderId="32" xfId="0" applyFont="1" applyFill="1" applyBorder="1" applyAlignment="1">
      <alignment horizontal="left" vertical="center" wrapText="1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2" fontId="26" fillId="22" borderId="33" xfId="0" applyNumberFormat="1" applyFont="1" applyFill="1" applyBorder="1" applyAlignment="1">
      <alignment horizontal="left" vertical="center"/>
    </xf>
    <xf numFmtId="2" fontId="26" fillId="22" borderId="15" xfId="0" applyNumberFormat="1" applyFont="1" applyFill="1" applyBorder="1" applyAlignment="1">
      <alignment horizontal="left" vertical="center"/>
    </xf>
    <xf numFmtId="0" fontId="26" fillId="0" borderId="31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0" fontId="26" fillId="0" borderId="32" xfId="0" applyFont="1" applyBorder="1" applyAlignment="1">
      <alignment horizontal="center"/>
    </xf>
    <xf numFmtId="0" fontId="25" fillId="20" borderId="13" xfId="0" applyFont="1" applyFill="1" applyBorder="1" applyAlignment="1">
      <alignment horizontal="center" vertical="center"/>
    </xf>
    <xf numFmtId="0" fontId="25" fillId="20" borderId="14" xfId="0" applyFont="1" applyFill="1" applyBorder="1" applyAlignment="1">
      <alignment horizontal="center" vertical="center"/>
    </xf>
    <xf numFmtId="0" fontId="25" fillId="20" borderId="34" xfId="0" applyFont="1" applyFill="1" applyBorder="1" applyAlignment="1">
      <alignment horizontal="center" vertical="center"/>
    </xf>
    <xf numFmtId="172" fontId="26" fillId="0" borderId="13" xfId="0" applyNumberFormat="1" applyFont="1" applyBorder="1" applyAlignment="1">
      <alignment horizontal="center" vertical="center"/>
    </xf>
    <xf numFmtId="172" fontId="26" fillId="0" borderId="15" xfId="0" applyNumberFormat="1" applyFont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2" fontId="26" fillId="22" borderId="33" xfId="0" applyNumberFormat="1" applyFont="1" applyFill="1" applyBorder="1" applyAlignment="1">
      <alignment horizontal="center" vertical="center"/>
    </xf>
    <xf numFmtId="2" fontId="26" fillId="22" borderId="15" xfId="0" applyNumberFormat="1" applyFont="1" applyFill="1" applyBorder="1" applyAlignment="1">
      <alignment horizontal="center" vertical="center"/>
    </xf>
    <xf numFmtId="0" fontId="25" fillId="0" borderId="33" xfId="66" applyFont="1" applyBorder="1" applyAlignment="1">
      <alignment horizontal="center" vertical="center"/>
    </xf>
    <xf numFmtId="0" fontId="25" fillId="0" borderId="14" xfId="66" applyFont="1" applyBorder="1" applyAlignment="1">
      <alignment horizontal="center" vertical="center"/>
    </xf>
    <xf numFmtId="0" fontId="25" fillId="0" borderId="34" xfId="66" applyFont="1" applyBorder="1" applyAlignment="1">
      <alignment horizontal="center" vertical="center"/>
    </xf>
    <xf numFmtId="0" fontId="25" fillId="0" borderId="33" xfId="66" applyFont="1" applyBorder="1" applyAlignment="1">
      <alignment horizontal="left" vertical="center" wrapText="1"/>
    </xf>
    <xf numFmtId="0" fontId="25" fillId="0" borderId="14" xfId="66" applyFont="1" applyBorder="1" applyAlignment="1">
      <alignment horizontal="left" vertical="center" wrapText="1"/>
    </xf>
    <xf numFmtId="0" fontId="25" fillId="0" borderId="15" xfId="66" applyFont="1" applyBorder="1" applyAlignment="1">
      <alignment horizontal="left" vertical="center" wrapText="1"/>
    </xf>
    <xf numFmtId="0" fontId="25" fillId="0" borderId="59" xfId="66" applyFont="1" applyBorder="1" applyAlignment="1">
      <alignment horizontal="center" vertical="center" wrapText="1"/>
    </xf>
    <xf numFmtId="17" fontId="25" fillId="0" borderId="10" xfId="124" applyNumberFormat="1" applyFont="1" applyBorder="1" applyAlignment="1">
      <alignment horizontal="center" vertical="center"/>
    </xf>
    <xf numFmtId="0" fontId="25" fillId="0" borderId="10" xfId="124" applyFont="1" applyBorder="1" applyAlignment="1">
      <alignment horizontal="center" vertical="center"/>
    </xf>
    <xf numFmtId="0" fontId="25" fillId="0" borderId="32" xfId="124" applyFont="1" applyBorder="1" applyAlignment="1">
      <alignment horizontal="center" vertical="center"/>
    </xf>
    <xf numFmtId="0" fontId="25" fillId="0" borderId="10" xfId="124" applyFont="1" applyBorder="1" applyAlignment="1">
      <alignment horizontal="left" vertical="center"/>
    </xf>
    <xf numFmtId="0" fontId="25" fillId="0" borderId="13" xfId="66" applyFont="1" applyBorder="1" applyAlignment="1">
      <alignment horizontal="left" vertical="top" wrapText="1"/>
    </xf>
    <xf numFmtId="0" fontId="25" fillId="0" borderId="14" xfId="66" applyFont="1" applyBorder="1" applyAlignment="1">
      <alignment horizontal="left" vertical="top" wrapText="1"/>
    </xf>
    <xf numFmtId="0" fontId="25" fillId="0" borderId="15" xfId="66" applyFont="1" applyBorder="1" applyAlignment="1">
      <alignment horizontal="left" vertical="top" wrapText="1"/>
    </xf>
    <xf numFmtId="0" fontId="25" fillId="0" borderId="20" xfId="124" applyFont="1" applyBorder="1" applyAlignment="1">
      <alignment horizontal="center" vertical="center"/>
    </xf>
    <xf numFmtId="0" fontId="25" fillId="0" borderId="19" xfId="124" applyFont="1" applyBorder="1" applyAlignment="1">
      <alignment horizontal="center" vertical="center"/>
    </xf>
    <xf numFmtId="0" fontId="25" fillId="0" borderId="39" xfId="124" applyFont="1" applyBorder="1" applyAlignment="1">
      <alignment horizontal="center" vertical="center"/>
    </xf>
    <xf numFmtId="0" fontId="25" fillId="0" borderId="37" xfId="124" applyFont="1" applyBorder="1" applyAlignment="1">
      <alignment horizontal="center" vertical="center"/>
    </xf>
    <xf numFmtId="0" fontId="25" fillId="0" borderId="33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2" fontId="25" fillId="0" borderId="31" xfId="0" applyNumberFormat="1" applyFont="1" applyBorder="1" applyAlignment="1">
      <alignment horizontal="center"/>
    </xf>
    <xf numFmtId="0" fontId="25" fillId="0" borderId="25" xfId="128" applyFont="1" applyBorder="1" applyAlignment="1">
      <alignment horizontal="center" vertical="center" wrapText="1"/>
    </xf>
    <xf numFmtId="0" fontId="25" fillId="0" borderId="0" xfId="128" applyFont="1" applyAlignment="1">
      <alignment horizontal="center" vertical="center" wrapText="1"/>
    </xf>
    <xf numFmtId="0" fontId="25" fillId="0" borderId="30" xfId="128" applyFont="1" applyBorder="1" applyAlignment="1">
      <alignment horizontal="center" vertical="center" wrapText="1"/>
    </xf>
    <xf numFmtId="10" fontId="25" fillId="20" borderId="13" xfId="0" applyNumberFormat="1" applyFont="1" applyFill="1" applyBorder="1" applyAlignment="1">
      <alignment horizontal="center" wrapText="1"/>
    </xf>
    <xf numFmtId="10" fontId="25" fillId="20" borderId="14" xfId="0" applyNumberFormat="1" applyFont="1" applyFill="1" applyBorder="1" applyAlignment="1">
      <alignment horizontal="center" wrapText="1"/>
    </xf>
    <xf numFmtId="10" fontId="25" fillId="20" borderId="34" xfId="0" applyNumberFormat="1" applyFont="1" applyFill="1" applyBorder="1" applyAlignment="1">
      <alignment horizontal="center" wrapText="1"/>
    </xf>
    <xf numFmtId="168" fontId="25" fillId="20" borderId="13" xfId="0" applyNumberFormat="1" applyFont="1" applyFill="1" applyBorder="1" applyAlignment="1">
      <alignment horizontal="center" wrapText="1"/>
    </xf>
    <xf numFmtId="168" fontId="25" fillId="20" borderId="14" xfId="0" applyNumberFormat="1" applyFont="1" applyFill="1" applyBorder="1" applyAlignment="1">
      <alignment horizontal="center" wrapText="1"/>
    </xf>
    <xf numFmtId="168" fontId="25" fillId="20" borderId="15" xfId="0" applyNumberFormat="1" applyFont="1" applyFill="1" applyBorder="1" applyAlignment="1">
      <alignment horizontal="center" wrapText="1"/>
    </xf>
    <xf numFmtId="168" fontId="25" fillId="20" borderId="34" xfId="0" applyNumberFormat="1" applyFont="1" applyFill="1" applyBorder="1" applyAlignment="1">
      <alignment horizontal="center" wrapText="1"/>
    </xf>
    <xf numFmtId="10" fontId="26" fillId="0" borderId="13" xfId="75" applyNumberFormat="1" applyFont="1" applyBorder="1" applyAlignment="1">
      <alignment horizontal="center" vertical="center"/>
    </xf>
    <xf numFmtId="10" fontId="26" fillId="0" borderId="14" xfId="75" applyNumberFormat="1" applyFont="1" applyBorder="1" applyAlignment="1">
      <alignment horizontal="center" vertical="center"/>
    </xf>
    <xf numFmtId="10" fontId="26" fillId="0" borderId="34" xfId="75" applyNumberFormat="1" applyFont="1" applyBorder="1" applyAlignment="1">
      <alignment horizontal="center" vertical="center"/>
    </xf>
    <xf numFmtId="0" fontId="36" fillId="0" borderId="31" xfId="124" applyFont="1" applyBorder="1" applyAlignment="1">
      <alignment vertical="center" wrapText="1"/>
    </xf>
    <xf numFmtId="168" fontId="36" fillId="0" borderId="10" xfId="124" applyNumberFormat="1" applyFont="1" applyBorder="1" applyAlignment="1">
      <alignment horizontal="center" vertical="center" wrapText="1"/>
    </xf>
    <xf numFmtId="10" fontId="26" fillId="0" borderId="15" xfId="75" applyNumberFormat="1" applyFont="1" applyBorder="1" applyAlignment="1">
      <alignment horizontal="center" vertical="center"/>
    </xf>
    <xf numFmtId="168" fontId="26" fillId="0" borderId="13" xfId="128" applyNumberFormat="1" applyFont="1" applyBorder="1" applyAlignment="1">
      <alignment horizontal="center" vertical="center"/>
    </xf>
    <xf numFmtId="168" fontId="26" fillId="0" borderId="14" xfId="128" applyNumberFormat="1" applyFont="1" applyBorder="1" applyAlignment="1">
      <alignment horizontal="center" vertical="center"/>
    </xf>
    <xf numFmtId="168" fontId="26" fillId="0" borderId="34" xfId="128" applyNumberFormat="1" applyFont="1" applyBorder="1" applyAlignment="1">
      <alignment horizontal="center" vertical="center"/>
    </xf>
    <xf numFmtId="168" fontId="26" fillId="0" borderId="15" xfId="128" applyNumberFormat="1" applyFont="1" applyBorder="1" applyAlignment="1">
      <alignment horizontal="center" vertical="center"/>
    </xf>
    <xf numFmtId="49" fontId="26" fillId="0" borderId="25" xfId="0" applyNumberFormat="1" applyFont="1" applyBorder="1" applyAlignment="1">
      <alignment horizontal="center" wrapText="1"/>
    </xf>
    <xf numFmtId="49" fontId="26" fillId="0" borderId="0" xfId="0" applyNumberFormat="1" applyFont="1" applyAlignment="1">
      <alignment horizontal="center" wrapText="1"/>
    </xf>
    <xf numFmtId="0" fontId="26" fillId="0" borderId="25" xfId="0" applyFont="1" applyBorder="1" applyAlignment="1">
      <alignment horizontal="center" vertical="top" wrapText="1"/>
    </xf>
    <xf numFmtId="0" fontId="26" fillId="0" borderId="0" xfId="0" applyFont="1" applyAlignment="1">
      <alignment horizontal="center" wrapText="1"/>
    </xf>
    <xf numFmtId="0" fontId="26" fillId="0" borderId="30" xfId="0" applyFont="1" applyBorder="1" applyAlignment="1">
      <alignment horizontal="center" wrapText="1"/>
    </xf>
    <xf numFmtId="0" fontId="25" fillId="20" borderId="13" xfId="128" applyFont="1" applyFill="1" applyBorder="1" applyAlignment="1">
      <alignment horizontal="center" vertical="center" wrapText="1"/>
    </xf>
    <xf numFmtId="0" fontId="25" fillId="20" borderId="14" xfId="128" applyFont="1" applyFill="1" applyBorder="1" applyAlignment="1">
      <alignment horizontal="center" vertical="center" wrapText="1"/>
    </xf>
    <xf numFmtId="0" fontId="36" fillId="0" borderId="38" xfId="124" applyFont="1" applyBorder="1" applyAlignment="1">
      <alignment vertical="center" wrapText="1"/>
    </xf>
    <xf numFmtId="0" fontId="36" fillId="0" borderId="26" xfId="124" applyFont="1" applyBorder="1" applyAlignment="1">
      <alignment vertical="center" wrapText="1"/>
    </xf>
    <xf numFmtId="49" fontId="25" fillId="0" borderId="33" xfId="128" applyNumberFormat="1" applyFont="1" applyBorder="1" applyAlignment="1">
      <alignment horizontal="left" vertical="center" wrapText="1"/>
    </xf>
    <xf numFmtId="49" fontId="25" fillId="0" borderId="14" xfId="128" applyNumberFormat="1" applyFont="1" applyBorder="1" applyAlignment="1">
      <alignment horizontal="left" vertical="center" wrapText="1"/>
    </xf>
    <xf numFmtId="49" fontId="25" fillId="0" borderId="15" xfId="128" applyNumberFormat="1" applyFont="1" applyBorder="1" applyAlignment="1">
      <alignment horizontal="left" vertical="center" wrapText="1"/>
    </xf>
    <xf numFmtId="0" fontId="25" fillId="0" borderId="13" xfId="128" applyFont="1" applyBorder="1" applyAlignment="1">
      <alignment horizontal="left" vertical="center" wrapText="1"/>
    </xf>
    <xf numFmtId="0" fontId="25" fillId="0" borderId="14" xfId="128" applyFont="1" applyBorder="1" applyAlignment="1">
      <alignment horizontal="left" vertical="center" wrapText="1"/>
    </xf>
    <xf numFmtId="0" fontId="25" fillId="0" borderId="15" xfId="128" applyFont="1" applyBorder="1" applyAlignment="1">
      <alignment horizontal="left" vertical="center" wrapText="1"/>
    </xf>
    <xf numFmtId="0" fontId="25" fillId="0" borderId="13" xfId="128" applyFont="1" applyBorder="1" applyAlignment="1">
      <alignment horizontal="center" vertical="center" wrapText="1"/>
    </xf>
    <xf numFmtId="0" fontId="25" fillId="0" borderId="14" xfId="128" applyFont="1" applyBorder="1" applyAlignment="1">
      <alignment horizontal="center" vertical="center" wrapText="1"/>
    </xf>
    <xf numFmtId="0" fontId="25" fillId="0" borderId="34" xfId="128" applyFont="1" applyBorder="1" applyAlignment="1">
      <alignment horizontal="center" vertical="center" wrapText="1"/>
    </xf>
    <xf numFmtId="0" fontId="25" fillId="0" borderId="33" xfId="128" applyFont="1" applyBorder="1" applyAlignment="1">
      <alignment horizontal="center" vertical="center" wrapText="1"/>
    </xf>
    <xf numFmtId="0" fontId="25" fillId="21" borderId="38" xfId="128" applyFont="1" applyFill="1" applyBorder="1" applyAlignment="1">
      <alignment horizontal="center" vertical="center"/>
    </xf>
    <xf numFmtId="0" fontId="25" fillId="21" borderId="40" xfId="128" applyFont="1" applyFill="1" applyBorder="1" applyAlignment="1">
      <alignment horizontal="center" vertical="center"/>
    </xf>
    <xf numFmtId="0" fontId="25" fillId="21" borderId="26" xfId="128" applyFont="1" applyFill="1" applyBorder="1" applyAlignment="1">
      <alignment horizontal="center" vertical="center"/>
    </xf>
    <xf numFmtId="168" fontId="25" fillId="21" borderId="17" xfId="63" applyNumberFormat="1" applyFont="1" applyFill="1" applyBorder="1" applyAlignment="1">
      <alignment horizontal="center" vertical="center"/>
    </xf>
    <xf numFmtId="168" fontId="25" fillId="21" borderId="21" xfId="63" applyNumberFormat="1" applyFont="1" applyFill="1" applyBorder="1" applyAlignment="1">
      <alignment horizontal="center" vertical="center"/>
    </xf>
    <xf numFmtId="10" fontId="26" fillId="20" borderId="13" xfId="75" applyNumberFormat="1" applyFont="1" applyFill="1" applyBorder="1" applyAlignment="1">
      <alignment horizontal="center" vertical="center"/>
    </xf>
    <xf numFmtId="10" fontId="26" fillId="20" borderId="14" xfId="75" applyNumberFormat="1" applyFont="1" applyFill="1" applyBorder="1" applyAlignment="1">
      <alignment horizontal="center" vertical="center"/>
    </xf>
    <xf numFmtId="10" fontId="26" fillId="20" borderId="15" xfId="75" applyNumberFormat="1" applyFont="1" applyFill="1" applyBorder="1" applyAlignment="1">
      <alignment horizontal="center" vertical="center"/>
    </xf>
    <xf numFmtId="10" fontId="26" fillId="20" borderId="34" xfId="75" applyNumberFormat="1" applyFont="1" applyFill="1" applyBorder="1" applyAlignment="1">
      <alignment horizontal="center" vertical="center"/>
    </xf>
    <xf numFmtId="168" fontId="25" fillId="21" borderId="13" xfId="128" applyNumberFormat="1" applyFont="1" applyFill="1" applyBorder="1" applyAlignment="1">
      <alignment horizontal="center" vertical="center"/>
    </xf>
    <xf numFmtId="168" fontId="25" fillId="21" borderId="14" xfId="128" applyNumberFormat="1" applyFont="1" applyFill="1" applyBorder="1" applyAlignment="1">
      <alignment horizontal="center" vertical="center"/>
    </xf>
    <xf numFmtId="168" fontId="25" fillId="21" borderId="15" xfId="128" applyNumberFormat="1" applyFont="1" applyFill="1" applyBorder="1" applyAlignment="1">
      <alignment horizontal="center" vertical="center"/>
    </xf>
    <xf numFmtId="168" fontId="25" fillId="21" borderId="34" xfId="128" applyNumberFormat="1" applyFont="1" applyFill="1" applyBorder="1" applyAlignment="1">
      <alignment horizontal="center" vertical="center"/>
    </xf>
    <xf numFmtId="168" fontId="25" fillId="21" borderId="20" xfId="63" applyNumberFormat="1" applyFont="1" applyFill="1" applyBorder="1" applyAlignment="1">
      <alignment horizontal="center" vertical="center"/>
    </xf>
    <xf numFmtId="168" fontId="25" fillId="21" borderId="19" xfId="63" applyNumberFormat="1" applyFont="1" applyFill="1" applyBorder="1" applyAlignment="1">
      <alignment horizontal="center" vertical="center"/>
    </xf>
    <xf numFmtId="10" fontId="25" fillId="20" borderId="15" xfId="0" applyNumberFormat="1" applyFont="1" applyFill="1" applyBorder="1" applyAlignment="1">
      <alignment horizontal="center" wrapText="1"/>
    </xf>
    <xf numFmtId="0" fontId="5" fillId="18" borderId="22" xfId="124" applyFont="1" applyFill="1" applyBorder="1" applyAlignment="1">
      <alignment horizontal="center"/>
    </xf>
    <xf numFmtId="0" fontId="5" fillId="18" borderId="23" xfId="124" applyFont="1" applyFill="1" applyBorder="1" applyAlignment="1">
      <alignment horizontal="center"/>
    </xf>
    <xf numFmtId="0" fontId="5" fillId="18" borderId="24" xfId="124" applyFont="1" applyFill="1" applyBorder="1" applyAlignment="1">
      <alignment horizontal="center"/>
    </xf>
    <xf numFmtId="0" fontId="3" fillId="0" borderId="25" xfId="124" applyBorder="1" applyAlignment="1">
      <alignment horizontal="center"/>
    </xf>
    <xf numFmtId="0" fontId="3" fillId="0" borderId="0" xfId="124" applyAlignment="1">
      <alignment horizontal="center"/>
    </xf>
    <xf numFmtId="0" fontId="3" fillId="0" borderId="30" xfId="124" applyBorder="1" applyAlignment="1">
      <alignment horizontal="center"/>
    </xf>
    <xf numFmtId="0" fontId="25" fillId="18" borderId="35" xfId="124" applyFont="1" applyFill="1" applyBorder="1" applyAlignment="1">
      <alignment horizontal="center" vertical="center"/>
    </xf>
    <xf numFmtId="0" fontId="25" fillId="18" borderId="12" xfId="124" applyFont="1" applyFill="1" applyBorder="1" applyAlignment="1">
      <alignment horizontal="center" vertical="center"/>
    </xf>
    <xf numFmtId="0" fontId="25" fillId="18" borderId="36" xfId="124" applyFont="1" applyFill="1" applyBorder="1" applyAlignment="1">
      <alignment horizontal="center" vertical="center"/>
    </xf>
    <xf numFmtId="0" fontId="25" fillId="0" borderId="33" xfId="128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10" fontId="4" fillId="0" borderId="53" xfId="78" applyNumberFormat="1" applyFont="1" applyBorder="1" applyAlignment="1">
      <alignment horizontal="center" vertical="center"/>
    </xf>
    <xf numFmtId="10" fontId="4" fillId="0" borderId="43" xfId="78" applyNumberFormat="1" applyFont="1" applyBorder="1" applyAlignment="1">
      <alignment horizontal="center" vertical="center"/>
    </xf>
    <xf numFmtId="10" fontId="49" fillId="0" borderId="53" xfId="78" applyNumberFormat="1" applyFont="1" applyBorder="1" applyAlignment="1">
      <alignment horizontal="center" vertical="center"/>
    </xf>
    <xf numFmtId="10" fontId="49" fillId="0" borderId="43" xfId="78" applyNumberFormat="1" applyFont="1" applyBorder="1" applyAlignment="1">
      <alignment horizontal="center" vertical="center"/>
    </xf>
    <xf numFmtId="10" fontId="4" fillId="28" borderId="53" xfId="78" applyNumberFormat="1" applyFont="1" applyFill="1" applyBorder="1" applyAlignment="1">
      <alignment horizontal="center" vertical="center"/>
    </xf>
    <xf numFmtId="10" fontId="4" fillId="28" borderId="43" xfId="78" applyNumberFormat="1" applyFont="1" applyFill="1" applyBorder="1" applyAlignment="1">
      <alignment horizontal="center" vertical="center"/>
    </xf>
    <xf numFmtId="9" fontId="4" fillId="0" borderId="53" xfId="78" applyFont="1" applyBorder="1" applyAlignment="1">
      <alignment horizontal="center" vertical="center"/>
    </xf>
    <xf numFmtId="9" fontId="4" fillId="0" borderId="43" xfId="78" applyFont="1" applyBorder="1" applyAlignment="1">
      <alignment horizontal="center" vertical="center"/>
    </xf>
    <xf numFmtId="10" fontId="4" fillId="0" borderId="53" xfId="113" applyNumberFormat="1" applyFont="1" applyBorder="1" applyAlignment="1">
      <alignment horizontal="center" vertical="center"/>
    </xf>
    <xf numFmtId="10" fontId="4" fillId="0" borderId="43" xfId="113" applyNumberFormat="1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6" fillId="26" borderId="53" xfId="113" applyFont="1" applyFill="1" applyBorder="1" applyAlignment="1">
      <alignment horizontal="center" vertical="center" wrapText="1"/>
    </xf>
    <xf numFmtId="0" fontId="46" fillId="26" borderId="41" xfId="113" applyFont="1" applyFill="1" applyBorder="1" applyAlignment="1">
      <alignment horizontal="center" vertical="center" wrapText="1"/>
    </xf>
    <xf numFmtId="0" fontId="46" fillId="26" borderId="43" xfId="113" applyFont="1" applyFill="1" applyBorder="1" applyAlignment="1">
      <alignment horizontal="center" vertical="center" wrapText="1"/>
    </xf>
    <xf numFmtId="0" fontId="47" fillId="27" borderId="42" xfId="113" applyFont="1" applyFill="1" applyBorder="1" applyAlignment="1">
      <alignment horizontal="center" vertical="center" wrapText="1"/>
    </xf>
    <xf numFmtId="0" fontId="47" fillId="27" borderId="53" xfId="113" applyFont="1" applyFill="1" applyBorder="1" applyAlignment="1">
      <alignment horizontal="center" vertical="center" wrapText="1"/>
    </xf>
    <xf numFmtId="0" fontId="47" fillId="27" borderId="41" xfId="113" applyFont="1" applyFill="1" applyBorder="1" applyAlignment="1">
      <alignment horizontal="center" vertical="center" wrapText="1"/>
    </xf>
    <xf numFmtId="0" fontId="47" fillId="27" borderId="43" xfId="113" applyFont="1" applyFill="1" applyBorder="1" applyAlignment="1">
      <alignment horizontal="center" vertical="center" wrapText="1"/>
    </xf>
    <xf numFmtId="10" fontId="4" fillId="0" borderId="53" xfId="76" applyNumberFormat="1" applyFont="1" applyBorder="1" applyAlignment="1">
      <alignment horizontal="center" vertical="center"/>
    </xf>
    <xf numFmtId="10" fontId="4" fillId="0" borderId="43" xfId="76" applyNumberFormat="1" applyFont="1" applyBorder="1" applyAlignment="1">
      <alignment horizontal="center" vertical="center"/>
    </xf>
    <xf numFmtId="0" fontId="4" fillId="0" borderId="53" xfId="113" applyFont="1" applyBorder="1" applyAlignment="1">
      <alignment horizontal="left" vertical="center"/>
    </xf>
    <xf numFmtId="0" fontId="4" fillId="0" borderId="41" xfId="113" applyFont="1" applyBorder="1" applyAlignment="1">
      <alignment horizontal="left" vertical="center"/>
    </xf>
    <xf numFmtId="0" fontId="4" fillId="0" borderId="43" xfId="113" applyFont="1" applyBorder="1" applyAlignment="1">
      <alignment horizontal="left" vertical="center"/>
    </xf>
    <xf numFmtId="0" fontId="49" fillId="0" borderId="45" xfId="113" applyFont="1" applyBorder="1" applyAlignment="1">
      <alignment horizontal="center" vertical="center"/>
    </xf>
    <xf numFmtId="0" fontId="49" fillId="0" borderId="44" xfId="113" applyFont="1" applyBorder="1" applyAlignment="1">
      <alignment horizontal="center" vertical="center"/>
    </xf>
    <xf numFmtId="0" fontId="49" fillId="0" borderId="54" xfId="113" applyFont="1" applyBorder="1" applyAlignment="1">
      <alignment horizontal="center" vertical="center"/>
    </xf>
    <xf numFmtId="0" fontId="49" fillId="0" borderId="47" xfId="113" applyFont="1" applyBorder="1" applyAlignment="1">
      <alignment horizontal="center" vertical="center"/>
    </xf>
    <xf numFmtId="0" fontId="51" fillId="26" borderId="45" xfId="113" applyFont="1" applyFill="1" applyBorder="1" applyAlignment="1">
      <alignment horizontal="center" vertical="center"/>
    </xf>
    <xf numFmtId="0" fontId="51" fillId="26" borderId="46" xfId="113" applyFont="1" applyFill="1" applyBorder="1" applyAlignment="1">
      <alignment horizontal="center" vertical="center"/>
    </xf>
    <xf numFmtId="0" fontId="51" fillId="26" borderId="44" xfId="113" applyFont="1" applyFill="1" applyBorder="1" applyAlignment="1">
      <alignment horizontal="center" vertical="center"/>
    </xf>
    <xf numFmtId="0" fontId="49" fillId="26" borderId="54" xfId="113" applyFont="1" applyFill="1" applyBorder="1" applyAlignment="1">
      <alignment horizontal="center" vertical="center"/>
    </xf>
    <xf numFmtId="0" fontId="49" fillId="26" borderId="48" xfId="113" applyFont="1" applyFill="1" applyBorder="1" applyAlignment="1">
      <alignment horizontal="center" vertical="center"/>
    </xf>
    <xf numFmtId="0" fontId="49" fillId="26" borderId="47" xfId="113" applyFont="1" applyFill="1" applyBorder="1" applyAlignment="1">
      <alignment horizontal="center" vertical="center"/>
    </xf>
    <xf numFmtId="0" fontId="4" fillId="0" borderId="53" xfId="113" applyFont="1" applyBorder="1" applyAlignment="1">
      <alignment horizontal="right" vertical="center"/>
    </xf>
    <xf numFmtId="0" fontId="4" fillId="0" borderId="43" xfId="113" applyFont="1" applyBorder="1" applyAlignment="1">
      <alignment horizontal="right" vertical="center"/>
    </xf>
    <xf numFmtId="10" fontId="52" fillId="0" borderId="53" xfId="78" applyNumberFormat="1" applyFont="1" applyBorder="1" applyAlignment="1">
      <alignment horizontal="center" vertical="center"/>
    </xf>
    <xf numFmtId="10" fontId="52" fillId="0" borderId="43" xfId="78" applyNumberFormat="1" applyFont="1" applyBorder="1" applyAlignment="1">
      <alignment horizontal="center" vertical="center"/>
    </xf>
    <xf numFmtId="173" fontId="49" fillId="0" borderId="50" xfId="78" applyNumberFormat="1" applyFont="1" applyBorder="1" applyAlignment="1">
      <alignment horizontal="center" vertical="center"/>
    </xf>
    <xf numFmtId="173" fontId="49" fillId="0" borderId="51" xfId="78" applyNumberFormat="1" applyFont="1" applyBorder="1" applyAlignment="1">
      <alignment horizontal="center" vertical="center"/>
    </xf>
    <xf numFmtId="173" fontId="49" fillId="0" borderId="52" xfId="78" applyNumberFormat="1" applyFont="1" applyBorder="1" applyAlignment="1">
      <alignment horizontal="center" vertical="center"/>
    </xf>
    <xf numFmtId="10" fontId="49" fillId="28" borderId="45" xfId="78" applyNumberFormat="1" applyFont="1" applyFill="1" applyBorder="1" applyAlignment="1">
      <alignment horizontal="center" vertical="center"/>
    </xf>
    <xf numFmtId="10" fontId="49" fillId="28" borderId="44" xfId="78" applyNumberFormat="1" applyFont="1" applyFill="1" applyBorder="1" applyAlignment="1">
      <alignment horizontal="center" vertical="center"/>
    </xf>
    <xf numFmtId="10" fontId="49" fillId="28" borderId="54" xfId="78" applyNumberFormat="1" applyFont="1" applyFill="1" applyBorder="1" applyAlignment="1">
      <alignment horizontal="center" vertical="center"/>
    </xf>
    <xf numFmtId="10" fontId="49" fillId="28" borderId="47" xfId="78" applyNumberFormat="1" applyFont="1" applyFill="1" applyBorder="1" applyAlignment="1">
      <alignment horizontal="center" vertical="center"/>
    </xf>
    <xf numFmtId="10" fontId="49" fillId="28" borderId="42" xfId="78" applyNumberFormat="1" applyFont="1" applyFill="1" applyBorder="1" applyAlignment="1">
      <alignment horizontal="center" vertical="center"/>
    </xf>
    <xf numFmtId="10" fontId="49" fillId="28" borderId="49" xfId="78" applyNumberFormat="1" applyFont="1" applyFill="1" applyBorder="1" applyAlignment="1">
      <alignment horizontal="center" vertical="center"/>
    </xf>
    <xf numFmtId="10" fontId="49" fillId="29" borderId="42" xfId="78" applyNumberFormat="1" applyFont="1" applyFill="1" applyBorder="1" applyAlignment="1">
      <alignment horizontal="center" vertical="center"/>
    </xf>
    <xf numFmtId="10" fontId="49" fillId="29" borderId="49" xfId="78" applyNumberFormat="1" applyFont="1" applyFill="1" applyBorder="1" applyAlignment="1">
      <alignment horizontal="center" vertical="center"/>
    </xf>
    <xf numFmtId="10" fontId="49" fillId="31" borderId="42" xfId="78" applyNumberFormat="1" applyFont="1" applyFill="1" applyBorder="1" applyAlignment="1">
      <alignment horizontal="center" vertical="center"/>
    </xf>
    <xf numFmtId="0" fontId="49" fillId="26" borderId="53" xfId="113" applyFont="1" applyFill="1" applyBorder="1" applyAlignment="1">
      <alignment horizontal="center" vertical="center"/>
    </xf>
    <xf numFmtId="0" fontId="49" fillId="26" borderId="41" xfId="113" applyFont="1" applyFill="1" applyBorder="1" applyAlignment="1">
      <alignment horizontal="center" vertical="center"/>
    </xf>
    <xf numFmtId="0" fontId="49" fillId="26" borderId="43" xfId="113" applyFont="1" applyFill="1" applyBorder="1" applyAlignment="1">
      <alignment horizontal="center" vertical="center"/>
    </xf>
    <xf numFmtId="0" fontId="4" fillId="28" borderId="53" xfId="113" applyFont="1" applyFill="1" applyBorder="1" applyAlignment="1">
      <alignment horizontal="left" vertical="center" wrapText="1"/>
    </xf>
    <xf numFmtId="0" fontId="4" fillId="28" borderId="41" xfId="113" applyFont="1" applyFill="1" applyBorder="1" applyAlignment="1">
      <alignment horizontal="left" vertical="center" wrapText="1"/>
    </xf>
    <xf numFmtId="0" fontId="4" fillId="28" borderId="43" xfId="113" applyFont="1" applyFill="1" applyBorder="1" applyAlignment="1">
      <alignment horizontal="left" vertical="center" wrapText="1"/>
    </xf>
    <xf numFmtId="0" fontId="47" fillId="30" borderId="42" xfId="113" applyFont="1" applyFill="1" applyBorder="1" applyAlignment="1">
      <alignment horizontal="center" vertical="center" wrapText="1"/>
    </xf>
    <xf numFmtId="0" fontId="47" fillId="30" borderId="42" xfId="113" applyFont="1" applyFill="1" applyBorder="1" applyAlignment="1">
      <alignment horizontal="center" vertical="center"/>
    </xf>
    <xf numFmtId="0" fontId="47" fillId="30" borderId="50" xfId="113" applyFont="1" applyFill="1" applyBorder="1" applyAlignment="1">
      <alignment horizontal="center" vertical="center" wrapText="1"/>
    </xf>
    <xf numFmtId="0" fontId="47" fillId="30" borderId="51" xfId="113" applyFont="1" applyFill="1" applyBorder="1" applyAlignment="1">
      <alignment horizontal="center" vertical="center" wrapText="1"/>
    </xf>
    <xf numFmtId="0" fontId="47" fillId="30" borderId="52" xfId="113" applyFont="1" applyFill="1" applyBorder="1" applyAlignment="1">
      <alignment horizontal="center" vertical="center" wrapText="1"/>
    </xf>
    <xf numFmtId="0" fontId="47" fillId="30" borderId="53" xfId="113" applyFont="1" applyFill="1" applyBorder="1" applyAlignment="1">
      <alignment horizontal="center" vertical="center"/>
    </xf>
    <xf numFmtId="0" fontId="47" fillId="30" borderId="41" xfId="113" applyFont="1" applyFill="1" applyBorder="1" applyAlignment="1">
      <alignment horizontal="center" vertical="center"/>
    </xf>
    <xf numFmtId="0" fontId="47" fillId="30" borderId="43" xfId="113" applyFont="1" applyFill="1" applyBorder="1" applyAlignment="1">
      <alignment horizontal="center" vertical="center"/>
    </xf>
    <xf numFmtId="0" fontId="4" fillId="31" borderId="53" xfId="113" applyFont="1" applyFill="1" applyBorder="1" applyAlignment="1">
      <alignment horizontal="justify" vertical="center" wrapText="1"/>
    </xf>
    <xf numFmtId="0" fontId="4" fillId="31" borderId="41" xfId="113" applyFont="1" applyFill="1" applyBorder="1" applyAlignment="1">
      <alignment horizontal="justify" vertical="center" wrapText="1"/>
    </xf>
    <xf numFmtId="0" fontId="4" fillId="31" borderId="43" xfId="113" applyFont="1" applyFill="1" applyBorder="1" applyAlignment="1">
      <alignment horizontal="justify" vertical="center" wrapText="1"/>
    </xf>
    <xf numFmtId="10" fontId="49" fillId="31" borderId="45" xfId="78" applyNumberFormat="1" applyFont="1" applyFill="1" applyBorder="1" applyAlignment="1">
      <alignment horizontal="center" vertical="center"/>
    </xf>
    <xf numFmtId="10" fontId="49" fillId="31" borderId="44" xfId="78" applyNumberFormat="1" applyFont="1" applyFill="1" applyBorder="1" applyAlignment="1">
      <alignment horizontal="center" vertical="center"/>
    </xf>
    <xf numFmtId="10" fontId="49" fillId="31" borderId="54" xfId="78" applyNumberFormat="1" applyFont="1" applyFill="1" applyBorder="1" applyAlignment="1">
      <alignment horizontal="center" vertical="center"/>
    </xf>
    <xf numFmtId="10" fontId="49" fillId="31" borderId="47" xfId="78" applyNumberFormat="1" applyFont="1" applyFill="1" applyBorder="1" applyAlignment="1">
      <alignment horizontal="center" vertical="center"/>
    </xf>
    <xf numFmtId="3" fontId="39" fillId="25" borderId="10" xfId="130" applyFont="1" applyFill="1" applyBorder="1" applyAlignment="1">
      <alignment horizontal="center" vertical="center" wrapText="1"/>
    </xf>
    <xf numFmtId="3" fontId="39" fillId="25" borderId="14" xfId="130" applyFont="1" applyFill="1" applyBorder="1" applyAlignment="1">
      <alignment horizontal="center" vertical="center" wrapText="1"/>
    </xf>
    <xf numFmtId="3" fontId="39" fillId="25" borderId="15" xfId="130" applyFont="1" applyFill="1" applyBorder="1" applyAlignment="1">
      <alignment horizontal="center" vertical="center" wrapText="1"/>
    </xf>
    <xf numFmtId="0" fontId="40" fillId="18" borderId="10" xfId="130" applyNumberFormat="1" applyFont="1" applyFill="1" applyBorder="1" applyAlignment="1">
      <alignment horizontal="left" vertical="center" wrapText="1"/>
    </xf>
    <xf numFmtId="0" fontId="40" fillId="18" borderId="10" xfId="130" applyNumberFormat="1" applyFont="1" applyFill="1" applyBorder="1" applyAlignment="1">
      <alignment horizontal="center" vertical="center" wrapText="1"/>
    </xf>
    <xf numFmtId="3" fontId="40" fillId="18" borderId="14" xfId="130" applyFont="1" applyFill="1" applyBorder="1" applyAlignment="1">
      <alignment horizontal="center" vertical="center" wrapText="1"/>
    </xf>
    <xf numFmtId="3" fontId="40" fillId="18" borderId="15" xfId="130" applyFont="1" applyFill="1" applyBorder="1" applyAlignment="1">
      <alignment horizontal="center" vertical="center" wrapText="1"/>
    </xf>
    <xf numFmtId="3" fontId="40" fillId="18" borderId="15" xfId="130" applyFont="1" applyFill="1" applyBorder="1" applyAlignment="1">
      <alignment horizontal="center" vertical="center"/>
    </xf>
    <xf numFmtId="3" fontId="40" fillId="18" borderId="10" xfId="130" applyFont="1" applyFill="1" applyBorder="1" applyAlignment="1">
      <alignment horizontal="center" vertical="center"/>
    </xf>
    <xf numFmtId="3" fontId="40" fillId="18" borderId="10" xfId="130" applyFont="1" applyFill="1" applyBorder="1" applyAlignment="1">
      <alignment horizontal="right" vertical="center"/>
    </xf>
    <xf numFmtId="3" fontId="40" fillId="18" borderId="13" xfId="130" applyFont="1" applyFill="1" applyBorder="1" applyAlignment="1">
      <alignment horizontal="center" vertical="center"/>
    </xf>
    <xf numFmtId="3" fontId="40" fillId="18" borderId="15" xfId="130" applyFont="1" applyFill="1" applyBorder="1" applyAlignment="1">
      <alignment horizontal="right" vertical="center"/>
    </xf>
    <xf numFmtId="2" fontId="40" fillId="18" borderId="10" xfId="130" applyNumberFormat="1" applyFont="1" applyFill="1" applyBorder="1" applyAlignment="1">
      <alignment horizontal="left" vertical="center"/>
    </xf>
    <xf numFmtId="2" fontId="40" fillId="22" borderId="10" xfId="130" applyNumberFormat="1" applyFont="1" applyFill="1" applyBorder="1" applyAlignment="1">
      <alignment horizontal="center" vertical="center"/>
    </xf>
    <xf numFmtId="2" fontId="39" fillId="18" borderId="10" xfId="130" applyNumberFormat="1" applyFont="1" applyFill="1" applyBorder="1" applyAlignment="1">
      <alignment horizontal="left" vertical="center"/>
    </xf>
    <xf numFmtId="2" fontId="39" fillId="18" borderId="10" xfId="130" applyNumberFormat="1" applyFont="1" applyFill="1" applyBorder="1" applyAlignment="1">
      <alignment horizontal="center" vertical="center"/>
    </xf>
    <xf numFmtId="3" fontId="40" fillId="18" borderId="10" xfId="130" applyFont="1" applyFill="1" applyBorder="1" applyAlignment="1">
      <alignment horizontal="left" vertical="center" wrapText="1"/>
    </xf>
    <xf numFmtId="3" fontId="40" fillId="18" borderId="10" xfId="130" applyFont="1" applyFill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 wrapText="1"/>
    </xf>
  </cellXfs>
  <cellStyles count="132">
    <cellStyle name="20% - Ênfase1 2" xfId="1" xr:uid="{00000000-0005-0000-0000-000000000000}"/>
    <cellStyle name="20% - Ênfase1 3" xfId="2" xr:uid="{00000000-0005-0000-0000-000001000000}"/>
    <cellStyle name="20% - Ênfase2 2" xfId="3" xr:uid="{00000000-0005-0000-0000-000002000000}"/>
    <cellStyle name="20% - Ênfase2 3" xfId="4" xr:uid="{00000000-0005-0000-0000-000003000000}"/>
    <cellStyle name="20% - Ênfase3 2" xfId="5" xr:uid="{00000000-0005-0000-0000-000004000000}"/>
    <cellStyle name="20% - Ênfase3 3" xfId="6" xr:uid="{00000000-0005-0000-0000-000005000000}"/>
    <cellStyle name="20% - Ênfase4 2" xfId="7" xr:uid="{00000000-0005-0000-0000-000006000000}"/>
    <cellStyle name="20% - Ênfase4 3" xfId="8" xr:uid="{00000000-0005-0000-0000-000007000000}"/>
    <cellStyle name="20% - Ênfase5 2" xfId="9" xr:uid="{00000000-0005-0000-0000-000008000000}"/>
    <cellStyle name="20% - Ênfase5 3" xfId="10" xr:uid="{00000000-0005-0000-0000-000009000000}"/>
    <cellStyle name="20% - Ênfase6 2" xfId="11" xr:uid="{00000000-0005-0000-0000-00000A000000}"/>
    <cellStyle name="20% - Ênfase6 3" xfId="12" xr:uid="{00000000-0005-0000-0000-00000B000000}"/>
    <cellStyle name="40% - Ênfase1 2" xfId="13" xr:uid="{00000000-0005-0000-0000-00000C000000}"/>
    <cellStyle name="40% - Ênfase1 3" xfId="14" xr:uid="{00000000-0005-0000-0000-00000D000000}"/>
    <cellStyle name="40% - Ênfase2 2" xfId="15" xr:uid="{00000000-0005-0000-0000-00000E000000}"/>
    <cellStyle name="40% - Ênfase2 3" xfId="16" xr:uid="{00000000-0005-0000-0000-00000F000000}"/>
    <cellStyle name="40% - Ênfase3 2" xfId="17" xr:uid="{00000000-0005-0000-0000-000010000000}"/>
    <cellStyle name="40% - Ênfase3 3" xfId="18" xr:uid="{00000000-0005-0000-0000-000011000000}"/>
    <cellStyle name="40% - Ênfase4 2" xfId="19" xr:uid="{00000000-0005-0000-0000-000012000000}"/>
    <cellStyle name="40% - Ênfase4 3" xfId="20" xr:uid="{00000000-0005-0000-0000-000013000000}"/>
    <cellStyle name="40% - Ênfase5 2" xfId="21" xr:uid="{00000000-0005-0000-0000-000014000000}"/>
    <cellStyle name="40% - Ênfase5 3" xfId="22" xr:uid="{00000000-0005-0000-0000-000015000000}"/>
    <cellStyle name="40% - Ênfase6 2" xfId="23" xr:uid="{00000000-0005-0000-0000-000016000000}"/>
    <cellStyle name="40% - Ênfase6 3" xfId="24" xr:uid="{00000000-0005-0000-0000-000017000000}"/>
    <cellStyle name="60% - Ênfase1 2" xfId="25" xr:uid="{00000000-0005-0000-0000-000018000000}"/>
    <cellStyle name="60% - Ênfase1 3" xfId="26" xr:uid="{00000000-0005-0000-0000-000019000000}"/>
    <cellStyle name="60% - Ênfase2 2" xfId="27" xr:uid="{00000000-0005-0000-0000-00001A000000}"/>
    <cellStyle name="60% - Ênfase2 3" xfId="28" xr:uid="{00000000-0005-0000-0000-00001B000000}"/>
    <cellStyle name="60% - Ênfase3 2" xfId="29" xr:uid="{00000000-0005-0000-0000-00001C000000}"/>
    <cellStyle name="60% - Ênfase3 3" xfId="30" xr:uid="{00000000-0005-0000-0000-00001D000000}"/>
    <cellStyle name="60% - Ênfase4 2" xfId="31" xr:uid="{00000000-0005-0000-0000-00001E000000}"/>
    <cellStyle name="60% - Ênfase4 3" xfId="32" xr:uid="{00000000-0005-0000-0000-00001F000000}"/>
    <cellStyle name="60% - Ênfase5 2" xfId="33" xr:uid="{00000000-0005-0000-0000-000020000000}"/>
    <cellStyle name="60% - Ênfase5 3" xfId="34" xr:uid="{00000000-0005-0000-0000-000021000000}"/>
    <cellStyle name="60% - Ênfase6 2" xfId="35" xr:uid="{00000000-0005-0000-0000-000022000000}"/>
    <cellStyle name="60% - Ênfase6 3" xfId="36" xr:uid="{00000000-0005-0000-0000-000023000000}"/>
    <cellStyle name="Bom 2" xfId="37" xr:uid="{00000000-0005-0000-0000-000024000000}"/>
    <cellStyle name="Bom 3" xfId="38" xr:uid="{00000000-0005-0000-0000-000025000000}"/>
    <cellStyle name="Cálculo 2" xfId="39" xr:uid="{00000000-0005-0000-0000-000026000000}"/>
    <cellStyle name="Cálculo 3" xfId="40" xr:uid="{00000000-0005-0000-0000-000027000000}"/>
    <cellStyle name="Célula de Verificação 2" xfId="41" xr:uid="{00000000-0005-0000-0000-000028000000}"/>
    <cellStyle name="Célula de Verificação 3" xfId="42" xr:uid="{00000000-0005-0000-0000-000029000000}"/>
    <cellStyle name="Célula Vinculada 2" xfId="43" xr:uid="{00000000-0005-0000-0000-00002A000000}"/>
    <cellStyle name="Célula Vinculada 3" xfId="44" xr:uid="{00000000-0005-0000-0000-00002B000000}"/>
    <cellStyle name="Ênfase1 2" xfId="45" xr:uid="{00000000-0005-0000-0000-00002C000000}"/>
    <cellStyle name="Ênfase1 3" xfId="46" xr:uid="{00000000-0005-0000-0000-00002D000000}"/>
    <cellStyle name="Ênfase2 2" xfId="47" xr:uid="{00000000-0005-0000-0000-00002E000000}"/>
    <cellStyle name="Ênfase2 3" xfId="48" xr:uid="{00000000-0005-0000-0000-00002F000000}"/>
    <cellStyle name="Ênfase3 2" xfId="49" xr:uid="{00000000-0005-0000-0000-000030000000}"/>
    <cellStyle name="Ênfase3 3" xfId="50" xr:uid="{00000000-0005-0000-0000-000031000000}"/>
    <cellStyle name="Ênfase4 2" xfId="51" xr:uid="{00000000-0005-0000-0000-000032000000}"/>
    <cellStyle name="Ênfase4 3" xfId="52" xr:uid="{00000000-0005-0000-0000-000033000000}"/>
    <cellStyle name="Ênfase5 2" xfId="53" xr:uid="{00000000-0005-0000-0000-000034000000}"/>
    <cellStyle name="Ênfase5 3" xfId="54" xr:uid="{00000000-0005-0000-0000-000035000000}"/>
    <cellStyle name="Ênfase6 2" xfId="55" xr:uid="{00000000-0005-0000-0000-000036000000}"/>
    <cellStyle name="Ênfase6 3" xfId="56" xr:uid="{00000000-0005-0000-0000-000037000000}"/>
    <cellStyle name="Entrada 2" xfId="57" xr:uid="{00000000-0005-0000-0000-000038000000}"/>
    <cellStyle name="Entrada 3" xfId="58" xr:uid="{00000000-0005-0000-0000-000039000000}"/>
    <cellStyle name="Incorreto 2" xfId="59" xr:uid="{00000000-0005-0000-0000-00003A000000}"/>
    <cellStyle name="Incorreto 3" xfId="60" xr:uid="{00000000-0005-0000-0000-00003B000000}"/>
    <cellStyle name="Moeda" xfId="131" builtinId="4"/>
    <cellStyle name="Moeda 2" xfId="61" xr:uid="{00000000-0005-0000-0000-00003D000000}"/>
    <cellStyle name="Moeda 2 2" xfId="62" xr:uid="{00000000-0005-0000-0000-00003E000000}"/>
    <cellStyle name="Moeda 2 3" xfId="129" xr:uid="{BDFA09F1-422F-4408-BF75-B56F4774CC10}"/>
    <cellStyle name="Moeda 3" xfId="63" xr:uid="{00000000-0005-0000-0000-00003F000000}"/>
    <cellStyle name="Moeda 4" xfId="114" xr:uid="{DEAB0099-DA0B-41D2-8AD5-4E3CA896183B}"/>
    <cellStyle name="Moeda 5" xfId="121" xr:uid="{61007AB9-A3D7-4F4F-8330-89933D836851}"/>
    <cellStyle name="Neutra 2" xfId="64" xr:uid="{00000000-0005-0000-0000-000040000000}"/>
    <cellStyle name="Neutra 3" xfId="65" xr:uid="{00000000-0005-0000-0000-000041000000}"/>
    <cellStyle name="Normal" xfId="0" builtinId="0"/>
    <cellStyle name="Normal 10" xfId="113" xr:uid="{00000000-0005-0000-0000-000043000000}"/>
    <cellStyle name="Normal 2" xfId="66" xr:uid="{00000000-0005-0000-0000-000044000000}"/>
    <cellStyle name="Normal 2 2" xfId="67" xr:uid="{00000000-0005-0000-0000-000045000000}"/>
    <cellStyle name="Normal 2 2 2" xfId="124" xr:uid="{CEFDD53A-74C7-4FBE-963C-262BFF7C00AA}"/>
    <cellStyle name="Normal 2 2 3" xfId="118" xr:uid="{827B2D85-987F-484E-97C9-7573B9C49560}"/>
    <cellStyle name="Normal 2 3" xfId="68" xr:uid="{00000000-0005-0000-0000-000046000000}"/>
    <cellStyle name="Normal 2 4" xfId="126" xr:uid="{3ED8ECE9-6CE1-42C7-B31E-04CDCACD3276}"/>
    <cellStyle name="Normal 3" xfId="69" xr:uid="{00000000-0005-0000-0000-000047000000}"/>
    <cellStyle name="Normal 3 2" xfId="128" xr:uid="{F46DD079-0EFF-4A9F-98CB-F2C78D4EBC7C}"/>
    <cellStyle name="Normal 4" xfId="70" xr:uid="{00000000-0005-0000-0000-000048000000}"/>
    <cellStyle name="Normal 5" xfId="71" xr:uid="{00000000-0005-0000-0000-000049000000}"/>
    <cellStyle name="Normal 6" xfId="115" xr:uid="{7324437A-4C21-4D32-AEF6-C0CC46B14E74}"/>
    <cellStyle name="Normal 7" xfId="122" xr:uid="{2863A6FD-9BC1-46E9-9B6C-04E964A73DA2}"/>
    <cellStyle name="Normal 9" xfId="119" xr:uid="{13290133-3376-486D-BE07-1B8596F4D227}"/>
    <cellStyle name="Normal_Estrutura_de_preços_-_CODEVASF_versão10" xfId="130" xr:uid="{911A9ADA-EE4E-464E-86E4-3DE1999D2C4F}"/>
    <cellStyle name="Nota 2" xfId="72" xr:uid="{00000000-0005-0000-0000-00004B000000}"/>
    <cellStyle name="Nota 3" xfId="73" xr:uid="{00000000-0005-0000-0000-00004C000000}"/>
    <cellStyle name="Nota 4" xfId="74" xr:uid="{00000000-0005-0000-0000-00004D000000}"/>
    <cellStyle name="Percentagem 2" xfId="75" xr:uid="{00000000-0005-0000-0000-00004E000000}"/>
    <cellStyle name="Porcentagem" xfId="76" builtinId="5"/>
    <cellStyle name="Porcentagem 2" xfId="77" xr:uid="{00000000-0005-0000-0000-000050000000}"/>
    <cellStyle name="Porcentagem 2 2" xfId="78" xr:uid="{00000000-0005-0000-0000-000051000000}"/>
    <cellStyle name="Porcentagem 2 3" xfId="79" xr:uid="{00000000-0005-0000-0000-000052000000}"/>
    <cellStyle name="Porcentagem 2 4" xfId="80" xr:uid="{00000000-0005-0000-0000-000053000000}"/>
    <cellStyle name="Porcentagem 2 5" xfId="117" xr:uid="{06DEF1E7-1119-430E-BA45-F084C6B5835F}"/>
    <cellStyle name="Porcentagem 3" xfId="81" xr:uid="{00000000-0005-0000-0000-000054000000}"/>
    <cellStyle name="Porcentagem 3 2" xfId="127" xr:uid="{DFB0C291-6456-43B7-B7E7-E42835C058A2}"/>
    <cellStyle name="Porcentagem 4" xfId="82" xr:uid="{00000000-0005-0000-0000-000055000000}"/>
    <cellStyle name="Porcentagem 5" xfId="83" xr:uid="{00000000-0005-0000-0000-000056000000}"/>
    <cellStyle name="Porcentagem 6" xfId="116" xr:uid="{0A8C3701-9AF2-42BB-A1E6-09D29EC45628}"/>
    <cellStyle name="Porcentagem 9" xfId="123" xr:uid="{3E7DFA65-3C29-4CC9-952A-39514E9A60CB}"/>
    <cellStyle name="Saída 2" xfId="84" xr:uid="{00000000-0005-0000-0000-000057000000}"/>
    <cellStyle name="Saída 3" xfId="85" xr:uid="{00000000-0005-0000-0000-000058000000}"/>
    <cellStyle name="Separador de milhares 2" xfId="86" xr:uid="{00000000-0005-0000-0000-000059000000}"/>
    <cellStyle name="Separador de milhares 2 2" xfId="87" xr:uid="{00000000-0005-0000-0000-00005A000000}"/>
    <cellStyle name="Separador de milhares 2 2 2" xfId="88" xr:uid="{00000000-0005-0000-0000-00005B000000}"/>
    <cellStyle name="Separador de milhares 2 3" xfId="89" xr:uid="{00000000-0005-0000-0000-00005C000000}"/>
    <cellStyle name="Separador de milhares 3" xfId="90" xr:uid="{00000000-0005-0000-0000-00005D000000}"/>
    <cellStyle name="Separador de milhares 3 2" xfId="91" xr:uid="{00000000-0005-0000-0000-00005E000000}"/>
    <cellStyle name="Separador de milhares 4" xfId="92" xr:uid="{00000000-0005-0000-0000-00005F000000}"/>
    <cellStyle name="Separador de milhares 5" xfId="120" xr:uid="{4263FF68-A1AA-485B-A266-12000B2B73AF}"/>
    <cellStyle name="Texto de Aviso 2" xfId="93" xr:uid="{00000000-0005-0000-0000-000060000000}"/>
    <cellStyle name="Texto de Aviso 3" xfId="94" xr:uid="{00000000-0005-0000-0000-000061000000}"/>
    <cellStyle name="Texto Explicativo 2" xfId="95" xr:uid="{00000000-0005-0000-0000-000062000000}"/>
    <cellStyle name="Texto Explicativo 3" xfId="96" xr:uid="{00000000-0005-0000-0000-000063000000}"/>
    <cellStyle name="Título 1 2" xfId="97" xr:uid="{00000000-0005-0000-0000-000064000000}"/>
    <cellStyle name="Título 1 3" xfId="98" xr:uid="{00000000-0005-0000-0000-000065000000}"/>
    <cellStyle name="Título 2 2" xfId="99" xr:uid="{00000000-0005-0000-0000-000066000000}"/>
    <cellStyle name="Título 2 3" xfId="100" xr:uid="{00000000-0005-0000-0000-000067000000}"/>
    <cellStyle name="Título 3 2" xfId="101" xr:uid="{00000000-0005-0000-0000-000068000000}"/>
    <cellStyle name="Título 3 3" xfId="102" xr:uid="{00000000-0005-0000-0000-000069000000}"/>
    <cellStyle name="Título 4 2" xfId="103" xr:uid="{00000000-0005-0000-0000-00006A000000}"/>
    <cellStyle name="Título 4 3" xfId="104" xr:uid="{00000000-0005-0000-0000-00006B000000}"/>
    <cellStyle name="Título 5" xfId="105" xr:uid="{00000000-0005-0000-0000-00006C000000}"/>
    <cellStyle name="Título 6" xfId="106" xr:uid="{00000000-0005-0000-0000-00006D000000}"/>
    <cellStyle name="Total 2" xfId="107" xr:uid="{00000000-0005-0000-0000-00006E000000}"/>
    <cellStyle name="Total 3" xfId="108" xr:uid="{00000000-0005-0000-0000-00006F000000}"/>
    <cellStyle name="Vírgula" xfId="109" builtinId="3"/>
    <cellStyle name="Vírgula 2" xfId="110" xr:uid="{00000000-0005-0000-0000-000071000000}"/>
    <cellStyle name="Vírgula 2 2" xfId="125" xr:uid="{7B62AED0-BA5B-4FFF-8B18-F03A22C65975}"/>
    <cellStyle name="Vírgula 3" xfId="111" xr:uid="{00000000-0005-0000-0000-000072000000}"/>
    <cellStyle name="Vírgula 5" xfId="112" xr:uid="{00000000-0005-0000-0000-000073000000}"/>
  </cellStyles>
  <dxfs count="0"/>
  <tableStyles count="0" defaultTableStyle="TableStyleMedium9" defaultPivotStyle="PivotStyleLight16"/>
  <colors>
    <mruColors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0</xdr:row>
      <xdr:rowOff>28575</xdr:rowOff>
    </xdr:from>
    <xdr:to>
      <xdr:col>10</xdr:col>
      <xdr:colOff>1000125</xdr:colOff>
      <xdr:row>3</xdr:row>
      <xdr:rowOff>114300</xdr:rowOff>
    </xdr:to>
    <xdr:pic>
      <xdr:nvPicPr>
        <xdr:cNvPr id="51225" name="Imagem 1" descr="logo">
          <a:extLst>
            <a:ext uri="{FF2B5EF4-FFF2-40B4-BE49-F238E27FC236}">
              <a16:creationId xmlns:a16="http://schemas.microsoft.com/office/drawing/2014/main" id="{F2163822-9E7F-F328-A9CD-2FEBA0A91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28575"/>
          <a:ext cx="16573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showGridLines="0" topLeftCell="A4" zoomScale="76" zoomScaleNormal="76" workbookViewId="0">
      <selection activeCell="J44" sqref="J44"/>
    </sheetView>
  </sheetViews>
  <sheetFormatPr defaultColWidth="9.140625" defaultRowHeight="12.75" x14ac:dyDescent="0.2"/>
  <cols>
    <col min="1" max="1" width="8.85546875" style="6" customWidth="1"/>
    <col min="2" max="2" width="11" style="6" customWidth="1"/>
    <col min="3" max="3" width="22.28515625" style="6" customWidth="1"/>
    <col min="4" max="5" width="16.140625" style="7" customWidth="1"/>
    <col min="6" max="6" width="16.140625" style="6" customWidth="1"/>
    <col min="7" max="7" width="16.85546875" style="6" customWidth="1"/>
    <col min="8" max="8" width="16" style="6" customWidth="1"/>
    <col min="9" max="9" width="15.7109375" style="6" customWidth="1"/>
    <col min="10" max="10" width="16.42578125" style="6" customWidth="1"/>
    <col min="11" max="11" width="15.5703125" style="6" customWidth="1"/>
    <col min="12" max="16384" width="9.140625" style="6"/>
  </cols>
  <sheetData>
    <row r="1" spans="1:11" s="1" customFormat="1" ht="18" customHeight="1" x14ac:dyDescent="0.2">
      <c r="A1" s="1" t="s">
        <v>4</v>
      </c>
      <c r="B1" s="8"/>
      <c r="F1" s="8"/>
      <c r="G1" s="1" t="s">
        <v>5</v>
      </c>
      <c r="H1" s="8"/>
    </row>
    <row r="2" spans="1:11" s="1" customFormat="1" ht="18" customHeight="1" x14ac:dyDescent="0.2">
      <c r="A2" s="1" t="s">
        <v>10</v>
      </c>
      <c r="B2" s="8"/>
      <c r="F2" s="8"/>
      <c r="G2" s="1" t="s">
        <v>6</v>
      </c>
      <c r="H2" s="8"/>
    </row>
    <row r="3" spans="1:11" s="1" customFormat="1" ht="18" customHeight="1" x14ac:dyDescent="0.2">
      <c r="A3" s="1" t="s">
        <v>11</v>
      </c>
      <c r="B3" s="8"/>
      <c r="F3" s="8"/>
      <c r="G3" s="1" t="s">
        <v>7</v>
      </c>
      <c r="H3" s="8"/>
    </row>
    <row r="4" spans="1:11" s="1" customFormat="1" ht="18" customHeight="1" x14ac:dyDescent="0.2">
      <c r="A4" s="1" t="s">
        <v>12</v>
      </c>
      <c r="B4" s="8"/>
      <c r="F4" s="8"/>
      <c r="G4" s="1" t="s">
        <v>8</v>
      </c>
      <c r="H4" s="8"/>
    </row>
    <row r="5" spans="1:11" s="1" customFormat="1" ht="18" customHeight="1" x14ac:dyDescent="0.2">
      <c r="A5" s="1" t="s">
        <v>13</v>
      </c>
      <c r="B5" s="8"/>
      <c r="F5" s="8"/>
      <c r="G5" s="1" t="s">
        <v>9</v>
      </c>
      <c r="H5" s="8"/>
    </row>
    <row r="6" spans="1:11" s="1" customFormat="1" ht="18" customHeight="1" x14ac:dyDescent="0.2">
      <c r="A6" s="258" t="s">
        <v>14</v>
      </c>
      <c r="B6" s="258"/>
      <c r="C6" s="10"/>
      <c r="D6" s="9"/>
      <c r="E6" s="9"/>
      <c r="F6" s="9"/>
      <c r="G6" s="9"/>
      <c r="H6" s="9"/>
    </row>
    <row r="7" spans="1:11" s="3" customFormat="1" ht="24" customHeight="1" x14ac:dyDescent="0.3">
      <c r="A7" s="4" t="s">
        <v>24</v>
      </c>
      <c r="B7" s="4"/>
      <c r="C7" s="4"/>
      <c r="D7" s="259"/>
      <c r="E7" s="259"/>
      <c r="F7" s="4"/>
      <c r="G7" s="4"/>
      <c r="H7" s="5"/>
    </row>
    <row r="8" spans="1:11" s="21" customFormat="1" ht="48.75" customHeight="1" x14ac:dyDescent="0.2">
      <c r="A8" s="2" t="s">
        <v>0</v>
      </c>
      <c r="B8" s="2" t="s">
        <v>1</v>
      </c>
      <c r="C8" s="25" t="s">
        <v>29</v>
      </c>
      <c r="D8" s="12" t="s">
        <v>15</v>
      </c>
      <c r="E8" s="12" t="s">
        <v>16</v>
      </c>
      <c r="F8" s="11" t="s">
        <v>17</v>
      </c>
      <c r="G8" s="11" t="s">
        <v>18</v>
      </c>
      <c r="H8" s="11" t="s">
        <v>19</v>
      </c>
      <c r="I8" s="11" t="s">
        <v>20</v>
      </c>
      <c r="J8" s="11" t="s">
        <v>25</v>
      </c>
      <c r="K8" s="11" t="s">
        <v>26</v>
      </c>
    </row>
    <row r="9" spans="1:11" s="21" customFormat="1" ht="40.5" customHeight="1" x14ac:dyDescent="0.2">
      <c r="A9" s="254">
        <v>1</v>
      </c>
      <c r="B9" s="255" t="s">
        <v>2</v>
      </c>
      <c r="C9" s="256" t="e">
        <f>#REF!</f>
        <v>#REF!</v>
      </c>
      <c r="D9" s="13" t="s">
        <v>21</v>
      </c>
      <c r="E9" s="14" t="e">
        <f>E10/E18</f>
        <v>#REF!</v>
      </c>
      <c r="F9" s="14">
        <v>0.8</v>
      </c>
      <c r="G9" s="14"/>
      <c r="H9" s="14"/>
      <c r="I9" s="15"/>
      <c r="J9" s="14"/>
      <c r="K9" s="14">
        <v>0.2</v>
      </c>
    </row>
    <row r="10" spans="1:11" s="21" customFormat="1" ht="40.5" customHeight="1" x14ac:dyDescent="0.2">
      <c r="A10" s="254"/>
      <c r="B10" s="255"/>
      <c r="C10" s="256"/>
      <c r="D10" s="13" t="s">
        <v>22</v>
      </c>
      <c r="E10" s="16" t="e">
        <f>#REF!</f>
        <v>#REF!</v>
      </c>
      <c r="F10" s="16" t="e">
        <f>0.8*E10</f>
        <v>#REF!</v>
      </c>
      <c r="G10" s="16"/>
      <c r="H10" s="16"/>
      <c r="I10" s="16"/>
      <c r="J10" s="16"/>
      <c r="K10" s="16" t="e">
        <f>K9*E10</f>
        <v>#REF!</v>
      </c>
    </row>
    <row r="11" spans="1:11" s="21" customFormat="1" ht="40.5" customHeight="1" x14ac:dyDescent="0.2">
      <c r="A11" s="254">
        <v>2</v>
      </c>
      <c r="B11" s="255" t="s">
        <v>27</v>
      </c>
      <c r="C11" s="256" t="e">
        <f>#REF!</f>
        <v>#REF!</v>
      </c>
      <c r="D11" s="13" t="s">
        <v>21</v>
      </c>
      <c r="E11" s="17" t="e">
        <f>E12/E18</f>
        <v>#REF!</v>
      </c>
      <c r="F11" s="17">
        <v>0.2</v>
      </c>
      <c r="G11" s="17">
        <v>0.6</v>
      </c>
      <c r="H11" s="17">
        <v>0.2</v>
      </c>
      <c r="I11" s="17"/>
      <c r="J11" s="17"/>
      <c r="K11" s="17"/>
    </row>
    <row r="12" spans="1:11" s="21" customFormat="1" ht="40.5" customHeight="1" x14ac:dyDescent="0.2">
      <c r="A12" s="254"/>
      <c r="B12" s="255"/>
      <c r="C12" s="256"/>
      <c r="D12" s="13" t="s">
        <v>22</v>
      </c>
      <c r="E12" s="16" t="e">
        <f>#REF!</f>
        <v>#REF!</v>
      </c>
      <c r="F12" s="16" t="e">
        <f>F11*E12</f>
        <v>#REF!</v>
      </c>
      <c r="G12" s="16" t="e">
        <f>G11*E12</f>
        <v>#REF!</v>
      </c>
      <c r="H12" s="16" t="e">
        <f>H11*E12</f>
        <v>#REF!</v>
      </c>
      <c r="I12" s="16"/>
      <c r="J12" s="16"/>
      <c r="K12" s="18"/>
    </row>
    <row r="13" spans="1:11" s="21" customFormat="1" ht="40.5" customHeight="1" x14ac:dyDescent="0.2">
      <c r="A13" s="254">
        <v>3</v>
      </c>
      <c r="B13" s="255" t="s">
        <v>28</v>
      </c>
      <c r="C13" s="256" t="e">
        <f>#REF!</f>
        <v>#REF!</v>
      </c>
      <c r="D13" s="13" t="s">
        <v>21</v>
      </c>
      <c r="E13" s="17" t="e">
        <f>E14/E18</f>
        <v>#REF!</v>
      </c>
      <c r="F13" s="17">
        <v>0.1</v>
      </c>
      <c r="G13" s="17">
        <v>0.3</v>
      </c>
      <c r="H13" s="17">
        <v>0.4</v>
      </c>
      <c r="I13" s="17">
        <v>0.2</v>
      </c>
      <c r="J13" s="17"/>
      <c r="K13" s="17"/>
    </row>
    <row r="14" spans="1:11" s="21" customFormat="1" ht="40.5" customHeight="1" x14ac:dyDescent="0.2">
      <c r="A14" s="254"/>
      <c r="B14" s="255"/>
      <c r="C14" s="256"/>
      <c r="D14" s="13" t="s">
        <v>22</v>
      </c>
      <c r="E14" s="16" t="e">
        <f>#REF!</f>
        <v>#REF!</v>
      </c>
      <c r="F14" s="16" t="e">
        <f>F13*E14</f>
        <v>#REF!</v>
      </c>
      <c r="G14" s="16" t="e">
        <f>G13*E14</f>
        <v>#REF!</v>
      </c>
      <c r="H14" s="16" t="e">
        <f>H13*E14</f>
        <v>#REF!</v>
      </c>
      <c r="I14" s="16" t="e">
        <f>I13*E14</f>
        <v>#REF!</v>
      </c>
      <c r="J14" s="16"/>
      <c r="K14" s="18"/>
    </row>
    <row r="15" spans="1:11" s="21" customFormat="1" ht="40.5" customHeight="1" x14ac:dyDescent="0.2">
      <c r="A15" s="254">
        <v>3</v>
      </c>
      <c r="B15" s="255" t="s">
        <v>3</v>
      </c>
      <c r="C15" s="256" t="e">
        <f>#REF!</f>
        <v>#REF!</v>
      </c>
      <c r="D15" s="13" t="s">
        <v>21</v>
      </c>
      <c r="E15" s="17" t="e">
        <f>E16/E18</f>
        <v>#REF!</v>
      </c>
      <c r="F15" s="14"/>
      <c r="G15" s="14">
        <v>0.2</v>
      </c>
      <c r="H15" s="14">
        <v>0.4</v>
      </c>
      <c r="I15" s="15">
        <v>0.2</v>
      </c>
      <c r="J15" s="14">
        <v>0.2</v>
      </c>
      <c r="K15" s="14"/>
    </row>
    <row r="16" spans="1:11" s="21" customFormat="1" ht="40.5" customHeight="1" x14ac:dyDescent="0.2">
      <c r="A16" s="254"/>
      <c r="B16" s="255"/>
      <c r="C16" s="256"/>
      <c r="D16" s="13" t="s">
        <v>22</v>
      </c>
      <c r="E16" s="16" t="e">
        <f>#REF!</f>
        <v>#REF!</v>
      </c>
      <c r="F16" s="16"/>
      <c r="G16" s="16" t="e">
        <f>G15*E16</f>
        <v>#REF!</v>
      </c>
      <c r="H16" s="16" t="e">
        <f>H15*E16</f>
        <v>#REF!</v>
      </c>
      <c r="I16" s="16" t="e">
        <f>I15*E16</f>
        <v>#REF!</v>
      </c>
      <c r="J16" s="16" t="e">
        <f>J15*E16</f>
        <v>#REF!</v>
      </c>
      <c r="K16" s="18"/>
    </row>
    <row r="17" spans="1:12" s="21" customFormat="1" ht="40.5" customHeight="1" x14ac:dyDescent="0.2">
      <c r="A17" s="257" t="s">
        <v>23</v>
      </c>
      <c r="B17" s="257"/>
      <c r="C17" s="257"/>
      <c r="D17" s="19" t="s">
        <v>21</v>
      </c>
      <c r="E17" s="14" t="e">
        <f>E9+E11+E15</f>
        <v>#REF!</v>
      </c>
      <c r="F17" s="14" t="e">
        <f t="shared" ref="F17:K17" si="0">F18/$E$18</f>
        <v>#REF!</v>
      </c>
      <c r="G17" s="14" t="e">
        <f t="shared" si="0"/>
        <v>#REF!</v>
      </c>
      <c r="H17" s="14" t="e">
        <f t="shared" si="0"/>
        <v>#REF!</v>
      </c>
      <c r="I17" s="14" t="e">
        <f t="shared" si="0"/>
        <v>#REF!</v>
      </c>
      <c r="J17" s="14" t="e">
        <f t="shared" si="0"/>
        <v>#REF!</v>
      </c>
      <c r="K17" s="14" t="e">
        <f t="shared" si="0"/>
        <v>#REF!</v>
      </c>
      <c r="L17" s="22"/>
    </row>
    <row r="18" spans="1:12" s="21" customFormat="1" ht="40.5" customHeight="1" x14ac:dyDescent="0.2">
      <c r="A18" s="257"/>
      <c r="B18" s="257"/>
      <c r="C18" s="257"/>
      <c r="D18" s="19" t="s">
        <v>22</v>
      </c>
      <c r="E18" s="20" t="e">
        <f>E10+E12+E14+E16</f>
        <v>#REF!</v>
      </c>
      <c r="F18" s="20" t="e">
        <f t="shared" ref="F18:K18" si="1">F10+F12+F14+F16</f>
        <v>#REF!</v>
      </c>
      <c r="G18" s="20" t="e">
        <f t="shared" si="1"/>
        <v>#REF!</v>
      </c>
      <c r="H18" s="20" t="e">
        <f t="shared" si="1"/>
        <v>#REF!</v>
      </c>
      <c r="I18" s="20" t="e">
        <f t="shared" si="1"/>
        <v>#REF!</v>
      </c>
      <c r="J18" s="20" t="e">
        <f t="shared" si="1"/>
        <v>#REF!</v>
      </c>
      <c r="K18" s="20" t="e">
        <f t="shared" si="1"/>
        <v>#REF!</v>
      </c>
      <c r="L18" s="23"/>
    </row>
    <row r="19" spans="1:12" s="21" customFormat="1" ht="15" x14ac:dyDescent="0.2">
      <c r="D19" s="24"/>
      <c r="E19" s="24"/>
    </row>
    <row r="20" spans="1:12" s="21" customFormat="1" ht="15" x14ac:dyDescent="0.2">
      <c r="D20" s="24"/>
      <c r="E20" s="24"/>
    </row>
    <row r="21" spans="1:12" s="21" customFormat="1" ht="15" x14ac:dyDescent="0.2">
      <c r="D21" s="24"/>
      <c r="E21" s="24"/>
    </row>
  </sheetData>
  <mergeCells count="15">
    <mergeCell ref="A6:B6"/>
    <mergeCell ref="D7:E7"/>
    <mergeCell ref="A9:A10"/>
    <mergeCell ref="B9:B10"/>
    <mergeCell ref="C9:C10"/>
    <mergeCell ref="A11:A12"/>
    <mergeCell ref="B11:B12"/>
    <mergeCell ref="C11:C12"/>
    <mergeCell ref="A17:C18"/>
    <mergeCell ref="A13:A14"/>
    <mergeCell ref="B13:B14"/>
    <mergeCell ref="C13:C14"/>
    <mergeCell ref="A15:A16"/>
    <mergeCell ref="B15:B16"/>
    <mergeCell ref="C15:C16"/>
  </mergeCells>
  <printOptions horizontalCentered="1"/>
  <pageMargins left="0.51181102362204722" right="0.51181102362204722" top="0.74803149606299213" bottom="0.78740157480314965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showGridLines="0" view="pageBreakPreview" topLeftCell="A40" zoomScale="80" zoomScaleNormal="100" zoomScaleSheetLayoutView="80" workbookViewId="0">
      <selection activeCell="B57" sqref="B57:D57"/>
    </sheetView>
  </sheetViews>
  <sheetFormatPr defaultColWidth="9.140625" defaultRowHeight="14.25" x14ac:dyDescent="0.2"/>
  <cols>
    <col min="1" max="1" width="9.85546875" style="29" customWidth="1"/>
    <col min="2" max="2" width="16.7109375" style="29" customWidth="1"/>
    <col min="3" max="3" width="15.85546875" style="32" customWidth="1"/>
    <col min="4" max="4" width="69.5703125" style="43" customWidth="1"/>
    <col min="5" max="5" width="9.5703125" style="32" customWidth="1"/>
    <col min="6" max="6" width="18" style="29" customWidth="1"/>
    <col min="7" max="7" width="13.42578125" style="29" bestFit="1" customWidth="1"/>
    <col min="8" max="8" width="12.28515625" style="29" bestFit="1" customWidth="1"/>
    <col min="9" max="9" width="19" style="32" customWidth="1"/>
    <col min="10" max="10" width="17.28515625" style="29" bestFit="1" customWidth="1"/>
    <col min="11" max="11" width="19" style="29" customWidth="1"/>
    <col min="12" max="12" width="14.7109375" style="29" customWidth="1"/>
    <col min="13" max="13" width="15" style="29" customWidth="1"/>
    <col min="14" max="14" width="14" style="29" customWidth="1"/>
    <col min="15" max="37" width="9.140625" style="29" customWidth="1"/>
    <col min="38" max="16384" width="9.140625" style="29"/>
  </cols>
  <sheetData>
    <row r="1" spans="1:25" s="200" customFormat="1" ht="18" customHeight="1" x14ac:dyDescent="0.25">
      <c r="A1" s="206"/>
      <c r="B1" s="207"/>
      <c r="C1" s="213"/>
      <c r="D1" s="213"/>
      <c r="E1" s="213"/>
      <c r="F1" s="213"/>
      <c r="G1" s="213"/>
      <c r="H1" s="213"/>
      <c r="I1" s="214"/>
    </row>
    <row r="2" spans="1:25" s="200" customFormat="1" ht="18" customHeight="1" x14ac:dyDescent="0.2">
      <c r="A2" s="111"/>
      <c r="B2" s="201"/>
      <c r="C2" s="215"/>
      <c r="D2" s="215"/>
      <c r="E2" s="215"/>
      <c r="F2" s="215"/>
      <c r="G2" s="215"/>
      <c r="H2" s="215"/>
      <c r="I2" s="216"/>
    </row>
    <row r="3" spans="1:25" s="200" customFormat="1" ht="18" customHeight="1" x14ac:dyDescent="0.2">
      <c r="A3" s="111"/>
      <c r="B3" s="201"/>
      <c r="C3" s="217"/>
      <c r="D3" s="217"/>
      <c r="E3" s="217"/>
      <c r="F3" s="217"/>
      <c r="G3" s="217"/>
      <c r="H3" s="217"/>
      <c r="I3" s="218"/>
    </row>
    <row r="4" spans="1:25" s="200" customFormat="1" ht="5.0999999999999996" customHeight="1" thickBot="1" x14ac:dyDescent="0.25">
      <c r="A4" s="88"/>
      <c r="B4" s="208"/>
      <c r="C4" s="209"/>
      <c r="D4" s="209"/>
      <c r="E4" s="209"/>
      <c r="F4" s="209"/>
      <c r="G4" s="209"/>
      <c r="H4" s="209"/>
      <c r="I4" s="210"/>
    </row>
    <row r="5" spans="1:25" ht="15.75" thickBot="1" x14ac:dyDescent="0.25">
      <c r="A5" s="220"/>
      <c r="B5" s="221"/>
      <c r="C5" s="221"/>
      <c r="D5" s="221"/>
      <c r="E5" s="221"/>
      <c r="F5" s="221"/>
      <c r="G5" s="221"/>
      <c r="H5" s="221"/>
      <c r="I5" s="222"/>
    </row>
    <row r="6" spans="1:25" x14ac:dyDescent="0.2">
      <c r="A6" s="227"/>
      <c r="B6" s="228"/>
      <c r="C6" s="228"/>
      <c r="D6" s="228"/>
      <c r="E6" s="228"/>
      <c r="F6" s="228"/>
      <c r="G6" s="228"/>
      <c r="H6" s="228"/>
      <c r="I6" s="229"/>
    </row>
    <row r="7" spans="1:25" ht="15" x14ac:dyDescent="0.2">
      <c r="A7" s="230" t="s">
        <v>69</v>
      </c>
      <c r="B7" s="231"/>
      <c r="C7" s="231"/>
      <c r="D7" s="231"/>
      <c r="E7" s="231"/>
      <c r="F7" s="231"/>
      <c r="G7" s="231"/>
      <c r="H7" s="231"/>
      <c r="I7" s="232"/>
    </row>
    <row r="8" spans="1:25" ht="15" x14ac:dyDescent="0.2">
      <c r="A8" s="233" t="s">
        <v>52</v>
      </c>
      <c r="B8" s="234"/>
      <c r="C8" s="234"/>
      <c r="D8" s="234"/>
      <c r="E8" s="234"/>
      <c r="F8" s="234"/>
      <c r="G8" s="234"/>
      <c r="H8" s="234"/>
      <c r="I8" s="235"/>
    </row>
    <row r="9" spans="1:25" ht="41.25" customHeight="1" x14ac:dyDescent="0.2">
      <c r="A9" s="75" t="s">
        <v>64</v>
      </c>
      <c r="B9" s="236" t="s">
        <v>296</v>
      </c>
      <c r="C9" s="237"/>
      <c r="D9" s="237"/>
      <c r="E9" s="238"/>
      <c r="F9" s="239"/>
      <c r="G9" s="240"/>
      <c r="H9" s="33" t="s">
        <v>291</v>
      </c>
      <c r="I9" s="76" t="s">
        <v>292</v>
      </c>
    </row>
    <row r="10" spans="1:25" ht="63.75" customHeight="1" x14ac:dyDescent="0.2">
      <c r="A10" s="225" t="s">
        <v>297</v>
      </c>
      <c r="B10" s="226"/>
      <c r="C10" s="226"/>
      <c r="D10" s="226"/>
      <c r="E10" s="226"/>
      <c r="F10" s="223" t="s">
        <v>47</v>
      </c>
      <c r="G10" s="223"/>
      <c r="H10" s="223"/>
      <c r="I10" s="224"/>
    </row>
    <row r="11" spans="1:25" ht="15" x14ac:dyDescent="0.2">
      <c r="A11" s="242" t="s">
        <v>258</v>
      </c>
      <c r="B11" s="243"/>
      <c r="C11" s="243"/>
      <c r="D11" s="243"/>
      <c r="E11" s="244"/>
      <c r="F11" s="41" t="s">
        <v>31</v>
      </c>
      <c r="G11" s="41" t="s">
        <v>32</v>
      </c>
      <c r="H11" s="41" t="s">
        <v>36</v>
      </c>
      <c r="I11" s="78" t="s">
        <v>33</v>
      </c>
    </row>
    <row r="12" spans="1:25" ht="15" x14ac:dyDescent="0.2">
      <c r="A12" s="242" t="s">
        <v>232</v>
      </c>
      <c r="B12" s="243"/>
      <c r="C12" s="243"/>
      <c r="D12" s="243"/>
      <c r="E12" s="244"/>
      <c r="F12" s="46"/>
      <c r="G12" s="46"/>
      <c r="H12" s="41"/>
      <c r="I12" s="78"/>
    </row>
    <row r="13" spans="1:25" ht="15" x14ac:dyDescent="0.2">
      <c r="A13" s="246" t="s">
        <v>233</v>
      </c>
      <c r="B13" s="247"/>
      <c r="C13" s="247"/>
      <c r="D13" s="247"/>
      <c r="E13" s="247"/>
      <c r="F13" s="245" t="s">
        <v>250</v>
      </c>
      <c r="G13" s="245"/>
      <c r="H13" s="245"/>
      <c r="I13" s="93">
        <v>0.28639999999999999</v>
      </c>
    </row>
    <row r="14" spans="1:25" ht="15" x14ac:dyDescent="0.2">
      <c r="A14" s="77"/>
      <c r="B14" s="45"/>
      <c r="C14" s="45"/>
      <c r="D14" s="45"/>
      <c r="E14" s="45"/>
      <c r="F14" s="66"/>
      <c r="G14" s="66"/>
      <c r="H14" s="66"/>
      <c r="I14" s="79"/>
    </row>
    <row r="15" spans="1:25" ht="45" x14ac:dyDescent="0.2">
      <c r="A15" s="75" t="s">
        <v>0</v>
      </c>
      <c r="B15" s="41" t="s">
        <v>37</v>
      </c>
      <c r="C15" s="41" t="s">
        <v>1</v>
      </c>
      <c r="D15" s="41" t="s">
        <v>30</v>
      </c>
      <c r="E15" s="41" t="s">
        <v>34</v>
      </c>
      <c r="F15" s="41" t="s">
        <v>35</v>
      </c>
      <c r="G15" s="33" t="s">
        <v>252</v>
      </c>
      <c r="H15" s="33" t="s">
        <v>253</v>
      </c>
      <c r="I15" s="80" t="s">
        <v>68</v>
      </c>
      <c r="J15" s="186"/>
    </row>
    <row r="16" spans="1:25" s="34" customFormat="1" ht="15" x14ac:dyDescent="0.2">
      <c r="A16" s="73"/>
      <c r="B16"/>
      <c r="C16"/>
      <c r="D16"/>
      <c r="E16"/>
      <c r="F16"/>
      <c r="G16"/>
      <c r="H16"/>
      <c r="I16" s="74"/>
      <c r="J16" s="187"/>
      <c r="K16" s="53"/>
      <c r="L16" s="32"/>
      <c r="M16" s="57"/>
      <c r="N16" s="54"/>
      <c r="O16" s="58"/>
      <c r="P16" s="58"/>
      <c r="Q16" s="55"/>
      <c r="R16" s="55"/>
      <c r="S16" s="55"/>
      <c r="T16" s="55"/>
      <c r="U16" s="55"/>
      <c r="V16" s="55"/>
      <c r="W16" s="55"/>
      <c r="X16" s="55"/>
      <c r="Y16" s="55"/>
    </row>
    <row r="17" spans="1:25" s="44" customFormat="1" ht="15" x14ac:dyDescent="0.2">
      <c r="A17" s="81" t="s">
        <v>51</v>
      </c>
      <c r="B17" s="47"/>
      <c r="C17" s="48"/>
      <c r="D17" s="49" t="s">
        <v>140</v>
      </c>
      <c r="E17" s="49"/>
      <c r="F17" s="49"/>
      <c r="G17" s="49"/>
      <c r="H17" s="49"/>
      <c r="I17" s="82"/>
    </row>
    <row r="18" spans="1:25" ht="42" customHeight="1" x14ac:dyDescent="0.2">
      <c r="A18" s="83" t="s">
        <v>65</v>
      </c>
      <c r="B18" s="42" t="s">
        <v>66</v>
      </c>
      <c r="C18" s="51">
        <v>103689</v>
      </c>
      <c r="D18" s="63" t="s">
        <v>139</v>
      </c>
      <c r="E18" s="51" t="s">
        <v>71</v>
      </c>
      <c r="F18" s="65">
        <f>'MEMORIA DE CÁLCULO'!I15</f>
        <v>4.5</v>
      </c>
      <c r="G18" s="51">
        <v>304.61</v>
      </c>
      <c r="H18" s="52">
        <f>ROUND((G18*(1+$I$13)),2)</f>
        <v>391.85</v>
      </c>
      <c r="I18" s="84">
        <f>ROUND((F18*H18),2)</f>
        <v>1763.33</v>
      </c>
    </row>
    <row r="19" spans="1:25" s="34" customFormat="1" ht="15" x14ac:dyDescent="0.2">
      <c r="A19" s="241" t="s">
        <v>63</v>
      </c>
      <c r="B19" s="219"/>
      <c r="C19" s="219"/>
      <c r="D19" s="219"/>
      <c r="E19" s="219"/>
      <c r="F19" s="219"/>
      <c r="G19" s="219"/>
      <c r="H19" s="219"/>
      <c r="I19" s="85">
        <f>SUM(I18:I18)</f>
        <v>1763.33</v>
      </c>
      <c r="J19" s="56"/>
      <c r="K19" s="53"/>
      <c r="L19" s="32"/>
      <c r="M19" s="57"/>
      <c r="N19" s="54"/>
      <c r="O19" s="58"/>
      <c r="P19" s="58"/>
      <c r="Q19" s="55"/>
      <c r="R19" s="55"/>
      <c r="S19" s="55"/>
      <c r="T19" s="55"/>
      <c r="U19" s="55"/>
      <c r="V19" s="55"/>
      <c r="W19" s="55"/>
      <c r="X19" s="55"/>
      <c r="Y19" s="55"/>
    </row>
    <row r="20" spans="1:25" s="34" customFormat="1" ht="15" x14ac:dyDescent="0.2">
      <c r="A20" s="73"/>
      <c r="B20"/>
      <c r="C20"/>
      <c r="D20"/>
      <c r="E20"/>
      <c r="F20"/>
      <c r="G20"/>
      <c r="H20"/>
      <c r="I20" s="74"/>
      <c r="J20" s="56"/>
      <c r="K20" s="53"/>
      <c r="L20" s="32"/>
      <c r="M20" s="57"/>
      <c r="N20" s="54"/>
      <c r="O20" s="58"/>
      <c r="P20" s="58"/>
      <c r="Q20" s="55"/>
      <c r="R20" s="55"/>
      <c r="S20" s="55"/>
      <c r="T20" s="55"/>
      <c r="U20" s="55"/>
      <c r="V20" s="55"/>
      <c r="W20" s="55"/>
      <c r="X20" s="55"/>
      <c r="Y20" s="55"/>
    </row>
    <row r="21" spans="1:25" s="34" customFormat="1" ht="15" x14ac:dyDescent="0.2">
      <c r="A21" s="73"/>
      <c r="B21"/>
      <c r="C21"/>
      <c r="D21"/>
      <c r="E21"/>
      <c r="F21"/>
      <c r="G21"/>
      <c r="H21"/>
      <c r="I21" s="74"/>
      <c r="J21" s="56"/>
      <c r="K21" s="53"/>
      <c r="L21" s="32"/>
      <c r="M21" s="57"/>
      <c r="N21" s="54"/>
      <c r="O21" s="58"/>
      <c r="P21" s="58"/>
      <c r="Q21" s="55"/>
      <c r="R21" s="55"/>
      <c r="S21" s="55"/>
      <c r="T21" s="55"/>
      <c r="U21" s="55"/>
      <c r="V21" s="55"/>
      <c r="W21" s="55"/>
      <c r="X21" s="55"/>
      <c r="Y21" s="55"/>
    </row>
    <row r="22" spans="1:25" s="44" customFormat="1" ht="15" x14ac:dyDescent="0.2">
      <c r="A22" s="81" t="s">
        <v>190</v>
      </c>
      <c r="B22" s="47"/>
      <c r="C22" s="48"/>
      <c r="D22" s="49" t="s">
        <v>257</v>
      </c>
      <c r="E22" s="49"/>
      <c r="F22" s="49"/>
      <c r="G22" s="49"/>
      <c r="H22" s="49"/>
      <c r="I22" s="82"/>
    </row>
    <row r="23" spans="1:25" ht="45.6" customHeight="1" x14ac:dyDescent="0.2">
      <c r="A23" s="42" t="s">
        <v>191</v>
      </c>
      <c r="B23" s="42" t="s">
        <v>66</v>
      </c>
      <c r="C23" s="192" t="str">
        <f>CPU!F15</f>
        <v>CPU.2</v>
      </c>
      <c r="D23" s="193" t="str">
        <f>CPU!C15</f>
        <v>LOCAÇÃO DE PAVIMENTAÇÃO</v>
      </c>
      <c r="E23" s="189" t="s">
        <v>179</v>
      </c>
      <c r="F23" s="65">
        <f>'MEMORIA DE CÁLCULO'!I25</f>
        <v>1026.92</v>
      </c>
      <c r="G23" s="191">
        <f>CPU!H23</f>
        <v>1.65</v>
      </c>
      <c r="H23" s="52">
        <f t="shared" ref="H23:H28" si="0">ROUND((G23*(1+$I$13)),2)</f>
        <v>2.12</v>
      </c>
      <c r="I23" s="84">
        <f>ROUND((F23*H23),2)</f>
        <v>2177.0700000000002</v>
      </c>
    </row>
    <row r="24" spans="1:25" ht="45.6" customHeight="1" x14ac:dyDescent="0.2">
      <c r="A24" s="42" t="s">
        <v>192</v>
      </c>
      <c r="B24" s="42" t="s">
        <v>66</v>
      </c>
      <c r="C24" s="189" t="s">
        <v>259</v>
      </c>
      <c r="D24" s="190" t="s">
        <v>260</v>
      </c>
      <c r="E24" s="189" t="s">
        <v>178</v>
      </c>
      <c r="F24" s="65">
        <f>'MEMORIA DE CÁLCULO'!I34</f>
        <v>760.41</v>
      </c>
      <c r="G24" s="189" t="s">
        <v>261</v>
      </c>
      <c r="H24" s="52">
        <f t="shared" si="0"/>
        <v>2.95</v>
      </c>
      <c r="I24" s="84">
        <f>ROUND((F24*H24),2)</f>
        <v>2243.21</v>
      </c>
    </row>
    <row r="25" spans="1:25" ht="65.45" customHeight="1" x14ac:dyDescent="0.2">
      <c r="A25" s="42" t="s">
        <v>289</v>
      </c>
      <c r="B25" s="42" t="s">
        <v>66</v>
      </c>
      <c r="C25" s="189" t="s">
        <v>262</v>
      </c>
      <c r="D25" s="190" t="s">
        <v>228</v>
      </c>
      <c r="E25" s="189" t="s">
        <v>178</v>
      </c>
      <c r="F25" s="65">
        <f>'MEMORIA DE CÁLCULO'!I42</f>
        <v>760.41</v>
      </c>
      <c r="G25" s="189" t="s">
        <v>263</v>
      </c>
      <c r="H25" s="52">
        <f t="shared" si="0"/>
        <v>11.09</v>
      </c>
      <c r="I25" s="84">
        <f t="shared" ref="I25" si="1">ROUND((F25*H25),2)</f>
        <v>8432.9500000000007</v>
      </c>
    </row>
    <row r="26" spans="1:25" ht="49.15" customHeight="1" x14ac:dyDescent="0.2">
      <c r="A26" s="42" t="s">
        <v>298</v>
      </c>
      <c r="B26" s="42" t="s">
        <v>66</v>
      </c>
      <c r="C26" s="189" t="s">
        <v>264</v>
      </c>
      <c r="D26" s="190" t="s">
        <v>229</v>
      </c>
      <c r="E26" s="189" t="s">
        <v>176</v>
      </c>
      <c r="F26" s="65">
        <f>'MEMORIA DE CÁLCULO'!I50</f>
        <v>5303.88</v>
      </c>
      <c r="G26" s="189" t="s">
        <v>265</v>
      </c>
      <c r="H26" s="52">
        <f t="shared" si="0"/>
        <v>2.57</v>
      </c>
      <c r="I26" s="84">
        <f>ROUND((F26*H26),2)</f>
        <v>13630.97</v>
      </c>
    </row>
    <row r="27" spans="1:25" ht="64.150000000000006" customHeight="1" x14ac:dyDescent="0.2">
      <c r="A27" s="42" t="s">
        <v>299</v>
      </c>
      <c r="B27" s="42" t="s">
        <v>66</v>
      </c>
      <c r="C27" s="189" t="s">
        <v>266</v>
      </c>
      <c r="D27" s="190" t="s">
        <v>230</v>
      </c>
      <c r="E27" s="189" t="s">
        <v>71</v>
      </c>
      <c r="F27" s="65">
        <f>'MEMORIA DE CÁLCULO'!I58</f>
        <v>2534.71</v>
      </c>
      <c r="G27" s="189" t="s">
        <v>267</v>
      </c>
      <c r="H27" s="52">
        <f t="shared" si="0"/>
        <v>1.51</v>
      </c>
      <c r="I27" s="84">
        <f t="shared" ref="I27" si="2">ROUND((F27*H27),2)</f>
        <v>3827.41</v>
      </c>
    </row>
    <row r="28" spans="1:25" ht="53.25" customHeight="1" x14ac:dyDescent="0.2">
      <c r="A28" s="42" t="s">
        <v>300</v>
      </c>
      <c r="B28" s="42" t="s">
        <v>66</v>
      </c>
      <c r="C28" s="189" t="s">
        <v>269</v>
      </c>
      <c r="D28" s="190" t="s">
        <v>268</v>
      </c>
      <c r="E28" s="189" t="s">
        <v>178</v>
      </c>
      <c r="F28" s="65">
        <f>'MEMORIA DE CÁLCULO'!I66</f>
        <v>380.2</v>
      </c>
      <c r="G28" s="189" t="s">
        <v>270</v>
      </c>
      <c r="H28" s="52">
        <f t="shared" si="0"/>
        <v>275.58999999999997</v>
      </c>
      <c r="I28" s="84">
        <f t="shared" ref="I28" si="3">ROUND((F28*H28),2)</f>
        <v>104779.32</v>
      </c>
    </row>
    <row r="29" spans="1:25" s="34" customFormat="1" ht="15" x14ac:dyDescent="0.2">
      <c r="A29" s="219" t="s">
        <v>63</v>
      </c>
      <c r="B29" s="219"/>
      <c r="C29" s="219"/>
      <c r="D29" s="219"/>
      <c r="E29" s="219"/>
      <c r="F29" s="219"/>
      <c r="G29" s="219"/>
      <c r="H29" s="219"/>
      <c r="I29" s="85">
        <f>SUM(I23:I28)</f>
        <v>135090.93</v>
      </c>
      <c r="J29" s="56"/>
      <c r="K29" s="53"/>
      <c r="L29" s="32"/>
      <c r="M29" s="57"/>
      <c r="N29" s="54"/>
      <c r="O29" s="58"/>
      <c r="P29" s="58"/>
      <c r="Q29" s="55"/>
      <c r="R29" s="55"/>
      <c r="S29" s="55"/>
      <c r="T29" s="55"/>
      <c r="U29" s="55"/>
      <c r="V29" s="55"/>
      <c r="W29" s="55"/>
      <c r="X29" s="55"/>
      <c r="Y29" s="55"/>
    </row>
    <row r="30" spans="1:25" s="34" customFormat="1" ht="15" x14ac:dyDescent="0.2">
      <c r="A30" s="73"/>
      <c r="B30"/>
      <c r="C30"/>
      <c r="D30"/>
      <c r="E30"/>
      <c r="F30"/>
      <c r="G30"/>
      <c r="H30"/>
      <c r="I30" s="74"/>
      <c r="J30" s="56"/>
      <c r="K30" s="53"/>
      <c r="L30" s="32"/>
      <c r="M30" s="57"/>
      <c r="N30" s="54"/>
      <c r="O30" s="58"/>
      <c r="P30" s="58"/>
      <c r="Q30" s="55"/>
      <c r="R30" s="55"/>
      <c r="S30" s="55"/>
      <c r="T30" s="55"/>
      <c r="U30" s="55"/>
      <c r="V30" s="55"/>
      <c r="W30" s="55"/>
      <c r="X30" s="55"/>
      <c r="Y30" s="55"/>
    </row>
    <row r="31" spans="1:25" s="44" customFormat="1" ht="15" x14ac:dyDescent="0.2">
      <c r="A31" s="81" t="s">
        <v>193</v>
      </c>
      <c r="B31" s="47"/>
      <c r="C31" s="48"/>
      <c r="D31" s="49" t="s">
        <v>274</v>
      </c>
      <c r="E31" s="49"/>
      <c r="F31" s="49"/>
      <c r="G31" s="49"/>
      <c r="H31" s="49"/>
      <c r="I31" s="82"/>
    </row>
    <row r="32" spans="1:25" ht="79.5" customHeight="1" x14ac:dyDescent="0.2">
      <c r="A32" s="83" t="s">
        <v>194</v>
      </c>
      <c r="B32" s="42" t="s">
        <v>66</v>
      </c>
      <c r="C32" s="189" t="s">
        <v>271</v>
      </c>
      <c r="D32" s="190" t="s">
        <v>272</v>
      </c>
      <c r="E32" s="123" t="s">
        <v>179</v>
      </c>
      <c r="F32" s="61">
        <f>'MEMORIA DE CÁLCULO'!I76</f>
        <v>838.24999999999989</v>
      </c>
      <c r="G32" s="189" t="s">
        <v>273</v>
      </c>
      <c r="H32" s="52">
        <f t="shared" ref="H32:H33" si="4">ROUND((G32*(1+$I$13)),2)</f>
        <v>72.63</v>
      </c>
      <c r="I32" s="84">
        <f>ROUND((F32*H32),2)</f>
        <v>60882.1</v>
      </c>
    </row>
    <row r="33" spans="1:25" ht="79.5" customHeight="1" x14ac:dyDescent="0.2">
      <c r="A33" s="83" t="s">
        <v>195</v>
      </c>
      <c r="B33" s="42" t="s">
        <v>306</v>
      </c>
      <c r="C33" s="189" t="s">
        <v>305</v>
      </c>
      <c r="D33" s="190" t="s">
        <v>304</v>
      </c>
      <c r="E33" s="123" t="s">
        <v>179</v>
      </c>
      <c r="F33" s="61">
        <f>'MEMORIA DE CÁLCULO'!I82</f>
        <v>25.810000000000002</v>
      </c>
      <c r="G33" s="189">
        <v>79.13</v>
      </c>
      <c r="H33" s="52">
        <f t="shared" si="4"/>
        <v>101.79</v>
      </c>
      <c r="I33" s="84">
        <f>ROUND((F33*H33),2)</f>
        <v>2627.2</v>
      </c>
    </row>
    <row r="34" spans="1:25" s="34" customFormat="1" ht="15" customHeight="1" x14ac:dyDescent="0.2">
      <c r="A34" s="248" t="s">
        <v>63</v>
      </c>
      <c r="B34" s="249"/>
      <c r="C34" s="249"/>
      <c r="D34" s="249"/>
      <c r="E34" s="249"/>
      <c r="F34" s="249"/>
      <c r="G34" s="249"/>
      <c r="H34" s="250"/>
      <c r="I34" s="85">
        <f>SUM(I32:I33)</f>
        <v>63509.299999999996</v>
      </c>
      <c r="J34" s="56"/>
      <c r="K34" s="53"/>
      <c r="L34" s="32"/>
      <c r="M34" s="57"/>
      <c r="N34" s="54"/>
      <c r="O34" s="58"/>
      <c r="P34" s="58"/>
      <c r="Q34" s="55"/>
      <c r="R34" s="55"/>
      <c r="S34" s="55"/>
      <c r="T34" s="55"/>
      <c r="U34" s="55"/>
      <c r="V34" s="55"/>
      <c r="W34" s="55"/>
      <c r="X34" s="55"/>
      <c r="Y34" s="55"/>
    </row>
    <row r="35" spans="1:25" s="34" customFormat="1" ht="15" x14ac:dyDescent="0.2">
      <c r="A35" s="73"/>
      <c r="B35"/>
      <c r="C35"/>
      <c r="D35"/>
      <c r="E35"/>
      <c r="F35"/>
      <c r="G35"/>
      <c r="H35"/>
      <c r="I35" s="74"/>
      <c r="J35" s="56"/>
      <c r="K35" s="53"/>
      <c r="L35" s="32"/>
      <c r="M35" s="57"/>
      <c r="N35" s="54"/>
      <c r="O35" s="58"/>
      <c r="P35" s="58"/>
      <c r="Q35" s="55"/>
      <c r="R35" s="55"/>
      <c r="S35" s="55"/>
      <c r="T35" s="55"/>
      <c r="U35" s="55"/>
      <c r="V35" s="55"/>
      <c r="W35" s="55"/>
      <c r="X35" s="55"/>
      <c r="Y35" s="55"/>
    </row>
    <row r="36" spans="1:25" s="44" customFormat="1" ht="15" x14ac:dyDescent="0.2">
      <c r="A36" s="81" t="s">
        <v>196</v>
      </c>
      <c r="B36" s="47"/>
      <c r="C36" s="48"/>
      <c r="D36" s="49" t="s">
        <v>223</v>
      </c>
      <c r="E36" s="49"/>
      <c r="F36" s="49"/>
      <c r="G36" s="49"/>
      <c r="H36" s="49"/>
      <c r="I36" s="82"/>
    </row>
    <row r="37" spans="1:25" ht="30.75" customHeight="1" x14ac:dyDescent="0.2">
      <c r="A37" s="83" t="s">
        <v>197</v>
      </c>
      <c r="B37" s="42" t="s">
        <v>66</v>
      </c>
      <c r="C37" s="123" t="str">
        <f>CPU!F29</f>
        <v>CPU.3</v>
      </c>
      <c r="D37" s="175" t="str">
        <f>CPU!C29</f>
        <v>EXECUÇÃO DE IMPRIMAÇÃO COM ASFALTO DILUÍDO.</v>
      </c>
      <c r="E37" s="123" t="str">
        <f>CPU!H29</f>
        <v>M2</v>
      </c>
      <c r="F37" s="61">
        <f>'MEMORIA DE CÁLCULO'!I91</f>
        <v>2302.75</v>
      </c>
      <c r="G37" s="124">
        <f>CPU!H41</f>
        <v>4.32</v>
      </c>
      <c r="H37" s="52">
        <f t="shared" ref="H37:H38" si="5">ROUND((G37*(1+$I$13)),2)</f>
        <v>5.56</v>
      </c>
      <c r="I37" s="84">
        <f>ROUND((F37*H37),2)</f>
        <v>12803.29</v>
      </c>
    </row>
    <row r="38" spans="1:25" ht="55.5" customHeight="1" x14ac:dyDescent="0.2">
      <c r="A38" s="83" t="s">
        <v>227</v>
      </c>
      <c r="B38" s="42" t="s">
        <v>66</v>
      </c>
      <c r="C38" s="51">
        <v>102331</v>
      </c>
      <c r="D38" s="63" t="s">
        <v>173</v>
      </c>
      <c r="E38" s="51" t="s">
        <v>174</v>
      </c>
      <c r="F38" s="65">
        <f>'MEMORIA DE CÁLCULO'!I99</f>
        <v>2094.92</v>
      </c>
      <c r="G38" s="179">
        <v>0.53</v>
      </c>
      <c r="H38" s="52">
        <f t="shared" si="5"/>
        <v>0.68</v>
      </c>
      <c r="I38" s="84">
        <f t="shared" ref="I38" si="6">ROUND((F38*H38),2)</f>
        <v>1424.55</v>
      </c>
    </row>
    <row r="39" spans="1:25" s="34" customFormat="1" ht="15" customHeight="1" x14ac:dyDescent="0.2">
      <c r="A39" s="248" t="s">
        <v>63</v>
      </c>
      <c r="B39" s="249"/>
      <c r="C39" s="249"/>
      <c r="D39" s="249"/>
      <c r="E39" s="249"/>
      <c r="F39" s="249"/>
      <c r="G39" s="249"/>
      <c r="H39" s="250"/>
      <c r="I39" s="85">
        <f>SUM(I37:I38)</f>
        <v>14227.84</v>
      </c>
      <c r="J39" s="56"/>
      <c r="K39" s="53"/>
      <c r="L39" s="32"/>
      <c r="M39" s="57"/>
      <c r="N39" s="54"/>
      <c r="O39" s="58"/>
      <c r="P39" s="58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34" customFormat="1" ht="15" x14ac:dyDescent="0.2">
      <c r="A40" s="73"/>
      <c r="B40"/>
      <c r="C40"/>
      <c r="D40"/>
      <c r="E40"/>
      <c r="F40"/>
      <c r="G40"/>
      <c r="H40"/>
      <c r="I40" s="74"/>
      <c r="J40" s="56"/>
      <c r="K40" s="53"/>
      <c r="L40" s="32"/>
      <c r="M40" s="57"/>
      <c r="N40" s="54"/>
      <c r="O40" s="58"/>
      <c r="P40" s="58"/>
      <c r="Q40" s="55"/>
      <c r="R40" s="55"/>
      <c r="S40" s="55"/>
      <c r="T40" s="55"/>
      <c r="U40" s="55"/>
      <c r="V40" s="55"/>
      <c r="W40" s="55"/>
      <c r="X40" s="55"/>
      <c r="Y40" s="55"/>
    </row>
    <row r="41" spans="1:25" s="44" customFormat="1" ht="15" x14ac:dyDescent="0.2">
      <c r="A41" s="81" t="s">
        <v>198</v>
      </c>
      <c r="B41" s="47"/>
      <c r="C41" s="48"/>
      <c r="D41" s="49" t="s">
        <v>172</v>
      </c>
      <c r="E41" s="49"/>
      <c r="F41" s="49"/>
      <c r="G41" s="49"/>
      <c r="H41" s="49"/>
      <c r="I41" s="82"/>
    </row>
    <row r="42" spans="1:25" ht="30.75" customHeight="1" x14ac:dyDescent="0.2">
      <c r="A42" s="83" t="s">
        <v>199</v>
      </c>
      <c r="B42" s="42" t="s">
        <v>66</v>
      </c>
      <c r="C42" s="123" t="str">
        <f>CPU!F47</f>
        <v>CPU.4</v>
      </c>
      <c r="D42" s="175" t="str">
        <f>CPU!C47</f>
        <v>EXECUÇÃO DE PINTURA DE LIGAÇÃO COM EMULSÃO ASFÁLTICA RR-2C.</v>
      </c>
      <c r="E42" s="123" t="str">
        <f>CPU!H47</f>
        <v>M2</v>
      </c>
      <c r="F42" s="61">
        <f>'MEMORIA DE CÁLCULO'!I110</f>
        <v>2302.75</v>
      </c>
      <c r="G42" s="124">
        <f>CPU!H55</f>
        <v>1.75</v>
      </c>
      <c r="H42" s="52">
        <f t="shared" ref="H42" si="7">ROUND((G42*(1+$I$13)),2)</f>
        <v>2.25</v>
      </c>
      <c r="I42" s="84">
        <f>ROUND((F42*H42),2)</f>
        <v>5181.1899999999996</v>
      </c>
    </row>
    <row r="43" spans="1:25" ht="55.5" customHeight="1" x14ac:dyDescent="0.2">
      <c r="A43" s="83" t="s">
        <v>200</v>
      </c>
      <c r="B43" s="42" t="s">
        <v>66</v>
      </c>
      <c r="C43" s="51">
        <v>102331</v>
      </c>
      <c r="D43" s="63" t="s">
        <v>173</v>
      </c>
      <c r="E43" s="51" t="s">
        <v>174</v>
      </c>
      <c r="F43" s="65">
        <f>'MEMORIA DE CÁLCULO'!I117</f>
        <v>588.35</v>
      </c>
      <c r="G43" s="179">
        <v>0.53</v>
      </c>
      <c r="H43" s="52">
        <f t="shared" ref="H43" si="8">ROUND((G43*(1+$I$13)),2)</f>
        <v>0.68</v>
      </c>
      <c r="I43" s="84">
        <f t="shared" ref="I43" si="9">ROUND((F43*H43),2)</f>
        <v>400.08</v>
      </c>
    </row>
    <row r="44" spans="1:25" s="34" customFormat="1" ht="15" customHeight="1" x14ac:dyDescent="0.2">
      <c r="A44" s="248" t="s">
        <v>63</v>
      </c>
      <c r="B44" s="249"/>
      <c r="C44" s="249"/>
      <c r="D44" s="249"/>
      <c r="E44" s="249"/>
      <c r="F44" s="249"/>
      <c r="G44" s="249"/>
      <c r="H44" s="250"/>
      <c r="I44" s="85">
        <f>SUM(I42:I43)</f>
        <v>5581.2699999999995</v>
      </c>
      <c r="J44" s="56"/>
      <c r="K44" s="53"/>
      <c r="L44" s="32"/>
      <c r="M44" s="57"/>
      <c r="N44" s="54"/>
      <c r="O44" s="58"/>
      <c r="P44" s="58"/>
      <c r="Q44" s="55"/>
      <c r="R44" s="55"/>
      <c r="S44" s="55"/>
      <c r="T44" s="55"/>
      <c r="U44" s="55"/>
      <c r="V44" s="55"/>
      <c r="W44" s="55"/>
      <c r="X44" s="55"/>
      <c r="Y44" s="55"/>
    </row>
    <row r="45" spans="1:25" customFormat="1" ht="12.75" x14ac:dyDescent="0.2">
      <c r="A45" s="73"/>
      <c r="I45" s="74"/>
    </row>
    <row r="46" spans="1:25" s="44" customFormat="1" ht="15" x14ac:dyDescent="0.2">
      <c r="A46" s="81" t="s">
        <v>201</v>
      </c>
      <c r="B46" s="47"/>
      <c r="C46" s="48"/>
      <c r="D46" s="49" t="s">
        <v>302</v>
      </c>
      <c r="E46" s="49"/>
      <c r="F46" s="49"/>
      <c r="G46" s="49"/>
      <c r="H46" s="49"/>
      <c r="I46" s="82"/>
    </row>
    <row r="47" spans="1:25" ht="49.5" customHeight="1" x14ac:dyDescent="0.2">
      <c r="A47" s="83" t="s">
        <v>202</v>
      </c>
      <c r="B47" s="42" t="s">
        <v>66</v>
      </c>
      <c r="C47" s="51">
        <v>95995</v>
      </c>
      <c r="D47" s="63" t="s">
        <v>177</v>
      </c>
      <c r="E47" s="51" t="s">
        <v>178</v>
      </c>
      <c r="F47" s="65">
        <f>'MEMORIA DE CÁLCULO'!I128</f>
        <v>92.11</v>
      </c>
      <c r="G47" s="181">
        <v>1829.4</v>
      </c>
      <c r="H47" s="52">
        <f t="shared" ref="H47:H48" si="10">ROUND((G47*(1+$I$13)),2)</f>
        <v>2353.34</v>
      </c>
      <c r="I47" s="84">
        <f>ROUND((F47*H47),2)</f>
        <v>216766.15</v>
      </c>
    </row>
    <row r="48" spans="1:25" ht="49.5" customHeight="1" x14ac:dyDescent="0.2">
      <c r="A48" s="83" t="s">
        <v>256</v>
      </c>
      <c r="B48" s="42" t="s">
        <v>66</v>
      </c>
      <c r="C48" s="51">
        <v>95875</v>
      </c>
      <c r="D48" s="63" t="s">
        <v>175</v>
      </c>
      <c r="E48" s="51" t="s">
        <v>176</v>
      </c>
      <c r="F48" s="65">
        <f>'MEMORIA DE CÁLCULO'!I135</f>
        <v>842.25</v>
      </c>
      <c r="G48" s="179">
        <v>2.41</v>
      </c>
      <c r="H48" s="52">
        <f t="shared" si="10"/>
        <v>3.1</v>
      </c>
      <c r="I48" s="84">
        <f t="shared" ref="I48" si="11">ROUND((F48*H48),2)</f>
        <v>2610.98</v>
      </c>
    </row>
    <row r="49" spans="1:25" s="34" customFormat="1" ht="15" x14ac:dyDescent="0.2">
      <c r="A49" s="248" t="s">
        <v>63</v>
      </c>
      <c r="B49" s="249"/>
      <c r="C49" s="249"/>
      <c r="D49" s="249"/>
      <c r="E49" s="249"/>
      <c r="F49" s="249"/>
      <c r="G49" s="249"/>
      <c r="H49" s="250"/>
      <c r="I49" s="85">
        <f>SUM(I47:I48)</f>
        <v>219377.13</v>
      </c>
      <c r="J49" s="56"/>
      <c r="K49" s="53"/>
      <c r="L49" s="32"/>
      <c r="M49" s="57"/>
      <c r="N49" s="54"/>
      <c r="O49" s="58"/>
      <c r="P49" s="58"/>
      <c r="Q49" s="55"/>
      <c r="R49" s="55"/>
      <c r="S49" s="55"/>
      <c r="T49" s="55"/>
      <c r="U49" s="55"/>
      <c r="V49" s="55"/>
      <c r="W49" s="55"/>
      <c r="X49" s="55"/>
      <c r="Y49" s="55"/>
    </row>
    <row r="50" spans="1:25" customFormat="1" ht="12.75" x14ac:dyDescent="0.2">
      <c r="A50" s="73"/>
      <c r="I50" s="74"/>
    </row>
    <row r="51" spans="1:25" customFormat="1" ht="12.75" x14ac:dyDescent="0.2">
      <c r="A51" s="182"/>
      <c r="I51" s="74"/>
    </row>
    <row r="52" spans="1:25" ht="15" x14ac:dyDescent="0.2">
      <c r="A52" s="248" t="s">
        <v>38</v>
      </c>
      <c r="B52" s="249"/>
      <c r="C52" s="249"/>
      <c r="D52" s="249"/>
      <c r="E52" s="249"/>
      <c r="F52" s="249"/>
      <c r="G52" s="249"/>
      <c r="H52" s="250"/>
      <c r="I52" s="85">
        <f>I49+I34+I39+I44+I19+I29</f>
        <v>439549.80000000005</v>
      </c>
    </row>
    <row r="53" spans="1:25" x14ac:dyDescent="0.2">
      <c r="A53" s="111" t="s">
        <v>293</v>
      </c>
      <c r="B53" s="184"/>
      <c r="C53" s="185"/>
      <c r="D53" s="185"/>
      <c r="E53" s="184"/>
      <c r="F53" s="184"/>
      <c r="G53" s="184"/>
      <c r="H53" s="184"/>
      <c r="I53" s="87"/>
    </row>
    <row r="54" spans="1:25" ht="50.25" customHeight="1" x14ac:dyDescent="0.2">
      <c r="A54" s="199" t="s">
        <v>303</v>
      </c>
      <c r="B54" s="184"/>
      <c r="C54" s="184"/>
      <c r="D54" s="184"/>
      <c r="E54" s="184"/>
      <c r="F54" s="184"/>
      <c r="G54" s="184"/>
      <c r="H54" s="184"/>
      <c r="I54" s="87"/>
    </row>
    <row r="55" spans="1:25" ht="13.9" customHeight="1" x14ac:dyDescent="0.2">
      <c r="A55" s="86"/>
      <c r="B55" s="253" t="s">
        <v>149</v>
      </c>
      <c r="C55" s="253"/>
      <c r="D55" s="253"/>
      <c r="E55" s="252" t="s">
        <v>54</v>
      </c>
      <c r="F55" s="252"/>
      <c r="G55" s="252"/>
      <c r="H55" s="252"/>
      <c r="I55" s="87"/>
      <c r="L55" s="60"/>
    </row>
    <row r="56" spans="1:25" ht="14.25" customHeight="1" x14ac:dyDescent="0.2">
      <c r="A56" s="86"/>
      <c r="B56" s="184"/>
      <c r="C56" s="251" t="s">
        <v>309</v>
      </c>
      <c r="D56" s="251"/>
      <c r="E56" s="252" t="s">
        <v>56</v>
      </c>
      <c r="F56" s="252"/>
      <c r="G56" s="252"/>
      <c r="H56" s="252"/>
      <c r="I56" s="87"/>
    </row>
    <row r="57" spans="1:25" ht="14.25" customHeight="1" x14ac:dyDescent="0.2">
      <c r="A57" s="86"/>
      <c r="B57" s="251" t="s">
        <v>308</v>
      </c>
      <c r="C57" s="251"/>
      <c r="D57" s="251"/>
      <c r="E57" s="252" t="s">
        <v>59</v>
      </c>
      <c r="F57" s="252"/>
      <c r="G57" s="252"/>
      <c r="H57" s="252"/>
      <c r="I57" s="87"/>
    </row>
    <row r="58" spans="1:25" x14ac:dyDescent="0.2">
      <c r="A58" s="111"/>
      <c r="I58" s="112"/>
    </row>
    <row r="59" spans="1:25" ht="15" thickBot="1" x14ac:dyDescent="0.25">
      <c r="A59" s="88"/>
      <c r="B59" s="89"/>
      <c r="C59" s="90"/>
      <c r="D59" s="91"/>
      <c r="E59" s="90"/>
      <c r="F59" s="89"/>
      <c r="G59" s="89"/>
      <c r="H59" s="89"/>
      <c r="I59" s="92"/>
      <c r="K59" s="59"/>
    </row>
    <row r="63" spans="1:25" x14ac:dyDescent="0.2">
      <c r="I63" s="62"/>
    </row>
    <row r="65" spans="10:10" x14ac:dyDescent="0.2">
      <c r="J65" s="59"/>
    </row>
    <row r="69" spans="10:10" x14ac:dyDescent="0.2">
      <c r="J69" s="59"/>
    </row>
  </sheetData>
  <mergeCells count="28">
    <mergeCell ref="A12:E12"/>
    <mergeCell ref="A39:H39"/>
    <mergeCell ref="A34:H34"/>
    <mergeCell ref="B57:D57"/>
    <mergeCell ref="E55:H55"/>
    <mergeCell ref="E56:H56"/>
    <mergeCell ref="E57:H57"/>
    <mergeCell ref="B55:D55"/>
    <mergeCell ref="A52:H52"/>
    <mergeCell ref="A49:H49"/>
    <mergeCell ref="A44:H44"/>
    <mergeCell ref="C56:D56"/>
    <mergeCell ref="C1:I1"/>
    <mergeCell ref="C2:I2"/>
    <mergeCell ref="C3:I3"/>
    <mergeCell ref="A29:H29"/>
    <mergeCell ref="A5:I5"/>
    <mergeCell ref="F10:I10"/>
    <mergeCell ref="A10:E10"/>
    <mergeCell ref="A6:I6"/>
    <mergeCell ref="A7:I7"/>
    <mergeCell ref="A8:I8"/>
    <mergeCell ref="B9:E9"/>
    <mergeCell ref="F9:G9"/>
    <mergeCell ref="A19:H19"/>
    <mergeCell ref="A11:E11"/>
    <mergeCell ref="F13:H13"/>
    <mergeCell ref="A13:E13"/>
  </mergeCells>
  <phoneticPr fontId="32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69" fitToHeight="0" orientation="landscape" r:id="rId1"/>
  <rowBreaks count="1" manualBreakCount="1">
    <brk id="29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43"/>
  <sheetViews>
    <sheetView showGridLines="0" view="pageBreakPreview" topLeftCell="A108" zoomScale="80" zoomScaleNormal="85" zoomScaleSheetLayoutView="80" workbookViewId="0">
      <selection activeCell="L67" sqref="L67"/>
    </sheetView>
  </sheetViews>
  <sheetFormatPr defaultColWidth="9.140625" defaultRowHeight="14.25" x14ac:dyDescent="0.2"/>
  <cols>
    <col min="1" max="1" width="13.5703125" style="35" customWidth="1"/>
    <col min="2" max="2" width="42.28515625" style="35" customWidth="1"/>
    <col min="3" max="3" width="0.28515625" style="35" hidden="1" customWidth="1"/>
    <col min="4" max="4" width="18" style="35" customWidth="1"/>
    <col min="5" max="5" width="21" style="35" customWidth="1"/>
    <col min="6" max="6" width="12.7109375" style="35" bestFit="1" customWidth="1"/>
    <col min="7" max="7" width="17.85546875" style="35" customWidth="1"/>
    <col min="8" max="8" width="13" style="35" customWidth="1"/>
    <col min="9" max="9" width="19.28515625" style="35" customWidth="1"/>
    <col min="10" max="10" width="26.140625" style="35" bestFit="1" customWidth="1"/>
    <col min="11" max="11" width="16.85546875" style="35" customWidth="1"/>
    <col min="12" max="12" width="17.85546875" style="35" customWidth="1"/>
    <col min="13" max="16384" width="9.140625" style="35"/>
  </cols>
  <sheetData>
    <row r="1" spans="1:18" ht="49.9" customHeight="1" x14ac:dyDescent="0.2">
      <c r="A1" s="202"/>
      <c r="B1" s="203"/>
      <c r="C1" s="203"/>
      <c r="D1" s="305"/>
      <c r="E1" s="305"/>
      <c r="F1" s="305"/>
      <c r="G1" s="305"/>
      <c r="H1" s="305"/>
      <c r="I1" s="205"/>
      <c r="J1" s="204"/>
    </row>
    <row r="2" spans="1:18" ht="26.25" customHeight="1" x14ac:dyDescent="0.2">
      <c r="A2" s="299" t="s">
        <v>147</v>
      </c>
      <c r="B2" s="300"/>
      <c r="C2" s="300"/>
      <c r="D2" s="300"/>
      <c r="E2" s="300"/>
      <c r="F2" s="300"/>
      <c r="G2" s="300"/>
      <c r="H2" s="300"/>
      <c r="I2" s="300"/>
      <c r="J2" s="301"/>
    </row>
    <row r="3" spans="1:18" ht="31.5" customHeight="1" x14ac:dyDescent="0.2">
      <c r="A3" s="144" t="str">
        <f>'PLAN ORÇ'!A9</f>
        <v>OBRA:</v>
      </c>
      <c r="B3" s="310" t="str">
        <f>'PLAN ORÇ'!B9:E9</f>
        <v>PAVIMENTAÇÃO ASFÁLTICA EM DIVERSAS RUAS DO MUNICÍPIO DE BRASÍLIA DE MINAS/MG</v>
      </c>
      <c r="C3" s="311"/>
      <c r="D3" s="311"/>
      <c r="E3" s="312"/>
      <c r="F3" s="306" t="s">
        <v>301</v>
      </c>
      <c r="G3" s="307"/>
      <c r="H3" s="307"/>
      <c r="I3" s="307"/>
      <c r="J3" s="308"/>
    </row>
    <row r="4" spans="1:18" ht="61.5" customHeight="1" x14ac:dyDescent="0.2">
      <c r="A4" s="302" t="str">
        <f>'PLAN ORÇ'!A10:E10</f>
        <v xml:space="preserve">LOCAL:     Rua Edgar Pereira, Rua </v>
      </c>
      <c r="B4" s="303"/>
      <c r="C4" s="303"/>
      <c r="D4" s="303"/>
      <c r="E4" s="304"/>
      <c r="F4" s="307" t="s">
        <v>46</v>
      </c>
      <c r="G4" s="307"/>
      <c r="H4" s="307"/>
      <c r="I4" s="307"/>
      <c r="J4" s="308"/>
    </row>
    <row r="5" spans="1:18" ht="30.75" customHeight="1" x14ac:dyDescent="0.2">
      <c r="A5" s="302" t="str">
        <f>'PLAN ORÇ'!A11:E11</f>
        <v>REGIÃO/MÊS DE REFERÊNCIA: SINAPI - 05/2024 DESONERADO</v>
      </c>
      <c r="B5" s="303"/>
      <c r="C5" s="303"/>
      <c r="D5" s="303"/>
      <c r="E5" s="304"/>
      <c r="F5" s="309" t="s">
        <v>144</v>
      </c>
      <c r="G5" s="313" t="s">
        <v>145</v>
      </c>
      <c r="H5" s="307" t="s">
        <v>32</v>
      </c>
      <c r="I5" s="313" t="s">
        <v>146</v>
      </c>
      <c r="J5" s="315" t="s">
        <v>33</v>
      </c>
    </row>
    <row r="6" spans="1:18" ht="19.5" customHeight="1" x14ac:dyDescent="0.2">
      <c r="A6" s="302" t="str">
        <f>'PLAN ORÇ'!A13:E13</f>
        <v>PRAZO PRAZO DE EXECUÇÃO: 60 DIAS</v>
      </c>
      <c r="B6" s="303"/>
      <c r="C6" s="303"/>
      <c r="D6" s="303"/>
      <c r="E6" s="304"/>
      <c r="F6" s="309"/>
      <c r="G6" s="314"/>
      <c r="H6" s="307"/>
      <c r="I6" s="314"/>
      <c r="J6" s="316"/>
    </row>
    <row r="7" spans="1:18" ht="12.75" customHeight="1" x14ac:dyDescent="0.2">
      <c r="A7" s="94"/>
      <c r="B7" s="68"/>
      <c r="C7" s="68"/>
      <c r="D7" s="68"/>
      <c r="E7" s="67"/>
      <c r="F7" s="70"/>
      <c r="G7" s="67"/>
      <c r="H7" s="71"/>
      <c r="I7" s="72"/>
      <c r="J7" s="95"/>
    </row>
    <row r="8" spans="1:18" s="28" customFormat="1" ht="26.25" customHeight="1" x14ac:dyDescent="0.2">
      <c r="A8" s="96" t="s">
        <v>42</v>
      </c>
      <c r="B8" s="69" t="str">
        <f>'PLAN ORÇ'!A17</f>
        <v>1.0</v>
      </c>
      <c r="C8" s="291" t="str">
        <f>'PLAN ORÇ'!D17</f>
        <v>SERVIÇOS PRELIMINARES</v>
      </c>
      <c r="D8" s="292"/>
      <c r="E8" s="292"/>
      <c r="F8" s="292"/>
      <c r="G8" s="292"/>
      <c r="H8" s="292"/>
      <c r="I8" s="292"/>
      <c r="J8" s="293"/>
      <c r="K8"/>
      <c r="L8"/>
      <c r="M8"/>
      <c r="N8"/>
      <c r="O8"/>
      <c r="P8"/>
      <c r="Q8"/>
      <c r="R8"/>
    </row>
    <row r="9" spans="1:18" customFormat="1" ht="19.5" customHeight="1" x14ac:dyDescent="0.2">
      <c r="A9" s="73"/>
      <c r="J9" s="74"/>
    </row>
    <row r="10" spans="1:18" ht="14.25" customHeight="1" x14ac:dyDescent="0.25">
      <c r="A10" s="97" t="s">
        <v>43</v>
      </c>
      <c r="B10" s="37" t="str">
        <f>'PLAN ORÇ'!A18</f>
        <v>1.1</v>
      </c>
      <c r="C10" s="36"/>
      <c r="D10" s="278" t="str">
        <f>'PLAN ORÇ'!D18</f>
        <v>FORNECIMENTO E INSTALAÇÃO DE PLACA DE OBRA COM CHAPA GALVANIZADA E ESTRUTURA DE MADEIRA. AF_03/2022_PS</v>
      </c>
      <c r="E10" s="278"/>
      <c r="F10" s="278"/>
      <c r="G10" s="278"/>
      <c r="H10" s="278"/>
      <c r="I10" s="278"/>
      <c r="J10" s="279"/>
    </row>
    <row r="11" spans="1:18" ht="32.25" customHeight="1" x14ac:dyDescent="0.2">
      <c r="A11" s="98" t="s">
        <v>44</v>
      </c>
      <c r="B11" s="64">
        <f>'PLAN ORÇ'!C18</f>
        <v>103689</v>
      </c>
      <c r="C11" s="38"/>
      <c r="D11" s="278"/>
      <c r="E11" s="278"/>
      <c r="F11" s="278"/>
      <c r="G11" s="278"/>
      <c r="H11" s="278"/>
      <c r="I11" s="278"/>
      <c r="J11" s="279"/>
    </row>
    <row r="12" spans="1:18" ht="24" customHeight="1" x14ac:dyDescent="0.25">
      <c r="A12" s="261"/>
      <c r="B12" s="262"/>
      <c r="C12" s="31"/>
      <c r="D12" s="280" t="s">
        <v>45</v>
      </c>
      <c r="E12" s="281"/>
      <c r="F12" s="239" t="s">
        <v>141</v>
      </c>
      <c r="G12" s="240"/>
      <c r="H12" s="260"/>
      <c r="I12" s="260" t="s">
        <v>142</v>
      </c>
      <c r="J12" s="224" t="s">
        <v>62</v>
      </c>
    </row>
    <row r="13" spans="1:18" ht="2.25" hidden="1" customHeight="1" x14ac:dyDescent="0.25">
      <c r="A13" s="261"/>
      <c r="B13" s="262"/>
      <c r="C13" s="31"/>
      <c r="D13" s="282"/>
      <c r="E13" s="283"/>
      <c r="F13" s="46"/>
      <c r="G13" s="143"/>
      <c r="H13" s="260"/>
      <c r="I13" s="260"/>
      <c r="J13" s="224"/>
    </row>
    <row r="14" spans="1:18" ht="20.25" customHeight="1" x14ac:dyDescent="0.2">
      <c r="A14" s="297" t="s">
        <v>148</v>
      </c>
      <c r="B14" s="298"/>
      <c r="C14" s="39"/>
      <c r="D14" s="271">
        <v>3</v>
      </c>
      <c r="E14" s="272"/>
      <c r="F14" s="271">
        <v>1.5</v>
      </c>
      <c r="G14" s="272"/>
      <c r="H14" s="27"/>
      <c r="I14" s="27">
        <f>ROUND(D14*F14,2)</f>
        <v>4.5</v>
      </c>
      <c r="J14" s="99"/>
    </row>
    <row r="15" spans="1:18" ht="13.5" customHeight="1" x14ac:dyDescent="0.25">
      <c r="A15" s="261" t="s">
        <v>23</v>
      </c>
      <c r="B15" s="262"/>
      <c r="C15" s="31"/>
      <c r="D15" s="274"/>
      <c r="E15" s="275"/>
      <c r="F15" s="275"/>
      <c r="G15" s="275"/>
      <c r="H15" s="276"/>
      <c r="I15" s="40">
        <f>ROUND(SUM(I14:I14),2)</f>
        <v>4.5</v>
      </c>
      <c r="J15" s="100"/>
    </row>
    <row r="16" spans="1:18" customFormat="1" ht="19.5" customHeight="1" x14ac:dyDescent="0.2">
      <c r="A16" s="73"/>
      <c r="J16" s="74"/>
    </row>
    <row r="17" spans="1:18" s="28" customFormat="1" ht="26.25" customHeight="1" x14ac:dyDescent="0.2">
      <c r="A17" s="96" t="s">
        <v>42</v>
      </c>
      <c r="B17" s="69" t="str">
        <f>'PLAN ORÇ'!A22</f>
        <v>2.0</v>
      </c>
      <c r="C17" s="291" t="str">
        <f>'PLAN ORÇ'!D22</f>
        <v>TERRAPLANAGEM</v>
      </c>
      <c r="D17" s="292"/>
      <c r="E17" s="292"/>
      <c r="F17" s="292"/>
      <c r="G17" s="292"/>
      <c r="H17" s="292"/>
      <c r="I17" s="292"/>
      <c r="J17" s="293"/>
      <c r="K17"/>
      <c r="L17"/>
      <c r="M17"/>
      <c r="N17"/>
      <c r="O17"/>
      <c r="P17"/>
      <c r="Q17"/>
      <c r="R17"/>
    </row>
    <row r="18" spans="1:18" customFormat="1" ht="19.5" customHeight="1" x14ac:dyDescent="0.2">
      <c r="A18" s="73"/>
      <c r="J18" s="74"/>
    </row>
    <row r="19" spans="1:18" ht="14.25" customHeight="1" x14ac:dyDescent="0.25">
      <c r="A19" s="97" t="s">
        <v>43</v>
      </c>
      <c r="B19" s="37" t="s">
        <v>191</v>
      </c>
      <c r="C19" s="36"/>
      <c r="D19" s="277" t="str">
        <f>'PLAN ORÇ'!D23</f>
        <v>LOCAÇÃO DE PAVIMENTAÇÃO</v>
      </c>
      <c r="E19" s="278"/>
      <c r="F19" s="278"/>
      <c r="G19" s="278"/>
      <c r="H19" s="278"/>
      <c r="I19" s="278"/>
      <c r="J19" s="279"/>
    </row>
    <row r="20" spans="1:18" ht="29.25" customHeight="1" x14ac:dyDescent="0.2">
      <c r="A20" s="98" t="s">
        <v>44</v>
      </c>
      <c r="B20" s="64" t="str">
        <f>'PLAN ORÇ'!C23</f>
        <v>CPU.2</v>
      </c>
      <c r="C20" s="38"/>
      <c r="D20" s="278"/>
      <c r="E20" s="278"/>
      <c r="F20" s="278"/>
      <c r="G20" s="278"/>
      <c r="H20" s="278"/>
      <c r="I20" s="278"/>
      <c r="J20" s="279"/>
    </row>
    <row r="21" spans="1:18" ht="24" customHeight="1" x14ac:dyDescent="0.25">
      <c r="A21" s="261"/>
      <c r="B21" s="262"/>
      <c r="C21" s="31"/>
      <c r="D21" s="280" t="s">
        <v>58</v>
      </c>
      <c r="E21" s="281"/>
      <c r="F21" s="280" t="s">
        <v>211</v>
      </c>
      <c r="G21" s="284"/>
      <c r="H21" s="281"/>
      <c r="I21" s="260" t="s">
        <v>287</v>
      </c>
      <c r="J21" s="224" t="s">
        <v>62</v>
      </c>
    </row>
    <row r="22" spans="1:18" ht="2.25" hidden="1" customHeight="1" x14ac:dyDescent="0.25">
      <c r="A22" s="261"/>
      <c r="B22" s="262"/>
      <c r="C22" s="31"/>
      <c r="D22" s="282"/>
      <c r="E22" s="283"/>
      <c r="F22" s="282"/>
      <c r="G22" s="285"/>
      <c r="H22" s="283"/>
      <c r="I22" s="260"/>
      <c r="J22" s="224"/>
    </row>
    <row r="23" spans="1:18" ht="36" customHeight="1" x14ac:dyDescent="0.2">
      <c r="A23" s="269" t="s">
        <v>318</v>
      </c>
      <c r="B23" s="270"/>
      <c r="C23" s="39"/>
      <c r="D23" s="271">
        <f>D74</f>
        <v>513.45999999999992</v>
      </c>
      <c r="E23" s="272"/>
      <c r="F23" s="271">
        <v>2</v>
      </c>
      <c r="G23" s="273"/>
      <c r="H23" s="272"/>
      <c r="I23" s="27">
        <f>ROUND(D23*F23,2)</f>
        <v>1026.92</v>
      </c>
      <c r="J23" s="99"/>
    </row>
    <row r="24" spans="1:18" ht="36" customHeight="1" x14ac:dyDescent="0.2">
      <c r="A24" s="269" t="s">
        <v>295</v>
      </c>
      <c r="B24" s="270"/>
      <c r="C24" s="39"/>
      <c r="D24" s="271">
        <f>SUM(42.38+29.15+62.06+24.58)</f>
        <v>158.17000000000002</v>
      </c>
      <c r="E24" s="272"/>
      <c r="F24" s="271">
        <v>2</v>
      </c>
      <c r="G24" s="273"/>
      <c r="H24" s="272"/>
      <c r="I24" s="27">
        <f>ROUND(D24*F24,2)</f>
        <v>316.33999999999997</v>
      </c>
      <c r="J24" s="99"/>
    </row>
    <row r="25" spans="1:18" ht="18" customHeight="1" x14ac:dyDescent="0.25">
      <c r="A25" s="261" t="s">
        <v>23</v>
      </c>
      <c r="B25" s="262"/>
      <c r="C25" s="31"/>
      <c r="D25" s="274"/>
      <c r="E25" s="275"/>
      <c r="F25" s="275"/>
      <c r="G25" s="275"/>
      <c r="H25" s="276"/>
      <c r="I25" s="40">
        <f>SUM(I23:I23)</f>
        <v>1026.92</v>
      </c>
      <c r="J25" s="100"/>
    </row>
    <row r="26" spans="1:18" customFormat="1" ht="19.5" customHeight="1" x14ac:dyDescent="0.2">
      <c r="A26" s="73"/>
      <c r="J26" s="74"/>
    </row>
    <row r="27" spans="1:18" ht="14.25" customHeight="1" x14ac:dyDescent="0.25">
      <c r="A27" s="97" t="s">
        <v>43</v>
      </c>
      <c r="B27" s="37" t="str">
        <f>'PLAN ORÇ'!A24</f>
        <v>2.2</v>
      </c>
      <c r="C27" s="36"/>
      <c r="D27" s="277" t="str">
        <f>'PLAN ORÇ'!D24</f>
        <v>ESCAVAÇÃO HORIZONTAL EM SOLO DE 1A CATEGORIA COM TRATOR DE ESTEIRAS (170HP/LÂMINA: 5,20M3). AF_07/2020</v>
      </c>
      <c r="E27" s="278"/>
      <c r="F27" s="278"/>
      <c r="G27" s="278"/>
      <c r="H27" s="278"/>
      <c r="I27" s="278"/>
      <c r="J27" s="279"/>
    </row>
    <row r="28" spans="1:18" ht="29.25" customHeight="1" x14ac:dyDescent="0.2">
      <c r="A28" s="98" t="s">
        <v>44</v>
      </c>
      <c r="B28" s="64" t="str">
        <f>'PLAN ORÇ'!C24</f>
        <v>101116</v>
      </c>
      <c r="C28" s="38"/>
      <c r="D28" s="278"/>
      <c r="E28" s="278"/>
      <c r="F28" s="278"/>
      <c r="G28" s="278"/>
      <c r="H28" s="278"/>
      <c r="I28" s="278"/>
      <c r="J28" s="279"/>
    </row>
    <row r="29" spans="1:18" ht="24" customHeight="1" x14ac:dyDescent="0.25">
      <c r="A29" s="261"/>
      <c r="B29" s="262"/>
      <c r="C29" s="31"/>
      <c r="D29" s="280" t="s">
        <v>204</v>
      </c>
      <c r="E29" s="281"/>
      <c r="F29" s="280" t="s">
        <v>203</v>
      </c>
      <c r="G29" s="284"/>
      <c r="H29" s="281"/>
      <c r="I29" s="260" t="s">
        <v>277</v>
      </c>
      <c r="J29" s="224" t="s">
        <v>62</v>
      </c>
    </row>
    <row r="30" spans="1:18" ht="2.25" hidden="1" customHeight="1" x14ac:dyDescent="0.25">
      <c r="A30" s="261"/>
      <c r="B30" s="262"/>
      <c r="C30" s="31"/>
      <c r="D30" s="282"/>
      <c r="E30" s="283"/>
      <c r="F30" s="282"/>
      <c r="G30" s="285"/>
      <c r="H30" s="283"/>
      <c r="I30" s="260"/>
      <c r="J30" s="224"/>
    </row>
    <row r="31" spans="1:18" ht="36" customHeight="1" x14ac:dyDescent="0.2">
      <c r="A31" s="269" t="s">
        <v>317</v>
      </c>
      <c r="B31" s="270"/>
      <c r="C31" s="39"/>
      <c r="D31" s="271">
        <v>1421.09</v>
      </c>
      <c r="E31" s="272"/>
      <c r="F31" s="271">
        <v>0.15</v>
      </c>
      <c r="G31" s="273"/>
      <c r="H31" s="272"/>
      <c r="I31" s="27">
        <f>ROUND(D31*F31,2)</f>
        <v>213.16</v>
      </c>
      <c r="J31" s="99"/>
    </row>
    <row r="32" spans="1:18" ht="36" customHeight="1" x14ac:dyDescent="0.2">
      <c r="A32" s="269" t="s">
        <v>294</v>
      </c>
      <c r="B32" s="270"/>
      <c r="C32" s="39"/>
      <c r="D32" s="271">
        <f>D57</f>
        <v>1113.6199999999999</v>
      </c>
      <c r="E32" s="272"/>
      <c r="F32" s="271">
        <v>0.15</v>
      </c>
      <c r="G32" s="273"/>
      <c r="H32" s="272"/>
      <c r="I32" s="27">
        <f>ROUND(D32*F32,2)</f>
        <v>167.04</v>
      </c>
      <c r="J32" s="99"/>
    </row>
    <row r="33" spans="1:10" ht="36" customHeight="1" x14ac:dyDescent="0.2">
      <c r="A33" s="269" t="s">
        <v>275</v>
      </c>
      <c r="B33" s="270"/>
      <c r="C33" s="39"/>
      <c r="D33" s="271">
        <f>D31+D32</f>
        <v>2534.71</v>
      </c>
      <c r="E33" s="272"/>
      <c r="F33" s="271">
        <v>0.15</v>
      </c>
      <c r="G33" s="273"/>
      <c r="H33" s="272"/>
      <c r="I33" s="27">
        <f>ROUND(D33*F33,2)</f>
        <v>380.21</v>
      </c>
      <c r="J33" s="99"/>
    </row>
    <row r="34" spans="1:10" ht="18" customHeight="1" x14ac:dyDescent="0.25">
      <c r="A34" s="261" t="s">
        <v>23</v>
      </c>
      <c r="B34" s="262"/>
      <c r="C34" s="31"/>
      <c r="D34" s="274"/>
      <c r="E34" s="275"/>
      <c r="F34" s="275"/>
      <c r="G34" s="275"/>
      <c r="H34" s="276"/>
      <c r="I34" s="40">
        <f>SUM(I31:I33)</f>
        <v>760.41</v>
      </c>
      <c r="J34" s="100"/>
    </row>
    <row r="35" spans="1:10" customFormat="1" ht="19.149999999999999" customHeight="1" x14ac:dyDescent="0.2">
      <c r="A35" s="73"/>
      <c r="J35" s="74"/>
    </row>
    <row r="36" spans="1:10" ht="14.25" customHeight="1" x14ac:dyDescent="0.25">
      <c r="A36" s="97" t="s">
        <v>43</v>
      </c>
      <c r="B36" s="37" t="str">
        <f>'PLAN ORÇ'!A25</f>
        <v>2.3</v>
      </c>
      <c r="C36" s="36"/>
      <c r="D36" s="277" t="str">
        <f>'PLAN ORÇ'!D25</f>
        <v>CARGA, MANOBRA E DESCARGA DE SOLOS E MATERIAIS GRANULARES EM CAMINHÃO BASCULANTE 10 M³ - CARGA COM PÁ CARREGADEIRA (CAÇAMBA DE 1,7 A 2,8 M³ / 128 HP) E DESCARGA LIVRE (UNIDADE: M3). AF_07/2020</v>
      </c>
      <c r="E36" s="278"/>
      <c r="F36" s="278"/>
      <c r="G36" s="278"/>
      <c r="H36" s="278"/>
      <c r="I36" s="278"/>
      <c r="J36" s="279"/>
    </row>
    <row r="37" spans="1:10" ht="29.25" customHeight="1" x14ac:dyDescent="0.2">
      <c r="A37" s="98" t="s">
        <v>44</v>
      </c>
      <c r="B37" s="64" t="str">
        <f>'PLAN ORÇ'!C25</f>
        <v>100974</v>
      </c>
      <c r="C37" s="38"/>
      <c r="D37" s="278"/>
      <c r="E37" s="278"/>
      <c r="F37" s="278"/>
      <c r="G37" s="278"/>
      <c r="H37" s="278"/>
      <c r="I37" s="278"/>
      <c r="J37" s="279"/>
    </row>
    <row r="38" spans="1:10" ht="24" customHeight="1" x14ac:dyDescent="0.25">
      <c r="A38" s="261"/>
      <c r="B38" s="262"/>
      <c r="C38" s="31"/>
      <c r="D38" s="280" t="s">
        <v>208</v>
      </c>
      <c r="E38" s="281"/>
      <c r="F38" s="280"/>
      <c r="G38" s="284"/>
      <c r="H38" s="281"/>
      <c r="I38" s="260" t="s">
        <v>277</v>
      </c>
      <c r="J38" s="224" t="s">
        <v>62</v>
      </c>
    </row>
    <row r="39" spans="1:10" ht="2.25" hidden="1" customHeight="1" x14ac:dyDescent="0.25">
      <c r="A39" s="261"/>
      <c r="B39" s="262"/>
      <c r="C39" s="31"/>
      <c r="D39" s="282"/>
      <c r="E39" s="283"/>
      <c r="F39" s="282"/>
      <c r="G39" s="285"/>
      <c r="H39" s="283"/>
      <c r="I39" s="260"/>
      <c r="J39" s="224"/>
    </row>
    <row r="40" spans="1:10" ht="36" customHeight="1" x14ac:dyDescent="0.2">
      <c r="A40" s="269" t="s">
        <v>290</v>
      </c>
      <c r="B40" s="270"/>
      <c r="C40" s="39"/>
      <c r="D40" s="271">
        <f>I31+I32</f>
        <v>380.2</v>
      </c>
      <c r="E40" s="272"/>
      <c r="F40" s="271"/>
      <c r="G40" s="273"/>
      <c r="H40" s="272"/>
      <c r="I40" s="27">
        <f>ROUND(D40,2)</f>
        <v>380.2</v>
      </c>
      <c r="J40" s="99"/>
    </row>
    <row r="41" spans="1:10" ht="36" customHeight="1" x14ac:dyDescent="0.2">
      <c r="A41" s="269" t="s">
        <v>276</v>
      </c>
      <c r="B41" s="270"/>
      <c r="C41" s="39"/>
      <c r="D41" s="271">
        <f>I33</f>
        <v>380.21</v>
      </c>
      <c r="E41" s="272"/>
      <c r="F41" s="271"/>
      <c r="G41" s="273"/>
      <c r="H41" s="272"/>
      <c r="I41" s="27">
        <f>ROUND(D41,2)</f>
        <v>380.21</v>
      </c>
      <c r="J41" s="99"/>
    </row>
    <row r="42" spans="1:10" ht="18" customHeight="1" x14ac:dyDescent="0.25">
      <c r="A42" s="261" t="s">
        <v>23</v>
      </c>
      <c r="B42" s="262"/>
      <c r="C42" s="31"/>
      <c r="D42" s="274"/>
      <c r="E42" s="275"/>
      <c r="F42" s="275"/>
      <c r="G42" s="275"/>
      <c r="H42" s="276"/>
      <c r="I42" s="40">
        <f>ROUND(SUM(I40:I41),2)</f>
        <v>760.41</v>
      </c>
      <c r="J42" s="100"/>
    </row>
    <row r="43" spans="1:10" customFormat="1" ht="19.5" customHeight="1" x14ac:dyDescent="0.2">
      <c r="A43" s="73"/>
      <c r="J43" s="74"/>
    </row>
    <row r="44" spans="1:10" ht="14.25" customHeight="1" x14ac:dyDescent="0.25">
      <c r="A44" s="97" t="s">
        <v>43</v>
      </c>
      <c r="B44" s="37" t="str">
        <f>'PLAN ORÇ'!A26</f>
        <v>2.4</v>
      </c>
      <c r="C44" s="36"/>
      <c r="D44" s="277" t="str">
        <f>'PLAN ORÇ'!D26</f>
        <v>TRANSPORTE COM CAMINHÃO BASCULANTE DE 18 M³, EM VIA URBANA EM REVESTIMENTO PRIMÁRIO (UNIDADE: M3XKM). AF_07/2020</v>
      </c>
      <c r="E44" s="278"/>
      <c r="F44" s="278"/>
      <c r="G44" s="278"/>
      <c r="H44" s="278"/>
      <c r="I44" s="278"/>
      <c r="J44" s="279"/>
    </row>
    <row r="45" spans="1:10" ht="29.25" customHeight="1" x14ac:dyDescent="0.2">
      <c r="A45" s="98" t="s">
        <v>44</v>
      </c>
      <c r="B45" s="64" t="str">
        <f>'PLAN ORÇ'!C26</f>
        <v>95426</v>
      </c>
      <c r="C45" s="38"/>
      <c r="D45" s="278"/>
      <c r="E45" s="278"/>
      <c r="F45" s="278"/>
      <c r="G45" s="278"/>
      <c r="H45" s="278"/>
      <c r="I45" s="278"/>
      <c r="J45" s="279"/>
    </row>
    <row r="46" spans="1:10" ht="24" customHeight="1" x14ac:dyDescent="0.25">
      <c r="A46" s="261"/>
      <c r="B46" s="262"/>
      <c r="C46" s="31"/>
      <c r="D46" s="280" t="s">
        <v>208</v>
      </c>
      <c r="E46" s="281"/>
      <c r="F46" s="280" t="s">
        <v>205</v>
      </c>
      <c r="G46" s="284"/>
      <c r="H46" s="281"/>
      <c r="I46" s="260" t="s">
        <v>278</v>
      </c>
      <c r="J46" s="224" t="s">
        <v>62</v>
      </c>
    </row>
    <row r="47" spans="1:10" ht="2.25" hidden="1" customHeight="1" x14ac:dyDescent="0.25">
      <c r="A47" s="261"/>
      <c r="B47" s="262"/>
      <c r="C47" s="31"/>
      <c r="D47" s="282"/>
      <c r="E47" s="283"/>
      <c r="F47" s="282"/>
      <c r="G47" s="285"/>
      <c r="H47" s="283"/>
      <c r="I47" s="260"/>
      <c r="J47" s="224"/>
    </row>
    <row r="48" spans="1:10" ht="36" customHeight="1" x14ac:dyDescent="0.2">
      <c r="A48" s="269" t="str">
        <f>A40</f>
        <v>BOTA FORA (SOMATÓRIO DOS VOLUMES FORA A JAZIDA)</v>
      </c>
      <c r="B48" s="270"/>
      <c r="C48" s="39"/>
      <c r="D48" s="271">
        <f>D40</f>
        <v>380.2</v>
      </c>
      <c r="E48" s="272"/>
      <c r="F48" s="271">
        <v>4.3600000000000003</v>
      </c>
      <c r="G48" s="273"/>
      <c r="H48" s="272"/>
      <c r="I48" s="27">
        <f>ROUND(D48*F48,2)</f>
        <v>1657.67</v>
      </c>
      <c r="J48" s="99"/>
    </row>
    <row r="49" spans="1:10" ht="36" customHeight="1" x14ac:dyDescent="0.2">
      <c r="A49" s="269" t="str">
        <f>A41</f>
        <v>JAZIDA</v>
      </c>
      <c r="B49" s="270"/>
      <c r="C49" s="39"/>
      <c r="D49" s="271">
        <f>D41</f>
        <v>380.21</v>
      </c>
      <c r="E49" s="272"/>
      <c r="F49" s="271">
        <v>9.59</v>
      </c>
      <c r="G49" s="273"/>
      <c r="H49" s="272"/>
      <c r="I49" s="27">
        <f>ROUND(D49*F49,2)</f>
        <v>3646.21</v>
      </c>
      <c r="J49" s="99"/>
    </row>
    <row r="50" spans="1:10" ht="18" customHeight="1" x14ac:dyDescent="0.25">
      <c r="A50" s="261" t="s">
        <v>23</v>
      </c>
      <c r="B50" s="262"/>
      <c r="C50" s="31"/>
      <c r="D50" s="274"/>
      <c r="E50" s="275"/>
      <c r="F50" s="275"/>
      <c r="G50" s="275"/>
      <c r="H50" s="276"/>
      <c r="I50" s="40">
        <f>SUM(I48:I49)</f>
        <v>5303.88</v>
      </c>
      <c r="J50" s="100"/>
    </row>
    <row r="51" spans="1:10" customFormat="1" ht="19.5" customHeight="1" x14ac:dyDescent="0.2">
      <c r="A51" s="73"/>
      <c r="J51" s="74"/>
    </row>
    <row r="52" spans="1:10" ht="14.25" customHeight="1" x14ac:dyDescent="0.25">
      <c r="A52" s="97" t="s">
        <v>43</v>
      </c>
      <c r="B52" s="37" t="str">
        <f>'PLAN ORÇ'!A27</f>
        <v>2.5</v>
      </c>
      <c r="C52" s="36"/>
      <c r="D52" s="277" t="str">
        <f>'PLAN ORÇ'!D27</f>
        <v>REGULARIZAÇÃO E COMPACTAÇÃO DE SUBLEITO DE SOLO PREDOMINANTEMENTE ARENOSO. AF_11/2019</v>
      </c>
      <c r="E52" s="278"/>
      <c r="F52" s="278"/>
      <c r="G52" s="278"/>
      <c r="H52" s="278"/>
      <c r="I52" s="278"/>
      <c r="J52" s="279"/>
    </row>
    <row r="53" spans="1:10" ht="29.25" customHeight="1" x14ac:dyDescent="0.2">
      <c r="A53" s="98" t="s">
        <v>44</v>
      </c>
      <c r="B53" s="64" t="str">
        <f>'PLAN ORÇ'!C27</f>
        <v>100577</v>
      </c>
      <c r="C53" s="38"/>
      <c r="D53" s="278"/>
      <c r="E53" s="278"/>
      <c r="F53" s="278"/>
      <c r="G53" s="278"/>
      <c r="H53" s="278"/>
      <c r="I53" s="278"/>
      <c r="J53" s="279"/>
    </row>
    <row r="54" spans="1:10" ht="24" customHeight="1" x14ac:dyDescent="0.25">
      <c r="A54" s="261"/>
      <c r="B54" s="262"/>
      <c r="C54" s="31"/>
      <c r="D54" s="280" t="s">
        <v>204</v>
      </c>
      <c r="E54" s="281"/>
      <c r="F54" s="280"/>
      <c r="G54" s="284"/>
      <c r="H54" s="281"/>
      <c r="I54" s="260" t="s">
        <v>231</v>
      </c>
      <c r="J54" s="224" t="s">
        <v>62</v>
      </c>
    </row>
    <row r="55" spans="1:10" ht="2.25" hidden="1" customHeight="1" x14ac:dyDescent="0.25">
      <c r="A55" s="261"/>
      <c r="B55" s="262"/>
      <c r="C55" s="31"/>
      <c r="D55" s="282"/>
      <c r="E55" s="283"/>
      <c r="F55" s="282"/>
      <c r="G55" s="285"/>
      <c r="H55" s="283"/>
      <c r="I55" s="260"/>
      <c r="J55" s="224"/>
    </row>
    <row r="56" spans="1:10" ht="24.6" customHeight="1" x14ac:dyDescent="0.2">
      <c r="A56" s="269" t="str">
        <f>A64</f>
        <v>RUA TV. JOAQUIM RODRIGUES/ CONTINUAÇÃO RUA UM</v>
      </c>
      <c r="B56" s="270"/>
      <c r="C56" s="39"/>
      <c r="D56" s="271">
        <f>D31</f>
        <v>1421.09</v>
      </c>
      <c r="E56" s="272"/>
      <c r="F56" s="271"/>
      <c r="G56" s="273"/>
      <c r="H56" s="272"/>
      <c r="I56" s="27">
        <f>ROUND(D56,2)</f>
        <v>1421.09</v>
      </c>
      <c r="J56" s="99"/>
    </row>
    <row r="57" spans="1:10" ht="24.6" customHeight="1" x14ac:dyDescent="0.2">
      <c r="A57" s="269" t="s">
        <v>295</v>
      </c>
      <c r="B57" s="270"/>
      <c r="C57" s="39"/>
      <c r="D57" s="271">
        <v>1113.6199999999999</v>
      </c>
      <c r="E57" s="272"/>
      <c r="F57" s="212"/>
      <c r="G57" s="212"/>
      <c r="H57" s="211"/>
      <c r="I57" s="27">
        <f>D57</f>
        <v>1113.6199999999999</v>
      </c>
      <c r="J57" s="99"/>
    </row>
    <row r="58" spans="1:10" ht="18" customHeight="1" x14ac:dyDescent="0.25">
      <c r="A58" s="261" t="s">
        <v>23</v>
      </c>
      <c r="B58" s="262"/>
      <c r="C58" s="31"/>
      <c r="D58" s="274"/>
      <c r="E58" s="275"/>
      <c r="F58" s="275"/>
      <c r="G58" s="275"/>
      <c r="H58" s="276"/>
      <c r="I58" s="40">
        <f>ROUND(SUM(I56:I57),2)</f>
        <v>2534.71</v>
      </c>
      <c r="J58" s="100"/>
    </row>
    <row r="59" spans="1:10" customFormat="1" ht="19.5" customHeight="1" x14ac:dyDescent="0.2">
      <c r="A59" s="73"/>
      <c r="J59" s="74"/>
    </row>
    <row r="60" spans="1:10" ht="14.25" customHeight="1" x14ac:dyDescent="0.25">
      <c r="A60" s="97" t="s">
        <v>43</v>
      </c>
      <c r="B60" s="37" t="str">
        <f>'PLAN ORÇ'!A28</f>
        <v>2.6</v>
      </c>
      <c r="C60" s="36"/>
      <c r="D60" s="277" t="str">
        <f>'PLAN ORÇ'!D28</f>
        <v>EXECUÇÃO E COMPACTAÇÃO DE BASE E OU SUB BASE PARA PAVIMENTAÇÃO DE BRITA GRADUADA SIMPLES - EXCLUSIVE CARGA E TRANSPORTE. AF_11/2019</v>
      </c>
      <c r="E60" s="278"/>
      <c r="F60" s="278"/>
      <c r="G60" s="278"/>
      <c r="H60" s="278"/>
      <c r="I60" s="278"/>
      <c r="J60" s="279"/>
    </row>
    <row r="61" spans="1:10" ht="29.25" customHeight="1" x14ac:dyDescent="0.2">
      <c r="A61" s="98" t="s">
        <v>44</v>
      </c>
      <c r="B61" s="64" t="str">
        <f>'PLAN ORÇ'!C28</f>
        <v>96396</v>
      </c>
      <c r="C61" s="38"/>
      <c r="D61" s="278"/>
      <c r="E61" s="278"/>
      <c r="F61" s="278"/>
      <c r="G61" s="278"/>
      <c r="H61" s="278"/>
      <c r="I61" s="278"/>
      <c r="J61" s="279"/>
    </row>
    <row r="62" spans="1:10" ht="16.149999999999999" customHeight="1" x14ac:dyDescent="0.25">
      <c r="A62" s="261"/>
      <c r="B62" s="262"/>
      <c r="C62" s="31"/>
      <c r="D62" s="280" t="s">
        <v>208</v>
      </c>
      <c r="E62" s="281"/>
      <c r="F62" s="280"/>
      <c r="G62" s="284"/>
      <c r="H62" s="281"/>
      <c r="I62" s="260" t="s">
        <v>143</v>
      </c>
      <c r="J62" s="224" t="s">
        <v>62</v>
      </c>
    </row>
    <row r="63" spans="1:10" ht="10.15" customHeight="1" x14ac:dyDescent="0.25">
      <c r="A63" s="261"/>
      <c r="B63" s="262"/>
      <c r="C63" s="31"/>
      <c r="D63" s="282"/>
      <c r="E63" s="283"/>
      <c r="F63" s="282"/>
      <c r="G63" s="285"/>
      <c r="H63" s="283"/>
      <c r="I63" s="260"/>
      <c r="J63" s="224"/>
    </row>
    <row r="64" spans="1:10" ht="27.6" customHeight="1" x14ac:dyDescent="0.2">
      <c r="A64" s="269" t="str">
        <f>A74</f>
        <v>RUA TV. JOAQUIM RODRIGUES/ CONTINUAÇÃO RUA UM</v>
      </c>
      <c r="B64" s="270"/>
      <c r="C64" s="39"/>
      <c r="D64" s="271">
        <f>I31</f>
        <v>213.16</v>
      </c>
      <c r="E64" s="272"/>
      <c r="F64" s="271"/>
      <c r="G64" s="273"/>
      <c r="H64" s="272"/>
      <c r="I64" s="27">
        <f>D64</f>
        <v>213.16</v>
      </c>
      <c r="J64" s="99"/>
    </row>
    <row r="65" spans="1:18" ht="27.6" customHeight="1" x14ac:dyDescent="0.2">
      <c r="A65" s="269" t="str">
        <f>A57</f>
        <v>RUA EDGAR PEREIRA</v>
      </c>
      <c r="B65" s="270"/>
      <c r="C65" s="39"/>
      <c r="D65" s="271">
        <f>I32</f>
        <v>167.04</v>
      </c>
      <c r="E65" s="272"/>
      <c r="F65" s="212"/>
      <c r="G65" s="212"/>
      <c r="H65" s="211"/>
      <c r="I65" s="27">
        <f>D65</f>
        <v>167.04</v>
      </c>
      <c r="J65" s="99"/>
    </row>
    <row r="66" spans="1:18" ht="18" customHeight="1" x14ac:dyDescent="0.25">
      <c r="A66" s="261" t="s">
        <v>23</v>
      </c>
      <c r="B66" s="262"/>
      <c r="C66" s="31"/>
      <c r="D66" s="274"/>
      <c r="E66" s="275"/>
      <c r="F66" s="275"/>
      <c r="G66" s="275"/>
      <c r="H66" s="276"/>
      <c r="I66" s="40">
        <f>ROUND(SUM(I64:I65),2)</f>
        <v>380.2</v>
      </c>
      <c r="J66" s="100"/>
    </row>
    <row r="67" spans="1:18" ht="12.75" customHeight="1" x14ac:dyDescent="0.2">
      <c r="A67" s="94"/>
      <c r="B67" s="68"/>
      <c r="C67" s="68"/>
      <c r="D67" s="68"/>
      <c r="E67" s="67"/>
      <c r="F67" s="70"/>
      <c r="G67" s="67"/>
      <c r="H67" s="71"/>
      <c r="I67" s="72"/>
      <c r="J67" s="95"/>
    </row>
    <row r="68" spans="1:18" s="28" customFormat="1" ht="26.25" customHeight="1" x14ac:dyDescent="0.2">
      <c r="A68" s="96" t="s">
        <v>42</v>
      </c>
      <c r="B68" s="69" t="str">
        <f>'PLAN ORÇ'!A31</f>
        <v>3.0</v>
      </c>
      <c r="C68" s="291" t="str">
        <f>'PLAN ORÇ'!D31</f>
        <v>MEIO-FIO E SARJETA</v>
      </c>
      <c r="D68" s="292"/>
      <c r="E68" s="292"/>
      <c r="F68" s="292"/>
      <c r="G68" s="292"/>
      <c r="H68" s="292"/>
      <c r="I68" s="292"/>
      <c r="J68" s="293"/>
      <c r="K68"/>
      <c r="L68"/>
      <c r="M68"/>
      <c r="N68"/>
      <c r="O68"/>
      <c r="P68"/>
      <c r="Q68"/>
      <c r="R68"/>
    </row>
    <row r="69" spans="1:18" customFormat="1" ht="19.5" customHeight="1" x14ac:dyDescent="0.2">
      <c r="A69" s="73"/>
      <c r="J69" s="74"/>
    </row>
    <row r="70" spans="1:18" ht="14.25" customHeight="1" x14ac:dyDescent="0.25">
      <c r="A70" s="97" t="s">
        <v>43</v>
      </c>
      <c r="B70" s="37" t="str">
        <f>'PLAN ORÇ'!A32</f>
        <v>3.1</v>
      </c>
      <c r="C70" s="36"/>
      <c r="D70" s="277" t="str">
        <f>'PLAN ORÇ'!D32</f>
        <v>GUIA (MEIO-FIO) E SARJETA CONJUGADOS DE CONCRETO, MOLDADA  IN LOCO  EM TRECHO RETO COM EXTRUSORA, 45 CM BASE (15 CM BASE DA GUIA + 30 CM BASE DA SARJETA) X 22 CM ALTURA. AF_01/2024</v>
      </c>
      <c r="E70" s="278"/>
      <c r="F70" s="278"/>
      <c r="G70" s="278"/>
      <c r="H70" s="278"/>
      <c r="I70" s="278"/>
      <c r="J70" s="279"/>
    </row>
    <row r="71" spans="1:18" ht="44.25" customHeight="1" x14ac:dyDescent="0.2">
      <c r="A71" s="98" t="s">
        <v>44</v>
      </c>
      <c r="B71" s="64" t="str">
        <f>'PLAN ORÇ'!C32</f>
        <v>94267</v>
      </c>
      <c r="C71" s="38"/>
      <c r="D71" s="278"/>
      <c r="E71" s="278"/>
      <c r="F71" s="278"/>
      <c r="G71" s="278"/>
      <c r="H71" s="278"/>
      <c r="I71" s="278"/>
      <c r="J71" s="279"/>
    </row>
    <row r="72" spans="1:18" ht="24" customHeight="1" x14ac:dyDescent="0.25">
      <c r="A72" s="261"/>
      <c r="B72" s="262"/>
      <c r="C72" s="31"/>
      <c r="D72" s="280" t="s">
        <v>58</v>
      </c>
      <c r="E72" s="281"/>
      <c r="F72" s="239"/>
      <c r="G72" s="240"/>
      <c r="H72" s="260"/>
      <c r="I72" s="260" t="s">
        <v>224</v>
      </c>
      <c r="J72" s="224" t="s">
        <v>62</v>
      </c>
    </row>
    <row r="73" spans="1:18" ht="2.25" hidden="1" customHeight="1" x14ac:dyDescent="0.25">
      <c r="A73" s="261"/>
      <c r="B73" s="262"/>
      <c r="C73" s="31"/>
      <c r="D73" s="282"/>
      <c r="E73" s="283"/>
      <c r="F73" s="46"/>
      <c r="G73" s="143"/>
      <c r="H73" s="260"/>
      <c r="I73" s="260"/>
      <c r="J73" s="224"/>
    </row>
    <row r="74" spans="1:18" ht="36" customHeight="1" x14ac:dyDescent="0.2">
      <c r="A74" s="269" t="str">
        <f>A89</f>
        <v>RUA TV. JOAQUIM RODRIGUES/ CONTINUAÇÃO RUA UM</v>
      </c>
      <c r="B74" s="270"/>
      <c r="C74" s="39"/>
      <c r="D74" s="271">
        <f>36.9+8.52+9.94+3.26+6.62+38.05+10.67+27.98+3.9+23.74+3.75+8.41+8.1+3.29+23.35+3.63+28.15+2.19+6.27+59.52+5.26+10+59.81+4.27+41.57+6.54+4.29+9.01+5.68+14.43+33.76+2.6</f>
        <v>513.45999999999992</v>
      </c>
      <c r="E74" s="272"/>
      <c r="F74" s="271"/>
      <c r="G74" s="272"/>
      <c r="H74" s="27"/>
      <c r="I74" s="27">
        <f>D74</f>
        <v>513.45999999999992</v>
      </c>
      <c r="J74" s="99"/>
    </row>
    <row r="75" spans="1:18" ht="36" customHeight="1" x14ac:dyDescent="0.2">
      <c r="A75" s="269" t="str">
        <f>A65</f>
        <v>RUA EDGAR PEREIRA</v>
      </c>
      <c r="B75" s="270"/>
      <c r="C75" s="39"/>
      <c r="D75" s="271">
        <f>3.92+42.38+29.15+62.06+24.58+4.26+84.44+31.56+42.44</f>
        <v>324.78999999999996</v>
      </c>
      <c r="E75" s="272"/>
      <c r="F75" s="212"/>
      <c r="G75" s="212"/>
      <c r="H75" s="211"/>
      <c r="I75" s="27">
        <f>D75</f>
        <v>324.78999999999996</v>
      </c>
      <c r="J75" s="99"/>
    </row>
    <row r="76" spans="1:18" ht="18" customHeight="1" x14ac:dyDescent="0.25">
      <c r="A76" s="261" t="s">
        <v>23</v>
      </c>
      <c r="B76" s="262"/>
      <c r="C76" s="31"/>
      <c r="D76" s="274"/>
      <c r="E76" s="275"/>
      <c r="F76" s="275"/>
      <c r="G76" s="275"/>
      <c r="H76" s="276"/>
      <c r="I76" s="40">
        <f>SUM(I74:I75)</f>
        <v>838.24999999999989</v>
      </c>
      <c r="J76" s="100"/>
    </row>
    <row r="77" spans="1:18" customFormat="1" ht="19.5" customHeight="1" x14ac:dyDescent="0.25">
      <c r="A77" s="97" t="s">
        <v>43</v>
      </c>
      <c r="B77" s="37" t="str">
        <f>'PLAN ORÇ'!A39</f>
        <v>SUB -TOTAL</v>
      </c>
      <c r="C77" s="36"/>
      <c r="D77" s="277" t="str">
        <f>'PLAN ORÇ'!D33</f>
        <v>GUIA DE MEIO-FIO, EM CONCRETO COM FCK 20MPA, PRÉ-MOLDADA, MFC-01 PADRÃO DER-MG, DIMENSÕES (12X16,7X35)CM, EXCLUSIVE SARJETA, INCLUSIVE ESCAVAÇÃO, APILOAMENTO E TRANSPORTE COM RETIRADA DO MATERIAL ESCAVADO (EM CAÇAMBA)</v>
      </c>
      <c r="E77" s="278"/>
      <c r="F77" s="278"/>
      <c r="G77" s="278"/>
      <c r="H77" s="278"/>
      <c r="I77" s="278"/>
      <c r="J77" s="279"/>
    </row>
    <row r="78" spans="1:18" customFormat="1" ht="44.25" customHeight="1" x14ac:dyDescent="0.2">
      <c r="A78" s="98" t="s">
        <v>44</v>
      </c>
      <c r="B78" s="64" t="str">
        <f>'PLAN ORÇ'!C33</f>
        <v>ED-51139</v>
      </c>
      <c r="C78" s="38"/>
      <c r="D78" s="278"/>
      <c r="E78" s="278"/>
      <c r="F78" s="278"/>
      <c r="G78" s="278"/>
      <c r="H78" s="278"/>
      <c r="I78" s="278"/>
      <c r="J78" s="279"/>
    </row>
    <row r="79" spans="1:18" customFormat="1" ht="19.5" customHeight="1" x14ac:dyDescent="0.25">
      <c r="A79" s="319"/>
      <c r="B79" s="262"/>
      <c r="C79" s="31"/>
      <c r="D79" s="280" t="s">
        <v>58</v>
      </c>
      <c r="E79" s="281"/>
      <c r="F79" s="280" t="s">
        <v>307</v>
      </c>
      <c r="G79" s="281"/>
      <c r="H79" s="260"/>
      <c r="I79" s="260" t="s">
        <v>224</v>
      </c>
      <c r="J79" s="224" t="s">
        <v>62</v>
      </c>
    </row>
    <row r="80" spans="1:18" customFormat="1" ht="19.5" customHeight="1" x14ac:dyDescent="0.25">
      <c r="A80" s="261"/>
      <c r="B80" s="262"/>
      <c r="C80" s="31"/>
      <c r="D80" s="282"/>
      <c r="E80" s="283"/>
      <c r="F80" s="282"/>
      <c r="G80" s="283"/>
      <c r="H80" s="260"/>
      <c r="I80" s="260"/>
      <c r="J80" s="224"/>
    </row>
    <row r="81" spans="1:18" customFormat="1" ht="19.5" customHeight="1" x14ac:dyDescent="0.2">
      <c r="A81" s="269" t="s">
        <v>295</v>
      </c>
      <c r="B81" s="270"/>
      <c r="C81" s="39"/>
      <c r="D81" s="271">
        <f>8.94+8.8+8.07</f>
        <v>25.810000000000002</v>
      </c>
      <c r="E81" s="272"/>
      <c r="F81" s="271"/>
      <c r="G81" s="272"/>
      <c r="H81" s="27"/>
      <c r="I81" s="27">
        <f>D81</f>
        <v>25.810000000000002</v>
      </c>
      <c r="J81" s="99"/>
    </row>
    <row r="82" spans="1:18" customFormat="1" ht="19.5" customHeight="1" x14ac:dyDescent="0.25">
      <c r="A82" s="261" t="s">
        <v>23</v>
      </c>
      <c r="B82" s="262"/>
      <c r="C82" s="31"/>
      <c r="D82" s="274"/>
      <c r="E82" s="275"/>
      <c r="F82" s="275"/>
      <c r="G82" s="275"/>
      <c r="H82" s="276"/>
      <c r="I82" s="40">
        <f>SUM(I81:I81)</f>
        <v>25.810000000000002</v>
      </c>
      <c r="J82" s="100"/>
    </row>
    <row r="83" spans="1:18" s="28" customFormat="1" ht="26.25" customHeight="1" x14ac:dyDescent="0.2">
      <c r="A83" s="96" t="s">
        <v>42</v>
      </c>
      <c r="B83" s="69" t="str">
        <f>'PLAN ORÇ'!A36</f>
        <v>4.0</v>
      </c>
      <c r="C83" s="291" t="str">
        <f>'PLAN ORÇ'!D36</f>
        <v>IMPRIMAÇÃO</v>
      </c>
      <c r="D83" s="292"/>
      <c r="E83" s="292"/>
      <c r="F83" s="292"/>
      <c r="G83" s="292"/>
      <c r="H83" s="292"/>
      <c r="I83" s="292"/>
      <c r="J83" s="293"/>
      <c r="K83"/>
      <c r="L83"/>
      <c r="M83"/>
      <c r="N83"/>
      <c r="O83"/>
      <c r="P83"/>
      <c r="Q83"/>
      <c r="R83"/>
    </row>
    <row r="84" spans="1:18" customFormat="1" ht="19.5" customHeight="1" x14ac:dyDescent="0.2">
      <c r="A84" s="73"/>
      <c r="J84" s="74"/>
    </row>
    <row r="85" spans="1:18" ht="14.25" customHeight="1" x14ac:dyDescent="0.25">
      <c r="A85" s="97" t="s">
        <v>43</v>
      </c>
      <c r="B85" s="37" t="str">
        <f>'PLAN ORÇ'!A37</f>
        <v>4.1</v>
      </c>
      <c r="C85" s="36"/>
      <c r="D85" s="277" t="str">
        <f>'PLAN ORÇ'!D37</f>
        <v>EXECUÇÃO DE IMPRIMAÇÃO COM ASFALTO DILUÍDO.</v>
      </c>
      <c r="E85" s="278"/>
      <c r="F85" s="278"/>
      <c r="G85" s="278"/>
      <c r="H85" s="278"/>
      <c r="I85" s="278"/>
      <c r="J85" s="279"/>
    </row>
    <row r="86" spans="1:18" ht="22.5" customHeight="1" x14ac:dyDescent="0.2">
      <c r="A86" s="98" t="s">
        <v>44</v>
      </c>
      <c r="B86" s="178" t="str">
        <f>'PLAN ORÇ'!C37</f>
        <v>CPU.3</v>
      </c>
      <c r="C86" s="38"/>
      <c r="D86" s="278"/>
      <c r="E86" s="278"/>
      <c r="F86" s="278"/>
      <c r="G86" s="278"/>
      <c r="H86" s="278"/>
      <c r="I86" s="278"/>
      <c r="J86" s="279"/>
    </row>
    <row r="87" spans="1:18" ht="24" customHeight="1" x14ac:dyDescent="0.25">
      <c r="A87" s="261"/>
      <c r="B87" s="262"/>
      <c r="C87" s="31"/>
      <c r="D87" s="280" t="s">
        <v>204</v>
      </c>
      <c r="E87" s="281"/>
      <c r="F87" s="239"/>
      <c r="G87" s="240"/>
      <c r="H87" s="260"/>
      <c r="I87" s="260" t="s">
        <v>142</v>
      </c>
      <c r="J87" s="224" t="s">
        <v>62</v>
      </c>
    </row>
    <row r="88" spans="1:18" ht="2.25" hidden="1" customHeight="1" x14ac:dyDescent="0.25">
      <c r="A88" s="261"/>
      <c r="B88" s="262"/>
      <c r="C88" s="31"/>
      <c r="D88" s="282"/>
      <c r="E88" s="283"/>
      <c r="F88" s="46"/>
      <c r="G88" s="143"/>
      <c r="H88" s="260"/>
      <c r="I88" s="260"/>
      <c r="J88" s="224"/>
    </row>
    <row r="89" spans="1:18" ht="36" customHeight="1" x14ac:dyDescent="0.2">
      <c r="A89" s="269" t="str">
        <f>A97</f>
        <v>RUA TV. JOAQUIM RODRIGUES/ CONTINUAÇÃO RUA UM</v>
      </c>
      <c r="B89" s="270"/>
      <c r="C89" s="39"/>
      <c r="D89" s="271">
        <f>D108+D109</f>
        <v>2302.75</v>
      </c>
      <c r="E89" s="272"/>
      <c r="F89" s="271"/>
      <c r="G89" s="272"/>
      <c r="H89" s="27"/>
      <c r="I89" s="27">
        <f>D89</f>
        <v>2302.75</v>
      </c>
      <c r="J89" s="99"/>
    </row>
    <row r="90" spans="1:18" ht="36" customHeight="1" x14ac:dyDescent="0.2">
      <c r="A90" s="269" t="str">
        <f>A75</f>
        <v>RUA EDGAR PEREIRA</v>
      </c>
      <c r="B90" s="270"/>
      <c r="C90" s="39"/>
      <c r="D90" s="271">
        <v>1113.6199999999999</v>
      </c>
      <c r="E90" s="272"/>
      <c r="F90" s="212"/>
      <c r="G90" s="212"/>
      <c r="H90" s="211"/>
      <c r="I90" s="27"/>
      <c r="J90" s="99"/>
    </row>
    <row r="91" spans="1:18" ht="18" customHeight="1" x14ac:dyDescent="0.25">
      <c r="A91" s="261" t="s">
        <v>23</v>
      </c>
      <c r="B91" s="262"/>
      <c r="C91" s="31"/>
      <c r="D91" s="274"/>
      <c r="E91" s="275"/>
      <c r="F91" s="275"/>
      <c r="G91" s="275"/>
      <c r="H91" s="276"/>
      <c r="I91" s="40">
        <f>ROUND(SUM(I89:I89),2)</f>
        <v>2302.75</v>
      </c>
      <c r="J91" s="100"/>
    </row>
    <row r="92" spans="1:18" x14ac:dyDescent="0.2">
      <c r="A92" s="288"/>
      <c r="B92" s="289"/>
      <c r="C92" s="289"/>
      <c r="D92" s="289"/>
      <c r="E92" s="289"/>
      <c r="F92" s="289"/>
      <c r="G92" s="289"/>
      <c r="H92" s="289"/>
      <c r="I92" s="289"/>
      <c r="J92" s="290"/>
    </row>
    <row r="93" spans="1:18" ht="14.25" customHeight="1" x14ac:dyDescent="0.25">
      <c r="A93" s="97" t="s">
        <v>43</v>
      </c>
      <c r="B93" s="37" t="s">
        <v>227</v>
      </c>
      <c r="C93" s="36"/>
      <c r="D93" s="278" t="str">
        <f>'PLAN ORÇ'!D38</f>
        <v>TRANSPORTE COM CAMINHÃO TANQUE DE TRANSPORTE DE MATERIAL ASFÁLTICO DE 30000 L, EM VIA URBANA PAVIMENTADA, ADICIONAL PARA DMT EXCEDENTE A 30 KM (UNIDADE: TXKM). AF_07/2020</v>
      </c>
      <c r="E93" s="278"/>
      <c r="F93" s="278"/>
      <c r="G93" s="278"/>
      <c r="H93" s="278"/>
      <c r="I93" s="278"/>
      <c r="J93" s="279"/>
    </row>
    <row r="94" spans="1:18" ht="21.75" customHeight="1" x14ac:dyDescent="0.2">
      <c r="A94" s="98" t="s">
        <v>44</v>
      </c>
      <c r="B94" s="64">
        <f>'PLAN ORÇ'!C38</f>
        <v>102331</v>
      </c>
      <c r="C94" s="38"/>
      <c r="D94" s="278"/>
      <c r="E94" s="278"/>
      <c r="F94" s="278"/>
      <c r="G94" s="278"/>
      <c r="H94" s="278"/>
      <c r="I94" s="278"/>
      <c r="J94" s="279"/>
    </row>
    <row r="95" spans="1:18" ht="14.25" customHeight="1" x14ac:dyDescent="0.25">
      <c r="A95" s="261"/>
      <c r="B95" s="262"/>
      <c r="C95" s="31"/>
      <c r="D95" s="280" t="s">
        <v>204</v>
      </c>
      <c r="E95" s="281"/>
      <c r="F95" s="263" t="s">
        <v>206</v>
      </c>
      <c r="G95" s="264"/>
      <c r="H95" s="267" t="s">
        <v>205</v>
      </c>
      <c r="I95" s="260" t="s">
        <v>210</v>
      </c>
      <c r="J95" s="224" t="s">
        <v>62</v>
      </c>
    </row>
    <row r="96" spans="1:18" ht="14.25" customHeight="1" x14ac:dyDescent="0.25">
      <c r="A96" s="261"/>
      <c r="B96" s="262"/>
      <c r="C96" s="31"/>
      <c r="D96" s="282"/>
      <c r="E96" s="283"/>
      <c r="F96" s="265"/>
      <c r="G96" s="266"/>
      <c r="H96" s="268"/>
      <c r="I96" s="260"/>
      <c r="J96" s="224"/>
    </row>
    <row r="97" spans="1:18" ht="30.6" customHeight="1" x14ac:dyDescent="0.2">
      <c r="A97" s="269" t="str">
        <f>A108</f>
        <v>RUA TV. JOAQUIM RODRIGUES/ CONTINUAÇÃO RUA UM</v>
      </c>
      <c r="B97" s="270"/>
      <c r="C97" s="39"/>
      <c r="D97" s="271">
        <f>I89</f>
        <v>2302.75</v>
      </c>
      <c r="E97" s="272"/>
      <c r="F97" s="294">
        <v>1.1999999999999999E-3</v>
      </c>
      <c r="G97" s="295"/>
      <c r="H97" s="27">
        <v>511</v>
      </c>
      <c r="I97" s="27">
        <f>ROUND(D97*F97*H97,2)</f>
        <v>1412.05</v>
      </c>
      <c r="J97" s="101"/>
    </row>
    <row r="98" spans="1:18" ht="30.6" customHeight="1" x14ac:dyDescent="0.2">
      <c r="A98" s="269" t="str">
        <f>A90</f>
        <v>RUA EDGAR PEREIRA</v>
      </c>
      <c r="B98" s="270"/>
      <c r="C98" s="39"/>
      <c r="D98" s="271">
        <v>1113.6199999999999</v>
      </c>
      <c r="E98" s="272"/>
      <c r="F98" s="294">
        <v>1.1999999999999999E-3</v>
      </c>
      <c r="G98" s="295"/>
      <c r="H98" s="27">
        <v>511</v>
      </c>
      <c r="I98" s="27">
        <f>ROUND(D98*F98*H98,2)</f>
        <v>682.87</v>
      </c>
      <c r="J98" s="101"/>
    </row>
    <row r="99" spans="1:18" ht="13.5" customHeight="1" x14ac:dyDescent="0.25">
      <c r="A99" s="261" t="s">
        <v>23</v>
      </c>
      <c r="B99" s="262"/>
      <c r="C99" s="31"/>
      <c r="D99" s="274"/>
      <c r="E99" s="275"/>
      <c r="F99" s="275"/>
      <c r="G99" s="275"/>
      <c r="H99" s="276"/>
      <c r="I99" s="40">
        <f>SUM(I97:I98)</f>
        <v>2094.92</v>
      </c>
      <c r="J99" s="100"/>
    </row>
    <row r="100" spans="1:18" customFormat="1" ht="13.5" customHeight="1" x14ac:dyDescent="0.2">
      <c r="A100" s="73"/>
      <c r="J100" s="74"/>
    </row>
    <row r="101" spans="1:18" x14ac:dyDescent="0.2">
      <c r="A101" s="288"/>
      <c r="B101" s="289"/>
      <c r="C101" s="289"/>
      <c r="D101" s="289"/>
      <c r="E101" s="289"/>
      <c r="F101" s="289"/>
      <c r="G101" s="289"/>
      <c r="H101" s="289"/>
      <c r="I101" s="289"/>
      <c r="J101" s="290"/>
    </row>
    <row r="102" spans="1:18" s="28" customFormat="1" ht="26.25" customHeight="1" x14ac:dyDescent="0.2">
      <c r="A102" s="96" t="s">
        <v>42</v>
      </c>
      <c r="B102" s="69" t="str">
        <f>'PLAN ORÇ'!A41</f>
        <v>5.0</v>
      </c>
      <c r="C102" s="291" t="str">
        <f>'PLAN ORÇ'!D41</f>
        <v>PINTURA DE LIGAÇÃO</v>
      </c>
      <c r="D102" s="292"/>
      <c r="E102" s="292"/>
      <c r="F102" s="292"/>
      <c r="G102" s="292"/>
      <c r="H102" s="292"/>
      <c r="I102" s="292"/>
      <c r="J102" s="293"/>
      <c r="K102"/>
      <c r="L102"/>
      <c r="M102"/>
      <c r="N102"/>
      <c r="O102"/>
      <c r="P102"/>
      <c r="Q102"/>
      <c r="R102"/>
    </row>
    <row r="103" spans="1:18" customFormat="1" ht="13.5" customHeight="1" x14ac:dyDescent="0.2">
      <c r="A103" s="73"/>
      <c r="J103" s="74"/>
    </row>
    <row r="104" spans="1:18" ht="14.25" customHeight="1" x14ac:dyDescent="0.25">
      <c r="A104" s="97" t="s">
        <v>43</v>
      </c>
      <c r="B104" s="37" t="str">
        <f>'PLAN ORÇ'!A42</f>
        <v>5.1</v>
      </c>
      <c r="C104" s="36"/>
      <c r="D104" s="278" t="str">
        <f>'PLAN ORÇ'!D42</f>
        <v>EXECUÇÃO DE PINTURA DE LIGAÇÃO COM EMULSÃO ASFÁLTICA RR-2C.</v>
      </c>
      <c r="E104" s="278"/>
      <c r="F104" s="278"/>
      <c r="G104" s="278"/>
      <c r="H104" s="278"/>
      <c r="I104" s="278"/>
      <c r="J104" s="279"/>
    </row>
    <row r="105" spans="1:18" ht="23.25" customHeight="1" x14ac:dyDescent="0.2">
      <c r="A105" s="98" t="s">
        <v>44</v>
      </c>
      <c r="B105" s="64" t="str">
        <f>'PLAN ORÇ'!C42</f>
        <v>CPU.4</v>
      </c>
      <c r="C105" s="38"/>
      <c r="D105" s="278"/>
      <c r="E105" s="278"/>
      <c r="F105" s="278"/>
      <c r="G105" s="278"/>
      <c r="H105" s="278"/>
      <c r="I105" s="278"/>
      <c r="J105" s="279"/>
    </row>
    <row r="106" spans="1:18" ht="14.25" customHeight="1" x14ac:dyDescent="0.25">
      <c r="A106" s="261"/>
      <c r="B106" s="262"/>
      <c r="C106" s="31"/>
      <c r="D106" s="280" t="s">
        <v>204</v>
      </c>
      <c r="E106" s="281"/>
      <c r="F106" s="280"/>
      <c r="G106" s="284"/>
      <c r="H106" s="281"/>
      <c r="I106" s="260" t="s">
        <v>142</v>
      </c>
      <c r="J106" s="224" t="s">
        <v>62</v>
      </c>
    </row>
    <row r="107" spans="1:18" ht="14.25" customHeight="1" x14ac:dyDescent="0.25">
      <c r="A107" s="261"/>
      <c r="B107" s="262"/>
      <c r="C107" s="31"/>
      <c r="D107" s="282"/>
      <c r="E107" s="283"/>
      <c r="F107" s="282"/>
      <c r="G107" s="285"/>
      <c r="H107" s="283"/>
      <c r="I107" s="260"/>
      <c r="J107" s="224"/>
    </row>
    <row r="108" spans="1:18" ht="28.5" customHeight="1" x14ac:dyDescent="0.2">
      <c r="A108" s="269" t="s">
        <v>319</v>
      </c>
      <c r="B108" s="270"/>
      <c r="C108" s="39"/>
      <c r="D108" s="271">
        <v>1189.1300000000001</v>
      </c>
      <c r="E108" s="272"/>
      <c r="F108" s="271"/>
      <c r="G108" s="273"/>
      <c r="H108" s="272"/>
      <c r="I108" s="27">
        <f t="shared" ref="I108:I109" si="0">D108</f>
        <v>1189.1300000000001</v>
      </c>
      <c r="J108" s="101"/>
    </row>
    <row r="109" spans="1:18" ht="28.5" customHeight="1" x14ac:dyDescent="0.2">
      <c r="A109" s="286" t="str">
        <f>A98</f>
        <v>RUA EDGAR PEREIRA</v>
      </c>
      <c r="B109" s="287"/>
      <c r="C109" s="39"/>
      <c r="D109" s="271">
        <f>D98</f>
        <v>1113.6199999999999</v>
      </c>
      <c r="E109" s="272"/>
      <c r="F109" s="271"/>
      <c r="G109" s="273"/>
      <c r="H109" s="272"/>
      <c r="I109" s="27">
        <f t="shared" si="0"/>
        <v>1113.6199999999999</v>
      </c>
      <c r="J109" s="101"/>
    </row>
    <row r="110" spans="1:18" ht="13.5" customHeight="1" x14ac:dyDescent="0.25">
      <c r="A110" s="261" t="s">
        <v>23</v>
      </c>
      <c r="B110" s="262"/>
      <c r="C110" s="31"/>
      <c r="D110" s="274"/>
      <c r="E110" s="275"/>
      <c r="F110" s="275"/>
      <c r="G110" s="275"/>
      <c r="H110" s="276"/>
      <c r="I110" s="40">
        <f>SUM(I108:I109)</f>
        <v>2302.75</v>
      </c>
      <c r="J110" s="100"/>
    </row>
    <row r="111" spans="1:18" customFormat="1" ht="13.5" customHeight="1" x14ac:dyDescent="0.2">
      <c r="A111" s="73"/>
      <c r="J111" s="74"/>
    </row>
    <row r="112" spans="1:18" ht="14.25" customHeight="1" x14ac:dyDescent="0.25">
      <c r="A112" s="97" t="s">
        <v>43</v>
      </c>
      <c r="B112" s="37" t="str">
        <f>'PLAN ORÇ'!A43</f>
        <v>5.2</v>
      </c>
      <c r="C112" s="36"/>
      <c r="D112" s="278" t="str">
        <f>'PLAN ORÇ'!D43</f>
        <v>TRANSPORTE COM CAMINHÃO TANQUE DE TRANSPORTE DE MATERIAL ASFÁLTICO DE 30000 L, EM VIA URBANA PAVIMENTADA, ADICIONAL PARA DMT EXCEDENTE A 30 KM (UNIDADE: TXKM). AF_07/2020</v>
      </c>
      <c r="E112" s="278"/>
      <c r="F112" s="278"/>
      <c r="G112" s="278"/>
      <c r="H112" s="278"/>
      <c r="I112" s="278"/>
      <c r="J112" s="279"/>
    </row>
    <row r="113" spans="1:18" ht="21.75" customHeight="1" x14ac:dyDescent="0.2">
      <c r="A113" s="98" t="s">
        <v>44</v>
      </c>
      <c r="B113" s="64">
        <f>'PLAN ORÇ'!C43</f>
        <v>102331</v>
      </c>
      <c r="C113" s="38"/>
      <c r="D113" s="278"/>
      <c r="E113" s="278"/>
      <c r="F113" s="278"/>
      <c r="G113" s="278"/>
      <c r="H113" s="278"/>
      <c r="I113" s="278"/>
      <c r="J113" s="279"/>
    </row>
    <row r="114" spans="1:18" ht="14.25" customHeight="1" x14ac:dyDescent="0.25">
      <c r="A114" s="261"/>
      <c r="B114" s="262"/>
      <c r="C114" s="31"/>
      <c r="D114" s="280" t="s">
        <v>204</v>
      </c>
      <c r="E114" s="281"/>
      <c r="F114" s="263" t="s">
        <v>206</v>
      </c>
      <c r="G114" s="264"/>
      <c r="H114" s="267" t="s">
        <v>205</v>
      </c>
      <c r="I114" s="260" t="s">
        <v>210</v>
      </c>
      <c r="J114" s="224" t="s">
        <v>62</v>
      </c>
    </row>
    <row r="115" spans="1:18" ht="14.25" customHeight="1" x14ac:dyDescent="0.25">
      <c r="A115" s="261"/>
      <c r="B115" s="262"/>
      <c r="C115" s="31"/>
      <c r="D115" s="282"/>
      <c r="E115" s="283"/>
      <c r="F115" s="265"/>
      <c r="G115" s="266"/>
      <c r="H115" s="268"/>
      <c r="I115" s="260"/>
      <c r="J115" s="224"/>
    </row>
    <row r="116" spans="1:18" ht="19.5" customHeight="1" x14ac:dyDescent="0.2">
      <c r="A116" s="297" t="s">
        <v>212</v>
      </c>
      <c r="B116" s="298"/>
      <c r="C116" s="39"/>
      <c r="D116" s="271">
        <f>I110</f>
        <v>2302.75</v>
      </c>
      <c r="E116" s="272"/>
      <c r="F116" s="294">
        <v>5.0000000000000001E-4</v>
      </c>
      <c r="G116" s="295"/>
      <c r="H116" s="27">
        <v>511</v>
      </c>
      <c r="I116" s="27">
        <f>ROUND(D116*F116*H116,2)</f>
        <v>588.35</v>
      </c>
      <c r="J116" s="101"/>
    </row>
    <row r="117" spans="1:18" ht="13.5" customHeight="1" x14ac:dyDescent="0.25">
      <c r="A117" s="261" t="s">
        <v>23</v>
      </c>
      <c r="B117" s="262"/>
      <c r="C117" s="31"/>
      <c r="D117" s="274"/>
      <c r="E117" s="275"/>
      <c r="F117" s="275"/>
      <c r="G117" s="275"/>
      <c r="H117" s="276"/>
      <c r="I117" s="40">
        <f>SUM(I116)</f>
        <v>588.35</v>
      </c>
      <c r="J117" s="100"/>
    </row>
    <row r="118" spans="1:18" customFormat="1" ht="13.5" customHeight="1" x14ac:dyDescent="0.2">
      <c r="A118" s="73"/>
      <c r="J118" s="74"/>
    </row>
    <row r="119" spans="1:18" x14ac:dyDescent="0.2">
      <c r="A119" s="288"/>
      <c r="B119" s="289"/>
      <c r="C119" s="289"/>
      <c r="D119" s="289"/>
      <c r="E119" s="289"/>
      <c r="F119" s="289"/>
      <c r="G119" s="289"/>
      <c r="H119" s="289"/>
      <c r="I119" s="289"/>
      <c r="J119" s="290"/>
    </row>
    <row r="120" spans="1:18" s="28" customFormat="1" ht="26.25" customHeight="1" x14ac:dyDescent="0.2">
      <c r="A120" s="96" t="s">
        <v>42</v>
      </c>
      <c r="B120" s="69" t="str">
        <f>'PLAN ORÇ'!A46</f>
        <v>6.0</v>
      </c>
      <c r="C120" s="291" t="str">
        <f>'PLAN ORÇ'!D46</f>
        <v>PAVIMENTAÇÃO ASFÁLTICO TIPO CBUQ</v>
      </c>
      <c r="D120" s="292"/>
      <c r="E120" s="292"/>
      <c r="F120" s="292"/>
      <c r="G120" s="292"/>
      <c r="H120" s="292"/>
      <c r="I120" s="292"/>
      <c r="J120" s="293"/>
      <c r="K120"/>
      <c r="L120"/>
      <c r="M120"/>
      <c r="N120"/>
      <c r="O120"/>
      <c r="P120"/>
      <c r="Q120"/>
      <c r="R120"/>
    </row>
    <row r="121" spans="1:18" customFormat="1" ht="13.5" customHeight="1" x14ac:dyDescent="0.2">
      <c r="A121" s="73"/>
      <c r="J121" s="74"/>
    </row>
    <row r="122" spans="1:18" ht="14.25" customHeight="1" x14ac:dyDescent="0.25">
      <c r="A122" s="97" t="s">
        <v>43</v>
      </c>
      <c r="B122" s="37" t="str">
        <f>'PLAN ORÇ'!A47</f>
        <v>6.1</v>
      </c>
      <c r="C122" s="36"/>
      <c r="D122" s="278" t="str">
        <f>'PLAN ORÇ'!D47</f>
        <v>EXECUÇÃO DE PAVIMENTO COM APLICAÇÃO DE CONCRETO ASFÁLTICO, CAMADA DE ROLAMENTO - EXCLUSIVE CARGA E TRANSPORTE. AF_11/2019</v>
      </c>
      <c r="E122" s="278"/>
      <c r="F122" s="278"/>
      <c r="G122" s="278"/>
      <c r="H122" s="278"/>
      <c r="I122" s="278"/>
      <c r="J122" s="279"/>
    </row>
    <row r="123" spans="1:18" ht="23.25" customHeight="1" x14ac:dyDescent="0.2">
      <c r="A123" s="98" t="s">
        <v>44</v>
      </c>
      <c r="B123" s="64">
        <f>'PLAN ORÇ'!C47</f>
        <v>95995</v>
      </c>
      <c r="C123" s="38"/>
      <c r="D123" s="278"/>
      <c r="E123" s="278"/>
      <c r="F123" s="278"/>
      <c r="G123" s="278"/>
      <c r="H123" s="278"/>
      <c r="I123" s="278"/>
      <c r="J123" s="279"/>
    </row>
    <row r="124" spans="1:18" ht="14.25" customHeight="1" x14ac:dyDescent="0.25">
      <c r="A124" s="261"/>
      <c r="B124" s="262"/>
      <c r="C124" s="31"/>
      <c r="D124" s="280" t="s">
        <v>204</v>
      </c>
      <c r="E124" s="281"/>
      <c r="F124" s="223" t="s">
        <v>203</v>
      </c>
      <c r="G124" s="223"/>
      <c r="H124" s="223"/>
      <c r="I124" s="260" t="s">
        <v>143</v>
      </c>
      <c r="J124" s="224" t="s">
        <v>62</v>
      </c>
    </row>
    <row r="125" spans="1:18" ht="14.25" customHeight="1" x14ac:dyDescent="0.25">
      <c r="A125" s="261"/>
      <c r="B125" s="262"/>
      <c r="C125" s="31"/>
      <c r="D125" s="282"/>
      <c r="E125" s="283"/>
      <c r="F125" s="223"/>
      <c r="G125" s="223"/>
      <c r="H125" s="223"/>
      <c r="I125" s="260"/>
      <c r="J125" s="224"/>
    </row>
    <row r="126" spans="1:18" ht="28.5" customHeight="1" x14ac:dyDescent="0.2">
      <c r="A126" s="269" t="str">
        <f>A108</f>
        <v>RUA TV. JOAQUIM RODRIGUES/ CONTINUAÇÃO RUA UM</v>
      </c>
      <c r="B126" s="270"/>
      <c r="C126" s="39"/>
      <c r="D126" s="271">
        <f>D108</f>
        <v>1189.1300000000001</v>
      </c>
      <c r="E126" s="272"/>
      <c r="F126" s="271">
        <v>0.04</v>
      </c>
      <c r="G126" s="273"/>
      <c r="H126" s="272"/>
      <c r="I126" s="27">
        <f t="shared" ref="I126" si="1">ROUND(D126*F126,2)</f>
        <v>47.57</v>
      </c>
      <c r="J126" s="101"/>
      <c r="K126" s="183"/>
    </row>
    <row r="127" spans="1:18" ht="28.5" customHeight="1" x14ac:dyDescent="0.2">
      <c r="A127" s="269" t="str">
        <f>A98</f>
        <v>RUA EDGAR PEREIRA</v>
      </c>
      <c r="B127" s="270"/>
      <c r="C127" s="39"/>
      <c r="D127" s="271">
        <f>D109</f>
        <v>1113.6199999999999</v>
      </c>
      <c r="E127" s="272"/>
      <c r="F127" s="271">
        <v>0.04</v>
      </c>
      <c r="G127" s="273"/>
      <c r="H127" s="272"/>
      <c r="I127" s="27">
        <f t="shared" ref="I127" si="2">ROUND(D127*F127,2)</f>
        <v>44.54</v>
      </c>
      <c r="J127" s="101"/>
      <c r="K127" s="183"/>
    </row>
    <row r="128" spans="1:18" ht="13.5" customHeight="1" x14ac:dyDescent="0.25">
      <c r="A128" s="317" t="s">
        <v>23</v>
      </c>
      <c r="B128" s="318"/>
      <c r="C128" s="31"/>
      <c r="D128" s="274"/>
      <c r="E128" s="275"/>
      <c r="F128" s="275"/>
      <c r="G128" s="275"/>
      <c r="H128" s="276"/>
      <c r="I128" s="40">
        <f>SUM(I126:I127)</f>
        <v>92.11</v>
      </c>
      <c r="J128" s="100"/>
      <c r="L128" s="183"/>
    </row>
    <row r="129" spans="1:13" customFormat="1" ht="13.5" customHeight="1" x14ac:dyDescent="0.2">
      <c r="A129" s="73"/>
      <c r="J129" s="74"/>
    </row>
    <row r="130" spans="1:13" ht="14.25" customHeight="1" x14ac:dyDescent="0.25">
      <c r="A130" s="97" t="s">
        <v>43</v>
      </c>
      <c r="B130" s="37" t="str">
        <f>'PLAN ORÇ'!A48</f>
        <v>6.2</v>
      </c>
      <c r="C130" s="36"/>
      <c r="D130" s="278" t="str">
        <f>'PLAN ORÇ'!D48</f>
        <v>TRANSPORTE COM CAMINHÃO BASCULANTE DE 10 M³, EM VIA URBANA PAVIMENTADA, DMT ATÉ 30 KM (UNIDADE: M3XKM). AF_07/2020</v>
      </c>
      <c r="E130" s="278"/>
      <c r="F130" s="278"/>
      <c r="G130" s="278"/>
      <c r="H130" s="278"/>
      <c r="I130" s="278"/>
      <c r="J130" s="279"/>
    </row>
    <row r="131" spans="1:13" ht="21.75" customHeight="1" x14ac:dyDescent="0.2">
      <c r="A131" s="98" t="s">
        <v>44</v>
      </c>
      <c r="B131" s="64">
        <f>'PLAN ORÇ'!C48</f>
        <v>95875</v>
      </c>
      <c r="C131" s="38"/>
      <c r="D131" s="278"/>
      <c r="E131" s="278"/>
      <c r="F131" s="278"/>
      <c r="G131" s="278"/>
      <c r="H131" s="278"/>
      <c r="I131" s="278"/>
      <c r="J131" s="279"/>
    </row>
    <row r="132" spans="1:13" ht="14.25" customHeight="1" x14ac:dyDescent="0.25">
      <c r="A132" s="261"/>
      <c r="B132" s="262"/>
      <c r="C132" s="31"/>
      <c r="D132" s="280" t="s">
        <v>208</v>
      </c>
      <c r="E132" s="281"/>
      <c r="F132" s="263" t="s">
        <v>209</v>
      </c>
      <c r="G132" s="264"/>
      <c r="H132" s="267" t="s">
        <v>205</v>
      </c>
      <c r="I132" s="260" t="s">
        <v>210</v>
      </c>
      <c r="J132" s="224" t="s">
        <v>62</v>
      </c>
    </row>
    <row r="133" spans="1:13" ht="14.25" customHeight="1" x14ac:dyDescent="0.25">
      <c r="A133" s="261"/>
      <c r="B133" s="262"/>
      <c r="C133" s="31"/>
      <c r="D133" s="282"/>
      <c r="E133" s="283"/>
      <c r="F133" s="265"/>
      <c r="G133" s="266"/>
      <c r="H133" s="268"/>
      <c r="I133" s="260"/>
      <c r="J133" s="224"/>
    </row>
    <row r="134" spans="1:13" ht="41.25" customHeight="1" x14ac:dyDescent="0.2">
      <c r="A134" s="297" t="s">
        <v>213</v>
      </c>
      <c r="B134" s="298"/>
      <c r="C134" s="39"/>
      <c r="D134" s="271">
        <f>I128</f>
        <v>92.11</v>
      </c>
      <c r="E134" s="272"/>
      <c r="F134" s="271">
        <v>2.4</v>
      </c>
      <c r="G134" s="272"/>
      <c r="H134" s="27">
        <v>3.81</v>
      </c>
      <c r="I134" s="27">
        <f>ROUND(D134*F134*H134,2)</f>
        <v>842.25</v>
      </c>
      <c r="J134" s="101" t="s">
        <v>221</v>
      </c>
    </row>
    <row r="135" spans="1:13" ht="14.25" customHeight="1" x14ac:dyDescent="0.25">
      <c r="A135" s="261" t="s">
        <v>23</v>
      </c>
      <c r="B135" s="262"/>
      <c r="C135" s="31"/>
      <c r="D135" s="274"/>
      <c r="E135" s="275"/>
      <c r="F135" s="275"/>
      <c r="G135" s="275"/>
      <c r="H135" s="276"/>
      <c r="I135" s="40">
        <f>SUM(I134)</f>
        <v>842.25</v>
      </c>
      <c r="J135" s="100"/>
    </row>
    <row r="136" spans="1:13" customFormat="1" ht="13.5" customHeight="1" x14ac:dyDescent="0.2">
      <c r="A136" s="73"/>
      <c r="J136" s="74"/>
    </row>
    <row r="137" spans="1:13" customFormat="1" ht="16.5" customHeight="1" x14ac:dyDescent="0.2">
      <c r="A137" s="73"/>
      <c r="J137" s="74"/>
    </row>
    <row r="138" spans="1:13" s="29" customFormat="1" x14ac:dyDescent="0.2">
      <c r="A138" s="86"/>
      <c r="B138" s="184"/>
      <c r="C138" s="296"/>
      <c r="D138" s="296"/>
      <c r="E138" s="184"/>
      <c r="F138" s="184"/>
      <c r="G138" s="184"/>
      <c r="H138" s="184"/>
      <c r="I138" s="184"/>
      <c r="J138" s="102"/>
    </row>
    <row r="139" spans="1:13" s="29" customFormat="1" ht="14.25" customHeight="1" x14ac:dyDescent="0.2">
      <c r="A139" s="86"/>
      <c r="B139" s="251" t="s">
        <v>53</v>
      </c>
      <c r="C139" s="251"/>
      <c r="D139" s="251"/>
      <c r="E139" s="252" t="s">
        <v>54</v>
      </c>
      <c r="F139" s="252"/>
      <c r="G139" s="252"/>
      <c r="H139" s="252"/>
      <c r="I139" s="252"/>
      <c r="J139" s="102"/>
      <c r="M139" s="60"/>
    </row>
    <row r="140" spans="1:13" s="29" customFormat="1" ht="14.25" customHeight="1" x14ac:dyDescent="0.2">
      <c r="A140" s="86"/>
      <c r="B140" s="251" t="s">
        <v>320</v>
      </c>
      <c r="C140" s="251"/>
      <c r="D140" s="251"/>
      <c r="E140" s="252" t="s">
        <v>56</v>
      </c>
      <c r="F140" s="252"/>
      <c r="G140" s="252"/>
      <c r="H140" s="252"/>
      <c r="I140" s="252"/>
      <c r="J140" s="102"/>
    </row>
    <row r="141" spans="1:13" s="29" customFormat="1" ht="14.25" customHeight="1" x14ac:dyDescent="0.2">
      <c r="A141" s="86"/>
      <c r="B141" s="251" t="s">
        <v>321</v>
      </c>
      <c r="C141" s="251"/>
      <c r="D141" s="251"/>
      <c r="E141" s="252" t="s">
        <v>59</v>
      </c>
      <c r="F141" s="252"/>
      <c r="G141" s="252"/>
      <c r="H141" s="252"/>
      <c r="I141" s="252"/>
      <c r="J141" s="102"/>
    </row>
    <row r="142" spans="1:13" ht="12.75" customHeight="1" thickBot="1" x14ac:dyDescent="0.25">
      <c r="A142" s="106"/>
      <c r="B142" s="107"/>
      <c r="C142" s="107"/>
      <c r="D142" s="107"/>
      <c r="E142" s="107"/>
      <c r="F142" s="107"/>
      <c r="G142" s="107"/>
      <c r="H142" s="107"/>
      <c r="I142" s="107"/>
      <c r="J142" s="105"/>
    </row>
    <row r="143" spans="1:13" ht="15" thickBot="1" x14ac:dyDescent="0.25">
      <c r="A143" s="103"/>
      <c r="B143" s="104"/>
      <c r="C143" s="104"/>
      <c r="D143" s="104"/>
      <c r="E143" s="104"/>
      <c r="F143" s="104"/>
      <c r="G143" s="104"/>
      <c r="H143" s="104"/>
      <c r="I143" s="104"/>
      <c r="J143" s="105"/>
    </row>
  </sheetData>
  <mergeCells count="233">
    <mergeCell ref="I114:I115"/>
    <mergeCell ref="J114:J115"/>
    <mergeCell ref="A126:B126"/>
    <mergeCell ref="A116:B116"/>
    <mergeCell ref="D116:E116"/>
    <mergeCell ref="A117:B117"/>
    <mergeCell ref="A128:B128"/>
    <mergeCell ref="A24:B24"/>
    <mergeCell ref="D24:E24"/>
    <mergeCell ref="F24:H24"/>
    <mergeCell ref="D65:E65"/>
    <mergeCell ref="D77:J78"/>
    <mergeCell ref="A79:B80"/>
    <mergeCell ref="D79:E80"/>
    <mergeCell ref="H79:H80"/>
    <mergeCell ref="I79:I80"/>
    <mergeCell ref="J79:J80"/>
    <mergeCell ref="A81:B81"/>
    <mergeCell ref="D81:E81"/>
    <mergeCell ref="F81:G81"/>
    <mergeCell ref="D82:H82"/>
    <mergeCell ref="F79:G80"/>
    <mergeCell ref="A92:J92"/>
    <mergeCell ref="D117:H117"/>
    <mergeCell ref="D112:J113"/>
    <mergeCell ref="A114:B115"/>
    <mergeCell ref="D114:E115"/>
    <mergeCell ref="J62:J63"/>
    <mergeCell ref="D62:E63"/>
    <mergeCell ref="F62:H63"/>
    <mergeCell ref="D126:E126"/>
    <mergeCell ref="F126:H126"/>
    <mergeCell ref="D93:J94"/>
    <mergeCell ref="A95:B96"/>
    <mergeCell ref="D95:E96"/>
    <mergeCell ref="F95:G96"/>
    <mergeCell ref="H95:H96"/>
    <mergeCell ref="I95:I96"/>
    <mergeCell ref="J95:J96"/>
    <mergeCell ref="I124:I125"/>
    <mergeCell ref="J124:J125"/>
    <mergeCell ref="A110:B110"/>
    <mergeCell ref="D110:H110"/>
    <mergeCell ref="F108:H108"/>
    <mergeCell ref="A108:B108"/>
    <mergeCell ref="D108:E108"/>
    <mergeCell ref="A97:B97"/>
    <mergeCell ref="D97:E97"/>
    <mergeCell ref="F97:G97"/>
    <mergeCell ref="A99:B99"/>
    <mergeCell ref="D99:H99"/>
    <mergeCell ref="H72:H73"/>
    <mergeCell ref="I72:I73"/>
    <mergeCell ref="J72:J73"/>
    <mergeCell ref="I38:I39"/>
    <mergeCell ref="D27:J28"/>
    <mergeCell ref="A49:B49"/>
    <mergeCell ref="D49:E49"/>
    <mergeCell ref="F49:H49"/>
    <mergeCell ref="F87:G87"/>
    <mergeCell ref="H87:H88"/>
    <mergeCell ref="D40:E40"/>
    <mergeCell ref="A42:B42"/>
    <mergeCell ref="D42:H42"/>
    <mergeCell ref="A46:B47"/>
    <mergeCell ref="D46:E47"/>
    <mergeCell ref="F46:H47"/>
    <mergeCell ref="A41:B41"/>
    <mergeCell ref="D41:E41"/>
    <mergeCell ref="F41:H41"/>
    <mergeCell ref="A82:B82"/>
    <mergeCell ref="A40:B40"/>
    <mergeCell ref="A62:B63"/>
    <mergeCell ref="D58:H58"/>
    <mergeCell ref="D60:J61"/>
    <mergeCell ref="F64:H64"/>
    <mergeCell ref="D66:H66"/>
    <mergeCell ref="A75:B75"/>
    <mergeCell ref="A90:B90"/>
    <mergeCell ref="D90:E90"/>
    <mergeCell ref="D19:J20"/>
    <mergeCell ref="A21:B22"/>
    <mergeCell ref="D21:E22"/>
    <mergeCell ref="F21:H22"/>
    <mergeCell ref="I21:I22"/>
    <mergeCell ref="J21:J22"/>
    <mergeCell ref="A23:B23"/>
    <mergeCell ref="A74:B74"/>
    <mergeCell ref="D74:E74"/>
    <mergeCell ref="F74:G74"/>
    <mergeCell ref="A48:B48"/>
    <mergeCell ref="A31:B31"/>
    <mergeCell ref="D31:E31"/>
    <mergeCell ref="F31:H31"/>
    <mergeCell ref="A33:B33"/>
    <mergeCell ref="D33:E33"/>
    <mergeCell ref="A72:B73"/>
    <mergeCell ref="D72:E73"/>
    <mergeCell ref="F72:G72"/>
    <mergeCell ref="I62:I63"/>
    <mergeCell ref="C68:J68"/>
    <mergeCell ref="D70:J71"/>
    <mergeCell ref="J38:J39"/>
    <mergeCell ref="F48:H48"/>
    <mergeCell ref="D48:E48"/>
    <mergeCell ref="C102:J102"/>
    <mergeCell ref="D91:H91"/>
    <mergeCell ref="A101:J101"/>
    <mergeCell ref="A89:B89"/>
    <mergeCell ref="A87:B88"/>
    <mergeCell ref="D98:E98"/>
    <mergeCell ref="F98:G98"/>
    <mergeCell ref="A64:B64"/>
    <mergeCell ref="A66:B66"/>
    <mergeCell ref="D89:E89"/>
    <mergeCell ref="F89:G89"/>
    <mergeCell ref="I87:I88"/>
    <mergeCell ref="J87:J88"/>
    <mergeCell ref="C83:J83"/>
    <mergeCell ref="D85:J86"/>
    <mergeCell ref="D87:E88"/>
    <mergeCell ref="D75:E75"/>
    <mergeCell ref="D64:E64"/>
    <mergeCell ref="C17:J17"/>
    <mergeCell ref="A25:B25"/>
    <mergeCell ref="D25:H25"/>
    <mergeCell ref="I46:I47"/>
    <mergeCell ref="J46:J47"/>
    <mergeCell ref="A29:B30"/>
    <mergeCell ref="A34:B34"/>
    <mergeCell ref="F33:H33"/>
    <mergeCell ref="F29:H30"/>
    <mergeCell ref="D23:E23"/>
    <mergeCell ref="F23:H23"/>
    <mergeCell ref="D29:E30"/>
    <mergeCell ref="I29:I30"/>
    <mergeCell ref="J29:J30"/>
    <mergeCell ref="D34:H34"/>
    <mergeCell ref="D36:J37"/>
    <mergeCell ref="A38:B39"/>
    <mergeCell ref="F38:H39"/>
    <mergeCell ref="F40:H40"/>
    <mergeCell ref="D44:J45"/>
    <mergeCell ref="D38:E39"/>
    <mergeCell ref="A2:J2"/>
    <mergeCell ref="A6:E6"/>
    <mergeCell ref="A5:E5"/>
    <mergeCell ref="A4:E4"/>
    <mergeCell ref="D1:H1"/>
    <mergeCell ref="F12:G12"/>
    <mergeCell ref="F14:G14"/>
    <mergeCell ref="D15:H15"/>
    <mergeCell ref="A15:B15"/>
    <mergeCell ref="F3:J3"/>
    <mergeCell ref="F5:F6"/>
    <mergeCell ref="B3:E3"/>
    <mergeCell ref="F4:J4"/>
    <mergeCell ref="G5:G6"/>
    <mergeCell ref="H5:H6"/>
    <mergeCell ref="I5:I6"/>
    <mergeCell ref="J5:J6"/>
    <mergeCell ref="E140:I140"/>
    <mergeCell ref="E141:I141"/>
    <mergeCell ref="B140:D140"/>
    <mergeCell ref="B139:D139"/>
    <mergeCell ref="B141:D141"/>
    <mergeCell ref="C138:D138"/>
    <mergeCell ref="E139:I139"/>
    <mergeCell ref="C8:J8"/>
    <mergeCell ref="D10:J11"/>
    <mergeCell ref="A12:B13"/>
    <mergeCell ref="D12:E13"/>
    <mergeCell ref="D14:E14"/>
    <mergeCell ref="H12:H13"/>
    <mergeCell ref="I12:I13"/>
    <mergeCell ref="J12:J13"/>
    <mergeCell ref="A14:B14"/>
    <mergeCell ref="D135:H135"/>
    <mergeCell ref="I132:I133"/>
    <mergeCell ref="J132:J133"/>
    <mergeCell ref="F132:G133"/>
    <mergeCell ref="H132:H133"/>
    <mergeCell ref="A134:B134"/>
    <mergeCell ref="D134:E134"/>
    <mergeCell ref="A135:B135"/>
    <mergeCell ref="A132:B133"/>
    <mergeCell ref="D132:E133"/>
    <mergeCell ref="F134:G134"/>
    <mergeCell ref="D130:J131"/>
    <mergeCell ref="A76:B76"/>
    <mergeCell ref="D76:H76"/>
    <mergeCell ref="A109:B109"/>
    <mergeCell ref="D109:E109"/>
    <mergeCell ref="F109:H109"/>
    <mergeCell ref="A127:B127"/>
    <mergeCell ref="D127:E127"/>
    <mergeCell ref="F127:H127"/>
    <mergeCell ref="A119:J119"/>
    <mergeCell ref="C120:J120"/>
    <mergeCell ref="D122:J123"/>
    <mergeCell ref="A124:B125"/>
    <mergeCell ref="D124:E125"/>
    <mergeCell ref="D104:J105"/>
    <mergeCell ref="A106:B107"/>
    <mergeCell ref="D106:E107"/>
    <mergeCell ref="F116:G116"/>
    <mergeCell ref="A98:B98"/>
    <mergeCell ref="D128:H128"/>
    <mergeCell ref="F106:H107"/>
    <mergeCell ref="I106:I107"/>
    <mergeCell ref="J106:J107"/>
    <mergeCell ref="A91:B91"/>
    <mergeCell ref="F114:G115"/>
    <mergeCell ref="H114:H115"/>
    <mergeCell ref="F124:H125"/>
    <mergeCell ref="A32:B32"/>
    <mergeCell ref="D32:E32"/>
    <mergeCell ref="F32:H32"/>
    <mergeCell ref="A50:B50"/>
    <mergeCell ref="D50:H50"/>
    <mergeCell ref="D52:J53"/>
    <mergeCell ref="A54:B55"/>
    <mergeCell ref="D54:E55"/>
    <mergeCell ref="F54:H55"/>
    <mergeCell ref="I54:I55"/>
    <mergeCell ref="J54:J55"/>
    <mergeCell ref="A56:B56"/>
    <mergeCell ref="D56:E56"/>
    <mergeCell ref="F56:H56"/>
    <mergeCell ref="A58:B58"/>
    <mergeCell ref="A57:B57"/>
    <mergeCell ref="D57:E57"/>
    <mergeCell ref="A65:B65"/>
  </mergeCells>
  <phoneticPr fontId="4" type="noConversion"/>
  <printOptions horizontalCentered="1" verticalCentered="1"/>
  <pageMargins left="0.39370078740157483" right="0.39370078740157483" top="0.78740157480314965" bottom="0.78740157480314965" header="0.31496062992125984" footer="0.31496062992125984"/>
  <pageSetup paperSize="9" scale="77" fitToHeight="0" orientation="landscape" r:id="rId1"/>
  <rowBreaks count="3" manualBreakCount="3">
    <brk id="27" max="9" man="1"/>
    <brk id="56" max="9" man="1"/>
    <brk id="85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54"/>
  <sheetViews>
    <sheetView view="pageBreakPreview" zoomScale="85" zoomScaleNormal="85" zoomScaleSheetLayoutView="85" workbookViewId="0">
      <selection activeCell="L18" sqref="L18"/>
    </sheetView>
  </sheetViews>
  <sheetFormatPr defaultRowHeight="12.75" x14ac:dyDescent="0.2"/>
  <cols>
    <col min="1" max="1" width="35" customWidth="1"/>
    <col min="2" max="2" width="22.85546875" customWidth="1"/>
    <col min="3" max="3" width="13.140625" customWidth="1"/>
    <col min="4" max="5" width="14.28515625" bestFit="1" customWidth="1"/>
    <col min="6" max="6" width="22.5703125" customWidth="1"/>
    <col min="7" max="9" width="15.28515625" bestFit="1" customWidth="1"/>
    <col min="10" max="12" width="18.7109375" customWidth="1"/>
    <col min="13" max="13" width="13.140625" bestFit="1" customWidth="1"/>
    <col min="14" max="15" width="26.42578125" customWidth="1"/>
  </cols>
  <sheetData>
    <row r="1" spans="1:10" ht="16.5" customHeight="1" x14ac:dyDescent="0.25">
      <c r="A1" s="375" t="s">
        <v>48</v>
      </c>
      <c r="B1" s="376"/>
      <c r="C1" s="376"/>
      <c r="D1" s="376"/>
      <c r="E1" s="376"/>
      <c r="F1" s="376"/>
      <c r="G1" s="376"/>
      <c r="H1" s="376"/>
      <c r="I1" s="377"/>
      <c r="J1" s="145"/>
    </row>
    <row r="2" spans="1:10" ht="12.75" customHeight="1" x14ac:dyDescent="0.25">
      <c r="A2" s="378"/>
      <c r="B2" s="379"/>
      <c r="C2" s="379"/>
      <c r="D2" s="379"/>
      <c r="E2" s="379"/>
      <c r="F2" s="379"/>
      <c r="G2" s="379"/>
      <c r="H2" s="379"/>
      <c r="I2" s="380"/>
      <c r="J2" s="145"/>
    </row>
    <row r="3" spans="1:10" ht="14.25" customHeight="1" x14ac:dyDescent="0.25">
      <c r="A3" s="381" t="s">
        <v>39</v>
      </c>
      <c r="B3" s="382"/>
      <c r="C3" s="382"/>
      <c r="D3" s="382"/>
      <c r="E3" s="382"/>
      <c r="F3" s="382"/>
      <c r="G3" s="382"/>
      <c r="H3" s="382"/>
      <c r="I3" s="383"/>
      <c r="J3" s="145"/>
    </row>
    <row r="4" spans="1:10" ht="34.5" customHeight="1" x14ac:dyDescent="0.25">
      <c r="A4" s="384" t="s">
        <v>52</v>
      </c>
      <c r="B4" s="353"/>
      <c r="C4" s="354"/>
      <c r="D4" s="352" t="s">
        <v>150</v>
      </c>
      <c r="E4" s="353"/>
      <c r="F4" s="146">
        <f>'PLAN ORÇ'!I52</f>
        <v>439549.80000000005</v>
      </c>
      <c r="G4" s="355" t="s">
        <v>314</v>
      </c>
      <c r="H4" s="356"/>
      <c r="I4" s="357"/>
      <c r="J4" s="145"/>
    </row>
    <row r="5" spans="1:10" ht="28.5" customHeight="1" x14ac:dyDescent="0.25">
      <c r="A5" s="349" t="s">
        <v>312</v>
      </c>
      <c r="B5" s="350"/>
      <c r="C5" s="351"/>
      <c r="D5" s="352" t="s">
        <v>313</v>
      </c>
      <c r="E5" s="353"/>
      <c r="F5" s="354"/>
      <c r="G5" s="355" t="s">
        <v>254</v>
      </c>
      <c r="H5" s="356"/>
      <c r="I5" s="357"/>
      <c r="J5" s="145"/>
    </row>
    <row r="6" spans="1:10" ht="15" x14ac:dyDescent="0.2">
      <c r="A6" s="358"/>
      <c r="B6" s="356"/>
      <c r="C6" s="356"/>
      <c r="D6" s="356"/>
      <c r="E6" s="356"/>
      <c r="F6" s="356"/>
      <c r="G6" s="356"/>
      <c r="H6" s="356"/>
      <c r="I6" s="357"/>
    </row>
    <row r="7" spans="1:10" s="30" customFormat="1" ht="30" x14ac:dyDescent="0.2">
      <c r="A7" s="147" t="s">
        <v>49</v>
      </c>
      <c r="B7" s="148" t="s">
        <v>50</v>
      </c>
      <c r="C7" s="148" t="s">
        <v>40</v>
      </c>
      <c r="D7" s="345" t="s">
        <v>41</v>
      </c>
      <c r="E7" s="346"/>
      <c r="F7" s="346"/>
      <c r="G7" s="345" t="s">
        <v>215</v>
      </c>
      <c r="H7" s="346"/>
      <c r="I7" s="346"/>
      <c r="J7"/>
    </row>
    <row r="8" spans="1:10" ht="15" customHeight="1" x14ac:dyDescent="0.2">
      <c r="A8" s="347" t="str">
        <f>'PLAN ORÇ'!D17</f>
        <v>SERVIÇOS PRELIMINARES</v>
      </c>
      <c r="B8" s="334">
        <f>'PLAN ORÇ'!I19</f>
        <v>1763.33</v>
      </c>
      <c r="C8" s="149" t="s">
        <v>21</v>
      </c>
      <c r="D8" s="330">
        <v>1</v>
      </c>
      <c r="E8" s="331"/>
      <c r="F8" s="335"/>
      <c r="G8" s="330">
        <v>0</v>
      </c>
      <c r="H8" s="331"/>
      <c r="I8" s="332"/>
    </row>
    <row r="9" spans="1:10" ht="15" customHeight="1" x14ac:dyDescent="0.2">
      <c r="A9" s="348"/>
      <c r="B9" s="334"/>
      <c r="C9" s="149" t="s">
        <v>22</v>
      </c>
      <c r="D9" s="336">
        <f>B8*D8</f>
        <v>1763.33</v>
      </c>
      <c r="E9" s="337"/>
      <c r="F9" s="339"/>
      <c r="G9" s="336">
        <f>B8*G8</f>
        <v>0</v>
      </c>
      <c r="H9" s="337"/>
      <c r="I9" s="338"/>
    </row>
    <row r="10" spans="1:10" ht="15" customHeight="1" x14ac:dyDescent="0.2">
      <c r="A10" s="333" t="str">
        <f>'PLAN ORÇ'!D22</f>
        <v>TERRAPLANAGEM</v>
      </c>
      <c r="B10" s="334">
        <f>'PLAN ORÇ'!I29</f>
        <v>135090.93</v>
      </c>
      <c r="C10" s="149" t="s">
        <v>21</v>
      </c>
      <c r="D10" s="330">
        <v>1</v>
      </c>
      <c r="E10" s="331"/>
      <c r="F10" s="335"/>
      <c r="G10" s="330">
        <v>0</v>
      </c>
      <c r="H10" s="331"/>
      <c r="I10" s="332"/>
    </row>
    <row r="11" spans="1:10" ht="15" customHeight="1" x14ac:dyDescent="0.2">
      <c r="A11" s="333"/>
      <c r="B11" s="334"/>
      <c r="C11" s="149" t="s">
        <v>22</v>
      </c>
      <c r="D11" s="336">
        <f>B10*D10</f>
        <v>135090.93</v>
      </c>
      <c r="E11" s="337"/>
      <c r="F11" s="339"/>
      <c r="G11" s="336">
        <f>B10*G10</f>
        <v>0</v>
      </c>
      <c r="H11" s="337"/>
      <c r="I11" s="338"/>
    </row>
    <row r="12" spans="1:10" ht="15" customHeight="1" x14ac:dyDescent="0.2">
      <c r="A12" s="333" t="str">
        <f>'PLAN ORÇ'!D31</f>
        <v>MEIO-FIO E SARJETA</v>
      </c>
      <c r="B12" s="334">
        <f>'PLAN ORÇ'!I34</f>
        <v>63509.299999999996</v>
      </c>
      <c r="C12" s="149" t="s">
        <v>21</v>
      </c>
      <c r="D12" s="330">
        <v>0</v>
      </c>
      <c r="E12" s="331"/>
      <c r="F12" s="335"/>
      <c r="G12" s="330">
        <v>1</v>
      </c>
      <c r="H12" s="331"/>
      <c r="I12" s="332"/>
    </row>
    <row r="13" spans="1:10" ht="15" customHeight="1" x14ac:dyDescent="0.2">
      <c r="A13" s="333"/>
      <c r="B13" s="334"/>
      <c r="C13" s="149" t="s">
        <v>22</v>
      </c>
      <c r="D13" s="336">
        <f>B12*D12</f>
        <v>0</v>
      </c>
      <c r="E13" s="337"/>
      <c r="F13" s="339"/>
      <c r="G13" s="336">
        <f>B12*G12</f>
        <v>63509.299999999996</v>
      </c>
      <c r="H13" s="337"/>
      <c r="I13" s="338"/>
    </row>
    <row r="14" spans="1:10" ht="15" customHeight="1" x14ac:dyDescent="0.2">
      <c r="A14" s="333" t="str">
        <f>'PLAN ORÇ'!D36</f>
        <v>IMPRIMAÇÃO</v>
      </c>
      <c r="B14" s="334">
        <f>'PLAN ORÇ'!I39</f>
        <v>14227.84</v>
      </c>
      <c r="C14" s="149" t="s">
        <v>21</v>
      </c>
      <c r="D14" s="330">
        <v>1</v>
      </c>
      <c r="E14" s="331"/>
      <c r="F14" s="335"/>
      <c r="G14" s="330">
        <v>0</v>
      </c>
      <c r="H14" s="331"/>
      <c r="I14" s="332"/>
    </row>
    <row r="15" spans="1:10" ht="15" customHeight="1" x14ac:dyDescent="0.2">
      <c r="A15" s="333"/>
      <c r="B15" s="334"/>
      <c r="C15" s="149" t="s">
        <v>22</v>
      </c>
      <c r="D15" s="336">
        <f>B14*D14</f>
        <v>14227.84</v>
      </c>
      <c r="E15" s="337"/>
      <c r="F15" s="339"/>
      <c r="G15" s="336">
        <f>B14*G14</f>
        <v>0</v>
      </c>
      <c r="H15" s="337"/>
      <c r="I15" s="338"/>
    </row>
    <row r="16" spans="1:10" ht="15" customHeight="1" x14ac:dyDescent="0.2">
      <c r="A16" s="333" t="str">
        <f>'PLAN ORÇ'!D41</f>
        <v>PINTURA DE LIGAÇÃO</v>
      </c>
      <c r="B16" s="334">
        <f>'PLAN ORÇ'!I44</f>
        <v>5581.2699999999995</v>
      </c>
      <c r="C16" s="149" t="s">
        <v>21</v>
      </c>
      <c r="D16" s="330">
        <v>1</v>
      </c>
      <c r="E16" s="331"/>
      <c r="F16" s="335"/>
      <c r="G16" s="330">
        <v>0</v>
      </c>
      <c r="H16" s="331"/>
      <c r="I16" s="332"/>
    </row>
    <row r="17" spans="1:12" ht="15" customHeight="1" x14ac:dyDescent="0.2">
      <c r="A17" s="333"/>
      <c r="B17" s="334"/>
      <c r="C17" s="149" t="s">
        <v>22</v>
      </c>
      <c r="D17" s="336">
        <f>B16*D16</f>
        <v>5581.2699999999995</v>
      </c>
      <c r="E17" s="337"/>
      <c r="F17" s="339"/>
      <c r="G17" s="336">
        <f>B16*G16</f>
        <v>0</v>
      </c>
      <c r="H17" s="337"/>
      <c r="I17" s="338"/>
    </row>
    <row r="18" spans="1:12" ht="15" customHeight="1" x14ac:dyDescent="0.2">
      <c r="A18" s="333" t="str">
        <f>'PLAN ORÇ'!D46</f>
        <v>PAVIMENTAÇÃO ASFÁLTICO TIPO CBUQ</v>
      </c>
      <c r="B18" s="334">
        <f>'PLAN ORÇ'!I49</f>
        <v>219377.13</v>
      </c>
      <c r="C18" s="149" t="s">
        <v>21</v>
      </c>
      <c r="D18" s="330">
        <v>0.5</v>
      </c>
      <c r="E18" s="331"/>
      <c r="F18" s="335"/>
      <c r="G18" s="330">
        <v>0.5</v>
      </c>
      <c r="H18" s="331"/>
      <c r="I18" s="332"/>
    </row>
    <row r="19" spans="1:12" ht="15" customHeight="1" x14ac:dyDescent="0.2">
      <c r="A19" s="333"/>
      <c r="B19" s="334"/>
      <c r="C19" s="149" t="s">
        <v>22</v>
      </c>
      <c r="D19" s="336">
        <f>B18*D18</f>
        <v>109688.565</v>
      </c>
      <c r="E19" s="337"/>
      <c r="F19" s="339"/>
      <c r="G19" s="336">
        <f>B18*G18</f>
        <v>109688.565</v>
      </c>
      <c r="H19" s="337"/>
      <c r="I19" s="338"/>
    </row>
    <row r="20" spans="1:12" ht="15" x14ac:dyDescent="0.2">
      <c r="A20" s="359" t="s">
        <v>23</v>
      </c>
      <c r="B20" s="362">
        <f>SUM(B8:B19)</f>
        <v>439549.79999999993</v>
      </c>
      <c r="C20" s="150"/>
      <c r="D20" s="364"/>
      <c r="E20" s="365"/>
      <c r="F20" s="366"/>
      <c r="G20" s="364"/>
      <c r="H20" s="365"/>
      <c r="I20" s="367"/>
    </row>
    <row r="21" spans="1:12" ht="15" x14ac:dyDescent="0.2">
      <c r="A21" s="360"/>
      <c r="B21" s="363"/>
      <c r="C21" s="150" t="s">
        <v>22</v>
      </c>
      <c r="D21" s="368">
        <f>D9+D11+D15+D17+D19</f>
        <v>266351.93499999994</v>
      </c>
      <c r="E21" s="369"/>
      <c r="F21" s="370"/>
      <c r="G21" s="368">
        <f>G13+G19</f>
        <v>173197.86499999999</v>
      </c>
      <c r="H21" s="369"/>
      <c r="I21" s="371"/>
    </row>
    <row r="22" spans="1:12" ht="15" customHeight="1" x14ac:dyDescent="0.25">
      <c r="A22" s="360"/>
      <c r="B22" s="372" t="s">
        <v>60</v>
      </c>
      <c r="C22" s="150"/>
      <c r="D22" s="323"/>
      <c r="E22" s="324"/>
      <c r="F22" s="374"/>
      <c r="G22" s="323"/>
      <c r="H22" s="324"/>
      <c r="I22" s="325"/>
    </row>
    <row r="23" spans="1:12" ht="15" customHeight="1" x14ac:dyDescent="0.25">
      <c r="A23" s="361"/>
      <c r="B23" s="373"/>
      <c r="C23" s="150"/>
      <c r="D23" s="326">
        <f>D9+D11+D13+D15+D17+D19</f>
        <v>266351.93499999994</v>
      </c>
      <c r="E23" s="327"/>
      <c r="F23" s="328"/>
      <c r="G23" s="326">
        <f>D23+G13+G19</f>
        <v>439549.79999999993</v>
      </c>
      <c r="H23" s="327"/>
      <c r="I23" s="329"/>
    </row>
    <row r="24" spans="1:12" ht="15" x14ac:dyDescent="0.2">
      <c r="A24" s="320"/>
      <c r="B24" s="321"/>
      <c r="C24" s="321"/>
      <c r="D24" s="321"/>
      <c r="E24" s="321"/>
      <c r="F24" s="321"/>
      <c r="G24" s="321"/>
      <c r="H24" s="321"/>
      <c r="I24" s="322"/>
    </row>
    <row r="25" spans="1:12" ht="15" customHeight="1" x14ac:dyDescent="0.25">
      <c r="A25" s="109"/>
      <c r="B25" s="113"/>
      <c r="C25" s="113"/>
      <c r="D25" s="113"/>
      <c r="E25" s="113"/>
      <c r="F25" s="113"/>
      <c r="G25" s="113"/>
      <c r="H25" s="113"/>
      <c r="I25" s="110"/>
      <c r="J25" s="26"/>
      <c r="K25" s="26"/>
      <c r="L25" s="26"/>
    </row>
    <row r="26" spans="1:12" ht="15" customHeight="1" x14ac:dyDescent="0.25">
      <c r="A26" s="340" t="s">
        <v>55</v>
      </c>
      <c r="B26" s="341"/>
      <c r="C26" s="341"/>
      <c r="D26" s="341"/>
      <c r="E26" s="343" t="s">
        <v>55</v>
      </c>
      <c r="F26" s="343"/>
      <c r="G26" s="343"/>
      <c r="H26" s="343"/>
      <c r="I26" s="344"/>
      <c r="J26" s="26"/>
      <c r="K26" s="26"/>
      <c r="L26" s="26"/>
    </row>
    <row r="27" spans="1:12" ht="15" customHeight="1" x14ac:dyDescent="0.25">
      <c r="A27" s="342" t="s">
        <v>310</v>
      </c>
      <c r="B27" s="251"/>
      <c r="C27" s="251"/>
      <c r="D27" s="251"/>
      <c r="E27" s="343" t="s">
        <v>57</v>
      </c>
      <c r="F27" s="343"/>
      <c r="G27" s="343"/>
      <c r="H27" s="343"/>
      <c r="I27" s="344"/>
      <c r="J27" s="26"/>
      <c r="K27" s="26"/>
      <c r="L27" s="26"/>
    </row>
    <row r="28" spans="1:12" ht="15" customHeight="1" x14ac:dyDescent="0.25">
      <c r="A28" s="342" t="s">
        <v>311</v>
      </c>
      <c r="B28" s="251"/>
      <c r="C28" s="251"/>
      <c r="D28" s="251"/>
      <c r="E28" s="343" t="s">
        <v>61</v>
      </c>
      <c r="F28" s="343"/>
      <c r="G28" s="343"/>
      <c r="H28" s="343"/>
      <c r="I28" s="344"/>
      <c r="J28" s="26"/>
      <c r="K28" s="26"/>
      <c r="L28" s="26"/>
    </row>
    <row r="29" spans="1:12" ht="13.5" thickBot="1" x14ac:dyDescent="0.25">
      <c r="A29" s="106"/>
      <c r="B29" s="107"/>
      <c r="C29" s="107"/>
      <c r="D29" s="107"/>
      <c r="E29" s="107"/>
      <c r="F29" s="107"/>
      <c r="G29" s="107"/>
      <c r="H29" s="107"/>
      <c r="I29" s="108"/>
    </row>
    <row r="41" spans="17:17" x14ac:dyDescent="0.2">
      <c r="Q41" s="50">
        <v>0.95334713912158908</v>
      </c>
    </row>
    <row r="42" spans="17:17" x14ac:dyDescent="0.2">
      <c r="Q42" s="50"/>
    </row>
    <row r="43" spans="17:17" x14ac:dyDescent="0.2">
      <c r="Q43" s="50">
        <v>0.78357938852340603</v>
      </c>
    </row>
    <row r="44" spans="17:17" x14ac:dyDescent="0.2">
      <c r="Q44" s="50">
        <v>0.54288959859559771</v>
      </c>
    </row>
    <row r="45" spans="17:17" x14ac:dyDescent="0.2">
      <c r="Q45" s="50">
        <v>0.68252878602320843</v>
      </c>
    </row>
    <row r="46" spans="17:17" x14ac:dyDescent="0.2">
      <c r="Q46" s="50">
        <v>0.33581814664471515</v>
      </c>
    </row>
    <row r="47" spans="17:17" x14ac:dyDescent="0.2">
      <c r="Q47" s="50">
        <v>0.38517584261627547</v>
      </c>
    </row>
    <row r="48" spans="17:17" x14ac:dyDescent="0.2">
      <c r="Q48" s="50">
        <v>0.4035308594844636</v>
      </c>
    </row>
    <row r="49" spans="17:17" x14ac:dyDescent="0.2">
      <c r="Q49" s="50"/>
    </row>
    <row r="50" spans="17:17" x14ac:dyDescent="0.2">
      <c r="Q50" s="50"/>
    </row>
    <row r="51" spans="17:17" x14ac:dyDescent="0.2">
      <c r="Q51" s="50"/>
    </row>
    <row r="52" spans="17:17" x14ac:dyDescent="0.2">
      <c r="Q52" s="50">
        <v>8.3214387045468699E-2</v>
      </c>
    </row>
    <row r="53" spans="17:17" x14ac:dyDescent="0.2">
      <c r="Q53" s="50">
        <v>1</v>
      </c>
    </row>
    <row r="54" spans="17:17" x14ac:dyDescent="0.2">
      <c r="Q54" s="50">
        <v>0.58000060669275455</v>
      </c>
    </row>
  </sheetData>
  <mergeCells count="66">
    <mergeCell ref="A1:I1"/>
    <mergeCell ref="A2:I2"/>
    <mergeCell ref="A3:I3"/>
    <mergeCell ref="A4:C4"/>
    <mergeCell ref="D4:E4"/>
    <mergeCell ref="G4:I4"/>
    <mergeCell ref="A5:C5"/>
    <mergeCell ref="D5:F5"/>
    <mergeCell ref="G5:I5"/>
    <mergeCell ref="A6:I6"/>
    <mergeCell ref="A20:A23"/>
    <mergeCell ref="B20:B21"/>
    <mergeCell ref="D20:F20"/>
    <mergeCell ref="G20:I20"/>
    <mergeCell ref="D21:F21"/>
    <mergeCell ref="G21:I21"/>
    <mergeCell ref="A10:A11"/>
    <mergeCell ref="B10:B11"/>
    <mergeCell ref="D10:F10"/>
    <mergeCell ref="B22:B23"/>
    <mergeCell ref="D22:F22"/>
    <mergeCell ref="D19:F19"/>
    <mergeCell ref="G10:I10"/>
    <mergeCell ref="D11:F11"/>
    <mergeCell ref="G11:I11"/>
    <mergeCell ref="A12:A13"/>
    <mergeCell ref="D17:F17"/>
    <mergeCell ref="G17:I17"/>
    <mergeCell ref="G12:I12"/>
    <mergeCell ref="A16:A17"/>
    <mergeCell ref="B16:B17"/>
    <mergeCell ref="D16:F16"/>
    <mergeCell ref="G16:I16"/>
    <mergeCell ref="D7:F7"/>
    <mergeCell ref="G7:I7"/>
    <mergeCell ref="A8:A9"/>
    <mergeCell ref="B8:B9"/>
    <mergeCell ref="D8:F8"/>
    <mergeCell ref="G8:I8"/>
    <mergeCell ref="D9:F9"/>
    <mergeCell ref="G9:I9"/>
    <mergeCell ref="A26:D26"/>
    <mergeCell ref="A27:D27"/>
    <mergeCell ref="A28:D28"/>
    <mergeCell ref="E26:I26"/>
    <mergeCell ref="E27:I27"/>
    <mergeCell ref="E28:I28"/>
    <mergeCell ref="G13:I13"/>
    <mergeCell ref="A14:A15"/>
    <mergeCell ref="B14:B15"/>
    <mergeCell ref="D14:F14"/>
    <mergeCell ref="G14:I14"/>
    <mergeCell ref="D15:F15"/>
    <mergeCell ref="G15:I15"/>
    <mergeCell ref="B12:B13"/>
    <mergeCell ref="D12:F12"/>
    <mergeCell ref="D13:F13"/>
    <mergeCell ref="A24:I24"/>
    <mergeCell ref="G22:I22"/>
    <mergeCell ref="D23:F23"/>
    <mergeCell ref="G23:I23"/>
    <mergeCell ref="G18:I18"/>
    <mergeCell ref="A18:A19"/>
    <mergeCell ref="B18:B19"/>
    <mergeCell ref="D18:F18"/>
    <mergeCell ref="G19:I19"/>
  </mergeCells>
  <phoneticPr fontId="4" type="noConversion"/>
  <printOptions horizontalCentered="1" verticalCentered="1"/>
  <pageMargins left="0.51181102362204722" right="0.31496062992125984" top="0.59055118110236227" bottom="0.59055118110236227" header="0.31496062992125984" footer="0.31496062992125984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016F-2213-4E6B-883F-173C1C66AD96}">
  <dimension ref="A1:K73"/>
  <sheetViews>
    <sheetView tabSelected="1" view="pageBreakPreview" topLeftCell="A61" zoomScaleNormal="100" zoomScaleSheetLayoutView="100" workbookViewId="0">
      <selection activeCell="A74" sqref="A74"/>
    </sheetView>
  </sheetViews>
  <sheetFormatPr defaultColWidth="8.85546875" defaultRowHeight="12.75" x14ac:dyDescent="0.2"/>
  <cols>
    <col min="1" max="1" width="26.140625" customWidth="1"/>
    <col min="2" max="2" width="4" customWidth="1"/>
    <col min="3" max="6" width="6.140625" customWidth="1"/>
    <col min="7" max="7" width="10.42578125" customWidth="1"/>
    <col min="8" max="8" width="15.28515625" customWidth="1"/>
    <col min="9" max="9" width="12" customWidth="1"/>
    <col min="10" max="10" width="3.7109375" customWidth="1"/>
  </cols>
  <sheetData>
    <row r="1" spans="1:10" x14ac:dyDescent="0.2">
      <c r="A1" s="387" t="s">
        <v>216</v>
      </c>
      <c r="B1" s="259"/>
      <c r="C1" s="259"/>
      <c r="D1" s="259"/>
      <c r="E1" s="259"/>
      <c r="F1" s="259"/>
      <c r="G1" s="259"/>
      <c r="H1" s="259"/>
      <c r="I1" s="259"/>
      <c r="J1" s="259"/>
    </row>
    <row r="2" spans="1:10" x14ac:dyDescent="0.2">
      <c r="A2" s="259"/>
      <c r="B2" s="259"/>
      <c r="C2" s="259"/>
      <c r="D2" s="259"/>
      <c r="E2" s="259"/>
      <c r="F2" s="259"/>
      <c r="G2" s="259"/>
      <c r="H2" s="259"/>
      <c r="I2" s="259"/>
      <c r="J2" s="259"/>
    </row>
    <row r="3" spans="1:10" x14ac:dyDescent="0.2">
      <c r="A3" s="259"/>
      <c r="B3" s="259"/>
      <c r="C3" s="259"/>
      <c r="D3" s="259"/>
      <c r="E3" s="259"/>
      <c r="F3" s="259"/>
      <c r="G3" s="259"/>
      <c r="H3" s="259"/>
      <c r="I3" s="259"/>
      <c r="J3" s="259"/>
    </row>
    <row r="4" spans="1:10" x14ac:dyDescent="0.2">
      <c r="A4" s="259"/>
      <c r="B4" s="259"/>
      <c r="C4" s="259"/>
      <c r="D4" s="259"/>
      <c r="E4" s="259"/>
      <c r="F4" s="259"/>
      <c r="G4" s="259"/>
      <c r="H4" s="259"/>
      <c r="I4" s="259"/>
      <c r="J4" s="259"/>
    </row>
    <row r="5" spans="1:10" x14ac:dyDescent="0.2">
      <c r="A5" s="259"/>
      <c r="B5" s="259"/>
      <c r="C5" s="259"/>
      <c r="D5" s="259"/>
      <c r="E5" s="259"/>
      <c r="F5" s="259"/>
      <c r="G5" s="259"/>
      <c r="H5" s="259"/>
      <c r="I5" s="259"/>
      <c r="J5" s="259"/>
    </row>
    <row r="6" spans="1:10" x14ac:dyDescent="0.2">
      <c r="A6" s="259"/>
      <c r="B6" s="259"/>
      <c r="C6" s="259"/>
      <c r="D6" s="259"/>
      <c r="E6" s="259"/>
      <c r="F6" s="259"/>
      <c r="G6" s="259"/>
      <c r="H6" s="259"/>
      <c r="I6" s="259"/>
      <c r="J6" s="259"/>
    </row>
    <row r="8" spans="1:10" ht="16.5" x14ac:dyDescent="0.25">
      <c r="A8" s="398" t="s">
        <v>132</v>
      </c>
      <c r="B8" s="398"/>
      <c r="C8" s="398"/>
      <c r="D8" s="398"/>
      <c r="E8" s="398"/>
      <c r="F8" s="398"/>
      <c r="G8" s="398"/>
      <c r="H8" s="398"/>
      <c r="I8" s="398"/>
      <c r="J8" s="398"/>
    </row>
    <row r="10" spans="1:10" ht="20.25" customHeight="1" x14ac:dyDescent="0.2">
      <c r="A10" s="399" t="s">
        <v>94</v>
      </c>
      <c r="B10" s="400"/>
      <c r="C10" s="400"/>
      <c r="D10" s="400"/>
      <c r="E10" s="400"/>
      <c r="F10" s="400"/>
      <c r="G10" s="400"/>
      <c r="H10" s="400"/>
      <c r="I10" s="400"/>
      <c r="J10" s="401"/>
    </row>
    <row r="11" spans="1:10" x14ac:dyDescent="0.2">
      <c r="A11" s="402" t="s">
        <v>95</v>
      </c>
      <c r="B11" s="402" t="s">
        <v>96</v>
      </c>
      <c r="C11" s="402" t="s">
        <v>133</v>
      </c>
      <c r="D11" s="402"/>
      <c r="E11" s="402"/>
      <c r="F11" s="402"/>
      <c r="G11" s="402"/>
      <c r="H11" s="402"/>
      <c r="I11" s="402"/>
      <c r="J11" s="402" t="s">
        <v>97</v>
      </c>
    </row>
    <row r="12" spans="1:10" x14ac:dyDescent="0.2">
      <c r="A12" s="402"/>
      <c r="B12" s="402"/>
      <c r="C12" s="403" t="s">
        <v>98</v>
      </c>
      <c r="D12" s="404"/>
      <c r="E12" s="404"/>
      <c r="F12" s="404"/>
      <c r="G12" s="404" t="s">
        <v>99</v>
      </c>
      <c r="H12" s="404"/>
      <c r="I12" s="405"/>
      <c r="J12" s="402"/>
    </row>
    <row r="13" spans="1:10" ht="22.5" x14ac:dyDescent="0.2">
      <c r="A13" s="402"/>
      <c r="B13" s="402"/>
      <c r="C13" s="126">
        <v>0.02</v>
      </c>
      <c r="D13" s="126">
        <v>0.03</v>
      </c>
      <c r="E13" s="126">
        <v>0.04</v>
      </c>
      <c r="F13" s="126">
        <v>0.05</v>
      </c>
      <c r="G13" s="125" t="s">
        <v>100</v>
      </c>
      <c r="H13" s="403" t="s">
        <v>101</v>
      </c>
      <c r="I13" s="405"/>
      <c r="J13" s="402"/>
    </row>
    <row r="14" spans="1:10" ht="22.5" customHeight="1" x14ac:dyDescent="0.2">
      <c r="A14" s="138" t="s">
        <v>102</v>
      </c>
      <c r="B14" s="127" t="s">
        <v>103</v>
      </c>
      <c r="C14" s="128">
        <v>1</v>
      </c>
      <c r="D14" s="128">
        <v>1</v>
      </c>
      <c r="E14" s="128">
        <v>1</v>
      </c>
      <c r="F14" s="128">
        <v>1</v>
      </c>
      <c r="G14" s="128">
        <v>1</v>
      </c>
      <c r="H14" s="394">
        <v>1</v>
      </c>
      <c r="I14" s="395"/>
      <c r="J14" s="139"/>
    </row>
    <row r="15" spans="1:10" ht="22.5" customHeight="1" x14ac:dyDescent="0.2">
      <c r="A15" s="138" t="s">
        <v>104</v>
      </c>
      <c r="B15" s="127" t="s">
        <v>105</v>
      </c>
      <c r="C15" s="129">
        <v>5.5E-2</v>
      </c>
      <c r="D15" s="129">
        <v>5.5E-2</v>
      </c>
      <c r="E15" s="129">
        <v>5.5E-2</v>
      </c>
      <c r="F15" s="129">
        <v>5.5E-2</v>
      </c>
      <c r="G15" s="129">
        <v>3.4199999999999994E-2</v>
      </c>
      <c r="H15" s="388">
        <v>0.04</v>
      </c>
      <c r="I15" s="389"/>
      <c r="J15" s="139" t="s">
        <v>103</v>
      </c>
    </row>
    <row r="16" spans="1:10" ht="22.5" customHeight="1" x14ac:dyDescent="0.2">
      <c r="A16" s="138" t="s">
        <v>106</v>
      </c>
      <c r="B16" s="127" t="s">
        <v>90</v>
      </c>
      <c r="C16" s="129">
        <v>7.4999999999999997E-2</v>
      </c>
      <c r="D16" s="129">
        <v>7.4999999999999997E-2</v>
      </c>
      <c r="E16" s="129">
        <v>7.4999999999999997E-2</v>
      </c>
      <c r="F16" s="129">
        <v>7.4999999999999997E-2</v>
      </c>
      <c r="G16" s="130">
        <v>4.9399999999999999E-2</v>
      </c>
      <c r="H16" s="396">
        <v>6.1600000000000002E-2</v>
      </c>
      <c r="I16" s="397"/>
      <c r="J16" s="139" t="s">
        <v>103</v>
      </c>
    </row>
    <row r="17" spans="1:10" ht="22.5" customHeight="1" x14ac:dyDescent="0.2">
      <c r="A17" s="138" t="s">
        <v>107</v>
      </c>
      <c r="B17" s="127" t="s">
        <v>108</v>
      </c>
      <c r="C17" s="129">
        <v>9.3130000000000001E-3</v>
      </c>
      <c r="D17" s="129">
        <v>9.3130000000000001E-3</v>
      </c>
      <c r="E17" s="129">
        <v>9.3130000000000001E-3</v>
      </c>
      <c r="F17" s="129">
        <v>9.3130000000000001E-3</v>
      </c>
      <c r="G17" s="129">
        <v>9.3130000000000001E-3</v>
      </c>
      <c r="H17" s="388">
        <v>9.3130000000000001E-3</v>
      </c>
      <c r="I17" s="389"/>
      <c r="J17" s="139" t="s">
        <v>103</v>
      </c>
    </row>
    <row r="18" spans="1:10" ht="22.5" customHeight="1" x14ac:dyDescent="0.2">
      <c r="A18" s="138" t="s">
        <v>109</v>
      </c>
      <c r="B18" s="131"/>
      <c r="C18" s="132">
        <f>SUM(C19:C20)</f>
        <v>2.2699999999999998E-2</v>
      </c>
      <c r="D18" s="132">
        <f>SUM(D19:D20)</f>
        <v>2.2699999999999998E-2</v>
      </c>
      <c r="E18" s="132">
        <f>SUM(E19:E20)</f>
        <v>2.2699999999999998E-2</v>
      </c>
      <c r="F18" s="132">
        <f>SUM(F19:F20)</f>
        <v>2.2699999999999998E-2</v>
      </c>
      <c r="G18" s="132">
        <f>SUM(G19:G20)</f>
        <v>1.29E-2</v>
      </c>
      <c r="H18" s="390">
        <f>SUM(H19:I20)</f>
        <v>1.77E-2</v>
      </c>
      <c r="I18" s="391"/>
      <c r="J18" s="140" t="s">
        <v>103</v>
      </c>
    </row>
    <row r="19" spans="1:10" ht="22.5" customHeight="1" x14ac:dyDescent="0.2">
      <c r="A19" s="138" t="s">
        <v>110</v>
      </c>
      <c r="B19" s="127" t="s">
        <v>111</v>
      </c>
      <c r="C19" s="129">
        <v>0.01</v>
      </c>
      <c r="D19" s="129">
        <v>0.01</v>
      </c>
      <c r="E19" s="129">
        <v>0.01</v>
      </c>
      <c r="F19" s="129">
        <v>0.01</v>
      </c>
      <c r="G19" s="129">
        <v>5.3E-3</v>
      </c>
      <c r="H19" s="388">
        <v>8.0000000000000002E-3</v>
      </c>
      <c r="I19" s="389"/>
      <c r="J19" s="139" t="s">
        <v>103</v>
      </c>
    </row>
    <row r="20" spans="1:10" ht="22.5" customHeight="1" x14ac:dyDescent="0.2">
      <c r="A20" s="138" t="s">
        <v>112</v>
      </c>
      <c r="B20" s="127" t="s">
        <v>113</v>
      </c>
      <c r="C20" s="129">
        <v>1.2699999999999999E-2</v>
      </c>
      <c r="D20" s="129">
        <v>1.2699999999999999E-2</v>
      </c>
      <c r="E20" s="129">
        <v>1.2699999999999999E-2</v>
      </c>
      <c r="F20" s="129">
        <v>1.2699999999999999E-2</v>
      </c>
      <c r="G20" s="129">
        <v>7.6E-3</v>
      </c>
      <c r="H20" s="388">
        <v>9.7000000000000003E-3</v>
      </c>
      <c r="I20" s="389"/>
      <c r="J20" s="139" t="s">
        <v>103</v>
      </c>
    </row>
    <row r="21" spans="1:10" ht="22.5" customHeight="1" x14ac:dyDescent="0.2">
      <c r="A21" s="138" t="s">
        <v>114</v>
      </c>
      <c r="B21" s="127" t="s">
        <v>115</v>
      </c>
      <c r="C21" s="132">
        <f>SUM(C22:C24)</f>
        <v>4.65E-2</v>
      </c>
      <c r="D21" s="132">
        <f>SUM(D22:D24)</f>
        <v>5.1499999999999997E-2</v>
      </c>
      <c r="E21" s="132">
        <f>SUM(E22:E24)</f>
        <v>5.6499999999999995E-2</v>
      </c>
      <c r="F21" s="132">
        <f>SUM(F22:F24)</f>
        <v>6.1499999999999999E-2</v>
      </c>
      <c r="G21" s="132">
        <f>SUM(G22:G24)</f>
        <v>3.6499999999999998E-2</v>
      </c>
      <c r="H21" s="390">
        <f>SUM(H22:I24)</f>
        <v>6.1499999999999999E-2</v>
      </c>
      <c r="I21" s="391"/>
      <c r="J21" s="140" t="s">
        <v>116</v>
      </c>
    </row>
    <row r="22" spans="1:10" ht="22.5" customHeight="1" x14ac:dyDescent="0.2">
      <c r="A22" s="138" t="s">
        <v>117</v>
      </c>
      <c r="B22" s="131" t="s">
        <v>118</v>
      </c>
      <c r="C22" s="133">
        <v>0.01</v>
      </c>
      <c r="D22" s="133">
        <v>1.4999999999999999E-2</v>
      </c>
      <c r="E22" s="133">
        <v>0.02</v>
      </c>
      <c r="F22" s="133">
        <v>2.5000000000000001E-2</v>
      </c>
      <c r="G22" s="133" t="s">
        <v>119</v>
      </c>
      <c r="H22" s="392">
        <v>2.5000000000000001E-2</v>
      </c>
      <c r="I22" s="393"/>
      <c r="J22" s="139" t="s">
        <v>116</v>
      </c>
    </row>
    <row r="23" spans="1:10" ht="22.5" customHeight="1" x14ac:dyDescent="0.2">
      <c r="A23" s="138" t="s">
        <v>120</v>
      </c>
      <c r="B23" s="131" t="s">
        <v>120</v>
      </c>
      <c r="C23" s="129">
        <v>6.4999999999999997E-3</v>
      </c>
      <c r="D23" s="129">
        <v>6.4999999999999997E-3</v>
      </c>
      <c r="E23" s="129">
        <v>6.4999999999999997E-3</v>
      </c>
      <c r="F23" s="129">
        <v>6.4999999999999997E-3</v>
      </c>
      <c r="G23" s="129">
        <v>6.4999999999999997E-3</v>
      </c>
      <c r="H23" s="388">
        <v>6.4999999999999997E-3</v>
      </c>
      <c r="I23" s="389"/>
      <c r="J23" s="139" t="s">
        <v>116</v>
      </c>
    </row>
    <row r="24" spans="1:10" ht="22.5" customHeight="1" x14ac:dyDescent="0.2">
      <c r="A24" s="138" t="s">
        <v>121</v>
      </c>
      <c r="B24" s="131" t="s">
        <v>119</v>
      </c>
      <c r="C24" s="129">
        <v>0.03</v>
      </c>
      <c r="D24" s="129">
        <v>0.03</v>
      </c>
      <c r="E24" s="129">
        <v>0.03</v>
      </c>
      <c r="F24" s="129">
        <v>0.03</v>
      </c>
      <c r="G24" s="129">
        <v>0.03</v>
      </c>
      <c r="H24" s="388">
        <v>0.03</v>
      </c>
      <c r="I24" s="389"/>
      <c r="J24" s="139" t="s">
        <v>116</v>
      </c>
    </row>
    <row r="25" spans="1:10" ht="22.5" customHeight="1" x14ac:dyDescent="0.2">
      <c r="A25" s="138" t="s">
        <v>122</v>
      </c>
      <c r="B25" s="131" t="s">
        <v>123</v>
      </c>
      <c r="C25" s="134">
        <v>4.4999999999999998E-2</v>
      </c>
      <c r="D25" s="134">
        <v>4.4999999999999998E-2</v>
      </c>
      <c r="E25" s="134">
        <v>4.4999999999999998E-2</v>
      </c>
      <c r="F25" s="134">
        <v>4.4999999999999998E-2</v>
      </c>
      <c r="G25" s="134">
        <v>4.4999999999999998E-2</v>
      </c>
      <c r="H25" s="406">
        <v>4.4999999999999998E-2</v>
      </c>
      <c r="I25" s="407"/>
      <c r="J25" s="139" t="s">
        <v>116</v>
      </c>
    </row>
    <row r="26" spans="1:10" x14ac:dyDescent="0.2">
      <c r="A26" s="408"/>
      <c r="B26" s="409"/>
      <c r="C26" s="409"/>
      <c r="D26" s="409"/>
      <c r="E26" s="409"/>
      <c r="F26" s="409"/>
      <c r="G26" s="409"/>
      <c r="H26" s="409"/>
      <c r="I26" s="409"/>
      <c r="J26" s="410"/>
    </row>
    <row r="27" spans="1:10" x14ac:dyDescent="0.2">
      <c r="A27" s="411" t="s">
        <v>124</v>
      </c>
      <c r="B27" s="412"/>
      <c r="C27" s="415" t="s">
        <v>125</v>
      </c>
      <c r="D27" s="416"/>
      <c r="E27" s="416"/>
      <c r="F27" s="416"/>
      <c r="G27" s="416"/>
      <c r="H27" s="416"/>
      <c r="I27" s="416"/>
      <c r="J27" s="417"/>
    </row>
    <row r="28" spans="1:10" x14ac:dyDescent="0.2">
      <c r="A28" s="413"/>
      <c r="B28" s="414"/>
      <c r="C28" s="418" t="s">
        <v>126</v>
      </c>
      <c r="D28" s="419"/>
      <c r="E28" s="419"/>
      <c r="F28" s="419"/>
      <c r="G28" s="419"/>
      <c r="H28" s="419"/>
      <c r="I28" s="419"/>
      <c r="J28" s="420"/>
    </row>
    <row r="29" spans="1:10" ht="22.5" customHeight="1" x14ac:dyDescent="0.2">
      <c r="A29" s="421" t="s">
        <v>127</v>
      </c>
      <c r="B29" s="422"/>
      <c r="C29" s="135">
        <f t="shared" ref="C29:H29" si="0">(1+(C15+C18))*(1+C17)*(1+C16)-1</f>
        <v>0.16931686660750001</v>
      </c>
      <c r="D29" s="135">
        <f t="shared" si="0"/>
        <v>0.16931686660750001</v>
      </c>
      <c r="E29" s="135">
        <f t="shared" si="0"/>
        <v>0.16931686660750001</v>
      </c>
      <c r="F29" s="135">
        <f t="shared" si="0"/>
        <v>0.16931686660750001</v>
      </c>
      <c r="G29" s="135">
        <f t="shared" si="0"/>
        <v>0.10906011342961963</v>
      </c>
      <c r="H29" s="423">
        <f t="shared" si="0"/>
        <v>0.13331146228216006</v>
      </c>
      <c r="I29" s="424"/>
      <c r="J29" s="425"/>
    </row>
    <row r="30" spans="1:10" ht="22.5" customHeight="1" x14ac:dyDescent="0.2">
      <c r="A30" s="421" t="s">
        <v>128</v>
      </c>
      <c r="B30" s="422"/>
      <c r="C30" s="135">
        <f t="shared" ref="C30:H30" si="1">(1-(C21+C25))</f>
        <v>0.90849999999999997</v>
      </c>
      <c r="D30" s="135">
        <f t="shared" si="1"/>
        <v>0.90349999999999997</v>
      </c>
      <c r="E30" s="135">
        <f t="shared" si="1"/>
        <v>0.89849999999999997</v>
      </c>
      <c r="F30" s="135">
        <f t="shared" si="1"/>
        <v>0.89349999999999996</v>
      </c>
      <c r="G30" s="135">
        <f t="shared" si="1"/>
        <v>0.91849999999999998</v>
      </c>
      <c r="H30" s="423">
        <f t="shared" si="1"/>
        <v>0.89349999999999996</v>
      </c>
      <c r="I30" s="424"/>
      <c r="J30" s="426"/>
    </row>
    <row r="31" spans="1:10" ht="11.25" customHeight="1" x14ac:dyDescent="0.2">
      <c r="A31" s="428" t="s">
        <v>129</v>
      </c>
      <c r="B31" s="429"/>
      <c r="C31" s="432">
        <f t="shared" ref="C31:H31" si="2">(1+C29)/C30-1</f>
        <v>0.28708515862135386</v>
      </c>
      <c r="D31" s="434">
        <f t="shared" si="2"/>
        <v>0.29420793205035967</v>
      </c>
      <c r="E31" s="432">
        <f t="shared" si="2"/>
        <v>0.301409979529772</v>
      </c>
      <c r="F31" s="432">
        <f t="shared" si="2"/>
        <v>0.30869263190542817</v>
      </c>
      <c r="G31" s="432">
        <f t="shared" si="2"/>
        <v>0.20746882246011933</v>
      </c>
      <c r="H31" s="428">
        <f t="shared" si="2"/>
        <v>0.26839559292911042</v>
      </c>
      <c r="I31" s="429"/>
      <c r="J31" s="426"/>
    </row>
    <row r="32" spans="1:10" ht="11.25" customHeight="1" x14ac:dyDescent="0.2">
      <c r="A32" s="430"/>
      <c r="B32" s="431"/>
      <c r="C32" s="433"/>
      <c r="D32" s="435"/>
      <c r="E32" s="433"/>
      <c r="F32" s="433"/>
      <c r="G32" s="433"/>
      <c r="H32" s="430"/>
      <c r="I32" s="431"/>
      <c r="J32" s="427"/>
    </row>
    <row r="33" spans="1:10" x14ac:dyDescent="0.2">
      <c r="A33" s="437" t="s">
        <v>130</v>
      </c>
      <c r="B33" s="438"/>
      <c r="C33" s="438"/>
      <c r="D33" s="438"/>
      <c r="E33" s="438"/>
      <c r="F33" s="438"/>
      <c r="G33" s="438"/>
      <c r="H33" s="438"/>
      <c r="I33" s="438"/>
      <c r="J33" s="439"/>
    </row>
    <row r="34" spans="1:10" ht="97.5" customHeight="1" x14ac:dyDescent="0.2">
      <c r="A34" s="440" t="s">
        <v>131</v>
      </c>
      <c r="B34" s="441"/>
      <c r="C34" s="441"/>
      <c r="D34" s="441"/>
      <c r="E34" s="441"/>
      <c r="F34" s="441"/>
      <c r="G34" s="441"/>
      <c r="H34" s="441"/>
      <c r="I34" s="441"/>
      <c r="J34" s="442"/>
    </row>
    <row r="37" spans="1:10" x14ac:dyDescent="0.2">
      <c r="B37" s="386" t="s">
        <v>217</v>
      </c>
      <c r="C37" s="385"/>
      <c r="D37" s="385"/>
      <c r="E37" s="385"/>
      <c r="F37" s="385"/>
      <c r="G37" s="385"/>
      <c r="H37" s="385"/>
    </row>
    <row r="38" spans="1:10" x14ac:dyDescent="0.2">
      <c r="B38" s="386" t="s">
        <v>219</v>
      </c>
      <c r="C38" s="385"/>
      <c r="D38" s="385"/>
      <c r="E38" s="385"/>
      <c r="F38" s="385"/>
      <c r="G38" s="385"/>
      <c r="H38" s="385"/>
    </row>
    <row r="39" spans="1:10" x14ac:dyDescent="0.2">
      <c r="B39" s="386" t="s">
        <v>218</v>
      </c>
      <c r="C39" s="385"/>
      <c r="D39" s="385"/>
      <c r="E39" s="385"/>
      <c r="F39" s="385"/>
      <c r="G39" s="385"/>
      <c r="H39" s="385"/>
    </row>
    <row r="43" spans="1:10" ht="16.5" x14ac:dyDescent="0.25">
      <c r="A43" s="398" t="s">
        <v>132</v>
      </c>
      <c r="B43" s="398"/>
      <c r="C43" s="398"/>
      <c r="D43" s="398"/>
      <c r="E43" s="398"/>
      <c r="F43" s="398"/>
      <c r="G43" s="398"/>
      <c r="H43" s="398"/>
      <c r="I43" s="398"/>
      <c r="J43" s="398"/>
    </row>
    <row r="44" spans="1:10" ht="19.5" customHeight="1" x14ac:dyDescent="0.2"/>
    <row r="45" spans="1:10" ht="15" customHeight="1" x14ac:dyDescent="0.2">
      <c r="A45" s="399" t="s">
        <v>94</v>
      </c>
      <c r="B45" s="400"/>
      <c r="C45" s="400"/>
      <c r="D45" s="400"/>
      <c r="E45" s="400"/>
      <c r="F45" s="400"/>
      <c r="G45" s="400"/>
      <c r="H45" s="400"/>
      <c r="I45" s="400"/>
      <c r="J45" s="401"/>
    </row>
    <row r="46" spans="1:10" x14ac:dyDescent="0.2">
      <c r="A46" s="443" t="s">
        <v>95</v>
      </c>
      <c r="B46" s="443" t="s">
        <v>96</v>
      </c>
      <c r="C46" s="444" t="s">
        <v>133</v>
      </c>
      <c r="D46" s="444"/>
      <c r="E46" s="444"/>
      <c r="F46" s="444"/>
      <c r="G46" s="444"/>
      <c r="H46" s="444"/>
      <c r="I46" s="444"/>
      <c r="J46" s="445" t="s">
        <v>134</v>
      </c>
    </row>
    <row r="47" spans="1:10" x14ac:dyDescent="0.2">
      <c r="A47" s="443"/>
      <c r="B47" s="444"/>
      <c r="C47" s="448" t="s">
        <v>98</v>
      </c>
      <c r="D47" s="449"/>
      <c r="E47" s="449"/>
      <c r="F47" s="450"/>
      <c r="G47" s="448" t="s">
        <v>99</v>
      </c>
      <c r="H47" s="449"/>
      <c r="I47" s="450"/>
      <c r="J47" s="446"/>
    </row>
    <row r="48" spans="1:10" ht="45" x14ac:dyDescent="0.2">
      <c r="A48" s="443"/>
      <c r="B48" s="444"/>
      <c r="C48" s="137">
        <v>0.02</v>
      </c>
      <c r="D48" s="137">
        <v>0.03</v>
      </c>
      <c r="E48" s="137">
        <v>0.04</v>
      </c>
      <c r="F48" s="137">
        <v>0.05</v>
      </c>
      <c r="G48" s="136" t="s">
        <v>135</v>
      </c>
      <c r="H48" s="136" t="s">
        <v>136</v>
      </c>
      <c r="I48" s="136" t="s">
        <v>137</v>
      </c>
      <c r="J48" s="447"/>
    </row>
    <row r="49" spans="1:11" ht="22.5" customHeight="1" x14ac:dyDescent="0.2">
      <c r="A49" s="138" t="s">
        <v>102</v>
      </c>
      <c r="B49" s="127" t="s">
        <v>103</v>
      </c>
      <c r="C49" s="128">
        <v>1</v>
      </c>
      <c r="D49" s="128">
        <v>1</v>
      </c>
      <c r="E49" s="128">
        <v>1</v>
      </c>
      <c r="F49" s="128">
        <v>1</v>
      </c>
      <c r="G49" s="128">
        <v>1</v>
      </c>
      <c r="H49" s="128">
        <v>1</v>
      </c>
      <c r="I49" s="128">
        <v>1</v>
      </c>
      <c r="J49" s="139"/>
    </row>
    <row r="50" spans="1:11" ht="22.5" customHeight="1" x14ac:dyDescent="0.2">
      <c r="A50" s="138" t="s">
        <v>104</v>
      </c>
      <c r="B50" s="127" t="s">
        <v>105</v>
      </c>
      <c r="C50" s="129">
        <v>4.6699999999999998E-2</v>
      </c>
      <c r="D50" s="129">
        <v>4.6699999999999998E-2</v>
      </c>
      <c r="E50" s="129">
        <v>4.6699999999999998E-2</v>
      </c>
      <c r="F50" s="129">
        <v>4.6699999999999998E-2</v>
      </c>
      <c r="G50" s="129">
        <v>3.4200000000000001E-2</v>
      </c>
      <c r="H50" s="129">
        <v>4.0099999999999997E-2</v>
      </c>
      <c r="I50" s="129">
        <v>3.4200000000000001E-2</v>
      </c>
      <c r="J50" s="139" t="s">
        <v>103</v>
      </c>
    </row>
    <row r="51" spans="1:11" ht="22.5" customHeight="1" x14ac:dyDescent="0.2">
      <c r="A51" s="138" t="s">
        <v>106</v>
      </c>
      <c r="B51" s="127" t="s">
        <v>90</v>
      </c>
      <c r="C51" s="129">
        <v>7.5299999999999992E-2</v>
      </c>
      <c r="D51" s="129">
        <v>7.5299999999999992E-2</v>
      </c>
      <c r="E51" s="129">
        <v>7.5299999999999992E-2</v>
      </c>
      <c r="F51" s="129">
        <v>7.5299999999999992E-2</v>
      </c>
      <c r="G51" s="130">
        <v>4.9399999999999999E-2</v>
      </c>
      <c r="H51" s="129">
        <v>6.6400000000000001E-2</v>
      </c>
      <c r="I51" s="130">
        <v>4.9399999999999999E-2</v>
      </c>
      <c r="J51" s="139" t="s">
        <v>103</v>
      </c>
    </row>
    <row r="52" spans="1:11" ht="22.5" customHeight="1" x14ac:dyDescent="0.2">
      <c r="A52" s="138" t="s">
        <v>107</v>
      </c>
      <c r="B52" s="127" t="s">
        <v>108</v>
      </c>
      <c r="C52" s="129">
        <v>9.3130000000000001E-3</v>
      </c>
      <c r="D52" s="129">
        <v>9.3130000000000001E-3</v>
      </c>
      <c r="E52" s="129">
        <v>9.3130000000000001E-3</v>
      </c>
      <c r="F52" s="129">
        <v>9.3130000000000001E-3</v>
      </c>
      <c r="G52" s="129">
        <v>9.3130000000000001E-3</v>
      </c>
      <c r="H52" s="129">
        <v>9.3130000000000001E-3</v>
      </c>
      <c r="I52" s="129">
        <v>9.3130000000000001E-3</v>
      </c>
      <c r="J52" s="139" t="s">
        <v>103</v>
      </c>
    </row>
    <row r="53" spans="1:11" ht="22.5" customHeight="1" x14ac:dyDescent="0.2">
      <c r="A53" s="138" t="s">
        <v>109</v>
      </c>
      <c r="B53" s="131"/>
      <c r="C53" s="132">
        <f>SUM(C54:C55)</f>
        <v>1.7100000000000001E-2</v>
      </c>
      <c r="D53" s="132">
        <f t="shared" ref="D53:I53" si="3">SUM(D54:D55)</f>
        <v>1.7100000000000001E-2</v>
      </c>
      <c r="E53" s="132">
        <f t="shared" si="3"/>
        <v>1.7100000000000001E-2</v>
      </c>
      <c r="F53" s="132">
        <f t="shared" si="3"/>
        <v>1.7100000000000001E-2</v>
      </c>
      <c r="G53" s="132">
        <f t="shared" si="3"/>
        <v>1.29E-2</v>
      </c>
      <c r="H53" s="132">
        <f t="shared" si="3"/>
        <v>8.2000000000000007E-3</v>
      </c>
      <c r="I53" s="132">
        <f t="shared" si="3"/>
        <v>1.29E-2</v>
      </c>
      <c r="J53" s="140" t="s">
        <v>103</v>
      </c>
    </row>
    <row r="54" spans="1:11" ht="22.5" customHeight="1" x14ac:dyDescent="0.2">
      <c r="A54" s="138" t="s">
        <v>110</v>
      </c>
      <c r="B54" s="127" t="s">
        <v>111</v>
      </c>
      <c r="C54" s="129">
        <v>7.4000000000000003E-3</v>
      </c>
      <c r="D54" s="129">
        <v>7.4000000000000003E-3</v>
      </c>
      <c r="E54" s="129">
        <v>7.4000000000000003E-3</v>
      </c>
      <c r="F54" s="129">
        <v>7.4000000000000003E-3</v>
      </c>
      <c r="G54" s="129">
        <v>5.3E-3</v>
      </c>
      <c r="H54" s="129">
        <v>3.2000000000000002E-3</v>
      </c>
      <c r="I54" s="129">
        <v>5.3E-3</v>
      </c>
      <c r="J54" s="139" t="s">
        <v>103</v>
      </c>
    </row>
    <row r="55" spans="1:11" ht="22.5" customHeight="1" x14ac:dyDescent="0.2">
      <c r="A55" s="138" t="s">
        <v>112</v>
      </c>
      <c r="B55" s="127" t="s">
        <v>113</v>
      </c>
      <c r="C55" s="129">
        <v>9.7000000000000003E-3</v>
      </c>
      <c r="D55" s="129">
        <v>9.7000000000000003E-3</v>
      </c>
      <c r="E55" s="129">
        <v>9.7000000000000003E-3</v>
      </c>
      <c r="F55" s="129">
        <v>9.7000000000000003E-3</v>
      </c>
      <c r="G55" s="129">
        <v>7.6E-3</v>
      </c>
      <c r="H55" s="129">
        <v>5.0000000000000001E-3</v>
      </c>
      <c r="I55" s="129">
        <v>7.6E-3</v>
      </c>
      <c r="J55" s="139" t="s">
        <v>103</v>
      </c>
    </row>
    <row r="56" spans="1:11" ht="22.5" customHeight="1" x14ac:dyDescent="0.2">
      <c r="A56" s="138" t="s">
        <v>114</v>
      </c>
      <c r="B56" s="127" t="s">
        <v>115</v>
      </c>
      <c r="C56" s="132">
        <f t="shared" ref="C56:I56" si="4">SUM(C57:C59)</f>
        <v>5.0499999999999996E-2</v>
      </c>
      <c r="D56" s="132">
        <f t="shared" si="4"/>
        <v>5.7499999999999996E-2</v>
      </c>
      <c r="E56" s="132">
        <f t="shared" si="4"/>
        <v>6.4500000000000002E-2</v>
      </c>
      <c r="F56" s="132">
        <f t="shared" si="4"/>
        <v>7.1499999999999994E-2</v>
      </c>
      <c r="G56" s="132">
        <f t="shared" si="4"/>
        <v>3.6499999999999998E-2</v>
      </c>
      <c r="H56" s="132">
        <f t="shared" si="4"/>
        <v>6.1499999999999999E-2</v>
      </c>
      <c r="I56" s="132">
        <f t="shared" si="4"/>
        <v>6.1499999999999999E-2</v>
      </c>
      <c r="J56" s="140" t="s">
        <v>116</v>
      </c>
    </row>
    <row r="57" spans="1:11" ht="22.5" customHeight="1" x14ac:dyDescent="0.2">
      <c r="A57" s="138" t="s">
        <v>117</v>
      </c>
      <c r="B57" s="131" t="s">
        <v>118</v>
      </c>
      <c r="C57" s="141">
        <v>1.3999999999999999E-2</v>
      </c>
      <c r="D57" s="141">
        <v>2.0999999999999998E-2</v>
      </c>
      <c r="E57" s="141">
        <v>2.7999999999999997E-2</v>
      </c>
      <c r="F57" s="141">
        <v>3.4999999999999996E-2</v>
      </c>
      <c r="G57" s="141" t="s">
        <v>119</v>
      </c>
      <c r="H57" s="141">
        <v>2.5000000000000001E-2</v>
      </c>
      <c r="I57" s="141">
        <v>2.5000000000000001E-2</v>
      </c>
      <c r="J57" s="139" t="s">
        <v>116</v>
      </c>
    </row>
    <row r="58" spans="1:11" ht="22.5" customHeight="1" x14ac:dyDescent="0.2">
      <c r="A58" s="138" t="s">
        <v>120</v>
      </c>
      <c r="B58" s="131" t="s">
        <v>120</v>
      </c>
      <c r="C58" s="129">
        <v>6.4999999999999997E-3</v>
      </c>
      <c r="D58" s="129">
        <v>6.4999999999999997E-3</v>
      </c>
      <c r="E58" s="129">
        <v>6.4999999999999997E-3</v>
      </c>
      <c r="F58" s="129">
        <v>6.4999999999999997E-3</v>
      </c>
      <c r="G58" s="129">
        <v>6.4999999999999997E-3</v>
      </c>
      <c r="H58" s="129">
        <v>6.4999999999999997E-3</v>
      </c>
      <c r="I58" s="129">
        <v>6.4999999999999997E-3</v>
      </c>
      <c r="J58" s="139" t="s">
        <v>116</v>
      </c>
    </row>
    <row r="59" spans="1:11" ht="22.5" customHeight="1" x14ac:dyDescent="0.2">
      <c r="A59" s="138" t="s">
        <v>121</v>
      </c>
      <c r="B59" s="131" t="s">
        <v>119</v>
      </c>
      <c r="C59" s="129">
        <v>0.03</v>
      </c>
      <c r="D59" s="129">
        <v>0.03</v>
      </c>
      <c r="E59" s="129">
        <v>0.03</v>
      </c>
      <c r="F59" s="129">
        <v>0.03</v>
      </c>
      <c r="G59" s="129">
        <v>0.03</v>
      </c>
      <c r="H59" s="129">
        <v>0.03</v>
      </c>
      <c r="I59" s="129">
        <v>0.03</v>
      </c>
      <c r="J59" s="139" t="s">
        <v>116</v>
      </c>
    </row>
    <row r="60" spans="1:11" ht="22.5" customHeight="1" x14ac:dyDescent="0.2">
      <c r="A60" s="138" t="s">
        <v>122</v>
      </c>
      <c r="B60" s="131" t="s">
        <v>123</v>
      </c>
      <c r="C60" s="134">
        <v>4.4999999999999998E-2</v>
      </c>
      <c r="D60" s="134">
        <v>4.4999999999999998E-2</v>
      </c>
      <c r="E60" s="134">
        <v>4.4999999999999998E-2</v>
      </c>
      <c r="F60" s="134">
        <v>4.4999999999999998E-2</v>
      </c>
      <c r="G60" s="134">
        <v>4.4999999999999998E-2</v>
      </c>
      <c r="H60" s="134">
        <v>4.4999999999999998E-2</v>
      </c>
      <c r="I60" s="134">
        <v>4.4999999999999998E-2</v>
      </c>
      <c r="J60" s="139" t="s">
        <v>116</v>
      </c>
    </row>
    <row r="61" spans="1:11" x14ac:dyDescent="0.2">
      <c r="A61" s="408"/>
      <c r="B61" s="409"/>
      <c r="C61" s="409"/>
      <c r="D61" s="409"/>
      <c r="E61" s="409"/>
      <c r="F61" s="409"/>
      <c r="G61" s="409"/>
      <c r="H61" s="409"/>
      <c r="I61" s="409"/>
      <c r="J61" s="410"/>
    </row>
    <row r="62" spans="1:11" x14ac:dyDescent="0.2">
      <c r="A62" s="411" t="s">
        <v>124</v>
      </c>
      <c r="B62" s="412"/>
      <c r="C62" s="415" t="s">
        <v>125</v>
      </c>
      <c r="D62" s="416"/>
      <c r="E62" s="416"/>
      <c r="F62" s="416"/>
      <c r="G62" s="416"/>
      <c r="H62" s="416"/>
      <c r="I62" s="416"/>
      <c r="J62" s="417"/>
    </row>
    <row r="63" spans="1:11" x14ac:dyDescent="0.2">
      <c r="A63" s="413"/>
      <c r="B63" s="414"/>
      <c r="C63" s="418" t="s">
        <v>126</v>
      </c>
      <c r="D63" s="419"/>
      <c r="E63" s="419"/>
      <c r="F63" s="419"/>
      <c r="G63" s="419"/>
      <c r="H63" s="419"/>
      <c r="I63" s="419"/>
      <c r="J63" s="420"/>
    </row>
    <row r="64" spans="1:11" ht="22.5" customHeight="1" x14ac:dyDescent="0.2">
      <c r="A64" s="421" t="s">
        <v>127</v>
      </c>
      <c r="B64" s="422"/>
      <c r="C64" s="135">
        <f>(1+(C50+C53))*(1+C52)*(1+C51)-1</f>
        <v>0.15455731925581984</v>
      </c>
      <c r="D64" s="135">
        <f t="shared" ref="D64:I64" si="5">(1+(D50+D53))*(1+D52)*(1+D51)-1</f>
        <v>0.15455731925581984</v>
      </c>
      <c r="E64" s="135">
        <f t="shared" si="5"/>
        <v>0.15455731925581984</v>
      </c>
      <c r="F64" s="135">
        <f t="shared" si="5"/>
        <v>0.15455731925581984</v>
      </c>
      <c r="G64" s="135">
        <f t="shared" si="5"/>
        <v>0.10906011342961963</v>
      </c>
      <c r="H64" s="135">
        <f t="shared" si="5"/>
        <v>0.12831818900856007</v>
      </c>
      <c r="I64" s="135">
        <f t="shared" si="5"/>
        <v>0.10906011342961963</v>
      </c>
      <c r="J64" s="425"/>
      <c r="K64" s="142"/>
    </row>
    <row r="65" spans="1:11" ht="22.5" customHeight="1" x14ac:dyDescent="0.2">
      <c r="A65" s="421" t="s">
        <v>128</v>
      </c>
      <c r="B65" s="422"/>
      <c r="C65" s="135">
        <f>(1-(C56+C60))</f>
        <v>0.90449999999999997</v>
      </c>
      <c r="D65" s="135">
        <f t="shared" ref="D65:I65" si="6">(1-(D56+D60))</f>
        <v>0.89749999999999996</v>
      </c>
      <c r="E65" s="135">
        <f t="shared" si="6"/>
        <v>0.89049999999999996</v>
      </c>
      <c r="F65" s="135">
        <f t="shared" si="6"/>
        <v>0.88349999999999995</v>
      </c>
      <c r="G65" s="135">
        <f t="shared" si="6"/>
        <v>0.91849999999999998</v>
      </c>
      <c r="H65" s="135">
        <f t="shared" si="6"/>
        <v>0.89349999999999996</v>
      </c>
      <c r="I65" s="135">
        <f t="shared" si="6"/>
        <v>0.89349999999999996</v>
      </c>
      <c r="J65" s="426"/>
      <c r="K65" s="142"/>
    </row>
    <row r="66" spans="1:11" ht="11.25" customHeight="1" x14ac:dyDescent="0.2">
      <c r="A66" s="454" t="s">
        <v>129</v>
      </c>
      <c r="B66" s="455"/>
      <c r="C66" s="436">
        <f>(1+C64)/C65-1</f>
        <v>0.27645916998985065</v>
      </c>
      <c r="D66" s="436">
        <f t="shared" ref="D66:I66" si="7">(1+D64)/D65-1</f>
        <v>0.28641484039645659</v>
      </c>
      <c r="E66" s="436">
        <f t="shared" si="7"/>
        <v>0.29652702892287475</v>
      </c>
      <c r="F66" s="436">
        <f t="shared" si="7"/>
        <v>0.30679945586397261</v>
      </c>
      <c r="G66" s="436">
        <f t="shared" si="7"/>
        <v>0.20746882246011933</v>
      </c>
      <c r="H66" s="436">
        <f t="shared" si="7"/>
        <v>0.26280715054119774</v>
      </c>
      <c r="I66" s="436">
        <f t="shared" si="7"/>
        <v>0.24125362443158327</v>
      </c>
      <c r="J66" s="426"/>
    </row>
    <row r="67" spans="1:11" ht="11.25" customHeight="1" x14ac:dyDescent="0.2">
      <c r="A67" s="456"/>
      <c r="B67" s="457"/>
      <c r="C67" s="436"/>
      <c r="D67" s="436"/>
      <c r="E67" s="436"/>
      <c r="F67" s="436"/>
      <c r="G67" s="436"/>
      <c r="H67" s="436"/>
      <c r="I67" s="436"/>
      <c r="J67" s="427"/>
    </row>
    <row r="68" spans="1:11" x14ac:dyDescent="0.2">
      <c r="A68" s="437" t="s">
        <v>130</v>
      </c>
      <c r="B68" s="438"/>
      <c r="C68" s="438"/>
      <c r="D68" s="438"/>
      <c r="E68" s="438"/>
      <c r="F68" s="438"/>
      <c r="G68" s="438"/>
      <c r="H68" s="438"/>
      <c r="I68" s="438"/>
      <c r="J68" s="439"/>
    </row>
    <row r="69" spans="1:11" ht="86.25" customHeight="1" x14ac:dyDescent="0.2">
      <c r="A69" s="451" t="s">
        <v>138</v>
      </c>
      <c r="B69" s="452"/>
      <c r="C69" s="452"/>
      <c r="D69" s="452"/>
      <c r="E69" s="452"/>
      <c r="F69" s="452"/>
      <c r="G69" s="452"/>
      <c r="H69" s="452"/>
      <c r="I69" s="452"/>
      <c r="J69" s="453"/>
    </row>
    <row r="70" spans="1:11" ht="23.45" customHeight="1" x14ac:dyDescent="0.2">
      <c r="A70" s="385"/>
      <c r="B70" s="385"/>
      <c r="C70" s="385"/>
      <c r="D70" s="385"/>
      <c r="E70" s="385"/>
      <c r="F70" s="385"/>
      <c r="G70" s="385"/>
      <c r="H70" s="385"/>
      <c r="I70" s="385"/>
      <c r="J70" s="385"/>
    </row>
    <row r="71" spans="1:11" x14ac:dyDescent="0.2">
      <c r="A71" s="386" t="s">
        <v>217</v>
      </c>
      <c r="B71" s="386"/>
      <c r="C71" s="386"/>
      <c r="D71" s="386"/>
      <c r="E71" s="386"/>
      <c r="F71" s="386"/>
      <c r="G71" s="386"/>
      <c r="H71" s="386"/>
      <c r="I71" s="386"/>
      <c r="J71" s="386"/>
    </row>
    <row r="72" spans="1:11" x14ac:dyDescent="0.2">
      <c r="A72" s="386" t="s">
        <v>322</v>
      </c>
      <c r="B72" s="386"/>
      <c r="C72" s="386"/>
      <c r="D72" s="386"/>
      <c r="E72" s="386"/>
      <c r="F72" s="386"/>
      <c r="G72" s="386"/>
      <c r="H72" s="386"/>
      <c r="I72" s="386"/>
      <c r="J72" s="386"/>
    </row>
    <row r="73" spans="1:11" x14ac:dyDescent="0.2">
      <c r="A73" s="386" t="s">
        <v>323</v>
      </c>
      <c r="B73" s="386"/>
      <c r="C73" s="386"/>
      <c r="D73" s="386"/>
      <c r="E73" s="386"/>
      <c r="F73" s="386"/>
      <c r="G73" s="386"/>
      <c r="H73" s="386"/>
      <c r="I73" s="386"/>
      <c r="J73" s="386"/>
    </row>
  </sheetData>
  <mergeCells count="72">
    <mergeCell ref="A68:J68"/>
    <mergeCell ref="A69:J69"/>
    <mergeCell ref="B37:H37"/>
    <mergeCell ref="B38:H38"/>
    <mergeCell ref="B39:H39"/>
    <mergeCell ref="A61:J61"/>
    <mergeCell ref="A62:B63"/>
    <mergeCell ref="C62:J62"/>
    <mergeCell ref="C63:J63"/>
    <mergeCell ref="A64:B64"/>
    <mergeCell ref="J64:J67"/>
    <mergeCell ref="A65:B65"/>
    <mergeCell ref="A66:B67"/>
    <mergeCell ref="C66:C67"/>
    <mergeCell ref="D66:D67"/>
    <mergeCell ref="E66:E67"/>
    <mergeCell ref="F66:F67"/>
    <mergeCell ref="G66:G67"/>
    <mergeCell ref="H66:H67"/>
    <mergeCell ref="I66:I67"/>
    <mergeCell ref="A33:J33"/>
    <mergeCell ref="A34:J34"/>
    <mergeCell ref="A43:J43"/>
    <mergeCell ref="A45:J45"/>
    <mergeCell ref="A46:A48"/>
    <mergeCell ref="B46:B48"/>
    <mergeCell ref="C46:I46"/>
    <mergeCell ref="J46:J48"/>
    <mergeCell ref="C47:F47"/>
    <mergeCell ref="G47:I47"/>
    <mergeCell ref="A29:B29"/>
    <mergeCell ref="H29:I29"/>
    <mergeCell ref="J29:J32"/>
    <mergeCell ref="A30:B30"/>
    <mergeCell ref="H30:I30"/>
    <mergeCell ref="A31:B32"/>
    <mergeCell ref="C31:C32"/>
    <mergeCell ref="D31:D32"/>
    <mergeCell ref="E31:E32"/>
    <mergeCell ref="F31:F32"/>
    <mergeCell ref="G31:G32"/>
    <mergeCell ref="H31:I32"/>
    <mergeCell ref="H23:I23"/>
    <mergeCell ref="H24:I24"/>
    <mergeCell ref="H25:I25"/>
    <mergeCell ref="A26:J26"/>
    <mergeCell ref="A27:B28"/>
    <mergeCell ref="C27:J27"/>
    <mergeCell ref="C28:J28"/>
    <mergeCell ref="A11:A13"/>
    <mergeCell ref="B11:B13"/>
    <mergeCell ref="C11:I11"/>
    <mergeCell ref="J11:J13"/>
    <mergeCell ref="C12:F12"/>
    <mergeCell ref="G12:I12"/>
    <mergeCell ref="H13:I13"/>
    <mergeCell ref="A70:J70"/>
    <mergeCell ref="A71:J71"/>
    <mergeCell ref="A72:J72"/>
    <mergeCell ref="A73:J73"/>
    <mergeCell ref="A1:J6"/>
    <mergeCell ref="H19:I19"/>
    <mergeCell ref="H20:I20"/>
    <mergeCell ref="H21:I21"/>
    <mergeCell ref="H22:I22"/>
    <mergeCell ref="H14:I14"/>
    <mergeCell ref="H15:I15"/>
    <mergeCell ref="H16:I16"/>
    <mergeCell ref="H17:I17"/>
    <mergeCell ref="H18:I18"/>
    <mergeCell ref="A8:J8"/>
    <mergeCell ref="A10:J10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6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8B76F-9BE5-4804-87E5-212F17F9C931}">
  <sheetPr>
    <pageSetUpPr fitToPage="1"/>
  </sheetPr>
  <dimension ref="A1:I159"/>
  <sheetViews>
    <sheetView view="pageBreakPreview" topLeftCell="A127" zoomScaleNormal="100" zoomScaleSheetLayoutView="100" workbookViewId="0">
      <selection activeCell="B145" sqref="B145"/>
    </sheetView>
  </sheetViews>
  <sheetFormatPr defaultRowHeight="12.75" x14ac:dyDescent="0.2"/>
  <cols>
    <col min="2" max="2" width="12.5703125" customWidth="1"/>
    <col min="3" max="3" width="16.5703125" customWidth="1"/>
    <col min="4" max="4" width="45.85546875" customWidth="1"/>
    <col min="5" max="6" width="13.5703125" customWidth="1"/>
    <col min="7" max="7" width="12.28515625" customWidth="1"/>
    <col min="8" max="8" width="11.28515625" customWidth="1"/>
    <col min="13" max="13" width="0" hidden="1" customWidth="1"/>
  </cols>
  <sheetData>
    <row r="1" spans="1:8" x14ac:dyDescent="0.2">
      <c r="A1" s="458">
        <v>1</v>
      </c>
      <c r="B1" s="459" t="s">
        <v>72</v>
      </c>
      <c r="C1" s="459"/>
      <c r="D1" s="459"/>
      <c r="E1" s="459"/>
      <c r="F1" s="459"/>
      <c r="G1" s="459"/>
      <c r="H1" s="460"/>
    </row>
    <row r="2" spans="1:8" ht="30.75" customHeight="1" x14ac:dyDescent="0.2">
      <c r="A2" s="458"/>
      <c r="B2" s="114" t="s">
        <v>73</v>
      </c>
      <c r="C2" s="461" t="s">
        <v>222</v>
      </c>
      <c r="D2" s="461"/>
      <c r="E2" s="462"/>
      <c r="F2" s="462"/>
      <c r="G2" s="115" t="s">
        <v>74</v>
      </c>
      <c r="H2" s="160">
        <v>45413</v>
      </c>
    </row>
    <row r="3" spans="1:8" ht="25.5" customHeight="1" x14ac:dyDescent="0.2">
      <c r="A3" s="458"/>
      <c r="B3" s="116" t="s">
        <v>75</v>
      </c>
      <c r="C3" s="463" t="s">
        <v>251</v>
      </c>
      <c r="D3" s="464"/>
      <c r="E3" s="117" t="s">
        <v>76</v>
      </c>
      <c r="F3" s="117" t="s">
        <v>77</v>
      </c>
      <c r="G3" s="115" t="s">
        <v>78</v>
      </c>
      <c r="H3" s="117" t="s">
        <v>189</v>
      </c>
    </row>
    <row r="4" spans="1:8" x14ac:dyDescent="0.2">
      <c r="A4" s="458"/>
      <c r="B4" s="463"/>
      <c r="C4" s="463"/>
      <c r="D4" s="463"/>
      <c r="E4" s="463"/>
      <c r="F4" s="463"/>
      <c r="G4" s="463"/>
      <c r="H4" s="464"/>
    </row>
    <row r="5" spans="1:8" ht="27" x14ac:dyDescent="0.2">
      <c r="A5" s="458"/>
      <c r="B5" s="118" t="s">
        <v>79</v>
      </c>
      <c r="C5" s="119" t="s">
        <v>80</v>
      </c>
      <c r="D5" s="119" t="s">
        <v>81</v>
      </c>
      <c r="E5" s="119" t="s">
        <v>82</v>
      </c>
      <c r="F5" s="119" t="s">
        <v>83</v>
      </c>
      <c r="G5" s="119" t="s">
        <v>84</v>
      </c>
      <c r="H5" s="119" t="s">
        <v>85</v>
      </c>
    </row>
    <row r="6" spans="1:8" ht="51.75" customHeight="1" x14ac:dyDescent="0.2">
      <c r="A6" s="458"/>
      <c r="B6" s="161" t="s">
        <v>66</v>
      </c>
      <c r="C6" s="162">
        <v>90778</v>
      </c>
      <c r="D6" s="163" t="s">
        <v>248</v>
      </c>
      <c r="E6" s="162" t="s">
        <v>70</v>
      </c>
      <c r="F6" s="164">
        <v>132</v>
      </c>
      <c r="G6" s="165">
        <v>106.43</v>
      </c>
      <c r="H6" s="166">
        <f t="shared" ref="H6" si="0">ROUND(F6*G6,2)</f>
        <v>14048.76</v>
      </c>
    </row>
    <row r="7" spans="1:8" ht="39.75" customHeight="1" x14ac:dyDescent="0.2">
      <c r="A7" s="458"/>
      <c r="B7" s="161" t="s">
        <v>66</v>
      </c>
      <c r="C7" s="162">
        <v>90780</v>
      </c>
      <c r="D7" s="163" t="s">
        <v>249</v>
      </c>
      <c r="E7" s="162" t="s">
        <v>70</v>
      </c>
      <c r="F7" s="164">
        <v>132</v>
      </c>
      <c r="G7" s="162">
        <v>77.14</v>
      </c>
      <c r="H7" s="166">
        <f>ROUND(F7*G7,2)</f>
        <v>10182.48</v>
      </c>
    </row>
    <row r="8" spans="1:8" x14ac:dyDescent="0.2">
      <c r="A8" s="458"/>
      <c r="B8" s="465" t="s">
        <v>86</v>
      </c>
      <c r="C8" s="466"/>
      <c r="D8" s="467"/>
      <c r="E8" s="120">
        <v>1</v>
      </c>
      <c r="F8" s="468" t="s">
        <v>87</v>
      </c>
      <c r="G8" s="469"/>
      <c r="H8" s="168">
        <f>SUM(H6:H7)</f>
        <v>24231.239999999998</v>
      </c>
    </row>
    <row r="9" spans="1:8" x14ac:dyDescent="0.2">
      <c r="A9" s="458"/>
      <c r="B9" s="470" t="s">
        <v>23</v>
      </c>
      <c r="C9" s="470"/>
      <c r="D9" s="470"/>
      <c r="E9" s="471"/>
      <c r="F9" s="471"/>
      <c r="G9" s="470"/>
      <c r="H9" s="169">
        <f>ROUND(H8/E8,2)</f>
        <v>24231.24</v>
      </c>
    </row>
    <row r="10" spans="1:8" x14ac:dyDescent="0.2">
      <c r="A10" s="458"/>
      <c r="B10" s="470" t="s">
        <v>88</v>
      </c>
      <c r="C10" s="470"/>
      <c r="D10" s="470"/>
      <c r="E10" s="471"/>
      <c r="F10" s="471"/>
      <c r="G10" s="470"/>
      <c r="H10" s="170">
        <f>'PLAN ORÇ'!I13</f>
        <v>0.28639999999999999</v>
      </c>
    </row>
    <row r="11" spans="1:8" x14ac:dyDescent="0.2">
      <c r="A11" s="458"/>
      <c r="B11" s="472" t="s">
        <v>89</v>
      </c>
      <c r="C11" s="472"/>
      <c r="D11" s="472"/>
      <c r="E11" s="473"/>
      <c r="F11" s="473"/>
      <c r="G11" s="472"/>
      <c r="H11" s="171">
        <f>ROUND(H9*(1+H10),2)</f>
        <v>31171.07</v>
      </c>
    </row>
    <row r="13" spans="1:8" x14ac:dyDescent="0.2">
      <c r="A13" s="458">
        <v>1</v>
      </c>
      <c r="B13" s="459" t="s">
        <v>72</v>
      </c>
      <c r="C13" s="459"/>
      <c r="D13" s="459"/>
      <c r="E13" s="459"/>
      <c r="F13" s="459"/>
      <c r="G13" s="459"/>
      <c r="H13" s="460"/>
    </row>
    <row r="14" spans="1:8" ht="30.75" customHeight="1" x14ac:dyDescent="0.2">
      <c r="A14" s="458"/>
      <c r="B14" s="114" t="s">
        <v>73</v>
      </c>
      <c r="C14" s="461" t="s">
        <v>222</v>
      </c>
      <c r="D14" s="461"/>
      <c r="E14" s="462"/>
      <c r="F14" s="462"/>
      <c r="G14" s="115" t="s">
        <v>74</v>
      </c>
      <c r="H14" s="160">
        <f>H2</f>
        <v>45413</v>
      </c>
    </row>
    <row r="15" spans="1:8" ht="25.5" customHeight="1" x14ac:dyDescent="0.2">
      <c r="A15" s="458"/>
      <c r="B15" s="116" t="s">
        <v>75</v>
      </c>
      <c r="C15" s="463" t="s">
        <v>286</v>
      </c>
      <c r="D15" s="464"/>
      <c r="E15" s="117" t="s">
        <v>76</v>
      </c>
      <c r="F15" s="117" t="s">
        <v>151</v>
      </c>
      <c r="G15" s="115" t="s">
        <v>78</v>
      </c>
      <c r="H15" s="117" t="s">
        <v>179</v>
      </c>
    </row>
    <row r="16" spans="1:8" x14ac:dyDescent="0.2">
      <c r="A16" s="458"/>
      <c r="B16" s="463"/>
      <c r="C16" s="463"/>
      <c r="D16" s="463"/>
      <c r="E16" s="463"/>
      <c r="F16" s="463"/>
      <c r="G16" s="463"/>
      <c r="H16" s="464"/>
    </row>
    <row r="17" spans="1:8" ht="27" x14ac:dyDescent="0.2">
      <c r="A17" s="458"/>
      <c r="B17" s="118" t="s">
        <v>79</v>
      </c>
      <c r="C17" s="119" t="s">
        <v>80</v>
      </c>
      <c r="D17" s="119" t="s">
        <v>81</v>
      </c>
      <c r="E17" s="119" t="s">
        <v>82</v>
      </c>
      <c r="F17" s="119" t="s">
        <v>83</v>
      </c>
      <c r="G17" s="119" t="s">
        <v>84</v>
      </c>
      <c r="H17" s="119" t="s">
        <v>85</v>
      </c>
    </row>
    <row r="18" spans="1:8" ht="51.75" customHeight="1" x14ac:dyDescent="0.2">
      <c r="A18" s="458"/>
      <c r="B18" s="161" t="s">
        <v>66</v>
      </c>
      <c r="C18" s="197" t="s">
        <v>279</v>
      </c>
      <c r="D18" s="198" t="s">
        <v>280</v>
      </c>
      <c r="E18" s="195" t="s">
        <v>70</v>
      </c>
      <c r="F18" s="177">
        <v>1.7600000000000001E-2</v>
      </c>
      <c r="G18" s="165">
        <v>38.56</v>
      </c>
      <c r="H18" s="166">
        <f t="shared" ref="H18" si="1">ROUND(F18*G18,2)</f>
        <v>0.68</v>
      </c>
    </row>
    <row r="19" spans="1:8" ht="39.75" customHeight="1" x14ac:dyDescent="0.2">
      <c r="A19" s="458"/>
      <c r="B19" s="176" t="s">
        <v>67</v>
      </c>
      <c r="C19" s="197">
        <v>7247</v>
      </c>
      <c r="D19" s="198" t="s">
        <v>281</v>
      </c>
      <c r="E19" s="196" t="s">
        <v>70</v>
      </c>
      <c r="F19" s="177">
        <v>0.2994</v>
      </c>
      <c r="G19" s="162">
        <v>2.0299999999999998</v>
      </c>
      <c r="H19" s="166">
        <f>ROUND(F19*G19,2)</f>
        <v>0.61</v>
      </c>
    </row>
    <row r="20" spans="1:8" ht="39.75" customHeight="1" x14ac:dyDescent="0.2">
      <c r="A20" s="458"/>
      <c r="B20" s="176" t="s">
        <v>67</v>
      </c>
      <c r="C20" s="197">
        <v>32</v>
      </c>
      <c r="D20" s="198" t="s">
        <v>282</v>
      </c>
      <c r="E20" s="194" t="s">
        <v>288</v>
      </c>
      <c r="F20" s="177">
        <v>3.7000000000000002E-3</v>
      </c>
      <c r="G20" s="162">
        <v>7.69</v>
      </c>
      <c r="H20" s="166">
        <f>ROUND(F20*G20,2)</f>
        <v>0.03</v>
      </c>
    </row>
    <row r="21" spans="1:8" ht="39.75" customHeight="1" x14ac:dyDescent="0.2">
      <c r="A21" s="458"/>
      <c r="B21" s="161" t="s">
        <v>66</v>
      </c>
      <c r="C21" s="197" t="s">
        <v>283</v>
      </c>
      <c r="D21" s="198" t="s">
        <v>284</v>
      </c>
      <c r="E21" s="162" t="s">
        <v>70</v>
      </c>
      <c r="F21" s="177">
        <v>1.7600000000000001E-2</v>
      </c>
      <c r="G21" s="162">
        <v>18.52</v>
      </c>
      <c r="H21" s="166">
        <f>ROUND(F21*G21,2)</f>
        <v>0.33</v>
      </c>
    </row>
    <row r="22" spans="1:8" x14ac:dyDescent="0.2">
      <c r="A22" s="458"/>
      <c r="B22" s="465" t="s">
        <v>86</v>
      </c>
      <c r="C22" s="466"/>
      <c r="D22" s="467"/>
      <c r="E22" s="120">
        <v>1</v>
      </c>
      <c r="F22" s="468" t="s">
        <v>87</v>
      </c>
      <c r="G22" s="469"/>
      <c r="H22" s="168">
        <f>SUM(H18:H21)</f>
        <v>1.6500000000000001</v>
      </c>
    </row>
    <row r="23" spans="1:8" x14ac:dyDescent="0.2">
      <c r="A23" s="458"/>
      <c r="B23" s="470" t="s">
        <v>23</v>
      </c>
      <c r="C23" s="470"/>
      <c r="D23" s="470"/>
      <c r="E23" s="471"/>
      <c r="F23" s="471"/>
      <c r="G23" s="470"/>
      <c r="H23" s="169">
        <f>ROUND(H22/E22,2)</f>
        <v>1.65</v>
      </c>
    </row>
    <row r="24" spans="1:8" x14ac:dyDescent="0.2">
      <c r="A24" s="458"/>
      <c r="B24" s="470" t="s">
        <v>88</v>
      </c>
      <c r="C24" s="470"/>
      <c r="D24" s="470"/>
      <c r="E24" s="471"/>
      <c r="F24" s="471"/>
      <c r="G24" s="470"/>
      <c r="H24" s="170">
        <f>'PLAN ORÇ'!I13</f>
        <v>0.28639999999999999</v>
      </c>
    </row>
    <row r="25" spans="1:8" x14ac:dyDescent="0.2">
      <c r="A25" s="458"/>
      <c r="B25" s="472" t="s">
        <v>89</v>
      </c>
      <c r="C25" s="472"/>
      <c r="D25" s="472"/>
      <c r="E25" s="473"/>
      <c r="F25" s="473"/>
      <c r="G25" s="472"/>
      <c r="H25" s="171">
        <f>ROUND(H23*(1+H24),2)</f>
        <v>2.12</v>
      </c>
    </row>
    <row r="27" spans="1:8" x14ac:dyDescent="0.2">
      <c r="A27" s="458">
        <v>2</v>
      </c>
      <c r="B27" s="459" t="s">
        <v>72</v>
      </c>
      <c r="C27" s="459"/>
      <c r="D27" s="459"/>
      <c r="E27" s="459"/>
      <c r="F27" s="459"/>
      <c r="G27" s="459"/>
      <c r="H27" s="460"/>
    </row>
    <row r="28" spans="1:8" ht="30.75" customHeight="1" x14ac:dyDescent="0.2">
      <c r="A28" s="458"/>
      <c r="B28" s="114" t="s">
        <v>73</v>
      </c>
      <c r="C28" s="461" t="s">
        <v>222</v>
      </c>
      <c r="D28" s="461"/>
      <c r="E28" s="462"/>
      <c r="F28" s="462"/>
      <c r="G28" s="115" t="s">
        <v>74</v>
      </c>
      <c r="H28" s="160">
        <f>H14</f>
        <v>45413</v>
      </c>
    </row>
    <row r="29" spans="1:8" ht="25.5" customHeight="1" x14ac:dyDescent="0.2">
      <c r="A29" s="458"/>
      <c r="B29" s="116" t="s">
        <v>75</v>
      </c>
      <c r="C29" s="463" t="s">
        <v>255</v>
      </c>
      <c r="D29" s="464"/>
      <c r="E29" s="117" t="s">
        <v>76</v>
      </c>
      <c r="F29" s="117" t="s">
        <v>165</v>
      </c>
      <c r="G29" s="115" t="s">
        <v>78</v>
      </c>
      <c r="H29" s="117" t="s">
        <v>71</v>
      </c>
    </row>
    <row r="30" spans="1:8" x14ac:dyDescent="0.2">
      <c r="A30" s="458"/>
      <c r="B30" s="463"/>
      <c r="C30" s="463"/>
      <c r="D30" s="463"/>
      <c r="E30" s="463"/>
      <c r="F30" s="463"/>
      <c r="G30" s="463"/>
      <c r="H30" s="464"/>
    </row>
    <row r="31" spans="1:8" ht="27" x14ac:dyDescent="0.2">
      <c r="A31" s="458"/>
      <c r="B31" s="118" t="s">
        <v>79</v>
      </c>
      <c r="C31" s="119" t="s">
        <v>80</v>
      </c>
      <c r="D31" s="119" t="s">
        <v>81</v>
      </c>
      <c r="E31" s="119" t="s">
        <v>82</v>
      </c>
      <c r="F31" s="119" t="s">
        <v>83</v>
      </c>
      <c r="G31" s="119" t="s">
        <v>84</v>
      </c>
      <c r="H31" s="119" t="s">
        <v>85</v>
      </c>
    </row>
    <row r="32" spans="1:8" ht="51.75" customHeight="1" x14ac:dyDescent="0.2">
      <c r="A32" s="458"/>
      <c r="B32" s="161" t="s">
        <v>66</v>
      </c>
      <c r="C32" s="162">
        <v>5839</v>
      </c>
      <c r="D32" s="163" t="s">
        <v>152</v>
      </c>
      <c r="E32" s="162" t="s">
        <v>153</v>
      </c>
      <c r="F32" s="164">
        <v>2E-3</v>
      </c>
      <c r="G32" s="165">
        <v>9.31</v>
      </c>
      <c r="H32" s="166">
        <f t="shared" ref="H32:H39" si="2">ROUND(F32*G32,2)</f>
        <v>0.02</v>
      </c>
    </row>
    <row r="33" spans="1:8" ht="39.75" customHeight="1" x14ac:dyDescent="0.2">
      <c r="A33" s="458"/>
      <c r="B33" s="161" t="s">
        <v>66</v>
      </c>
      <c r="C33" s="162">
        <v>5841</v>
      </c>
      <c r="D33" s="163" t="s">
        <v>154</v>
      </c>
      <c r="E33" s="162" t="s">
        <v>155</v>
      </c>
      <c r="F33" s="164">
        <v>4.0000000000000001E-3</v>
      </c>
      <c r="G33" s="162">
        <v>4.68</v>
      </c>
      <c r="H33" s="166">
        <f>ROUND(F33*G33,2)</f>
        <v>0.02</v>
      </c>
    </row>
    <row r="34" spans="1:8" ht="75" customHeight="1" x14ac:dyDescent="0.2">
      <c r="A34" s="458"/>
      <c r="B34" s="161" t="s">
        <v>66</v>
      </c>
      <c r="C34" s="162">
        <v>83362</v>
      </c>
      <c r="D34" s="163" t="s">
        <v>156</v>
      </c>
      <c r="E34" s="162" t="s">
        <v>153</v>
      </c>
      <c r="F34" s="164">
        <v>1E-3</v>
      </c>
      <c r="G34" s="162">
        <v>265.17</v>
      </c>
      <c r="H34" s="166">
        <f t="shared" si="2"/>
        <v>0.27</v>
      </c>
    </row>
    <row r="35" spans="1:8" ht="33.75" customHeight="1" x14ac:dyDescent="0.2">
      <c r="A35" s="458"/>
      <c r="B35" s="172" t="s">
        <v>157</v>
      </c>
      <c r="C35" s="162" t="s">
        <v>158</v>
      </c>
      <c r="D35" s="163" t="s">
        <v>159</v>
      </c>
      <c r="E35" s="162" t="s">
        <v>160</v>
      </c>
      <c r="F35" s="173">
        <v>1.1999999999999999E-3</v>
      </c>
      <c r="G35" s="188">
        <v>2615.5</v>
      </c>
      <c r="H35" s="174">
        <f t="shared" si="2"/>
        <v>3.14</v>
      </c>
    </row>
    <row r="36" spans="1:8" ht="35.25" customHeight="1" x14ac:dyDescent="0.2">
      <c r="A36" s="458"/>
      <c r="B36" s="161" t="s">
        <v>66</v>
      </c>
      <c r="C36" s="162">
        <v>88316</v>
      </c>
      <c r="D36" s="163" t="s">
        <v>161</v>
      </c>
      <c r="E36" s="162" t="s">
        <v>70</v>
      </c>
      <c r="F36" s="167">
        <v>5.7999999999999996E-3</v>
      </c>
      <c r="G36" s="165">
        <v>18.53</v>
      </c>
      <c r="H36" s="166">
        <f t="shared" si="2"/>
        <v>0.11</v>
      </c>
    </row>
    <row r="37" spans="1:8" ht="39.75" customHeight="1" x14ac:dyDescent="0.2">
      <c r="A37" s="458"/>
      <c r="B37" s="161" t="s">
        <v>66</v>
      </c>
      <c r="C37" s="162">
        <v>89035</v>
      </c>
      <c r="D37" s="163" t="s">
        <v>162</v>
      </c>
      <c r="E37" s="162" t="s">
        <v>153</v>
      </c>
      <c r="F37" s="167">
        <v>1.6999999999999999E-3</v>
      </c>
      <c r="G37" s="162">
        <v>134.16</v>
      </c>
      <c r="H37" s="166">
        <f t="shared" si="2"/>
        <v>0.23</v>
      </c>
    </row>
    <row r="38" spans="1:8" ht="39" customHeight="1" x14ac:dyDescent="0.2">
      <c r="A38" s="458"/>
      <c r="B38" s="161" t="s">
        <v>66</v>
      </c>
      <c r="C38" s="162">
        <v>89036</v>
      </c>
      <c r="D38" s="163" t="s">
        <v>163</v>
      </c>
      <c r="E38" s="162" t="s">
        <v>155</v>
      </c>
      <c r="F38" s="167">
        <v>4.1000000000000003E-3</v>
      </c>
      <c r="G38" s="162">
        <v>51.24</v>
      </c>
      <c r="H38" s="166">
        <f t="shared" si="2"/>
        <v>0.21</v>
      </c>
    </row>
    <row r="39" spans="1:8" ht="68.25" customHeight="1" x14ac:dyDescent="0.2">
      <c r="A39" s="458"/>
      <c r="B39" s="161" t="s">
        <v>66</v>
      </c>
      <c r="C39" s="162">
        <v>91486</v>
      </c>
      <c r="D39" s="163" t="s">
        <v>164</v>
      </c>
      <c r="E39" s="162" t="s">
        <v>155</v>
      </c>
      <c r="F39" s="167">
        <v>4.8999999999999998E-3</v>
      </c>
      <c r="G39" s="162">
        <v>66.22</v>
      </c>
      <c r="H39" s="166">
        <f t="shared" si="2"/>
        <v>0.32</v>
      </c>
    </row>
    <row r="40" spans="1:8" x14ac:dyDescent="0.2">
      <c r="A40" s="458"/>
      <c r="B40" s="465" t="s">
        <v>86</v>
      </c>
      <c r="C40" s="466"/>
      <c r="D40" s="467"/>
      <c r="E40" s="120">
        <v>1</v>
      </c>
      <c r="F40" s="468" t="s">
        <v>87</v>
      </c>
      <c r="G40" s="469"/>
      <c r="H40" s="168">
        <f>SUM(H32:H39)</f>
        <v>4.32</v>
      </c>
    </row>
    <row r="41" spans="1:8" x14ac:dyDescent="0.2">
      <c r="A41" s="458"/>
      <c r="B41" s="470" t="s">
        <v>23</v>
      </c>
      <c r="C41" s="470"/>
      <c r="D41" s="470"/>
      <c r="E41" s="471"/>
      <c r="F41" s="471"/>
      <c r="G41" s="470"/>
      <c r="H41" s="169">
        <f>ROUND(H40/E40,2)</f>
        <v>4.32</v>
      </c>
    </row>
    <row r="42" spans="1:8" x14ac:dyDescent="0.2">
      <c r="A42" s="458"/>
      <c r="B42" s="470" t="s">
        <v>88</v>
      </c>
      <c r="C42" s="470"/>
      <c r="D42" s="470"/>
      <c r="E42" s="471"/>
      <c r="F42" s="471"/>
      <c r="G42" s="470"/>
      <c r="H42" s="170">
        <f>'PLAN ORÇ'!I13</f>
        <v>0.28639999999999999</v>
      </c>
    </row>
    <row r="43" spans="1:8" x14ac:dyDescent="0.2">
      <c r="A43" s="458"/>
      <c r="B43" s="472" t="s">
        <v>89</v>
      </c>
      <c r="C43" s="472"/>
      <c r="D43" s="472"/>
      <c r="E43" s="473"/>
      <c r="F43" s="473"/>
      <c r="G43" s="472"/>
      <c r="H43" s="171">
        <f>ROUND(H41*(1+H42),2)</f>
        <v>5.56</v>
      </c>
    </row>
    <row r="45" spans="1:8" x14ac:dyDescent="0.2">
      <c r="A45" s="458">
        <v>3</v>
      </c>
      <c r="B45" s="459" t="s">
        <v>72</v>
      </c>
      <c r="C45" s="459"/>
      <c r="D45" s="459"/>
      <c r="E45" s="459"/>
      <c r="F45" s="459"/>
      <c r="G45" s="459"/>
      <c r="H45" s="460"/>
    </row>
    <row r="46" spans="1:8" ht="34.5" customHeight="1" x14ac:dyDescent="0.2">
      <c r="A46" s="458"/>
      <c r="B46" s="114" t="s">
        <v>73</v>
      </c>
      <c r="C46" s="474" t="s">
        <v>222</v>
      </c>
      <c r="D46" s="474"/>
      <c r="E46" s="475"/>
      <c r="F46" s="475"/>
      <c r="G46" s="115" t="s">
        <v>74</v>
      </c>
      <c r="H46" s="160">
        <f>H28</f>
        <v>45413</v>
      </c>
    </row>
    <row r="47" spans="1:8" ht="25.5" customHeight="1" x14ac:dyDescent="0.2">
      <c r="A47" s="458"/>
      <c r="B47" s="116" t="s">
        <v>75</v>
      </c>
      <c r="C47" s="475" t="s">
        <v>207</v>
      </c>
      <c r="D47" s="475"/>
      <c r="E47" s="117" t="s">
        <v>76</v>
      </c>
      <c r="F47" s="117" t="s">
        <v>188</v>
      </c>
      <c r="G47" s="115" t="s">
        <v>78</v>
      </c>
      <c r="H47" s="117" t="s">
        <v>71</v>
      </c>
    </row>
    <row r="48" spans="1:8" x14ac:dyDescent="0.2">
      <c r="A48" s="458"/>
      <c r="B48" s="463"/>
      <c r="C48" s="463"/>
      <c r="D48" s="463"/>
      <c r="E48" s="463"/>
      <c r="F48" s="463"/>
      <c r="G48" s="463"/>
      <c r="H48" s="464"/>
    </row>
    <row r="49" spans="1:8" ht="27" x14ac:dyDescent="0.2">
      <c r="A49" s="458"/>
      <c r="B49" s="118" t="s">
        <v>79</v>
      </c>
      <c r="C49" s="119" t="s">
        <v>80</v>
      </c>
      <c r="D49" s="119" t="s">
        <v>81</v>
      </c>
      <c r="E49" s="119" t="s">
        <v>82</v>
      </c>
      <c r="F49" s="119" t="s">
        <v>83</v>
      </c>
      <c r="G49" s="119" t="s">
        <v>84</v>
      </c>
      <c r="H49" s="119" t="s">
        <v>85</v>
      </c>
    </row>
    <row r="50" spans="1:8" ht="51.75" customHeight="1" x14ac:dyDescent="0.2">
      <c r="A50" s="458"/>
      <c r="B50" s="161" t="s">
        <v>66</v>
      </c>
      <c r="C50" s="162">
        <v>5839</v>
      </c>
      <c r="D50" s="163" t="s">
        <v>166</v>
      </c>
      <c r="E50" s="162" t="s">
        <v>153</v>
      </c>
      <c r="F50" s="164">
        <v>2E-3</v>
      </c>
      <c r="G50" s="165">
        <v>9.31</v>
      </c>
      <c r="H50" s="166">
        <f>ROUND(F50*G50,2)</f>
        <v>0.02</v>
      </c>
    </row>
    <row r="51" spans="1:8" ht="39.75" customHeight="1" x14ac:dyDescent="0.2">
      <c r="A51" s="458"/>
      <c r="B51" s="161" t="s">
        <v>66</v>
      </c>
      <c r="C51" s="162">
        <v>5841</v>
      </c>
      <c r="D51" s="163" t="s">
        <v>167</v>
      </c>
      <c r="E51" s="162" t="s">
        <v>155</v>
      </c>
      <c r="F51" s="164">
        <v>4.0000000000000001E-3</v>
      </c>
      <c r="G51" s="162">
        <v>4.68</v>
      </c>
      <c r="H51" s="166">
        <f>ROUND(F51*G51,2)</f>
        <v>0.02</v>
      </c>
    </row>
    <row r="52" spans="1:8" ht="22.5" customHeight="1" x14ac:dyDescent="0.2">
      <c r="A52" s="458"/>
      <c r="B52" s="172" t="s">
        <v>157</v>
      </c>
      <c r="C52" s="162" t="s">
        <v>168</v>
      </c>
      <c r="D52" s="163" t="s">
        <v>169</v>
      </c>
      <c r="E52" s="162" t="s">
        <v>170</v>
      </c>
      <c r="F52" s="173">
        <v>5.0000000000000001E-4</v>
      </c>
      <c r="G52" s="162">
        <v>3205.45</v>
      </c>
      <c r="H52" s="174">
        <f>ROUND(F52*G52,2)</f>
        <v>1.6</v>
      </c>
    </row>
    <row r="53" spans="1:8" ht="72" customHeight="1" x14ac:dyDescent="0.2">
      <c r="A53" s="458"/>
      <c r="B53" s="161" t="s">
        <v>66</v>
      </c>
      <c r="C53" s="162">
        <v>83362</v>
      </c>
      <c r="D53" s="163" t="s">
        <v>171</v>
      </c>
      <c r="E53" s="162" t="s">
        <v>153</v>
      </c>
      <c r="F53" s="167">
        <v>4.0000000000000002E-4</v>
      </c>
      <c r="G53" s="162">
        <v>265.17</v>
      </c>
      <c r="H53" s="166">
        <f>ROUND(F53*G53,2)</f>
        <v>0.11</v>
      </c>
    </row>
    <row r="54" spans="1:8" x14ac:dyDescent="0.2">
      <c r="A54" s="458"/>
      <c r="B54" s="465" t="s">
        <v>86</v>
      </c>
      <c r="C54" s="466"/>
      <c r="D54" s="467"/>
      <c r="E54" s="120">
        <v>1</v>
      </c>
      <c r="F54" s="468" t="s">
        <v>87</v>
      </c>
      <c r="G54" s="469"/>
      <c r="H54" s="168">
        <f>SUM(H50:H53)</f>
        <v>1.7500000000000002</v>
      </c>
    </row>
    <row r="55" spans="1:8" x14ac:dyDescent="0.2">
      <c r="A55" s="458"/>
      <c r="B55" s="470" t="s">
        <v>23</v>
      </c>
      <c r="C55" s="470"/>
      <c r="D55" s="470"/>
      <c r="E55" s="471"/>
      <c r="F55" s="471"/>
      <c r="G55" s="470"/>
      <c r="H55" s="169">
        <f>ROUND(H54/E54,2)</f>
        <v>1.75</v>
      </c>
    </row>
    <row r="56" spans="1:8" x14ac:dyDescent="0.2">
      <c r="A56" s="458"/>
      <c r="B56" s="470" t="s">
        <v>88</v>
      </c>
      <c r="C56" s="470"/>
      <c r="D56" s="470"/>
      <c r="E56" s="471"/>
      <c r="F56" s="471"/>
      <c r="G56" s="470"/>
      <c r="H56" s="170">
        <f>'PLAN ORÇ'!I13</f>
        <v>0.28639999999999999</v>
      </c>
    </row>
    <row r="57" spans="1:8" x14ac:dyDescent="0.2">
      <c r="A57" s="458"/>
      <c r="B57" s="472" t="s">
        <v>89</v>
      </c>
      <c r="C57" s="472"/>
      <c r="D57" s="472"/>
      <c r="E57" s="473"/>
      <c r="F57" s="473"/>
      <c r="G57" s="472"/>
      <c r="H57" s="171">
        <f>ROUND(H55*(1+H56),2)</f>
        <v>2.25</v>
      </c>
    </row>
    <row r="59" spans="1:8" x14ac:dyDescent="0.2">
      <c r="A59" s="458">
        <v>4</v>
      </c>
      <c r="B59" s="459" t="s">
        <v>72</v>
      </c>
      <c r="C59" s="459"/>
      <c r="D59" s="459"/>
      <c r="E59" s="459"/>
      <c r="F59" s="459"/>
      <c r="G59" s="459"/>
      <c r="H59" s="460"/>
    </row>
    <row r="60" spans="1:8" ht="34.5" customHeight="1" x14ac:dyDescent="0.2">
      <c r="A60" s="458"/>
      <c r="B60" s="114" t="s">
        <v>73</v>
      </c>
      <c r="C60" s="474" t="s">
        <v>222</v>
      </c>
      <c r="D60" s="474"/>
      <c r="E60" s="475"/>
      <c r="F60" s="475"/>
      <c r="G60" s="115" t="s">
        <v>74</v>
      </c>
      <c r="H60" s="160">
        <f>H46</f>
        <v>45413</v>
      </c>
    </row>
    <row r="61" spans="1:8" ht="65.25" customHeight="1" x14ac:dyDescent="0.2">
      <c r="A61" s="458"/>
      <c r="B61" s="116" t="s">
        <v>75</v>
      </c>
      <c r="C61" s="475" t="s">
        <v>220</v>
      </c>
      <c r="D61" s="475"/>
      <c r="E61" s="117" t="s">
        <v>76</v>
      </c>
      <c r="F61" s="117" t="s">
        <v>214</v>
      </c>
      <c r="G61" s="115" t="s">
        <v>78</v>
      </c>
      <c r="H61" s="117" t="s">
        <v>189</v>
      </c>
    </row>
    <row r="62" spans="1:8" x14ac:dyDescent="0.2">
      <c r="A62" s="458"/>
      <c r="B62" s="463"/>
      <c r="C62" s="463"/>
      <c r="D62" s="463"/>
      <c r="E62" s="463"/>
      <c r="F62" s="463"/>
      <c r="G62" s="463"/>
      <c r="H62" s="464"/>
    </row>
    <row r="63" spans="1:8" ht="27" x14ac:dyDescent="0.2">
      <c r="A63" s="458"/>
      <c r="B63" s="118" t="s">
        <v>79</v>
      </c>
      <c r="C63" s="119" t="s">
        <v>80</v>
      </c>
      <c r="D63" s="119" t="s">
        <v>81</v>
      </c>
      <c r="E63" s="119" t="s">
        <v>82</v>
      </c>
      <c r="F63" s="119" t="s">
        <v>83</v>
      </c>
      <c r="G63" s="119" t="s">
        <v>84</v>
      </c>
      <c r="H63" s="119" t="s">
        <v>85</v>
      </c>
    </row>
    <row r="64" spans="1:8" ht="39" customHeight="1" x14ac:dyDescent="0.2">
      <c r="A64" s="458"/>
      <c r="B64" s="176" t="s">
        <v>67</v>
      </c>
      <c r="C64" s="162">
        <v>34723</v>
      </c>
      <c r="D64" s="163" t="s">
        <v>180</v>
      </c>
      <c r="E64" s="162" t="s">
        <v>181</v>
      </c>
      <c r="F64" s="164">
        <v>0.3</v>
      </c>
      <c r="G64" s="165">
        <v>577.5</v>
      </c>
      <c r="H64" s="166">
        <f t="shared" ref="H64:H69" si="3">ROUND(F64*G64,2)</f>
        <v>173.25</v>
      </c>
    </row>
    <row r="65" spans="1:8" ht="39.75" customHeight="1" x14ac:dyDescent="0.2">
      <c r="A65" s="458"/>
      <c r="B65" s="176" t="s">
        <v>67</v>
      </c>
      <c r="C65" s="162">
        <v>21013</v>
      </c>
      <c r="D65" s="163" t="s">
        <v>182</v>
      </c>
      <c r="E65" s="162" t="s">
        <v>183</v>
      </c>
      <c r="F65" s="164">
        <v>3</v>
      </c>
      <c r="G65" s="162">
        <v>74.78</v>
      </c>
      <c r="H65" s="166">
        <f t="shared" si="3"/>
        <v>224.34</v>
      </c>
    </row>
    <row r="66" spans="1:8" ht="51" customHeight="1" x14ac:dyDescent="0.2">
      <c r="A66" s="458"/>
      <c r="B66" s="161" t="s">
        <v>66</v>
      </c>
      <c r="C66" s="162">
        <v>94975</v>
      </c>
      <c r="D66" s="163" t="s">
        <v>185</v>
      </c>
      <c r="E66" s="162" t="s">
        <v>178</v>
      </c>
      <c r="F66" s="167">
        <f>0.3*0.3*0.6</f>
        <v>5.3999999999999999E-2</v>
      </c>
      <c r="G66" s="162">
        <v>493.57</v>
      </c>
      <c r="H66" s="166">
        <f t="shared" si="3"/>
        <v>26.65</v>
      </c>
    </row>
    <row r="67" spans="1:8" ht="57" customHeight="1" x14ac:dyDescent="0.2">
      <c r="A67" s="458"/>
      <c r="B67" s="180" t="s">
        <v>66</v>
      </c>
      <c r="C67" s="162">
        <v>100721</v>
      </c>
      <c r="D67" s="163" t="s">
        <v>187</v>
      </c>
      <c r="E67" s="162" t="s">
        <v>71</v>
      </c>
      <c r="F67" s="173">
        <f>0.0005*3</f>
        <v>1.5E-3</v>
      </c>
      <c r="G67" s="162">
        <v>25.76</v>
      </c>
      <c r="H67" s="174">
        <f t="shared" si="3"/>
        <v>0.04</v>
      </c>
    </row>
    <row r="68" spans="1:8" ht="60.75" customHeight="1" x14ac:dyDescent="0.2">
      <c r="A68" s="458"/>
      <c r="B68" s="180" t="s">
        <v>66</v>
      </c>
      <c r="C68" s="162">
        <v>100757</v>
      </c>
      <c r="D68" s="163" t="s">
        <v>186</v>
      </c>
      <c r="E68" s="162" t="s">
        <v>71</v>
      </c>
      <c r="F68" s="173">
        <f>0.0005*3</f>
        <v>1.5E-3</v>
      </c>
      <c r="G68" s="162">
        <v>50.69</v>
      </c>
      <c r="H68" s="174">
        <f t="shared" si="3"/>
        <v>0.08</v>
      </c>
    </row>
    <row r="69" spans="1:8" ht="22.5" customHeight="1" x14ac:dyDescent="0.2">
      <c r="A69" s="458"/>
      <c r="B69" s="180" t="s">
        <v>66</v>
      </c>
      <c r="C69" s="162">
        <v>88316</v>
      </c>
      <c r="D69" s="163" t="s">
        <v>184</v>
      </c>
      <c r="E69" s="162" t="s">
        <v>70</v>
      </c>
      <c r="F69" s="173">
        <v>0.05</v>
      </c>
      <c r="G69" s="162">
        <v>18.53</v>
      </c>
      <c r="H69" s="174">
        <f t="shared" si="3"/>
        <v>0.93</v>
      </c>
    </row>
    <row r="70" spans="1:8" x14ac:dyDescent="0.2">
      <c r="A70" s="458"/>
      <c r="B70" s="465" t="s">
        <v>86</v>
      </c>
      <c r="C70" s="466"/>
      <c r="D70" s="467"/>
      <c r="E70" s="120">
        <v>1</v>
      </c>
      <c r="F70" s="468" t="s">
        <v>87</v>
      </c>
      <c r="G70" s="469"/>
      <c r="H70" s="168">
        <f>SUM(H64:H69)</f>
        <v>425.29</v>
      </c>
    </row>
    <row r="71" spans="1:8" x14ac:dyDescent="0.2">
      <c r="A71" s="458"/>
      <c r="B71" s="470" t="s">
        <v>23</v>
      </c>
      <c r="C71" s="470"/>
      <c r="D71" s="470"/>
      <c r="E71" s="471"/>
      <c r="F71" s="471"/>
      <c r="G71" s="470"/>
      <c r="H71" s="169">
        <f>ROUND(H70/E70,2)</f>
        <v>425.29</v>
      </c>
    </row>
    <row r="72" spans="1:8" x14ac:dyDescent="0.2">
      <c r="A72" s="458"/>
      <c r="B72" s="470" t="s">
        <v>88</v>
      </c>
      <c r="C72" s="470"/>
      <c r="D72" s="470"/>
      <c r="E72" s="471"/>
      <c r="F72" s="471"/>
      <c r="G72" s="470"/>
      <c r="H72" s="170">
        <f>'PLAN ORÇ'!I13</f>
        <v>0.28639999999999999</v>
      </c>
    </row>
    <row r="73" spans="1:8" x14ac:dyDescent="0.2">
      <c r="A73" s="458"/>
      <c r="B73" s="472" t="s">
        <v>89</v>
      </c>
      <c r="C73" s="472"/>
      <c r="D73" s="472"/>
      <c r="E73" s="473"/>
      <c r="F73" s="473"/>
      <c r="G73" s="472"/>
      <c r="H73" s="171">
        <f>ROUND(H71*(1+H72),2)</f>
        <v>547.09</v>
      </c>
    </row>
    <row r="75" spans="1:8" x14ac:dyDescent="0.2">
      <c r="A75" s="458">
        <v>5</v>
      </c>
      <c r="B75" s="459" t="s">
        <v>72</v>
      </c>
      <c r="C75" s="459"/>
      <c r="D75" s="459"/>
      <c r="E75" s="459"/>
      <c r="F75" s="459"/>
      <c r="G75" s="459"/>
      <c r="H75" s="460"/>
    </row>
    <row r="76" spans="1:8" ht="34.5" customHeight="1" x14ac:dyDescent="0.2">
      <c r="A76" s="458"/>
      <c r="B76" s="114" t="s">
        <v>73</v>
      </c>
      <c r="C76" s="474" t="s">
        <v>222</v>
      </c>
      <c r="D76" s="474"/>
      <c r="E76" s="475"/>
      <c r="F76" s="475"/>
      <c r="G76" s="115" t="s">
        <v>74</v>
      </c>
      <c r="H76" s="160">
        <f>H60</f>
        <v>45413</v>
      </c>
    </row>
    <row r="77" spans="1:8" ht="57.75" customHeight="1" x14ac:dyDescent="0.2">
      <c r="A77" s="458"/>
      <c r="B77" s="116" t="s">
        <v>75</v>
      </c>
      <c r="C77" s="474" t="s">
        <v>225</v>
      </c>
      <c r="D77" s="474"/>
      <c r="E77" s="117" t="s">
        <v>76</v>
      </c>
      <c r="F77" s="117" t="s">
        <v>234</v>
      </c>
      <c r="G77" s="115" t="s">
        <v>78</v>
      </c>
      <c r="H77" s="117" t="s">
        <v>189</v>
      </c>
    </row>
    <row r="78" spans="1:8" x14ac:dyDescent="0.2">
      <c r="A78" s="458"/>
      <c r="B78" s="463"/>
      <c r="C78" s="463"/>
      <c r="D78" s="463"/>
      <c r="E78" s="463"/>
      <c r="F78" s="463"/>
      <c r="G78" s="463"/>
      <c r="H78" s="464"/>
    </row>
    <row r="79" spans="1:8" ht="27" x14ac:dyDescent="0.2">
      <c r="A79" s="458"/>
      <c r="B79" s="118" t="s">
        <v>79</v>
      </c>
      <c r="C79" s="119" t="s">
        <v>80</v>
      </c>
      <c r="D79" s="119" t="s">
        <v>81</v>
      </c>
      <c r="E79" s="119" t="s">
        <v>82</v>
      </c>
      <c r="F79" s="119" t="s">
        <v>83</v>
      </c>
      <c r="G79" s="119" t="s">
        <v>84</v>
      </c>
      <c r="H79" s="119" t="s">
        <v>85</v>
      </c>
    </row>
    <row r="80" spans="1:8" ht="39" customHeight="1" x14ac:dyDescent="0.2">
      <c r="A80" s="458"/>
      <c r="B80" s="176" t="s">
        <v>67</v>
      </c>
      <c r="C80" s="162">
        <v>34723</v>
      </c>
      <c r="D80" s="163" t="s">
        <v>180</v>
      </c>
      <c r="E80" s="162" t="s">
        <v>181</v>
      </c>
      <c r="F80" s="164">
        <v>0.22500000000000001</v>
      </c>
      <c r="G80" s="165">
        <v>577.5</v>
      </c>
      <c r="H80" s="166">
        <f t="shared" ref="H80:H85" si="4">ROUND(F80*G80,2)</f>
        <v>129.94</v>
      </c>
    </row>
    <row r="81" spans="1:8" ht="39.75" customHeight="1" x14ac:dyDescent="0.2">
      <c r="A81" s="458"/>
      <c r="B81" s="176" t="s">
        <v>67</v>
      </c>
      <c r="C81" s="162">
        <v>21013</v>
      </c>
      <c r="D81" s="163" t="s">
        <v>182</v>
      </c>
      <c r="E81" s="162" t="s">
        <v>183</v>
      </c>
      <c r="F81" s="164">
        <v>3</v>
      </c>
      <c r="G81" s="162">
        <v>74.78</v>
      </c>
      <c r="H81" s="166">
        <f t="shared" si="4"/>
        <v>224.34</v>
      </c>
    </row>
    <row r="82" spans="1:8" ht="51" customHeight="1" x14ac:dyDescent="0.2">
      <c r="A82" s="458"/>
      <c r="B82" s="161" t="s">
        <v>66</v>
      </c>
      <c r="C82" s="162">
        <v>94975</v>
      </c>
      <c r="D82" s="163" t="s">
        <v>185</v>
      </c>
      <c r="E82" s="162" t="s">
        <v>178</v>
      </c>
      <c r="F82" s="167">
        <f>0.3*0.3*0.6</f>
        <v>5.3999999999999999E-2</v>
      </c>
      <c r="G82" s="162">
        <v>493.57</v>
      </c>
      <c r="H82" s="166">
        <f t="shared" si="4"/>
        <v>26.65</v>
      </c>
    </row>
    <row r="83" spans="1:8" ht="57" customHeight="1" x14ac:dyDescent="0.2">
      <c r="A83" s="458"/>
      <c r="B83" s="180" t="s">
        <v>66</v>
      </c>
      <c r="C83" s="162">
        <v>100721</v>
      </c>
      <c r="D83" s="163" t="s">
        <v>187</v>
      </c>
      <c r="E83" s="162" t="s">
        <v>71</v>
      </c>
      <c r="F83" s="173">
        <f>0.0005*3</f>
        <v>1.5E-3</v>
      </c>
      <c r="G83" s="162">
        <v>25.76</v>
      </c>
      <c r="H83" s="174">
        <f t="shared" si="4"/>
        <v>0.04</v>
      </c>
    </row>
    <row r="84" spans="1:8" ht="60.75" customHeight="1" x14ac:dyDescent="0.2">
      <c r="A84" s="458"/>
      <c r="B84" s="180" t="s">
        <v>66</v>
      </c>
      <c r="C84" s="162">
        <v>100757</v>
      </c>
      <c r="D84" s="163" t="s">
        <v>186</v>
      </c>
      <c r="E84" s="162" t="s">
        <v>71</v>
      </c>
      <c r="F84" s="173">
        <f>0.0005*3</f>
        <v>1.5E-3</v>
      </c>
      <c r="G84" s="162">
        <v>50.69</v>
      </c>
      <c r="H84" s="174">
        <f t="shared" si="4"/>
        <v>0.08</v>
      </c>
    </row>
    <row r="85" spans="1:8" ht="22.5" customHeight="1" x14ac:dyDescent="0.2">
      <c r="A85" s="458"/>
      <c r="B85" s="180" t="s">
        <v>66</v>
      </c>
      <c r="C85" s="162">
        <v>88316</v>
      </c>
      <c r="D85" s="163" t="s">
        <v>184</v>
      </c>
      <c r="E85" s="162" t="s">
        <v>70</v>
      </c>
      <c r="F85" s="173">
        <v>0.05</v>
      </c>
      <c r="G85" s="162">
        <v>18.53</v>
      </c>
      <c r="H85" s="174">
        <f t="shared" si="4"/>
        <v>0.93</v>
      </c>
    </row>
    <row r="86" spans="1:8" x14ac:dyDescent="0.2">
      <c r="A86" s="458"/>
      <c r="B86" s="465" t="s">
        <v>86</v>
      </c>
      <c r="C86" s="466"/>
      <c r="D86" s="467"/>
      <c r="E86" s="120">
        <v>1</v>
      </c>
      <c r="F86" s="468" t="s">
        <v>87</v>
      </c>
      <c r="G86" s="469"/>
      <c r="H86" s="168">
        <f>SUM(H80:H85)</f>
        <v>381.97999999999996</v>
      </c>
    </row>
    <row r="87" spans="1:8" x14ac:dyDescent="0.2">
      <c r="A87" s="458"/>
      <c r="B87" s="470" t="s">
        <v>23</v>
      </c>
      <c r="C87" s="470"/>
      <c r="D87" s="470"/>
      <c r="E87" s="471"/>
      <c r="F87" s="471"/>
      <c r="G87" s="470"/>
      <c r="H87" s="169">
        <f>ROUND(H86/E86,2)</f>
        <v>381.98</v>
      </c>
    </row>
    <row r="88" spans="1:8" x14ac:dyDescent="0.2">
      <c r="A88" s="458"/>
      <c r="B88" s="470" t="s">
        <v>88</v>
      </c>
      <c r="C88" s="470"/>
      <c r="D88" s="470"/>
      <c r="E88" s="471"/>
      <c r="F88" s="471"/>
      <c r="G88" s="470"/>
      <c r="H88" s="170">
        <f>'PLAN ORÇ'!I13</f>
        <v>0.28639999999999999</v>
      </c>
    </row>
    <row r="89" spans="1:8" x14ac:dyDescent="0.2">
      <c r="A89" s="458"/>
      <c r="B89" s="472" t="s">
        <v>89</v>
      </c>
      <c r="C89" s="472"/>
      <c r="D89" s="472"/>
      <c r="E89" s="473"/>
      <c r="F89" s="473"/>
      <c r="G89" s="472"/>
      <c r="H89" s="171">
        <f>ROUND(H87*(1+H88),2)</f>
        <v>491.38</v>
      </c>
    </row>
    <row r="91" spans="1:8" x14ac:dyDescent="0.2">
      <c r="A91" s="458">
        <v>6</v>
      </c>
      <c r="B91" s="459" t="s">
        <v>72</v>
      </c>
      <c r="C91" s="459"/>
      <c r="D91" s="459"/>
      <c r="E91" s="459"/>
      <c r="F91" s="459"/>
      <c r="G91" s="459"/>
      <c r="H91" s="460"/>
    </row>
    <row r="92" spans="1:8" ht="34.5" customHeight="1" x14ac:dyDescent="0.2">
      <c r="A92" s="458"/>
      <c r="B92" s="114" t="s">
        <v>73</v>
      </c>
      <c r="C92" s="474" t="s">
        <v>222</v>
      </c>
      <c r="D92" s="474"/>
      <c r="E92" s="475"/>
      <c r="F92" s="475"/>
      <c r="G92" s="115" t="s">
        <v>74</v>
      </c>
      <c r="H92" s="160">
        <f>H76</f>
        <v>45413</v>
      </c>
    </row>
    <row r="93" spans="1:8" ht="79.5" customHeight="1" x14ac:dyDescent="0.2">
      <c r="A93" s="458"/>
      <c r="B93" s="116" t="s">
        <v>75</v>
      </c>
      <c r="C93" s="475" t="s">
        <v>226</v>
      </c>
      <c r="D93" s="475"/>
      <c r="E93" s="117" t="s">
        <v>76</v>
      </c>
      <c r="F93" s="117" t="s">
        <v>243</v>
      </c>
      <c r="G93" s="115" t="s">
        <v>78</v>
      </c>
      <c r="H93" s="117" t="s">
        <v>189</v>
      </c>
    </row>
    <row r="94" spans="1:8" x14ac:dyDescent="0.2">
      <c r="A94" s="458"/>
      <c r="B94" s="463"/>
      <c r="C94" s="463"/>
      <c r="D94" s="463"/>
      <c r="E94" s="463"/>
      <c r="F94" s="463"/>
      <c r="G94" s="463"/>
      <c r="H94" s="464"/>
    </row>
    <row r="95" spans="1:8" ht="27" x14ac:dyDescent="0.2">
      <c r="A95" s="458"/>
      <c r="B95" s="118" t="s">
        <v>79</v>
      </c>
      <c r="C95" s="119" t="s">
        <v>80</v>
      </c>
      <c r="D95" s="119" t="s">
        <v>81</v>
      </c>
      <c r="E95" s="119" t="s">
        <v>82</v>
      </c>
      <c r="F95" s="119" t="s">
        <v>83</v>
      </c>
      <c r="G95" s="119" t="s">
        <v>84</v>
      </c>
      <c r="H95" s="119" t="s">
        <v>85</v>
      </c>
    </row>
    <row r="96" spans="1:8" ht="39" customHeight="1" x14ac:dyDescent="0.2">
      <c r="A96" s="458"/>
      <c r="B96" s="176" t="s">
        <v>67</v>
      </c>
      <c r="C96" s="162">
        <v>34723</v>
      </c>
      <c r="D96" s="163" t="s">
        <v>180</v>
      </c>
      <c r="E96" s="162" t="s">
        <v>181</v>
      </c>
      <c r="F96" s="164">
        <v>0.36</v>
      </c>
      <c r="G96" s="165">
        <v>577.5</v>
      </c>
      <c r="H96" s="166">
        <f t="shared" ref="H96:H101" si="5">ROUND(F96*G96,2)</f>
        <v>207.9</v>
      </c>
    </row>
    <row r="97" spans="1:8" ht="39.75" customHeight="1" x14ac:dyDescent="0.2">
      <c r="A97" s="458"/>
      <c r="B97" s="176" t="s">
        <v>67</v>
      </c>
      <c r="C97" s="162">
        <v>21013</v>
      </c>
      <c r="D97" s="163" t="s">
        <v>182</v>
      </c>
      <c r="E97" s="162" t="s">
        <v>183</v>
      </c>
      <c r="F97" s="164">
        <v>3</v>
      </c>
      <c r="G97" s="162">
        <v>74.78</v>
      </c>
      <c r="H97" s="166">
        <f t="shared" si="5"/>
        <v>224.34</v>
      </c>
    </row>
    <row r="98" spans="1:8" ht="51" customHeight="1" x14ac:dyDescent="0.2">
      <c r="A98" s="458"/>
      <c r="B98" s="161" t="s">
        <v>66</v>
      </c>
      <c r="C98" s="162">
        <v>94975</v>
      </c>
      <c r="D98" s="163" t="s">
        <v>185</v>
      </c>
      <c r="E98" s="162" t="s">
        <v>178</v>
      </c>
      <c r="F98" s="167">
        <f>0.3*0.3*0.6</f>
        <v>5.3999999999999999E-2</v>
      </c>
      <c r="G98" s="162">
        <v>493.57</v>
      </c>
      <c r="H98" s="166">
        <f t="shared" si="5"/>
        <v>26.65</v>
      </c>
    </row>
    <row r="99" spans="1:8" ht="57" customHeight="1" x14ac:dyDescent="0.2">
      <c r="A99" s="458"/>
      <c r="B99" s="180" t="s">
        <v>66</v>
      </c>
      <c r="C99" s="162">
        <v>100721</v>
      </c>
      <c r="D99" s="163" t="s">
        <v>187</v>
      </c>
      <c r="E99" s="162" t="s">
        <v>71</v>
      </c>
      <c r="F99" s="173">
        <f>0.0005*3</f>
        <v>1.5E-3</v>
      </c>
      <c r="G99" s="162">
        <v>25.76</v>
      </c>
      <c r="H99" s="174">
        <f t="shared" si="5"/>
        <v>0.04</v>
      </c>
    </row>
    <row r="100" spans="1:8" ht="60.75" customHeight="1" x14ac:dyDescent="0.2">
      <c r="A100" s="458"/>
      <c r="B100" s="180" t="s">
        <v>66</v>
      </c>
      <c r="C100" s="162">
        <v>100757</v>
      </c>
      <c r="D100" s="163" t="s">
        <v>186</v>
      </c>
      <c r="E100" s="162" t="s">
        <v>71</v>
      </c>
      <c r="F100" s="173">
        <f>0.0005*3</f>
        <v>1.5E-3</v>
      </c>
      <c r="G100" s="162">
        <v>50.69</v>
      </c>
      <c r="H100" s="174">
        <f t="shared" si="5"/>
        <v>0.08</v>
      </c>
    </row>
    <row r="101" spans="1:8" ht="22.5" customHeight="1" x14ac:dyDescent="0.2">
      <c r="A101" s="458"/>
      <c r="B101" s="180" t="s">
        <v>66</v>
      </c>
      <c r="C101" s="162">
        <v>88316</v>
      </c>
      <c r="D101" s="163" t="s">
        <v>184</v>
      </c>
      <c r="E101" s="162" t="s">
        <v>70</v>
      </c>
      <c r="F101" s="173">
        <v>0.05</v>
      </c>
      <c r="G101" s="162">
        <v>18.53</v>
      </c>
      <c r="H101" s="174">
        <f t="shared" si="5"/>
        <v>0.93</v>
      </c>
    </row>
    <row r="102" spans="1:8" x14ac:dyDescent="0.2">
      <c r="A102" s="458"/>
      <c r="B102" s="465" t="s">
        <v>86</v>
      </c>
      <c r="C102" s="466"/>
      <c r="D102" s="467"/>
      <c r="E102" s="120">
        <v>1</v>
      </c>
      <c r="F102" s="468" t="s">
        <v>87</v>
      </c>
      <c r="G102" s="469"/>
      <c r="H102" s="168">
        <f>SUM(H96:H101)</f>
        <v>459.94</v>
      </c>
    </row>
    <row r="103" spans="1:8" x14ac:dyDescent="0.2">
      <c r="A103" s="458"/>
      <c r="B103" s="470" t="s">
        <v>23</v>
      </c>
      <c r="C103" s="470"/>
      <c r="D103" s="470"/>
      <c r="E103" s="471"/>
      <c r="F103" s="471"/>
      <c r="G103" s="470"/>
      <c r="H103" s="169">
        <f>ROUND(H102/E102,2)</f>
        <v>459.94</v>
      </c>
    </row>
    <row r="104" spans="1:8" x14ac:dyDescent="0.2">
      <c r="A104" s="458"/>
      <c r="B104" s="470" t="s">
        <v>88</v>
      </c>
      <c r="C104" s="470"/>
      <c r="D104" s="470"/>
      <c r="E104" s="471"/>
      <c r="F104" s="471"/>
      <c r="G104" s="470"/>
      <c r="H104" s="170">
        <f>'PLAN ORÇ'!I13</f>
        <v>0.28639999999999999</v>
      </c>
    </row>
    <row r="105" spans="1:8" x14ac:dyDescent="0.2">
      <c r="A105" s="458"/>
      <c r="B105" s="472" t="s">
        <v>89</v>
      </c>
      <c r="C105" s="472"/>
      <c r="D105" s="472"/>
      <c r="E105" s="473"/>
      <c r="F105" s="473"/>
      <c r="G105" s="472"/>
      <c r="H105" s="171">
        <f>ROUND(H103*(1+H104),2)</f>
        <v>591.66999999999996</v>
      </c>
    </row>
    <row r="107" spans="1:8" x14ac:dyDescent="0.2">
      <c r="A107" s="458">
        <v>7</v>
      </c>
      <c r="B107" s="459" t="s">
        <v>72</v>
      </c>
      <c r="C107" s="459"/>
      <c r="D107" s="459"/>
      <c r="E107" s="459"/>
      <c r="F107" s="459"/>
      <c r="G107" s="459"/>
      <c r="H107" s="460"/>
    </row>
    <row r="108" spans="1:8" ht="27" customHeight="1" x14ac:dyDescent="0.2">
      <c r="A108" s="458"/>
      <c r="B108" s="114" t="s">
        <v>73</v>
      </c>
      <c r="C108" s="474" t="s">
        <v>222</v>
      </c>
      <c r="D108" s="474"/>
      <c r="E108" s="475"/>
      <c r="F108" s="475"/>
      <c r="G108" s="115" t="s">
        <v>74</v>
      </c>
      <c r="H108" s="160">
        <f>H92</f>
        <v>45413</v>
      </c>
    </row>
    <row r="109" spans="1:8" ht="32.25" customHeight="1" x14ac:dyDescent="0.2">
      <c r="A109" s="458"/>
      <c r="B109" s="116" t="s">
        <v>75</v>
      </c>
      <c r="C109" s="474" t="s">
        <v>246</v>
      </c>
      <c r="D109" s="474"/>
      <c r="E109" s="117" t="s">
        <v>76</v>
      </c>
      <c r="F109" s="117" t="s">
        <v>247</v>
      </c>
      <c r="G109" s="115" t="s">
        <v>78</v>
      </c>
      <c r="H109" s="117" t="s">
        <v>189</v>
      </c>
    </row>
    <row r="110" spans="1:8" x14ac:dyDescent="0.2">
      <c r="A110" s="458"/>
      <c r="B110" s="463"/>
      <c r="C110" s="463"/>
      <c r="D110" s="463"/>
      <c r="E110" s="463"/>
      <c r="F110" s="463"/>
      <c r="G110" s="463"/>
      <c r="H110" s="464"/>
    </row>
    <row r="111" spans="1:8" ht="27" x14ac:dyDescent="0.2">
      <c r="A111" s="458"/>
      <c r="B111" s="118" t="s">
        <v>79</v>
      </c>
      <c r="C111" s="119" t="s">
        <v>80</v>
      </c>
      <c r="D111" s="119" t="s">
        <v>81</v>
      </c>
      <c r="E111" s="119" t="s">
        <v>82</v>
      </c>
      <c r="F111" s="119" t="s">
        <v>83</v>
      </c>
      <c r="G111" s="119" t="s">
        <v>84</v>
      </c>
      <c r="H111" s="119" t="s">
        <v>85</v>
      </c>
    </row>
    <row r="112" spans="1:8" ht="39" customHeight="1" x14ac:dyDescent="0.2">
      <c r="A112" s="458"/>
      <c r="B112" s="176" t="s">
        <v>66</v>
      </c>
      <c r="C112" s="162">
        <v>104796</v>
      </c>
      <c r="D112" s="163" t="s">
        <v>235</v>
      </c>
      <c r="E112" s="162" t="s">
        <v>179</v>
      </c>
      <c r="F112" s="164">
        <v>2.2000000000000002</v>
      </c>
      <c r="G112" s="165">
        <v>13.11</v>
      </c>
      <c r="H112" s="166">
        <f t="shared" ref="H112:H119" si="6">ROUND(F112*G112,2)</f>
        <v>28.84</v>
      </c>
    </row>
    <row r="113" spans="1:8" ht="39.75" customHeight="1" x14ac:dyDescent="0.2">
      <c r="A113" s="458"/>
      <c r="B113" s="176" t="s">
        <v>66</v>
      </c>
      <c r="C113" s="162">
        <v>104789</v>
      </c>
      <c r="D113" s="163" t="s">
        <v>236</v>
      </c>
      <c r="E113" s="162" t="s">
        <v>178</v>
      </c>
      <c r="F113" s="164">
        <v>0.17</v>
      </c>
      <c r="G113" s="162">
        <v>174.66</v>
      </c>
      <c r="H113" s="166">
        <f t="shared" si="6"/>
        <v>29.69</v>
      </c>
    </row>
    <row r="114" spans="1:8" ht="37.5" customHeight="1" x14ac:dyDescent="0.2">
      <c r="A114" s="458"/>
      <c r="B114" s="176" t="s">
        <v>66</v>
      </c>
      <c r="C114" s="162">
        <v>93358</v>
      </c>
      <c r="D114" s="163" t="s">
        <v>237</v>
      </c>
      <c r="E114" s="162" t="s">
        <v>178</v>
      </c>
      <c r="F114" s="167">
        <v>0.4</v>
      </c>
      <c r="G114" s="162">
        <v>73.3</v>
      </c>
      <c r="H114" s="166">
        <f t="shared" ref="H114:H116" si="7">ROUND(F114*G114,2)</f>
        <v>29.32</v>
      </c>
    </row>
    <row r="115" spans="1:8" ht="50.25" customHeight="1" x14ac:dyDescent="0.2">
      <c r="A115" s="458"/>
      <c r="B115" s="176" t="s">
        <v>66</v>
      </c>
      <c r="C115" s="162">
        <v>94971</v>
      </c>
      <c r="D115" s="163" t="s">
        <v>238</v>
      </c>
      <c r="E115" s="162" t="s">
        <v>178</v>
      </c>
      <c r="F115" s="173">
        <v>0.26</v>
      </c>
      <c r="G115" s="162">
        <v>506.48</v>
      </c>
      <c r="H115" s="174">
        <f t="shared" si="7"/>
        <v>131.68</v>
      </c>
    </row>
    <row r="116" spans="1:8" ht="28.5" customHeight="1" x14ac:dyDescent="0.2">
      <c r="A116" s="458"/>
      <c r="B116" s="176" t="s">
        <v>66</v>
      </c>
      <c r="C116" s="162">
        <v>88309</v>
      </c>
      <c r="D116" s="163" t="s">
        <v>239</v>
      </c>
      <c r="E116" s="162" t="s">
        <v>70</v>
      </c>
      <c r="F116" s="173">
        <v>1.056</v>
      </c>
      <c r="G116" s="162">
        <v>25.27</v>
      </c>
      <c r="H116" s="174">
        <f t="shared" si="7"/>
        <v>26.69</v>
      </c>
    </row>
    <row r="117" spans="1:8" ht="51" customHeight="1" x14ac:dyDescent="0.2">
      <c r="A117" s="458"/>
      <c r="B117" s="176" t="s">
        <v>66</v>
      </c>
      <c r="C117" s="162">
        <v>102491</v>
      </c>
      <c r="D117" s="163" t="s">
        <v>240</v>
      </c>
      <c r="E117" s="162" t="s">
        <v>71</v>
      </c>
      <c r="F117" s="167">
        <v>1.2</v>
      </c>
      <c r="G117" s="162">
        <v>19.91</v>
      </c>
      <c r="H117" s="166">
        <f t="shared" si="6"/>
        <v>23.89</v>
      </c>
    </row>
    <row r="118" spans="1:8" ht="30" customHeight="1" x14ac:dyDescent="0.2">
      <c r="A118" s="458"/>
      <c r="B118" s="176" t="s">
        <v>66</v>
      </c>
      <c r="C118" s="162">
        <v>88316</v>
      </c>
      <c r="D118" s="163" t="s">
        <v>184</v>
      </c>
      <c r="E118" s="162" t="s">
        <v>70</v>
      </c>
      <c r="F118" s="173">
        <v>1.056</v>
      </c>
      <c r="G118" s="162">
        <v>18.53</v>
      </c>
      <c r="H118" s="174">
        <f t="shared" si="6"/>
        <v>19.57</v>
      </c>
    </row>
    <row r="119" spans="1:8" ht="39" customHeight="1" x14ac:dyDescent="0.2">
      <c r="A119" s="458"/>
      <c r="B119" s="176" t="s">
        <v>66</v>
      </c>
      <c r="C119" s="162">
        <v>104658</v>
      </c>
      <c r="D119" s="163" t="s">
        <v>241</v>
      </c>
      <c r="E119" s="162" t="s">
        <v>71</v>
      </c>
      <c r="F119" s="173">
        <f>ROUND(0.25*0.75,2)</f>
        <v>0.19</v>
      </c>
      <c r="G119" s="162">
        <v>139.01</v>
      </c>
      <c r="H119" s="174">
        <f t="shared" si="6"/>
        <v>26.41</v>
      </c>
    </row>
    <row r="120" spans="1:8" x14ac:dyDescent="0.2">
      <c r="A120" s="458"/>
      <c r="B120" s="465" t="s">
        <v>86</v>
      </c>
      <c r="C120" s="466"/>
      <c r="D120" s="467"/>
      <c r="E120" s="120">
        <v>1</v>
      </c>
      <c r="F120" s="468" t="s">
        <v>87</v>
      </c>
      <c r="G120" s="469"/>
      <c r="H120" s="168">
        <f>SUM(H112:H119)</f>
        <v>316.09000000000003</v>
      </c>
    </row>
    <row r="121" spans="1:8" x14ac:dyDescent="0.2">
      <c r="A121" s="458"/>
      <c r="B121" s="470" t="s">
        <v>23</v>
      </c>
      <c r="C121" s="470"/>
      <c r="D121" s="470"/>
      <c r="E121" s="471"/>
      <c r="F121" s="471"/>
      <c r="G121" s="470"/>
      <c r="H121" s="169">
        <f>ROUND(H120/E120,2)</f>
        <v>316.08999999999997</v>
      </c>
    </row>
    <row r="122" spans="1:8" x14ac:dyDescent="0.2">
      <c r="A122" s="458"/>
      <c r="B122" s="470" t="s">
        <v>88</v>
      </c>
      <c r="C122" s="470"/>
      <c r="D122" s="470"/>
      <c r="E122" s="471"/>
      <c r="F122" s="471"/>
      <c r="G122" s="470"/>
      <c r="H122" s="170">
        <f>'PLAN ORÇ'!I13</f>
        <v>0.28639999999999999</v>
      </c>
    </row>
    <row r="123" spans="1:8" x14ac:dyDescent="0.2">
      <c r="A123" s="458"/>
      <c r="B123" s="472" t="s">
        <v>89</v>
      </c>
      <c r="C123" s="472"/>
      <c r="D123" s="472"/>
      <c r="E123" s="473"/>
      <c r="F123" s="473"/>
      <c r="G123" s="472"/>
      <c r="H123" s="171">
        <f>ROUND(H121*(1+H122),2)</f>
        <v>406.62</v>
      </c>
    </row>
    <row r="125" spans="1:8" x14ac:dyDescent="0.2">
      <c r="A125" s="458">
        <v>8</v>
      </c>
      <c r="B125" s="459" t="s">
        <v>72</v>
      </c>
      <c r="C125" s="459"/>
      <c r="D125" s="459"/>
      <c r="E125" s="459"/>
      <c r="F125" s="459"/>
      <c r="G125" s="459"/>
      <c r="H125" s="460"/>
    </row>
    <row r="126" spans="1:8" ht="34.5" customHeight="1" x14ac:dyDescent="0.2">
      <c r="A126" s="458"/>
      <c r="B126" s="114" t="s">
        <v>73</v>
      </c>
      <c r="C126" s="474" t="s">
        <v>222</v>
      </c>
      <c r="D126" s="474"/>
      <c r="E126" s="475"/>
      <c r="F126" s="475"/>
      <c r="G126" s="115" t="s">
        <v>74</v>
      </c>
      <c r="H126" s="160">
        <f>H108</f>
        <v>45413</v>
      </c>
    </row>
    <row r="127" spans="1:8" ht="44.25" customHeight="1" x14ac:dyDescent="0.2">
      <c r="A127" s="458"/>
      <c r="B127" s="116" t="s">
        <v>75</v>
      </c>
      <c r="C127" s="475" t="s">
        <v>242</v>
      </c>
      <c r="D127" s="475"/>
      <c r="E127" s="117" t="s">
        <v>76</v>
      </c>
      <c r="F127" s="117" t="s">
        <v>285</v>
      </c>
      <c r="G127" s="115" t="s">
        <v>78</v>
      </c>
      <c r="H127" s="117" t="s">
        <v>189</v>
      </c>
    </row>
    <row r="128" spans="1:8" x14ac:dyDescent="0.2">
      <c r="A128" s="458"/>
      <c r="B128" s="463"/>
      <c r="C128" s="463"/>
      <c r="D128" s="463"/>
      <c r="E128" s="463"/>
      <c r="F128" s="463"/>
      <c r="G128" s="463"/>
      <c r="H128" s="464"/>
    </row>
    <row r="129" spans="1:9" ht="27" x14ac:dyDescent="0.2">
      <c r="A129" s="458"/>
      <c r="B129" s="118" t="s">
        <v>79</v>
      </c>
      <c r="C129" s="119" t="s">
        <v>80</v>
      </c>
      <c r="D129" s="119" t="s">
        <v>81</v>
      </c>
      <c r="E129" s="119" t="s">
        <v>82</v>
      </c>
      <c r="F129" s="119" t="s">
        <v>83</v>
      </c>
      <c r="G129" s="119" t="s">
        <v>84</v>
      </c>
      <c r="H129" s="119" t="s">
        <v>85</v>
      </c>
    </row>
    <row r="130" spans="1:9" ht="38.25" customHeight="1" x14ac:dyDescent="0.2">
      <c r="A130" s="458"/>
      <c r="B130" s="161" t="s">
        <v>66</v>
      </c>
      <c r="C130" s="162">
        <v>104789</v>
      </c>
      <c r="D130" s="163" t="s">
        <v>236</v>
      </c>
      <c r="E130" s="162" t="s">
        <v>178</v>
      </c>
      <c r="F130" s="167">
        <f>0.3*0.3*0.05</f>
        <v>4.4999999999999997E-3</v>
      </c>
      <c r="G130" s="162">
        <v>174.66</v>
      </c>
      <c r="H130" s="166">
        <f t="shared" ref="H130" si="8">ROUND(F130*G130,2)</f>
        <v>0.79</v>
      </c>
    </row>
    <row r="131" spans="1:9" ht="29.25" customHeight="1" x14ac:dyDescent="0.2">
      <c r="A131" s="458"/>
      <c r="B131" s="161" t="s">
        <v>66</v>
      </c>
      <c r="C131" s="162">
        <v>93358</v>
      </c>
      <c r="D131" s="163" t="s">
        <v>237</v>
      </c>
      <c r="E131" s="162" t="s">
        <v>178</v>
      </c>
      <c r="F131" s="167">
        <f>0.3*0.3*0.6</f>
        <v>5.3999999999999999E-2</v>
      </c>
      <c r="G131" s="162">
        <v>73.3</v>
      </c>
      <c r="H131" s="166">
        <f t="shared" ref="H131" si="9">ROUND(F131*G131,2)</f>
        <v>3.96</v>
      </c>
    </row>
    <row r="132" spans="1:9" ht="45.75" customHeight="1" x14ac:dyDescent="0.2">
      <c r="A132" s="458"/>
      <c r="B132" s="161" t="s">
        <v>66</v>
      </c>
      <c r="C132" s="162">
        <v>94975</v>
      </c>
      <c r="D132" s="163" t="s">
        <v>185</v>
      </c>
      <c r="E132" s="162" t="s">
        <v>178</v>
      </c>
      <c r="F132" s="167">
        <f>0.3*0.3*0.6</f>
        <v>5.3999999999999999E-2</v>
      </c>
      <c r="G132" s="162">
        <v>493.57</v>
      </c>
      <c r="H132" s="166">
        <f t="shared" ref="H132:H135" si="10">ROUND(F132*G132,2)</f>
        <v>26.65</v>
      </c>
    </row>
    <row r="133" spans="1:9" ht="28.5" customHeight="1" x14ac:dyDescent="0.2">
      <c r="A133" s="458"/>
      <c r="B133" s="161" t="s">
        <v>66</v>
      </c>
      <c r="C133" s="162">
        <v>94319</v>
      </c>
      <c r="D133" s="163" t="s">
        <v>244</v>
      </c>
      <c r="E133" s="162" t="s">
        <v>178</v>
      </c>
      <c r="F133" s="167">
        <f>0.3*0.3*0.6</f>
        <v>5.3999999999999999E-2</v>
      </c>
      <c r="G133" s="162">
        <v>75.55</v>
      </c>
      <c r="H133" s="166">
        <f t="shared" si="10"/>
        <v>4.08</v>
      </c>
    </row>
    <row r="134" spans="1:9" ht="33" customHeight="1" x14ac:dyDescent="0.2">
      <c r="A134" s="458"/>
      <c r="B134" s="161" t="s">
        <v>66</v>
      </c>
      <c r="C134" s="162">
        <v>101747</v>
      </c>
      <c r="D134" s="163" t="s">
        <v>245</v>
      </c>
      <c r="E134" s="162" t="s">
        <v>71</v>
      </c>
      <c r="F134" s="167">
        <f>0.3*0.3</f>
        <v>0.09</v>
      </c>
      <c r="G134" s="162">
        <v>78.36</v>
      </c>
      <c r="H134" s="166">
        <f t="shared" ref="H134" si="11">ROUND(F134*G134,2)</f>
        <v>7.05</v>
      </c>
    </row>
    <row r="135" spans="1:9" ht="18" customHeight="1" x14ac:dyDescent="0.2">
      <c r="A135" s="458"/>
      <c r="B135" s="180" t="s">
        <v>66</v>
      </c>
      <c r="C135" s="162">
        <v>88316</v>
      </c>
      <c r="D135" s="163" t="s">
        <v>184</v>
      </c>
      <c r="E135" s="162" t="s">
        <v>70</v>
      </c>
      <c r="F135" s="173">
        <v>0.05</v>
      </c>
      <c r="G135" s="162">
        <v>18.53</v>
      </c>
      <c r="H135" s="174">
        <f t="shared" si="10"/>
        <v>0.93</v>
      </c>
    </row>
    <row r="136" spans="1:9" x14ac:dyDescent="0.2">
      <c r="A136" s="458"/>
      <c r="B136" s="465" t="s">
        <v>86</v>
      </c>
      <c r="C136" s="466"/>
      <c r="D136" s="467"/>
      <c r="E136" s="120">
        <v>1</v>
      </c>
      <c r="F136" s="468" t="s">
        <v>87</v>
      </c>
      <c r="G136" s="469"/>
      <c r="H136" s="168">
        <f>SUM(H130:H135)</f>
        <v>43.459999999999994</v>
      </c>
    </row>
    <row r="137" spans="1:9" x14ac:dyDescent="0.2">
      <c r="A137" s="458"/>
      <c r="B137" s="470" t="s">
        <v>23</v>
      </c>
      <c r="C137" s="470"/>
      <c r="D137" s="470"/>
      <c r="E137" s="471"/>
      <c r="F137" s="471"/>
      <c r="G137" s="470"/>
      <c r="H137" s="169">
        <f>ROUND(H136/E136,2)</f>
        <v>43.46</v>
      </c>
    </row>
    <row r="138" spans="1:9" x14ac:dyDescent="0.2">
      <c r="A138" s="458"/>
      <c r="B138" s="470" t="s">
        <v>88</v>
      </c>
      <c r="C138" s="470"/>
      <c r="D138" s="470"/>
      <c r="E138" s="471"/>
      <c r="F138" s="471"/>
      <c r="G138" s="470"/>
      <c r="H138" s="170">
        <f>'PLAN ORÇ'!I13</f>
        <v>0.28639999999999999</v>
      </c>
    </row>
    <row r="139" spans="1:9" x14ac:dyDescent="0.2">
      <c r="A139" s="458"/>
      <c r="B139" s="472" t="s">
        <v>89</v>
      </c>
      <c r="C139" s="472"/>
      <c r="D139" s="472"/>
      <c r="E139" s="473"/>
      <c r="F139" s="473"/>
      <c r="G139" s="472"/>
      <c r="H139" s="171">
        <f>ROUND(H137*(1+H138),2)</f>
        <v>55.91</v>
      </c>
    </row>
    <row r="140" spans="1:9" ht="7.5" customHeight="1" x14ac:dyDescent="0.2"/>
    <row r="141" spans="1:9" ht="6.75" customHeight="1" x14ac:dyDescent="0.2">
      <c r="A141" s="153"/>
      <c r="B141" s="154"/>
      <c r="C141" s="154"/>
      <c r="D141" s="122"/>
      <c r="E141" s="122"/>
      <c r="F141" s="122"/>
      <c r="G141" s="122"/>
      <c r="H141" s="155"/>
      <c r="I141" s="122"/>
    </row>
    <row r="142" spans="1:9" x14ac:dyDescent="0.2">
      <c r="A142" s="151"/>
      <c r="B142" s="477" t="s">
        <v>91</v>
      </c>
      <c r="C142" s="477"/>
      <c r="D142" s="477"/>
      <c r="E142" s="477"/>
      <c r="F142" s="477"/>
      <c r="G142" s="477"/>
      <c r="H142" s="156"/>
    </row>
    <row r="143" spans="1:9" ht="12" customHeight="1" x14ac:dyDescent="0.2">
      <c r="A143" s="152"/>
      <c r="B143" s="478" t="s">
        <v>315</v>
      </c>
      <c r="C143" s="478"/>
      <c r="D143" s="478"/>
      <c r="E143" s="478"/>
      <c r="F143" s="478"/>
      <c r="G143" s="478"/>
      <c r="H143" s="156"/>
    </row>
    <row r="144" spans="1:9" ht="11.25" customHeight="1" x14ac:dyDescent="0.2">
      <c r="A144" s="153"/>
      <c r="B144" s="478" t="s">
        <v>316</v>
      </c>
      <c r="C144" s="478"/>
      <c r="D144" s="478"/>
      <c r="E144" s="478"/>
      <c r="F144" s="478"/>
      <c r="G144" s="478"/>
      <c r="H144" s="156"/>
    </row>
    <row r="145" spans="1:9" ht="6.75" customHeight="1" x14ac:dyDescent="0.2">
      <c r="A145" s="153"/>
      <c r="B145" s="154"/>
      <c r="C145" s="154"/>
      <c r="D145" s="154"/>
      <c r="E145" s="154"/>
      <c r="F145" s="154"/>
      <c r="G145" s="157"/>
      <c r="H145" s="156"/>
    </row>
    <row r="146" spans="1:9" ht="6" customHeight="1" x14ac:dyDescent="0.2">
      <c r="A146" s="153"/>
      <c r="B146" s="154"/>
      <c r="C146" s="154"/>
      <c r="D146" s="122"/>
      <c r="E146" s="122"/>
      <c r="F146" s="122"/>
      <c r="G146" s="122"/>
      <c r="H146" s="155"/>
      <c r="I146" s="122"/>
    </row>
    <row r="147" spans="1:9" x14ac:dyDescent="0.2">
      <c r="A147" s="151"/>
      <c r="B147" s="477" t="s">
        <v>91</v>
      </c>
      <c r="C147" s="477"/>
      <c r="D147" s="477"/>
      <c r="E147" s="477"/>
      <c r="F147" s="477"/>
      <c r="G147" s="477"/>
      <c r="H147" s="156"/>
    </row>
    <row r="148" spans="1:9" ht="12.75" customHeight="1" x14ac:dyDescent="0.2">
      <c r="A148" s="152"/>
      <c r="B148" s="478" t="s">
        <v>92</v>
      </c>
      <c r="C148" s="478"/>
      <c r="D148" s="478"/>
      <c r="E148" s="478"/>
      <c r="F148" s="478"/>
      <c r="G148" s="478"/>
      <c r="H148" s="156"/>
    </row>
    <row r="149" spans="1:9" ht="12.75" customHeight="1" thickBot="1" x14ac:dyDescent="0.25">
      <c r="A149" s="158"/>
      <c r="B149" s="476" t="s">
        <v>93</v>
      </c>
      <c r="C149" s="476"/>
      <c r="D149" s="476"/>
      <c r="E149" s="476"/>
      <c r="F149" s="476"/>
      <c r="G149" s="476"/>
      <c r="H149" s="159"/>
    </row>
    <row r="152" spans="1:9" x14ac:dyDescent="0.2">
      <c r="H152" s="121"/>
    </row>
    <row r="157" spans="1:9" ht="17.25" customHeight="1" x14ac:dyDescent="0.2"/>
    <row r="158" spans="1:9" hidden="1" x14ac:dyDescent="0.2"/>
    <row r="159" spans="1:9" hidden="1" x14ac:dyDescent="0.2"/>
  </sheetData>
  <mergeCells count="96">
    <mergeCell ref="B103:G103"/>
    <mergeCell ref="B104:G104"/>
    <mergeCell ref="B105:G105"/>
    <mergeCell ref="A13:A25"/>
    <mergeCell ref="B13:H13"/>
    <mergeCell ref="C14:F14"/>
    <mergeCell ref="C15:D15"/>
    <mergeCell ref="B16:H16"/>
    <mergeCell ref="B22:D22"/>
    <mergeCell ref="F22:G22"/>
    <mergeCell ref="B23:G23"/>
    <mergeCell ref="B24:G24"/>
    <mergeCell ref="B25:G25"/>
    <mergeCell ref="C92:F92"/>
    <mergeCell ref="C93:D93"/>
    <mergeCell ref="B94:H94"/>
    <mergeCell ref="F102:G102"/>
    <mergeCell ref="A45:A57"/>
    <mergeCell ref="B45:H45"/>
    <mergeCell ref="A59:A73"/>
    <mergeCell ref="B59:H59"/>
    <mergeCell ref="C60:F60"/>
    <mergeCell ref="C46:F46"/>
    <mergeCell ref="C47:D47"/>
    <mergeCell ref="B48:H48"/>
    <mergeCell ref="B54:D54"/>
    <mergeCell ref="F54:G54"/>
    <mergeCell ref="B55:G55"/>
    <mergeCell ref="B56:G56"/>
    <mergeCell ref="B57:G57"/>
    <mergeCell ref="C61:D61"/>
    <mergeCell ref="B62:H62"/>
    <mergeCell ref="B70:D70"/>
    <mergeCell ref="A27:A43"/>
    <mergeCell ref="B27:H27"/>
    <mergeCell ref="C28:F28"/>
    <mergeCell ref="C29:D29"/>
    <mergeCell ref="B30:H30"/>
    <mergeCell ref="B40:D40"/>
    <mergeCell ref="F40:G40"/>
    <mergeCell ref="B41:G41"/>
    <mergeCell ref="B42:G42"/>
    <mergeCell ref="B43:G43"/>
    <mergeCell ref="F70:G70"/>
    <mergeCell ref="B71:G71"/>
    <mergeCell ref="B149:G149"/>
    <mergeCell ref="B142:G142"/>
    <mergeCell ref="B143:G143"/>
    <mergeCell ref="B144:G144"/>
    <mergeCell ref="B147:G147"/>
    <mergeCell ref="B148:G148"/>
    <mergeCell ref="B121:G121"/>
    <mergeCell ref="B122:G122"/>
    <mergeCell ref="B123:G123"/>
    <mergeCell ref="B72:G72"/>
    <mergeCell ref="B73:G73"/>
    <mergeCell ref="B88:G88"/>
    <mergeCell ref="B89:G89"/>
    <mergeCell ref="B87:G87"/>
    <mergeCell ref="B110:H110"/>
    <mergeCell ref="B120:D120"/>
    <mergeCell ref="F120:G120"/>
    <mergeCell ref="A75:A89"/>
    <mergeCell ref="B75:H75"/>
    <mergeCell ref="C76:F76"/>
    <mergeCell ref="C77:D77"/>
    <mergeCell ref="A107:A123"/>
    <mergeCell ref="B107:H107"/>
    <mergeCell ref="B78:H78"/>
    <mergeCell ref="B86:D86"/>
    <mergeCell ref="F86:G86"/>
    <mergeCell ref="C108:F108"/>
    <mergeCell ref="C109:D109"/>
    <mergeCell ref="A91:A105"/>
    <mergeCell ref="B91:H91"/>
    <mergeCell ref="B102:D102"/>
    <mergeCell ref="A125:A139"/>
    <mergeCell ref="B125:H125"/>
    <mergeCell ref="C126:F126"/>
    <mergeCell ref="C127:D127"/>
    <mergeCell ref="B128:H128"/>
    <mergeCell ref="B136:D136"/>
    <mergeCell ref="F136:G136"/>
    <mergeCell ref="B137:G137"/>
    <mergeCell ref="B138:G138"/>
    <mergeCell ref="B139:G139"/>
    <mergeCell ref="A1:A11"/>
    <mergeCell ref="B1:H1"/>
    <mergeCell ref="C2:F2"/>
    <mergeCell ref="C3:D3"/>
    <mergeCell ref="B4:H4"/>
    <mergeCell ref="B8:D8"/>
    <mergeCell ref="F8:G8"/>
    <mergeCell ref="B9:G9"/>
    <mergeCell ref="B10:G10"/>
    <mergeCell ref="B11:G11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fitToHeight="0" orientation="landscape" horizontalDpi="360" verticalDpi="360" r:id="rId1"/>
  <rowBreaks count="7" manualBreakCount="7">
    <brk id="20" max="7" man="1"/>
    <brk id="37" max="7" man="1"/>
    <brk id="56" max="7" man="1"/>
    <brk id="73" max="7" man="1"/>
    <brk id="90" max="7" man="1"/>
    <brk id="106" max="7" man="1"/>
    <brk id="1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CRONOGRAMA (2)</vt:lpstr>
      <vt:lpstr>PLAN ORÇ</vt:lpstr>
      <vt:lpstr>MEMORIA DE CÁLCULO</vt:lpstr>
      <vt:lpstr>CRONOGRAMA</vt:lpstr>
      <vt:lpstr>BDI</vt:lpstr>
      <vt:lpstr>CPU</vt:lpstr>
      <vt:lpstr>BDI!Area_de_impressao</vt:lpstr>
      <vt:lpstr>CPU!Area_de_impressao</vt:lpstr>
      <vt:lpstr>CRONOGRAMA!Area_de_impressao</vt:lpstr>
      <vt:lpstr>'CRONOGRAMA (2)'!Area_de_impressao</vt:lpstr>
      <vt:lpstr>'MEMORIA DE CÁLCULO'!Area_de_impressao</vt:lpstr>
      <vt:lpstr>'PLAN ORÇ'!Area_de_impressao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User</cp:lastModifiedBy>
  <cp:lastPrinted>2026-10-09T17:55:43Z</cp:lastPrinted>
  <dcterms:created xsi:type="dcterms:W3CDTF">2006-09-22T13:55:22Z</dcterms:created>
  <dcterms:modified xsi:type="dcterms:W3CDTF">2026-10-09T17:56:16Z</dcterms:modified>
</cp:coreProperties>
</file>