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zezim\D\001 - PREFEITURAS\VARZELÂNDIA\02 - VARZELÂNDIA 2026\REPROGRAMAÇÃO CR-951062-2023-MCID\1- PROJETO VÁLIDO CONCLUSÃO - 15-07-26\"/>
    </mc:Choice>
  </mc:AlternateContent>
  <xr:revisionPtr revIDLastSave="0" documentId="13_ncr:1_{E50AE129-3368-49D1-95FD-F737C36FE7AC}" xr6:coauthVersionLast="47" xr6:coauthVersionMax="47" xr10:uidLastSave="{00000000-0000-0000-0000-000000000000}"/>
  <bookViews>
    <workbookView xWindow="-108" yWindow="-108" windowWidth="23256" windowHeight="12576" xr2:uid="{B3DC323B-D582-4354-B5D6-7B7FE844D6F5}"/>
  </bookViews>
  <sheets>
    <sheet name="PO-PLE" sheetId="1" r:id="rId1"/>
    <sheet name="CFF - PLE" sheetId="2" r:id="rId2"/>
  </sheets>
  <definedNames>
    <definedName name="ACOMPANHAMENTO" hidden="1">#REF!</definedName>
    <definedName name="AdmLocal" hidden="1">#REF!</definedName>
    <definedName name="AUTOEVENTO" hidden="1">#REF!</definedName>
    <definedName name="BDI.Opcao" hidden="1">#REF!</definedName>
    <definedName name="BDI.TipoObra" hidden="1">#REF!</definedName>
    <definedName name="BDI_1.Título" hidden="1">#REF!</definedName>
    <definedName name="BDI_2.Título" hidden="1">#REF!</definedName>
    <definedName name="BDI_3.Título" hidden="1">#REF!</definedName>
    <definedName name="BM.AFAcumulado" hidden="1">#REF!</definedName>
    <definedName name="BM.AFAnterior" hidden="1">#REF!</definedName>
    <definedName name="BM.MaxMed" hidden="1">IF(RegimeExecucao="Global",1,#REF!)</definedName>
    <definedName name="BM.MEDAcumulado" hidden="1">IF(COUNTIF(#REF!,BM.medicao)&gt;0,SUM(OFFSET(#REF!,0,0,1,MATCH(BM.medicao,#REF!,0))),0)</definedName>
    <definedName name="BM.MEDAnterior" hidden="1">IF(COUNTIF(#REF!,BM.medicao-1)&gt;0,SUM(OFFSET(#REF!,0,0,1,MATCH(BM.medicao-1,#REF!,0))),0)</definedName>
    <definedName name="BM.medicao" hidden="1">OFFSET(#REF!,1,0)</definedName>
    <definedName name="BM.MinMed" hidden="1">IF(RegimeExecucao="Global",-1,-#REF!)</definedName>
    <definedName name="CAIXA.Modo" hidden="1">#REF!</definedName>
    <definedName name="CÁLCULO.FrentesPreenchidas" hidden="1">#REF!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hidden="1">IF(AUTOEVENTO="manual",SUMIF(#REF!,1,#REF!),0)</definedName>
    <definedName name="CRONO.LinhasNecessarias" hidden="1">COUNTIF(#REF!,"Manual")+COUNTIF(#REF!,"SemiAuto")+COUNT(ORÇAMENTO.ListaCrono)</definedName>
    <definedName name="CRONO.Lista.AdmLocal" hidden="1">#REF!</definedName>
    <definedName name="CRONO.Lista.Níveis" hidden="1">#REF!</definedName>
    <definedName name="CRONO.MaxParc" hidden="1">#REF!+#REF!</definedName>
    <definedName name="CRONO.NivelExibicao" hidden="1">#REF!</definedName>
    <definedName name="CRONO.ParcelaFinal" hidden="1">MATCH(100%,#REF!,0)</definedName>
    <definedName name="CRONOPLE.Erro" hidden="1">#REF!</definedName>
    <definedName name="CRONOPLE.Lista.AdmLocal" hidden="1">#REF!</definedName>
    <definedName name="CRONOPLE.ValorDoEvento" hidden="1">SUMIF(#REF!,#REF!,OFFSET(#REF!,0,#REF!))</definedName>
    <definedName name="DADOS.Lista.Arredondamento" hidden="1">#REF!</definedName>
    <definedName name="DADOS.Lista.FonteRecursos" hidden="1">#REF!</definedName>
    <definedName name="DADOS.Lista.RegimeExecução" hidden="1">#REF!</definedName>
    <definedName name="DADOS.Lista.RegimePreviden" hidden="1">#REF!</definedName>
    <definedName name="DESONERACAO" hidden="1">IF(OR(Import.Desoneracao="DESONERADO",Import.Desoneracao="SIM"),"SIM","NÃO")</definedName>
    <definedName name="EVENTOS.firstrow" hidden="1">#REF!</definedName>
    <definedName name="EVENTOS.Lista" hidden="1">#REF!:OFFSET(#REF!,-1,0)</definedName>
    <definedName name="EVENTOS.Lista.Agrupar" hidden="1">#REF!</definedName>
    <definedName name="EVENTOS.ListaValidacao" hidden="1">#REF!:OFFSET(#REF!,-1,0)</definedName>
    <definedName name="Excel_BuiltIn_Database" hidden="1">TEXT(Import.DataBase,"mm-aaaa")</definedName>
    <definedName name="Import.Apelido" hidden="1">#REF!</definedName>
    <definedName name="Import.BDI.Tipo1" hidden="1">#REF!</definedName>
    <definedName name="Import.BDI.Tipo2" hidden="1">#REF!</definedName>
    <definedName name="Import.BDI.Tipo3" hidden="1">#REF!</definedName>
    <definedName name="Import.BMAFAcumulado" hidden="1">OFFSET(#REF!,1,0):OFFSET(#REF!,-1,0)</definedName>
    <definedName name="Import.CNPJ" hidden="1">#REF!</definedName>
    <definedName name="Import.Código" hidden="1">OFFSET(#REF!,1,0):OFFSET(#REF!,-1,0)</definedName>
    <definedName name="Import.Contrapartida" hidden="1">#REF!</definedName>
    <definedName name="Import.CPMaxPerc" hidden="1">#REF!</definedName>
    <definedName name="Import.CPMinAbsoluta" hidden="1">#REF!</definedName>
    <definedName name="Import.CPMinPerc" hidden="1">#REF!</definedName>
    <definedName name="Import.CR" hidden="1">#REF!</definedName>
    <definedName name="Import.CRONOPLE" hidden="1">OFFSET(#REF!,1,1):OFFSET(#REF!,-1,-1)</definedName>
    <definedName name="Import.CTEF" hidden="1">#REF!</definedName>
    <definedName name="Import.CustoUnitário" hidden="1">OFFSET(#REF!,1,0):OFFSET(#REF!,-1,0)</definedName>
    <definedName name="Import.DataBase" hidden="1">OFFSET(#REF!,0,-1)</definedName>
    <definedName name="Import.DataBaseLicit" hidden="1">OFFSET(#REF!,0,-1)</definedName>
    <definedName name="Import.DataFechaRRE" hidden="1">#REF!</definedName>
    <definedName name="Import.DataInicioObra" hidden="1">#REF!</definedName>
    <definedName name="Import.DataPreenchimento" hidden="1">OFFSET(#REF!,0,-1)</definedName>
    <definedName name="Import.DescLote" hidden="1">#REF!</definedName>
    <definedName name="Import.Descrição" hidden="1">OFFSET(#REF!,1,0):OFFSET(#REF!,-1,0)</definedName>
    <definedName name="Import.Desoneracao" hidden="1">OFFSET(#REF!,0,-1)</definedName>
    <definedName name="Import.empresa" hidden="1">#REF!</definedName>
    <definedName name="Import.EventoAdmLocal" hidden="1">#REF!</definedName>
    <definedName name="Import.Eventos.Nível" hidden="1">#REF!</definedName>
    <definedName name="Import.Eventos.Nomes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acrosserviçoAdmLocal" hidden="1">#REF!</definedName>
    <definedName name="Import.Município" hidden="1">#REF!</definedName>
    <definedName name="Import.Nível" hidden="1">OFFSET(#REF!,1,0):OFFSET(#REF!,-1,0)</definedName>
    <definedName name="Import.Ofício.Num" hidden="1">#REF!</definedName>
    <definedName name="Import.OpcaoBDI" hidden="1">OFFSET(#REF!,1,0):OFFSET(#REF!,-1,0)</definedName>
    <definedName name="Import.ORÇAMENTO.DivRecurso" hidden="1">OFFSET(#REF!,1,0):OFFSET(#REF!,-1,0)</definedName>
    <definedName name="Import.PLE" hidden="1">OFFSET(#REF!,1,1):OFFSET(#REF!,-1,-1)</definedName>
    <definedName name="Import.PLQ" hidden="1">OFFSET(#REF!,1,1):OFFSET(#REF!,-1,-1)</definedName>
    <definedName name="Import.PLQ.MemCalc" hidden="1">OFFSET(#REF!,1,0):OFFSET(#REF!,-1,0)</definedName>
    <definedName name="Import.PLQ.nAgrupEvent" hidden="1">OFFSET(#REF!,1,0):OFFSET(#REF!,-1,0)</definedName>
    <definedName name="Import.Proponente" hidden="1">#REF!</definedName>
    <definedName name="Import.QCI.Divisao" hidden="1">OFFSET(#REF!,1,0):OFFSET(#REF!,-1,0)</definedName>
    <definedName name="Import.QCI.ItemInv" hidden="1">OFFSET(#REF!,1,0):OFFSET(#REF!,-1,0)</definedName>
    <definedName name="Import.QCI.Qtde" hidden="1">OFFSET(#REF!,1,0):OFFSET(#REF!,-1,0)</definedName>
    <definedName name="Import.QCI.Situacao" hidden="1">OFFSET(#REF!,1,0):OFFSET(#REF!,-1,0)</definedName>
    <definedName name="Import.QCI.SubItemInv" hidden="1">OFFSET(#REF!,1,0):OFFSET(#REF!,-1,0)</definedName>
    <definedName name="Import.QCICP" hidden="1">OFFSET(#REF!,1,0):OFFSET(#REF!,-1,0)</definedName>
    <definedName name="Import.QCIDesc" hidden="1">OFFSET(#REF!,1,0):OFFSET(#REF!,-1,0)</definedName>
    <definedName name="Import.QCIInv" hidden="1">OFFSET(#REF!,1,0):OFFSET(#REF!,-1,0)</definedName>
    <definedName name="Import.QCILote" hidden="1">OFFSET(#REF!,1,0):OFFSET(#REF!,-1,0)</definedName>
    <definedName name="Import.QCIOutros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hidden="1">#REF!</definedName>
    <definedName name="Import.RespFiscalização" hidden="1">#REF!</definedName>
    <definedName name="Import.RespOrçamento" hidden="1">#REF!</definedName>
    <definedName name="Import.SICONV" hidden="1">#REF!</definedName>
    <definedName name="Import.TipoArredondamento" hidden="1">#REF!</definedName>
    <definedName name="Import.TransfereGOV" hidden="1">#REF!</definedName>
    <definedName name="Import.Unidade" hidden="1">OFFSET(#REF!,1,0):OFFSET(#REF!,-1,0)</definedName>
    <definedName name="Import.UnitarioLicitado" hidden="1">OFFSET(#REF!,1,0):OFFSET(#REF!,-1,0)</definedName>
    <definedName name="ListaTgov.Unidades" hidden="1">#REF!</definedName>
    <definedName name="MENU.CRONO" hidden="1">OFFSET(#REF!,1,0)</definedName>
    <definedName name="MENU.Import.Form.PLQ" hidden="1">#REF!</definedName>
    <definedName name="MENU.Import.Form.PreçoUnit" hidden="1">#REF!</definedName>
    <definedName name="NumEventos" hidden="1">COUNT(OFFSET(Eventos,0,0,,1))</definedName>
    <definedName name="Objeto" hidden="1">#REF!</definedName>
    <definedName name="ORÇAMENTO.BancoRef" hidden="1">#REF!</definedName>
    <definedName name="ORÇAMENTO.CodBarra" hidden="1">IF(ORÇAMENTO.Fonte="Sinapi",SUBSTITUTE(SUBSTITUTE(ORÇAMENTO.Codigo,"/00","/"),"/0","/"),ORÇAMENTO.Codigo)</definedName>
    <definedName name="ORÇAMENTO.Codigo" hidden="1">#REF!</definedName>
    <definedName name="ORÇAMENTO.CustoUnitario" hidden="1">ROUND(#REF!,15-13*#REF!)</definedName>
    <definedName name="ORÇAMENTO.Descricao" hidden="1">#REF!</definedName>
    <definedName name="ORÇAMENTO.Fonte" hidden="1">#REF!</definedName>
    <definedName name="ORÇAMENTO.Lista.BDI" hidden="1">#REF!</definedName>
    <definedName name="ORÇAMENTO.Lista.Fonte" hidden="1">#REF!</definedName>
    <definedName name="ORÇAMENTO.Lista.Nível" hidden="1">#REF!</definedName>
    <definedName name="ORÇAMENTO.Lista.Recurso" hidden="1">#REF!</definedName>
    <definedName name="ORÇAMENTO.ListaCrono" hidden="1">OFFSET(#REF!,1,0):OFFSET(#REF!,-1,0)</definedName>
    <definedName name="ORÇAMENTO.MáximoListaCrono" hidden="1">MAX(ORÇAMENTO.ListaCrono)</definedName>
    <definedName name="ORÇAMENTO.Nivel" hidden="1">#REF!</definedName>
    <definedName name="ORÇAMENTO.OpcaoBDI" hidden="1">#REF!</definedName>
    <definedName name="ORÇAMENTO.PasteFormat1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hidden="1">OFFSET(#REF!,1,0):OFFSET(#REF!,-1,0)</definedName>
    <definedName name="ORÇAMENTO.SumCPMANUAL" hidden="1">SUMIF(#REF!,"CP",#REF!)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hidden="1">ORÇAMENTO.SumINVMANUAL-ORÇAMENTO.SumCPMANUAL-ORÇAMENTO.SumOUTROSMANUAL</definedName>
    <definedName name="ORÇAMENTO.Unidade" hidden="1">#REF!</definedName>
    <definedName name="PLE.firstrow" hidden="1">#REF!</definedName>
    <definedName name="PLE.lastrow" hidden="1">#REF!</definedName>
    <definedName name="PLE.Medicao" hidden="1">#REF!</definedName>
    <definedName name="PLE.ValorDoEvento" hidden="1">SUMIF(#REF!,#REF!,OFFSET(#REF!,0,#REF!))</definedName>
    <definedName name="PO.ValoresBDI" hidden="1">OFFSET(#REF!,1,0):OFFSET(#REF!,-1,0)</definedName>
    <definedName name="QCI.CPManual" hidden="1">ROUND(#REF!,2)</definedName>
    <definedName name="QCI.DescManual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ista.DivisãoInvest" hidden="1">#REF!</definedName>
    <definedName name="QCI.Lista.Situação" hidden="1">#REF!</definedName>
    <definedName name="QCI.LoteManual" hidden="1">#REF!</definedName>
    <definedName name="QCI.MaxCPManual" hidden="1">#REF!-#REF!</definedName>
    <definedName name="QCI.MaxOUManual" hidden="1">#REF!-#REF!</definedName>
    <definedName name="QCI.OutrosManual" hidden="1">ROUND(#REF!,2)</definedName>
    <definedName name="QCI.SubItemInvestimento" hidden="1">OFFSET(#REF!,1,MATCH(#REF!,#REF!,0)-1,INDEX(#REF!,MATCH(#REF!,#REF!,0)+1))</definedName>
    <definedName name="QCI.SumCPMANUAL" hidden="1">SUMIF(#REF!,"Manual",#REF!)</definedName>
    <definedName name="QCI.SumINVMANUAL" hidden="1">SUMIF(#REF!,"Manual",#REF!)</definedName>
    <definedName name="QCI.SumOUTROSMANUAL" hidden="1">SUMIF(#REF!,"Manual",#REF!)</definedName>
    <definedName name="QCI.SumREPASSEMANUAL" hidden="1">QCI.SumINVMANUAL-QCI.CPManual-QCI.OutrosManual</definedName>
    <definedName name="REFERENCIA.Descricao" hidden="1">IF(ISNUMBER(#REF!),OFFSET(INDIRECT(ORÇAMENTO.BancoRef),#REF!-1,3,1),#REF!)</definedName>
    <definedName name="REFERENCIA.Desonerado" hidden="1">IF(ISNUMBER(#REF!),VALUE(OFFSET(INDIRECT(ORÇAMENTO.BancoRef),#REF!-1,5,1)),0)</definedName>
    <definedName name="REFERENCIA.NaoDesonerado" hidden="1">IF(ISNUMBER(#REF!),VALUE(OFFSET(INDIRECT(ORÇAMENTO.BancoRef),#REF!-1,6,1)),0)</definedName>
    <definedName name="REFERENCIA.Unidade" hidden="1">IF(ISNUMBER(#REF!),OFFSET(INDIRECT(ORÇAMENTO.BancoRef),#REF!-1,4,1),"-")</definedName>
    <definedName name="RegimeExecucao" hidden="1">IF(OR(Import.RegimeExecução="",Import.RegimeExecução="Empreitada por Preço Global",Import.RegimeExecução="Empreitada Integral"),"Global","Unitário")</definedName>
    <definedName name="RRE.MaxCPAcum" hidden="1">#REF!</definedName>
    <definedName name="RRE.MaxCPAnt" hidden="1">#REF!</definedName>
    <definedName name="RRE.MaxOUAcum" hidden="1">#REF!</definedName>
    <definedName name="RRE.MaxOUAnt" hidden="1">#REF!</definedName>
    <definedName name="RRE.Numero" hidden="1">OFFSET(#REF!,0,1)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hidden="1">SUMIF(OFFSET(#REF!,1,0,#REF!),"S",OFFSET(#REF!,1,0,#REF!))</definedName>
    <definedName name="TIPOORCAMENTO" hidden="1">IF(VALUE(#REF!)=2,"Licitado","Proposto")</definedName>
    <definedName name="Versao" hidden="1">#REF!</definedName>
    <definedName name="VTOTAL1" hidden="1">ROUND(#REF!*#REF!,15-13*#REF!)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3" i="1" l="1"/>
  <c r="S32" i="1"/>
  <c r="S31" i="1"/>
  <c r="S30" i="1"/>
  <c r="L30" i="1"/>
  <c r="K30" i="1"/>
  <c r="F30" i="1"/>
  <c r="S29" i="1"/>
  <c r="S28" i="1"/>
  <c r="S27" i="1"/>
  <c r="L27" i="1"/>
  <c r="K27" i="1"/>
  <c r="F27" i="1"/>
  <c r="S26" i="1"/>
  <c r="S25" i="1"/>
  <c r="S24" i="1"/>
  <c r="L24" i="1"/>
  <c r="K24" i="1"/>
  <c r="F24" i="1"/>
  <c r="S23" i="1"/>
  <c r="S22" i="1"/>
  <c r="S21" i="1"/>
  <c r="L21" i="1"/>
  <c r="K21" i="1"/>
  <c r="F21" i="1"/>
  <c r="S20" i="1"/>
  <c r="S19" i="1"/>
  <c r="S18" i="1"/>
  <c r="L18" i="1"/>
  <c r="K18" i="1"/>
  <c r="F18" i="1"/>
  <c r="L17" i="1"/>
  <c r="S16" i="1"/>
  <c r="S15" i="1"/>
  <c r="S14" i="1"/>
  <c r="L14" i="1"/>
  <c r="K14" i="1"/>
  <c r="F14" i="1"/>
  <c r="S13" i="1"/>
  <c r="S12" i="1"/>
  <c r="S11" i="1"/>
  <c r="L11" i="1"/>
  <c r="K11" i="1"/>
  <c r="F11" i="1"/>
  <c r="S10" i="1"/>
  <c r="S9" i="1"/>
  <c r="S8" i="1"/>
  <c r="L8" i="1"/>
  <c r="K8" i="1"/>
  <c r="F8" i="1"/>
  <c r="S7" i="1"/>
  <c r="S6" i="1"/>
  <c r="S5" i="1"/>
  <c r="L5" i="1"/>
  <c r="K5" i="1"/>
  <c r="F5" i="1"/>
  <c r="L4" i="1"/>
  <c r="S3" i="1"/>
  <c r="L3" i="1"/>
  <c r="K3" i="1"/>
  <c r="F3" i="1"/>
  <c r="L2" i="1"/>
</calcChain>
</file>

<file path=xl/sharedStrings.xml><?xml version="1.0" encoding="utf-8"?>
<sst xmlns="http://schemas.openxmlformats.org/spreadsheetml/2006/main" count="156" uniqueCount="74">
  <si>
    <t>Nivel</t>
  </si>
  <si>
    <t>N° Macrosserviço / Serviço</t>
  </si>
  <si>
    <t>Fonte</t>
  </si>
  <si>
    <t>Código</t>
  </si>
  <si>
    <t>Descrição Macrosserviço / Serviço</t>
  </si>
  <si>
    <t>Qtd. (valor calculado)</t>
  </si>
  <si>
    <t>Und.</t>
  </si>
  <si>
    <t>Custo Unitário Referência</t>
  </si>
  <si>
    <t>Custo Unitário</t>
  </si>
  <si>
    <t>BDI</t>
  </si>
  <si>
    <t>Preço Unitário (valor calculado)</t>
  </si>
  <si>
    <t>Preço Total (valor calculado)</t>
  </si>
  <si>
    <t>Observação</t>
  </si>
  <si>
    <t>N° Evento</t>
  </si>
  <si>
    <t>Evento</t>
  </si>
  <si>
    <t>N° Frente de Obra</t>
  </si>
  <si>
    <t>Frente de Obra</t>
  </si>
  <si>
    <t>Qtd.</t>
  </si>
  <si>
    <t>Valor</t>
  </si>
  <si>
    <t>Macrosserviço</t>
  </si>
  <si>
    <t>1</t>
  </si>
  <si>
    <t>CALÇAMENTO E DRENAGEM SUPERFICIAL JÁ EXECUTADOS:</t>
  </si>
  <si>
    <t>Serviço</t>
  </si>
  <si>
    <t>1.1</t>
  </si>
  <si>
    <t>Cotação</t>
  </si>
  <si>
    <t>001</t>
  </si>
  <si>
    <t>CALÇAMENTO COM BLOCOS SEXTAVADOS DE CONCRETO, INCLUINDO A EXECUÇÃO DE MEIO-FIO E SARJETA, CONFORME LICITADO</t>
  </si>
  <si>
    <t>UN</t>
  </si>
  <si>
    <t>26,58%</t>
  </si>
  <si>
    <t>OBRA EXECUTADA PARCIALMENTE CONFORME CONTRATO - (CALÇAMNETO, MEIO-FIO E SARJETAS)</t>
  </si>
  <si>
    <t>2</t>
  </si>
  <si>
    <t>SERVIÇOS COMPLEMENTARES:</t>
  </si>
  <si>
    <t>2.1</t>
  </si>
  <si>
    <t>SINAPI</t>
  </si>
  <si>
    <t>98524</t>
  </si>
  <si>
    <t>LIMPEZA MANUAL DE VEGETAÇÃO EM TERRENO COM ENXADA. AF_03/2024</t>
  </si>
  <si>
    <t>M2</t>
  </si>
  <si>
    <t>RUA TEODOMIRO GONÇALVES DE SOUZA - A EXECUTAR</t>
  </si>
  <si>
    <t>RUA PEDRO MIRANDA - A EXECUTAR</t>
  </si>
  <si>
    <t>RUA GERACINA FERREIRA - A EXECUTAR</t>
  </si>
  <si>
    <t>2.2</t>
  </si>
  <si>
    <t>104738</t>
  </si>
  <si>
    <t>ATERRO MECANIZADO DE VALA COM MINICARREGADEIRA, COM SOLO ARGILO-ARENOSO. AF_08/2023</t>
  </si>
  <si>
    <t>M3</t>
  </si>
  <si>
    <t>2.3</t>
  </si>
  <si>
    <t>94990</t>
  </si>
  <si>
    <t>EXECUÇÃO DE PASSEIO (CALÇADA) OU PISO DE CONCRETO COM CONCRETO MOLDADO IN LOCO, FEITO EM OBRA, ACABAMENTO CONVENCIONAL, NÃO ARMADO. AF_08/2022</t>
  </si>
  <si>
    <t>2.4</t>
  </si>
  <si>
    <t>104658</t>
  </si>
  <si>
    <t>PISO PODOTÁTIL DE ALERTA OU DIRECIONAL, DE CONCRETO, ASSENTADO SOBRE ARGAMASSA. AF_03/2024</t>
  </si>
  <si>
    <t>3</t>
  </si>
  <si>
    <t>SINALIZAÇÃO VIÁRIA:</t>
  </si>
  <si>
    <t>3.1</t>
  </si>
  <si>
    <t>034723</t>
  </si>
  <si>
    <t>PLACA DE SINALIZACAO EM CHAPA DE ACO NUM 16 COM PINTURA REFLETIVA</t>
  </si>
  <si>
    <t>3.2</t>
  </si>
  <si>
    <t>021013</t>
  </si>
  <si>
    <t>TUBO ACO GALVANIZADO COM COSTURA, CLASSE LEVE, DN 50 MM (2"), E = 3,00 MM, *4,40* KG/M (NBR 5580)</t>
  </si>
  <si>
    <t>M</t>
  </si>
  <si>
    <t>3.3</t>
  </si>
  <si>
    <t>013521</t>
  </si>
  <si>
    <t>PLACA DE ACO ESMALTADA PARA IDENTIFICACAO DE RUA, *45 CM X 20* CM</t>
  </si>
  <si>
    <t>3.4</t>
  </si>
  <si>
    <t>021012</t>
  </si>
  <si>
    <t>TUBO ACO GALVANIZADO COM COSTURA, CLASSE LEVE, DN 40 MM (1 1/2"), E = 3,00 MM, *3,48* KG/M (NBR 5580)</t>
  </si>
  <si>
    <t>3.5</t>
  </si>
  <si>
    <t>102509</t>
  </si>
  <si>
    <t>PINTURA DE FAIXA DE PEDESTRE OU ZEBRADA TINTA RETRORREFLETIVA A BASE DE RESINA ACRÍLICA COM
MICROESFERAS DE VIDRO, E = 30 CM, APLICAÇÃO MANUAL. AF_05/2021</t>
  </si>
  <si>
    <t>Total:</t>
  </si>
  <si>
    <t>Valor não utilizado (QCI):</t>
  </si>
  <si>
    <t>N° do Evento</t>
  </si>
  <si>
    <t>Título do Evento</t>
  </si>
  <si>
    <t>N° da Frente de Obra</t>
  </si>
  <si>
    <t>N° do Período de Conclusão do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</si>
</sst>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R\$\ #,##0.00"/>
    <numFmt numFmtId="165" formatCode="_-&quot;R$ &quot;* #,##0.00_-;&quot;-R$ &quot;* #,##0.00_-;_-&quot;R$ &quot;* \-??_-;_-@_-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bgColor indexed="4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5" fontId="3" fillId="0" borderId="0" applyFill="0" applyBorder="0" applyAlignment="0" applyProtection="0"/>
    <xf numFmtId="0" fontId="1" fillId="0" borderId="0"/>
  </cellStyleXfs>
  <cellXfs count="17">
    <xf numFmtId="0" fontId="0" fillId="0" borderId="0" xfId="0"/>
    <xf numFmtId="0" fontId="2" fillId="2" borderId="0" xfId="2" applyFont="1" applyFill="1" applyAlignment="1">
      <alignment horizontal="center"/>
    </xf>
    <xf numFmtId="49" fontId="2" fillId="2" borderId="0" xfId="2" applyNumberFormat="1" applyFont="1" applyFill="1" applyAlignment="1">
      <alignment horizontal="center"/>
    </xf>
    <xf numFmtId="0" fontId="1" fillId="0" borderId="0" xfId="2"/>
    <xf numFmtId="49" fontId="3" fillId="0" borderId="1" xfId="2" applyNumberFormat="1" applyFont="1" applyBorder="1" applyAlignment="1">
      <alignment horizontal="center" vertical="center" wrapText="1"/>
    </xf>
    <xf numFmtId="49" fontId="3" fillId="0" borderId="1" xfId="2" quotePrefix="1" applyNumberFormat="1" applyFont="1" applyBorder="1" applyAlignment="1">
      <alignment horizontal="center" vertical="center" wrapText="1"/>
    </xf>
    <xf numFmtId="4" fontId="3" fillId="3" borderId="1" xfId="2" applyNumberFormat="1" applyFont="1" applyFill="1" applyBorder="1" applyAlignment="1">
      <alignment horizontal="center" vertical="center"/>
    </xf>
    <xf numFmtId="164" fontId="3" fillId="0" borderId="1" xfId="2" applyNumberFormat="1" applyFont="1" applyBorder="1" applyAlignment="1">
      <alignment horizontal="center" vertical="center"/>
    </xf>
    <xf numFmtId="2" fontId="3" fillId="0" borderId="1" xfId="2" applyNumberFormat="1" applyFont="1" applyBorder="1" applyAlignment="1">
      <alignment horizontal="center" vertical="center"/>
    </xf>
    <xf numFmtId="164" fontId="3" fillId="3" borderId="1" xfId="2" applyNumberFormat="1" applyFont="1" applyFill="1" applyBorder="1" applyAlignment="1">
      <alignment horizontal="center" vertical="center"/>
    </xf>
    <xf numFmtId="164" fontId="3" fillId="3" borderId="1" xfId="2" applyNumberFormat="1" applyFont="1" applyFill="1" applyBorder="1" applyAlignment="1">
      <alignment horizontal="center" vertical="center" wrapText="1"/>
    </xf>
    <xf numFmtId="1" fontId="3" fillId="0" borderId="1" xfId="2" applyNumberFormat="1" applyFont="1" applyBorder="1" applyAlignment="1">
      <alignment horizontal="center" vertical="center" wrapText="1"/>
    </xf>
    <xf numFmtId="4" fontId="3" fillId="0" borderId="1" xfId="2" applyNumberFormat="1" applyFont="1" applyBorder="1" applyAlignment="1">
      <alignment horizontal="center" vertical="center"/>
    </xf>
    <xf numFmtId="49" fontId="1" fillId="0" borderId="0" xfId="2" applyNumberFormat="1"/>
    <xf numFmtId="0" fontId="1" fillId="0" borderId="0" xfId="2" applyAlignment="1">
      <alignment horizontal="right"/>
    </xf>
    <xf numFmtId="165" fontId="3" fillId="4" borderId="1" xfId="1" applyFill="1" applyBorder="1"/>
    <xf numFmtId="0" fontId="3" fillId="0" borderId="1" xfId="2" applyFont="1" applyBorder="1" applyAlignment="1">
      <alignment horizontal="center" vertical="center" wrapText="1"/>
    </xf>
  </cellXfs>
  <cellStyles count="3">
    <cellStyle name="Moeda" xfId="1" builtinId="4"/>
    <cellStyle name="Normal" xfId="0" builtinId="0"/>
    <cellStyle name="Normal 4" xfId="2" xr:uid="{276F2292-BC44-4332-B9F7-89135C59BDC1}"/>
  </cellStyles>
  <dxfs count="2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5D51F-4AB5-44A4-AC37-26A38DDD524C}">
  <sheetPr codeName="Planilha1"/>
  <dimension ref="A1:S33"/>
  <sheetViews>
    <sheetView tabSelected="1" workbookViewId="0">
      <pane ySplit="1" topLeftCell="A2" activePane="bottomLeft" state="frozen"/>
      <selection pane="bottomLeft"/>
    </sheetView>
  </sheetViews>
  <sheetFormatPr defaultColWidth="9.21875" defaultRowHeight="14.4" x14ac:dyDescent="0.3"/>
  <cols>
    <col min="1" max="1" width="15" style="3" customWidth="1"/>
    <col min="2" max="2" width="25" style="3" customWidth="1"/>
    <col min="3" max="3" width="12" style="3" customWidth="1"/>
    <col min="4" max="4" width="15.5546875" style="13" customWidth="1"/>
    <col min="5" max="5" width="70" style="3" customWidth="1"/>
    <col min="6" max="6" width="20" style="3" customWidth="1"/>
    <col min="7" max="7" width="10" style="3" customWidth="1"/>
    <col min="8" max="8" width="25" style="3" customWidth="1"/>
    <col min="9" max="9" width="15" style="3" customWidth="1"/>
    <col min="10" max="10" width="13" style="3" customWidth="1"/>
    <col min="11" max="12" width="35" style="3" customWidth="1"/>
    <col min="13" max="13" width="20" style="3" customWidth="1"/>
    <col min="14" max="14" width="15" style="3" customWidth="1"/>
    <col min="15" max="15" width="50" style="3" customWidth="1"/>
    <col min="16" max="16" width="20" style="3" customWidth="1"/>
    <col min="17" max="17" width="50" style="3" customWidth="1"/>
    <col min="18" max="18" width="15" style="3" customWidth="1"/>
    <col min="19" max="19" width="17.5546875" style="3" customWidth="1"/>
    <col min="20" max="16384" width="9.21875" style="3"/>
  </cols>
  <sheetData>
    <row r="1" spans="1:19" x14ac:dyDescent="0.3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ht="45" customHeight="1" x14ac:dyDescent="0.3">
      <c r="A2" s="4" t="s">
        <v>19</v>
      </c>
      <c r="B2" s="5" t="s">
        <v>20</v>
      </c>
      <c r="C2" s="4"/>
      <c r="D2" s="4"/>
      <c r="E2" s="4" t="s">
        <v>21</v>
      </c>
      <c r="F2" s="6"/>
      <c r="G2" s="4"/>
      <c r="H2" s="7"/>
      <c r="I2" s="7"/>
      <c r="J2" s="8"/>
      <c r="K2" s="9"/>
      <c r="L2" s="10">
        <f>829394.98</f>
        <v>829394.98</v>
      </c>
      <c r="M2" s="4"/>
      <c r="N2" s="11"/>
      <c r="O2" s="4"/>
      <c r="P2" s="11"/>
      <c r="Q2" s="4"/>
      <c r="R2" s="12"/>
      <c r="S2" s="9"/>
    </row>
    <row r="3" spans="1:19" ht="45" customHeight="1" x14ac:dyDescent="0.3">
      <c r="A3" s="4" t="s">
        <v>22</v>
      </c>
      <c r="B3" s="5" t="s">
        <v>23</v>
      </c>
      <c r="C3" s="4" t="s">
        <v>24</v>
      </c>
      <c r="D3" s="4" t="s">
        <v>25</v>
      </c>
      <c r="E3" s="4" t="s">
        <v>26</v>
      </c>
      <c r="F3" s="6">
        <f>1</f>
        <v>1</v>
      </c>
      <c r="G3" s="4" t="s">
        <v>27</v>
      </c>
      <c r="H3" s="7">
        <v>829394.98</v>
      </c>
      <c r="I3" s="7">
        <v>655233.82999999996</v>
      </c>
      <c r="J3" s="8" t="s">
        <v>28</v>
      </c>
      <c r="K3" s="9">
        <f>829394.98</f>
        <v>829394.98</v>
      </c>
      <c r="L3" s="10">
        <f>829394.98</f>
        <v>829394.98</v>
      </c>
      <c r="M3" s="4"/>
      <c r="N3" s="11">
        <v>1</v>
      </c>
      <c r="O3" s="4" t="s">
        <v>21</v>
      </c>
      <c r="P3" s="11">
        <v>1</v>
      </c>
      <c r="Q3" s="4" t="s">
        <v>29</v>
      </c>
      <c r="R3" s="12">
        <v>1</v>
      </c>
      <c r="S3" s="9">
        <f>829394.98</f>
        <v>829394.98</v>
      </c>
    </row>
    <row r="4" spans="1:19" ht="45" customHeight="1" x14ac:dyDescent="0.3">
      <c r="A4" s="4" t="s">
        <v>19</v>
      </c>
      <c r="B4" s="5" t="s">
        <v>30</v>
      </c>
      <c r="C4" s="4"/>
      <c r="D4" s="4"/>
      <c r="E4" s="4" t="s">
        <v>31</v>
      </c>
      <c r="F4" s="6"/>
      <c r="G4" s="4"/>
      <c r="H4" s="7"/>
      <c r="I4" s="7"/>
      <c r="J4" s="8"/>
      <c r="K4" s="9"/>
      <c r="L4" s="10">
        <f>198963.13</f>
        <v>198963.13</v>
      </c>
      <c r="M4" s="4"/>
      <c r="N4" s="11"/>
      <c r="O4" s="4"/>
      <c r="P4" s="11"/>
      <c r="Q4" s="4"/>
      <c r="R4" s="12"/>
      <c r="S4" s="9"/>
    </row>
    <row r="5" spans="1:19" ht="45" customHeight="1" x14ac:dyDescent="0.3">
      <c r="A5" s="4" t="s">
        <v>22</v>
      </c>
      <c r="B5" s="5" t="s">
        <v>32</v>
      </c>
      <c r="C5" s="4" t="s">
        <v>33</v>
      </c>
      <c r="D5" s="4" t="s">
        <v>34</v>
      </c>
      <c r="E5" s="4" t="s">
        <v>35</v>
      </c>
      <c r="F5" s="6">
        <f>2661.83</f>
        <v>2661.83</v>
      </c>
      <c r="G5" s="4" t="s">
        <v>36</v>
      </c>
      <c r="H5" s="7">
        <v>5.0199999999999996</v>
      </c>
      <c r="I5" s="7">
        <v>5.0199999999999996</v>
      </c>
      <c r="J5" s="8" t="s">
        <v>28</v>
      </c>
      <c r="K5" s="9">
        <f>6.35</f>
        <v>6.35</v>
      </c>
      <c r="L5" s="10">
        <f>16902.63</f>
        <v>16902.63</v>
      </c>
      <c r="M5" s="4"/>
      <c r="N5" s="11">
        <v>2</v>
      </c>
      <c r="O5" s="4" t="s">
        <v>31</v>
      </c>
      <c r="P5" s="11">
        <v>2</v>
      </c>
      <c r="Q5" s="4" t="s">
        <v>37</v>
      </c>
      <c r="R5" s="12">
        <v>839.7</v>
      </c>
      <c r="S5" s="9">
        <f>5332.1</f>
        <v>5332.1</v>
      </c>
    </row>
    <row r="6" spans="1:19" ht="45" customHeight="1" x14ac:dyDescent="0.3">
      <c r="A6" s="4"/>
      <c r="B6" s="5"/>
      <c r="C6" s="4"/>
      <c r="D6" s="4"/>
      <c r="E6" s="4"/>
      <c r="F6" s="6"/>
      <c r="G6" s="4"/>
      <c r="H6" s="7"/>
      <c r="I6" s="7"/>
      <c r="J6" s="8"/>
      <c r="K6" s="9"/>
      <c r="L6" s="10"/>
      <c r="M6" s="4"/>
      <c r="N6" s="11"/>
      <c r="O6" s="4"/>
      <c r="P6" s="11">
        <v>3</v>
      </c>
      <c r="Q6" s="4" t="s">
        <v>38</v>
      </c>
      <c r="R6" s="12">
        <v>716.85</v>
      </c>
      <c r="S6" s="9">
        <f>4552</f>
        <v>4552</v>
      </c>
    </row>
    <row r="7" spans="1:19" ht="45" customHeight="1" x14ac:dyDescent="0.3">
      <c r="A7" s="4"/>
      <c r="B7" s="5"/>
      <c r="C7" s="4"/>
      <c r="D7" s="4"/>
      <c r="E7" s="4"/>
      <c r="F7" s="6"/>
      <c r="G7" s="4"/>
      <c r="H7" s="7"/>
      <c r="I7" s="7"/>
      <c r="J7" s="8"/>
      <c r="K7" s="9"/>
      <c r="L7" s="10"/>
      <c r="M7" s="4"/>
      <c r="N7" s="11"/>
      <c r="O7" s="4"/>
      <c r="P7" s="11">
        <v>4</v>
      </c>
      <c r="Q7" s="4" t="s">
        <v>39</v>
      </c>
      <c r="R7" s="12">
        <v>1105.28</v>
      </c>
      <c r="S7" s="9">
        <f>7018.53</f>
        <v>7018.53</v>
      </c>
    </row>
    <row r="8" spans="1:19" ht="45" customHeight="1" x14ac:dyDescent="0.3">
      <c r="A8" s="4" t="s">
        <v>22</v>
      </c>
      <c r="B8" s="5" t="s">
        <v>40</v>
      </c>
      <c r="C8" s="4" t="s">
        <v>33</v>
      </c>
      <c r="D8" s="4" t="s">
        <v>41</v>
      </c>
      <c r="E8" s="4" t="s">
        <v>42</v>
      </c>
      <c r="F8" s="6">
        <f>266.19</f>
        <v>266.19</v>
      </c>
      <c r="G8" s="4" t="s">
        <v>43</v>
      </c>
      <c r="H8" s="7">
        <v>86.62</v>
      </c>
      <c r="I8" s="7">
        <v>86.62</v>
      </c>
      <c r="J8" s="8" t="s">
        <v>28</v>
      </c>
      <c r="K8" s="9">
        <f>109.64</f>
        <v>109.64</v>
      </c>
      <c r="L8" s="10">
        <f>29185.07</f>
        <v>29185.07</v>
      </c>
      <c r="M8" s="4"/>
      <c r="N8" s="11">
        <v>2</v>
      </c>
      <c r="O8" s="4" t="s">
        <v>31</v>
      </c>
      <c r="P8" s="11">
        <v>2</v>
      </c>
      <c r="Q8" s="4" t="s">
        <v>37</v>
      </c>
      <c r="R8" s="12">
        <v>83.97</v>
      </c>
      <c r="S8" s="9">
        <f>9206.47</f>
        <v>9206.4699999999993</v>
      </c>
    </row>
    <row r="9" spans="1:19" ht="45" customHeight="1" x14ac:dyDescent="0.3">
      <c r="A9" s="4"/>
      <c r="B9" s="5"/>
      <c r="C9" s="4"/>
      <c r="D9" s="4"/>
      <c r="E9" s="4"/>
      <c r="F9" s="6"/>
      <c r="G9" s="4"/>
      <c r="H9" s="7"/>
      <c r="I9" s="7"/>
      <c r="J9" s="8"/>
      <c r="K9" s="9"/>
      <c r="L9" s="10"/>
      <c r="M9" s="4"/>
      <c r="N9" s="11"/>
      <c r="O9" s="4"/>
      <c r="P9" s="11">
        <v>3</v>
      </c>
      <c r="Q9" s="4" t="s">
        <v>38</v>
      </c>
      <c r="R9" s="12">
        <v>71.69</v>
      </c>
      <c r="S9" s="9">
        <f>7860.09</f>
        <v>7860.09</v>
      </c>
    </row>
    <row r="10" spans="1:19" ht="45" customHeight="1" x14ac:dyDescent="0.3">
      <c r="A10" s="4"/>
      <c r="B10" s="5"/>
      <c r="C10" s="4"/>
      <c r="D10" s="4"/>
      <c r="E10" s="4"/>
      <c r="F10" s="6"/>
      <c r="G10" s="4"/>
      <c r="H10" s="7"/>
      <c r="I10" s="7"/>
      <c r="J10" s="8"/>
      <c r="K10" s="9"/>
      <c r="L10" s="10"/>
      <c r="M10" s="4"/>
      <c r="N10" s="11"/>
      <c r="O10" s="4"/>
      <c r="P10" s="11">
        <v>4</v>
      </c>
      <c r="Q10" s="4" t="s">
        <v>39</v>
      </c>
      <c r="R10" s="12">
        <v>110.53</v>
      </c>
      <c r="S10" s="9">
        <f>12118.51</f>
        <v>12118.51</v>
      </c>
    </row>
    <row r="11" spans="1:19" ht="45" customHeight="1" x14ac:dyDescent="0.3">
      <c r="A11" s="4" t="s">
        <v>22</v>
      </c>
      <c r="B11" s="5" t="s">
        <v>44</v>
      </c>
      <c r="C11" s="4" t="s">
        <v>33</v>
      </c>
      <c r="D11" s="4" t="s">
        <v>45</v>
      </c>
      <c r="E11" s="4" t="s">
        <v>46</v>
      </c>
      <c r="F11" s="6">
        <f>127.77</f>
        <v>127.77</v>
      </c>
      <c r="G11" s="4" t="s">
        <v>43</v>
      </c>
      <c r="H11" s="7">
        <v>887.49</v>
      </c>
      <c r="I11" s="7">
        <v>887.49</v>
      </c>
      <c r="J11" s="8" t="s">
        <v>28</v>
      </c>
      <c r="K11" s="9">
        <f>1123.38</f>
        <v>1123.3800000000001</v>
      </c>
      <c r="L11" s="10">
        <f>143534.27</f>
        <v>143534.26999999999</v>
      </c>
      <c r="M11" s="4"/>
      <c r="N11" s="11">
        <v>2</v>
      </c>
      <c r="O11" s="4" t="s">
        <v>31</v>
      </c>
      <c r="P11" s="11">
        <v>2</v>
      </c>
      <c r="Q11" s="4" t="s">
        <v>37</v>
      </c>
      <c r="R11" s="12">
        <v>40.31</v>
      </c>
      <c r="S11" s="9">
        <f>45283.45</f>
        <v>45283.45</v>
      </c>
    </row>
    <row r="12" spans="1:19" ht="45" customHeight="1" x14ac:dyDescent="0.3">
      <c r="A12" s="4"/>
      <c r="B12" s="5"/>
      <c r="C12" s="4"/>
      <c r="D12" s="4"/>
      <c r="E12" s="4"/>
      <c r="F12" s="6"/>
      <c r="G12" s="4"/>
      <c r="H12" s="7"/>
      <c r="I12" s="7"/>
      <c r="J12" s="8"/>
      <c r="K12" s="9"/>
      <c r="L12" s="10"/>
      <c r="M12" s="4"/>
      <c r="N12" s="11"/>
      <c r="O12" s="4"/>
      <c r="P12" s="11">
        <v>3</v>
      </c>
      <c r="Q12" s="4" t="s">
        <v>38</v>
      </c>
      <c r="R12" s="12">
        <v>34.409999999999997</v>
      </c>
      <c r="S12" s="9">
        <f>38655.51</f>
        <v>38655.51</v>
      </c>
    </row>
    <row r="13" spans="1:19" ht="45" customHeight="1" x14ac:dyDescent="0.3">
      <c r="A13" s="4"/>
      <c r="B13" s="5"/>
      <c r="C13" s="4"/>
      <c r="D13" s="4"/>
      <c r="E13" s="4"/>
      <c r="F13" s="6"/>
      <c r="G13" s="4"/>
      <c r="H13" s="7"/>
      <c r="I13" s="7"/>
      <c r="J13" s="8"/>
      <c r="K13" s="9"/>
      <c r="L13" s="10"/>
      <c r="M13" s="4"/>
      <c r="N13" s="11"/>
      <c r="O13" s="4"/>
      <c r="P13" s="11">
        <v>4</v>
      </c>
      <c r="Q13" s="4" t="s">
        <v>39</v>
      </c>
      <c r="R13" s="12">
        <v>53.05</v>
      </c>
      <c r="S13" s="9">
        <f>59595.31</f>
        <v>59595.31</v>
      </c>
    </row>
    <row r="14" spans="1:19" ht="45" customHeight="1" x14ac:dyDescent="0.3">
      <c r="A14" s="4" t="s">
        <v>22</v>
      </c>
      <c r="B14" s="5" t="s">
        <v>47</v>
      </c>
      <c r="C14" s="4" t="s">
        <v>33</v>
      </c>
      <c r="D14" s="4" t="s">
        <v>48</v>
      </c>
      <c r="E14" s="4" t="s">
        <v>49</v>
      </c>
      <c r="F14" s="6">
        <f>45.24</f>
        <v>45.24</v>
      </c>
      <c r="G14" s="4" t="s">
        <v>36</v>
      </c>
      <c r="H14" s="7">
        <v>163.12</v>
      </c>
      <c r="I14" s="7">
        <v>163.12</v>
      </c>
      <c r="J14" s="8" t="s">
        <v>28</v>
      </c>
      <c r="K14" s="9">
        <f>206.48</f>
        <v>206.48</v>
      </c>
      <c r="L14" s="10">
        <f>9341.16</f>
        <v>9341.16</v>
      </c>
      <c r="M14" s="4"/>
      <c r="N14" s="11">
        <v>2</v>
      </c>
      <c r="O14" s="4" t="s">
        <v>31</v>
      </c>
      <c r="P14" s="11">
        <v>2</v>
      </c>
      <c r="Q14" s="4" t="s">
        <v>37</v>
      </c>
      <c r="R14" s="12">
        <v>17.16</v>
      </c>
      <c r="S14" s="9">
        <f>3543.2</f>
        <v>3543.2</v>
      </c>
    </row>
    <row r="15" spans="1:19" ht="45" customHeight="1" x14ac:dyDescent="0.3">
      <c r="A15" s="4"/>
      <c r="B15" s="5"/>
      <c r="C15" s="4"/>
      <c r="D15" s="4"/>
      <c r="E15" s="4"/>
      <c r="F15" s="6"/>
      <c r="G15" s="4"/>
      <c r="H15" s="7"/>
      <c r="I15" s="7"/>
      <c r="J15" s="8"/>
      <c r="K15" s="9"/>
      <c r="L15" s="10"/>
      <c r="M15" s="4"/>
      <c r="N15" s="11"/>
      <c r="O15" s="4"/>
      <c r="P15" s="11">
        <v>3</v>
      </c>
      <c r="Q15" s="4" t="s">
        <v>38</v>
      </c>
      <c r="R15" s="12">
        <v>9.36</v>
      </c>
      <c r="S15" s="9">
        <f>1932.65</f>
        <v>1932.65</v>
      </c>
    </row>
    <row r="16" spans="1:19" ht="45" customHeight="1" x14ac:dyDescent="0.3">
      <c r="A16" s="4"/>
      <c r="B16" s="5"/>
      <c r="C16" s="4"/>
      <c r="D16" s="4"/>
      <c r="E16" s="4"/>
      <c r="F16" s="6"/>
      <c r="G16" s="4"/>
      <c r="H16" s="7"/>
      <c r="I16" s="7"/>
      <c r="J16" s="8"/>
      <c r="K16" s="9"/>
      <c r="L16" s="10"/>
      <c r="M16" s="4"/>
      <c r="N16" s="11"/>
      <c r="O16" s="4"/>
      <c r="P16" s="11">
        <v>4</v>
      </c>
      <c r="Q16" s="4" t="s">
        <v>39</v>
      </c>
      <c r="R16" s="12">
        <v>18.72</v>
      </c>
      <c r="S16" s="9">
        <f>3865.31</f>
        <v>3865.31</v>
      </c>
    </row>
    <row r="17" spans="1:19" ht="45" customHeight="1" x14ac:dyDescent="0.3">
      <c r="A17" s="4" t="s">
        <v>19</v>
      </c>
      <c r="B17" s="5" t="s">
        <v>50</v>
      </c>
      <c r="C17" s="4"/>
      <c r="D17" s="4"/>
      <c r="E17" s="4" t="s">
        <v>51</v>
      </c>
      <c r="F17" s="6"/>
      <c r="G17" s="4"/>
      <c r="H17" s="7"/>
      <c r="I17" s="7"/>
      <c r="J17" s="8"/>
      <c r="K17" s="9"/>
      <c r="L17" s="10">
        <f>27180.82</f>
        <v>27180.82</v>
      </c>
      <c r="M17" s="4"/>
      <c r="N17" s="11"/>
      <c r="O17" s="4"/>
      <c r="P17" s="11"/>
      <c r="Q17" s="4"/>
      <c r="R17" s="12"/>
      <c r="S17" s="9"/>
    </row>
    <row r="18" spans="1:19" ht="45" customHeight="1" x14ac:dyDescent="0.3">
      <c r="A18" s="4" t="s">
        <v>22</v>
      </c>
      <c r="B18" s="5" t="s">
        <v>52</v>
      </c>
      <c r="C18" s="4" t="s">
        <v>24</v>
      </c>
      <c r="D18" s="4" t="s">
        <v>53</v>
      </c>
      <c r="E18" s="4" t="s">
        <v>54</v>
      </c>
      <c r="F18" s="6">
        <f>10.74</f>
        <v>10.74</v>
      </c>
      <c r="G18" s="4" t="s">
        <v>36</v>
      </c>
      <c r="H18" s="7">
        <v>736.31</v>
      </c>
      <c r="I18" s="7">
        <v>736.31</v>
      </c>
      <c r="J18" s="8" t="s">
        <v>28</v>
      </c>
      <c r="K18" s="9">
        <f>932.02</f>
        <v>932.02</v>
      </c>
      <c r="L18" s="10">
        <f>10009.89</f>
        <v>10009.89</v>
      </c>
      <c r="M18" s="4"/>
      <c r="N18" s="11">
        <v>3</v>
      </c>
      <c r="O18" s="4" t="s">
        <v>51</v>
      </c>
      <c r="P18" s="11">
        <v>2</v>
      </c>
      <c r="Q18" s="4" t="s">
        <v>37</v>
      </c>
      <c r="R18" s="12">
        <v>6.18</v>
      </c>
      <c r="S18" s="9">
        <f>5759.88</f>
        <v>5759.88</v>
      </c>
    </row>
    <row r="19" spans="1:19" ht="45" customHeight="1" x14ac:dyDescent="0.3">
      <c r="A19" s="4"/>
      <c r="B19" s="5"/>
      <c r="C19" s="4"/>
      <c r="D19" s="4"/>
      <c r="E19" s="4"/>
      <c r="F19" s="6"/>
      <c r="G19" s="4"/>
      <c r="H19" s="7"/>
      <c r="I19" s="7"/>
      <c r="J19" s="8"/>
      <c r="K19" s="9"/>
      <c r="L19" s="10"/>
      <c r="M19" s="4"/>
      <c r="N19" s="11"/>
      <c r="O19" s="4"/>
      <c r="P19" s="11">
        <v>3</v>
      </c>
      <c r="Q19" s="4" t="s">
        <v>38</v>
      </c>
      <c r="R19" s="12">
        <v>1.5</v>
      </c>
      <c r="S19" s="9">
        <f>1398.03</f>
        <v>1398.03</v>
      </c>
    </row>
    <row r="20" spans="1:19" ht="45" customHeight="1" x14ac:dyDescent="0.3">
      <c r="A20" s="4"/>
      <c r="B20" s="5"/>
      <c r="C20" s="4"/>
      <c r="D20" s="4"/>
      <c r="E20" s="4"/>
      <c r="F20" s="6"/>
      <c r="G20" s="4"/>
      <c r="H20" s="7"/>
      <c r="I20" s="7"/>
      <c r="J20" s="8"/>
      <c r="K20" s="9"/>
      <c r="L20" s="10"/>
      <c r="M20" s="4"/>
      <c r="N20" s="11"/>
      <c r="O20" s="4"/>
      <c r="P20" s="11">
        <v>4</v>
      </c>
      <c r="Q20" s="4" t="s">
        <v>39</v>
      </c>
      <c r="R20" s="12">
        <v>3.06</v>
      </c>
      <c r="S20" s="9">
        <f>2851.98</f>
        <v>2851.98</v>
      </c>
    </row>
    <row r="21" spans="1:19" ht="45" customHeight="1" x14ac:dyDescent="0.3">
      <c r="A21" s="4" t="s">
        <v>22</v>
      </c>
      <c r="B21" s="5" t="s">
        <v>55</v>
      </c>
      <c r="C21" s="4" t="s">
        <v>24</v>
      </c>
      <c r="D21" s="4" t="s">
        <v>56</v>
      </c>
      <c r="E21" s="4" t="s">
        <v>57</v>
      </c>
      <c r="F21" s="6">
        <f>99</f>
        <v>99</v>
      </c>
      <c r="G21" s="4" t="s">
        <v>58</v>
      </c>
      <c r="H21" s="7">
        <v>71.400000000000006</v>
      </c>
      <c r="I21" s="7">
        <v>71.400000000000006</v>
      </c>
      <c r="J21" s="8" t="s">
        <v>28</v>
      </c>
      <c r="K21" s="9">
        <f>90.38</f>
        <v>90.38</v>
      </c>
      <c r="L21" s="10">
        <f>8947.62</f>
        <v>8947.6200000000008</v>
      </c>
      <c r="M21" s="4"/>
      <c r="N21" s="11">
        <v>3</v>
      </c>
      <c r="O21" s="4" t="s">
        <v>51</v>
      </c>
      <c r="P21" s="11">
        <v>2</v>
      </c>
      <c r="Q21" s="4" t="s">
        <v>37</v>
      </c>
      <c r="R21" s="12">
        <v>57</v>
      </c>
      <c r="S21" s="9">
        <f>5151.66</f>
        <v>5151.66</v>
      </c>
    </row>
    <row r="22" spans="1:19" ht="45" customHeight="1" x14ac:dyDescent="0.3">
      <c r="A22" s="4"/>
      <c r="B22" s="5"/>
      <c r="C22" s="4"/>
      <c r="D22" s="4"/>
      <c r="E22" s="4"/>
      <c r="F22" s="6"/>
      <c r="G22" s="4"/>
      <c r="H22" s="7"/>
      <c r="I22" s="7"/>
      <c r="J22" s="8"/>
      <c r="K22" s="9"/>
      <c r="L22" s="10"/>
      <c r="M22" s="4"/>
      <c r="N22" s="11"/>
      <c r="O22" s="4"/>
      <c r="P22" s="11">
        <v>3</v>
      </c>
      <c r="Q22" s="4" t="s">
        <v>38</v>
      </c>
      <c r="R22" s="12">
        <v>15</v>
      </c>
      <c r="S22" s="9">
        <f>1355.7</f>
        <v>1355.7</v>
      </c>
    </row>
    <row r="23" spans="1:19" ht="45" customHeight="1" x14ac:dyDescent="0.3">
      <c r="A23" s="4"/>
      <c r="B23" s="5"/>
      <c r="C23" s="4"/>
      <c r="D23" s="4"/>
      <c r="E23" s="4"/>
      <c r="F23" s="6"/>
      <c r="G23" s="4"/>
      <c r="H23" s="7"/>
      <c r="I23" s="7"/>
      <c r="J23" s="8"/>
      <c r="K23" s="9"/>
      <c r="L23" s="10"/>
      <c r="M23" s="4"/>
      <c r="N23" s="11"/>
      <c r="O23" s="4"/>
      <c r="P23" s="11">
        <v>4</v>
      </c>
      <c r="Q23" s="4" t="s">
        <v>39</v>
      </c>
      <c r="R23" s="12">
        <v>27</v>
      </c>
      <c r="S23" s="9">
        <f>2440.26</f>
        <v>2440.2600000000002</v>
      </c>
    </row>
    <row r="24" spans="1:19" ht="45" customHeight="1" x14ac:dyDescent="0.3">
      <c r="A24" s="4" t="s">
        <v>22</v>
      </c>
      <c r="B24" s="5" t="s">
        <v>59</v>
      </c>
      <c r="C24" s="4" t="s">
        <v>24</v>
      </c>
      <c r="D24" s="4" t="s">
        <v>60</v>
      </c>
      <c r="E24" s="4" t="s">
        <v>61</v>
      </c>
      <c r="F24" s="6">
        <f>26</f>
        <v>26</v>
      </c>
      <c r="G24" s="4" t="s">
        <v>27</v>
      </c>
      <c r="H24" s="7">
        <v>105.18</v>
      </c>
      <c r="I24" s="7">
        <v>105.18</v>
      </c>
      <c r="J24" s="8" t="s">
        <v>28</v>
      </c>
      <c r="K24" s="9">
        <f>133.14</f>
        <v>133.13999999999999</v>
      </c>
      <c r="L24" s="10">
        <f>3461.64</f>
        <v>3461.64</v>
      </c>
      <c r="M24" s="4"/>
      <c r="N24" s="11">
        <v>3</v>
      </c>
      <c r="O24" s="4" t="s">
        <v>51</v>
      </c>
      <c r="P24" s="11">
        <v>2</v>
      </c>
      <c r="Q24" s="4" t="s">
        <v>37</v>
      </c>
      <c r="R24" s="12">
        <v>12</v>
      </c>
      <c r="S24" s="9">
        <f>1597.68</f>
        <v>1597.68</v>
      </c>
    </row>
    <row r="25" spans="1:19" ht="45" customHeight="1" x14ac:dyDescent="0.3">
      <c r="A25" s="4"/>
      <c r="B25" s="5"/>
      <c r="C25" s="4"/>
      <c r="D25" s="4"/>
      <c r="E25" s="4"/>
      <c r="F25" s="6"/>
      <c r="G25" s="4"/>
      <c r="H25" s="7"/>
      <c r="I25" s="7"/>
      <c r="J25" s="8"/>
      <c r="K25" s="9"/>
      <c r="L25" s="10"/>
      <c r="M25" s="4"/>
      <c r="N25" s="11"/>
      <c r="O25" s="4"/>
      <c r="P25" s="11">
        <v>3</v>
      </c>
      <c r="Q25" s="4" t="s">
        <v>38</v>
      </c>
      <c r="R25" s="12">
        <v>10</v>
      </c>
      <c r="S25" s="9">
        <f>1331.4</f>
        <v>1331.4</v>
      </c>
    </row>
    <row r="26" spans="1:19" ht="45" customHeight="1" x14ac:dyDescent="0.3">
      <c r="A26" s="4"/>
      <c r="B26" s="5"/>
      <c r="C26" s="4"/>
      <c r="D26" s="4"/>
      <c r="E26" s="4"/>
      <c r="F26" s="6"/>
      <c r="G26" s="4"/>
      <c r="H26" s="7"/>
      <c r="I26" s="7"/>
      <c r="J26" s="8"/>
      <c r="K26" s="9"/>
      <c r="L26" s="10"/>
      <c r="M26" s="4"/>
      <c r="N26" s="11"/>
      <c r="O26" s="4"/>
      <c r="P26" s="11">
        <v>4</v>
      </c>
      <c r="Q26" s="4" t="s">
        <v>39</v>
      </c>
      <c r="R26" s="12">
        <v>4</v>
      </c>
      <c r="S26" s="9">
        <f>532.56</f>
        <v>532.55999999999995</v>
      </c>
    </row>
    <row r="27" spans="1:19" ht="45" customHeight="1" x14ac:dyDescent="0.3">
      <c r="A27" s="4" t="s">
        <v>22</v>
      </c>
      <c r="B27" s="5" t="s">
        <v>62</v>
      </c>
      <c r="C27" s="4" t="s">
        <v>24</v>
      </c>
      <c r="D27" s="4" t="s">
        <v>63</v>
      </c>
      <c r="E27" s="4" t="s">
        <v>64</v>
      </c>
      <c r="F27" s="6">
        <f>39</f>
        <v>39</v>
      </c>
      <c r="G27" s="4" t="s">
        <v>58</v>
      </c>
      <c r="H27" s="7">
        <v>54.71</v>
      </c>
      <c r="I27" s="7">
        <v>54.71</v>
      </c>
      <c r="J27" s="8" t="s">
        <v>28</v>
      </c>
      <c r="K27" s="9">
        <f>69.25</f>
        <v>69.25</v>
      </c>
      <c r="L27" s="10">
        <f>2700.75</f>
        <v>2700.75</v>
      </c>
      <c r="M27" s="4"/>
      <c r="N27" s="11">
        <v>3</v>
      </c>
      <c r="O27" s="4" t="s">
        <v>51</v>
      </c>
      <c r="P27" s="11">
        <v>2</v>
      </c>
      <c r="Q27" s="4" t="s">
        <v>37</v>
      </c>
      <c r="R27" s="12">
        <v>18</v>
      </c>
      <c r="S27" s="9">
        <f>1246.5</f>
        <v>1246.5</v>
      </c>
    </row>
    <row r="28" spans="1:19" ht="45" customHeight="1" x14ac:dyDescent="0.3">
      <c r="A28" s="4"/>
      <c r="B28" s="5"/>
      <c r="C28" s="4"/>
      <c r="D28" s="4"/>
      <c r="E28" s="4"/>
      <c r="F28" s="6"/>
      <c r="G28" s="4"/>
      <c r="H28" s="7"/>
      <c r="I28" s="7"/>
      <c r="J28" s="8"/>
      <c r="K28" s="9"/>
      <c r="L28" s="10"/>
      <c r="M28" s="4"/>
      <c r="N28" s="11"/>
      <c r="O28" s="4"/>
      <c r="P28" s="11">
        <v>3</v>
      </c>
      <c r="Q28" s="4" t="s">
        <v>38</v>
      </c>
      <c r="R28" s="12">
        <v>15</v>
      </c>
      <c r="S28" s="9">
        <f>1038.75</f>
        <v>1038.75</v>
      </c>
    </row>
    <row r="29" spans="1:19" ht="45" customHeight="1" x14ac:dyDescent="0.3">
      <c r="A29" s="4"/>
      <c r="B29" s="5"/>
      <c r="C29" s="4"/>
      <c r="D29" s="4"/>
      <c r="E29" s="4"/>
      <c r="F29" s="6"/>
      <c r="G29" s="4"/>
      <c r="H29" s="7"/>
      <c r="I29" s="7"/>
      <c r="J29" s="8"/>
      <c r="K29" s="9"/>
      <c r="L29" s="10"/>
      <c r="M29" s="4"/>
      <c r="N29" s="11"/>
      <c r="O29" s="4"/>
      <c r="P29" s="11">
        <v>4</v>
      </c>
      <c r="Q29" s="4" t="s">
        <v>39</v>
      </c>
      <c r="R29" s="12">
        <v>6</v>
      </c>
      <c r="S29" s="9">
        <f>415.5</f>
        <v>415.5</v>
      </c>
    </row>
    <row r="30" spans="1:19" ht="45" customHeight="1" x14ac:dyDescent="0.3">
      <c r="A30" s="4" t="s">
        <v>22</v>
      </c>
      <c r="B30" s="5" t="s">
        <v>65</v>
      </c>
      <c r="C30" s="4" t="s">
        <v>33</v>
      </c>
      <c r="D30" s="4" t="s">
        <v>66</v>
      </c>
      <c r="E30" s="4" t="s">
        <v>67</v>
      </c>
      <c r="F30" s="6">
        <f>45.9</f>
        <v>45.9</v>
      </c>
      <c r="G30" s="4" t="s">
        <v>36</v>
      </c>
      <c r="H30" s="7">
        <v>35.47</v>
      </c>
      <c r="I30" s="7">
        <v>35.47</v>
      </c>
      <c r="J30" s="8" t="s">
        <v>28</v>
      </c>
      <c r="K30" s="9">
        <f>44.9</f>
        <v>44.9</v>
      </c>
      <c r="L30" s="10">
        <f>2060.92</f>
        <v>2060.92</v>
      </c>
      <c r="M30" s="4"/>
      <c r="N30" s="11">
        <v>3</v>
      </c>
      <c r="O30" s="4" t="s">
        <v>51</v>
      </c>
      <c r="P30" s="11">
        <v>2</v>
      </c>
      <c r="Q30" s="4" t="s">
        <v>37</v>
      </c>
      <c r="R30" s="12">
        <v>22.95</v>
      </c>
      <c r="S30" s="9">
        <f>1030.46</f>
        <v>1030.46</v>
      </c>
    </row>
    <row r="31" spans="1:19" ht="45" customHeight="1" x14ac:dyDescent="0.3">
      <c r="A31" s="4"/>
      <c r="B31" s="5"/>
      <c r="C31" s="4"/>
      <c r="D31" s="4"/>
      <c r="E31" s="4"/>
      <c r="F31" s="6"/>
      <c r="G31" s="4"/>
      <c r="H31" s="7"/>
      <c r="I31" s="7"/>
      <c r="J31" s="8"/>
      <c r="K31" s="9"/>
      <c r="L31" s="10"/>
      <c r="M31" s="4"/>
      <c r="N31" s="11"/>
      <c r="O31" s="4"/>
      <c r="P31" s="11">
        <v>4</v>
      </c>
      <c r="Q31" s="4" t="s">
        <v>39</v>
      </c>
      <c r="R31" s="12">
        <v>22.95</v>
      </c>
      <c r="S31" s="9">
        <f>1030.46</f>
        <v>1030.46</v>
      </c>
    </row>
    <row r="32" spans="1:19" x14ac:dyDescent="0.3">
      <c r="R32" s="14" t="s">
        <v>68</v>
      </c>
      <c r="S32" s="15">
        <f>1055538.93</f>
        <v>1055538.93</v>
      </c>
    </row>
    <row r="33" spans="18:19" x14ac:dyDescent="0.3">
      <c r="R33" s="14" t="s">
        <v>69</v>
      </c>
      <c r="S33" s="15">
        <f>0</f>
        <v>0</v>
      </c>
    </row>
  </sheetData>
  <conditionalFormatting sqref="A2:S2">
    <cfRule type="expression" dxfId="19" priority="13">
      <formula>$A2="Macrosserviço"</formula>
    </cfRule>
  </conditionalFormatting>
  <conditionalFormatting sqref="E2:E31">
    <cfRule type="expression" dxfId="18" priority="15">
      <formula>IF($A2="Macrosserviço",LEN($E2)&gt;100,LEN($E2)&gt;500)</formula>
    </cfRule>
  </conditionalFormatting>
  <conditionalFormatting sqref="M2:M31">
    <cfRule type="expression" dxfId="17" priority="14">
      <formula>IF($A2="Serviço",LEN(M2)&gt;500,M2&lt;&gt;"")</formula>
    </cfRule>
  </conditionalFormatting>
  <conditionalFormatting sqref="A2:A31">
    <cfRule type="expression" dxfId="16" priority="12">
      <formula>AND(A2&lt;&gt;"Macrosserviço",A2&lt;&gt;"Serviço",A2&lt;&gt;"")</formula>
    </cfRule>
  </conditionalFormatting>
  <conditionalFormatting sqref="C2:C31">
    <cfRule type="expression" dxfId="15" priority="11">
      <formula>IF($A2="Serviço",AND(C2&lt;&gt;"Composição",C2&lt;&gt;"Cotação",C2&lt;&gt;"SINAPI",C2&lt;&gt;"Outros"),C2&lt;&gt;"")</formula>
    </cfRule>
  </conditionalFormatting>
  <conditionalFormatting sqref="D2:D31">
    <cfRule type="expression" dxfId="14" priority="10">
      <formula>IF($A2="Serviço",OR(D2="",LEN($D2)&gt;13),D2&lt;&gt;"")</formula>
    </cfRule>
  </conditionalFormatting>
  <conditionalFormatting sqref="H2:H31">
    <cfRule type="expression" dxfId="13" priority="9">
      <formula>IF(A2="Serviço",OR(NOT(ISNUMBER(H2)),H2&lt;&gt;ROUND(H2,2),AND(C2&lt;&gt;"SINAPI",H2=0),H2&lt;0,H2&gt;9999999999.99),H2&lt;&gt;"")</formula>
    </cfRule>
  </conditionalFormatting>
  <conditionalFormatting sqref="I2:I31">
    <cfRule type="expression" dxfId="12" priority="8">
      <formula>IF($A2="Serviço",OR(NOT(ISNUMBER(I2)),I2&lt;&gt;ROUND(I2,2),I2&lt;=0,I2&gt;9999999999.99,AND(I2&gt;H2,H2&gt;0)),I2&lt;&gt;"")</formula>
    </cfRule>
  </conditionalFormatting>
  <conditionalFormatting sqref="J2:J31">
    <cfRule type="expression" dxfId="11" priority="7">
      <formula>IF($A2="Serviço",OR(NOT(ISNUMBER(VALUE(J2))),VALUE(J2)&lt;&gt;ROUND(VALUE(J2),4),VALUE(J2)&lt;=0,VALUE(J2)&gt;100%),J2&lt;&gt;"")</formula>
    </cfRule>
  </conditionalFormatting>
  <conditionalFormatting sqref="N2:N31">
    <cfRule type="expression" dxfId="10" priority="6">
      <formula>IF($A2="Serviço",OR(NOT(ISNUMBER(N2)),N2&lt;&gt;ROUND(N2,0),N2&lt;1,N2&gt;999),N2&lt;&gt;"")</formula>
    </cfRule>
  </conditionalFormatting>
  <conditionalFormatting sqref="O2:O31">
    <cfRule type="expression" dxfId="9" priority="5">
      <formula>IF($A2="Serviço",OR(O2="",LEN(O2)&gt;100),O2&lt;&gt;"")</formula>
    </cfRule>
  </conditionalFormatting>
  <conditionalFormatting sqref="P2:P31">
    <cfRule type="expression" dxfId="8" priority="4">
      <formula>IF($A2="Macrosserviço",P2&lt;&gt;"",OR(NOT(ISNUMBER(P2)),P2&lt;&gt;ROUND(P2,0),P2&lt;1,P2&gt;999))</formula>
    </cfRule>
  </conditionalFormatting>
  <conditionalFormatting sqref="Q2:Q31">
    <cfRule type="expression" dxfId="7" priority="3">
      <formula>IF($A2="Macrosserviço",Q2&lt;&gt;"",OR(Q2="",LEN(Q2)&gt;100))</formula>
    </cfRule>
  </conditionalFormatting>
  <conditionalFormatting sqref="R2:R31">
    <cfRule type="expression" dxfId="6" priority="2">
      <formula>IF($A2="Macrosserviço",R2&lt;&gt;"",OR(NOT(ISNUMBER(R2)),R2&lt;&gt;ROUND(R2,2),R2&lt;=0,R2&gt;99999999.99))</formula>
    </cfRule>
  </conditionalFormatting>
  <conditionalFormatting sqref="A3:S31">
    <cfRule type="expression" dxfId="5" priority="1">
      <formula>$A3="Macrosserviço"</formula>
    </cfRule>
  </conditionalFormatting>
  <pageMargins left="0.78740157480314998" right="0.78740157480314998" top="0.78740157480314998" bottom="0.78740157480314998" header="5.7086614173228396" footer="0.59055118110236204"/>
  <pageSetup paperSize="9" orientation="portrait" r:id="rId1"/>
  <headerFooter>
    <oddHeader>&amp;L_</oddHeader>
    <oddFooter>&amp;LPMv3.16&amp;R&amp;P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C1FC3-DDC6-4B04-A341-3AD173FB214F}">
  <sheetPr codeName="Planilha2"/>
  <dimension ref="A1:E8"/>
  <sheetViews>
    <sheetView workbookViewId="0"/>
  </sheetViews>
  <sheetFormatPr defaultColWidth="9.21875" defaultRowHeight="14.4" x14ac:dyDescent="0.3"/>
  <cols>
    <col min="1" max="1" width="15" style="3" customWidth="1"/>
    <col min="2" max="2" width="50" style="3" customWidth="1"/>
    <col min="3" max="3" width="20" style="3" customWidth="1"/>
    <col min="4" max="4" width="50" style="3" customWidth="1"/>
    <col min="5" max="5" width="35" style="3" customWidth="1"/>
    <col min="6" max="16384" width="9.21875" style="3"/>
  </cols>
  <sheetData>
    <row r="1" spans="1:5" x14ac:dyDescent="0.3">
      <c r="A1" s="1" t="s">
        <v>70</v>
      </c>
      <c r="B1" s="1" t="s">
        <v>71</v>
      </c>
      <c r="C1" s="1" t="s">
        <v>72</v>
      </c>
      <c r="D1" s="1" t="s">
        <v>16</v>
      </c>
      <c r="E1" s="1" t="s">
        <v>73</v>
      </c>
    </row>
    <row r="2" spans="1:5" ht="45" customHeight="1" x14ac:dyDescent="0.3">
      <c r="A2" s="16">
        <v>1</v>
      </c>
      <c r="B2" s="16" t="s">
        <v>21</v>
      </c>
      <c r="C2" s="16">
        <v>1</v>
      </c>
      <c r="D2" s="16" t="s">
        <v>29</v>
      </c>
      <c r="E2" s="16">
        <v>1</v>
      </c>
    </row>
    <row r="3" spans="1:5" ht="45" customHeight="1" x14ac:dyDescent="0.3">
      <c r="A3" s="16">
        <v>2</v>
      </c>
      <c r="B3" s="16" t="s">
        <v>31</v>
      </c>
      <c r="C3" s="16">
        <v>2</v>
      </c>
      <c r="D3" s="16" t="s">
        <v>37</v>
      </c>
      <c r="E3" s="16">
        <v>2</v>
      </c>
    </row>
    <row r="4" spans="1:5" ht="45" customHeight="1" x14ac:dyDescent="0.3">
      <c r="A4" s="16">
        <v>2</v>
      </c>
      <c r="B4" s="16" t="s">
        <v>31</v>
      </c>
      <c r="C4" s="16">
        <v>3</v>
      </c>
      <c r="D4" s="16" t="s">
        <v>38</v>
      </c>
      <c r="E4" s="16">
        <v>2</v>
      </c>
    </row>
    <row r="5" spans="1:5" ht="45" customHeight="1" x14ac:dyDescent="0.3">
      <c r="A5" s="16">
        <v>2</v>
      </c>
      <c r="B5" s="16" t="s">
        <v>31</v>
      </c>
      <c r="C5" s="16">
        <v>4</v>
      </c>
      <c r="D5" s="16" t="s">
        <v>39</v>
      </c>
      <c r="E5" s="16">
        <v>3</v>
      </c>
    </row>
    <row r="6" spans="1:5" ht="45" customHeight="1" x14ac:dyDescent="0.3">
      <c r="A6" s="16">
        <v>3</v>
      </c>
      <c r="B6" s="16" t="s">
        <v>51</v>
      </c>
      <c r="C6" s="16">
        <v>2</v>
      </c>
      <c r="D6" s="16" t="s">
        <v>37</v>
      </c>
      <c r="E6" s="16">
        <v>3</v>
      </c>
    </row>
    <row r="7" spans="1:5" ht="45" customHeight="1" x14ac:dyDescent="0.3">
      <c r="A7" s="16">
        <v>3</v>
      </c>
      <c r="B7" s="16" t="s">
        <v>51</v>
      </c>
      <c r="C7" s="16">
        <v>3</v>
      </c>
      <c r="D7" s="16" t="s">
        <v>38</v>
      </c>
      <c r="E7" s="16">
        <v>3</v>
      </c>
    </row>
    <row r="8" spans="1:5" ht="45" customHeight="1" x14ac:dyDescent="0.3">
      <c r="A8" s="16">
        <v>3</v>
      </c>
      <c r="B8" s="16" t="s">
        <v>51</v>
      </c>
      <c r="C8" s="16">
        <v>4</v>
      </c>
      <c r="D8" s="16" t="s">
        <v>39</v>
      </c>
      <c r="E8" s="16">
        <v>3</v>
      </c>
    </row>
  </sheetData>
  <conditionalFormatting sqref="A2:A8">
    <cfRule type="expression" dxfId="4" priority="5">
      <formula>OR(NOT(ISNUMBER(A2)),A2&lt;&gt;ROUND(A2,0),A2&lt;1,A2&gt;999)</formula>
    </cfRule>
  </conditionalFormatting>
  <conditionalFormatting sqref="B2:B8">
    <cfRule type="expression" dxfId="3" priority="4">
      <formula>OR(B2="",LEN(B2)&gt;100)</formula>
    </cfRule>
  </conditionalFormatting>
  <conditionalFormatting sqref="C2:C8">
    <cfRule type="expression" dxfId="2" priority="3">
      <formula>OR(NOT(ISNUMBER(C2)),C2&lt;&gt;ROUND(C2,0),C2&lt;1,C2&gt;999)</formula>
    </cfRule>
  </conditionalFormatting>
  <conditionalFormatting sqref="D2:D8">
    <cfRule type="expression" dxfId="1" priority="2">
      <formula>OR(D2="",LEN(D2)&gt;100)</formula>
    </cfRule>
  </conditionalFormatting>
  <conditionalFormatting sqref="E2:E8">
    <cfRule type="expression" dxfId="0" priority="1">
      <formula>OR(NOT(ISNUMBER(E2)),E2&lt;&gt;ROUND(E2,0),E2&lt;1,E2&gt;120)</formula>
    </cfRule>
  </conditionalFormatting>
  <pageMargins left="0.78740157480314998" right="0.78740157480314998" top="0.78740157480314998" bottom="0.78740157480314998" header="5.7086614173228396" footer="0.59055118110236204"/>
  <pageSetup paperSize="9" orientation="portrait" r:id="rId1"/>
  <headerFooter>
    <oddHeader>&amp;L_</oddHeader>
    <oddFooter>&amp;LPMv3.16&amp;R&amp;P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PO-PLE</vt:lpstr>
      <vt:lpstr>CFF - 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Lopes</dc:creator>
  <cp:lastModifiedBy>Jose Lopes</cp:lastModifiedBy>
  <dcterms:created xsi:type="dcterms:W3CDTF">2026-08-17T14:00:07Z</dcterms:created>
  <dcterms:modified xsi:type="dcterms:W3CDTF">2026-08-17T14:00:24Z</dcterms:modified>
</cp:coreProperties>
</file>